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2.xml" ContentType="application/vnd.openxmlformats-officedocument.spreadsheetml.comments+xml"/>
  <Override PartName="/xl/drawings/drawing19.xml" ContentType="application/vnd.openxmlformats-officedocument.drawing+xml"/>
  <Override PartName="/xl/comments3.xml" ContentType="application/vnd.openxmlformats-officedocument.spreadsheetml.comments+xml"/>
  <Override PartName="/xl/drawings/drawing20.xml" ContentType="application/vnd.openxmlformats-officedocument.drawing+xml"/>
  <Override PartName="/xl/comments4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omments5.xml" ContentType="application/vnd.openxmlformats-officedocument.spreadsheetml.comments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omments6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omments7.xml" ContentType="application/vnd.openxmlformats-officedocument.spreadsheetml.comments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omments8.xml" ContentType="application/vnd.openxmlformats-officedocument.spreadsheetml.comments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omments9.xml" ContentType="application/vnd.openxmlformats-officedocument.spreadsheetml.comments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comments10.xml" ContentType="application/vnd.openxmlformats-officedocument.spreadsheetml.comments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omments11.xml" ContentType="application/vnd.openxmlformats-officedocument.spreadsheetml.comments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-120" yWindow="3000" windowWidth="20730" windowHeight="8640" firstSheet="8" activeTab="24"/>
  </bookViews>
  <sheets>
    <sheet name="Chuyển đổi công t8" sheetId="56" state="hidden" r:id="rId1"/>
    <sheet name="Mủ CN (TT)" sheetId="108" state="hidden" r:id="rId2"/>
    <sheet name="Serum" sheetId="127" state="hidden" r:id="rId3"/>
    <sheet name="Mủ dây" sheetId="117" state="hidden" r:id="rId4"/>
    <sheet name="Chấm công CN" sheetId="135" state="hidden" r:id="rId5"/>
    <sheet name="Phụ cấp cây non" sheetId="131" state="hidden" r:id="rId6"/>
    <sheet name="Thanh toán bốc mủ" sheetId="134" state="hidden" r:id="rId7"/>
    <sheet name="Chấm công đi làm thưởng" sheetId="133" state="hidden" r:id="rId8"/>
    <sheet name="Đội 1" sheetId="91" r:id="rId9"/>
    <sheet name="Đội 2" sheetId="90" r:id="rId10"/>
    <sheet name="Đội 3" sheetId="89" r:id="rId11"/>
    <sheet name="VCKD" sheetId="54" r:id="rId12"/>
    <sheet name="Tong luong NT" sheetId="1" r:id="rId13"/>
    <sheet name="Hổ trợ xăng CN" sheetId="124" state="hidden" r:id="rId14"/>
    <sheet name="BVNT" sheetId="8" r:id="rId15"/>
    <sheet name="Trạm cán" sheetId="96" r:id="rId16"/>
    <sheet name="Lương đội phó người Lào" sheetId="97" state="hidden" r:id="rId17"/>
    <sheet name="HTSL" sheetId="76" state="hidden" r:id="rId18"/>
    <sheet name="Thưởng SL" sheetId="71" state="hidden" r:id="rId19"/>
    <sheet name="Chấm công" sheetId="62" state="hidden" r:id="rId20"/>
    <sheet name="Báo cáoKL (2)" sheetId="65" state="hidden" r:id="rId21"/>
    <sheet name="LƯƠNG USD NGƯỜI VIỆT" sheetId="60" state="hidden" r:id="rId22"/>
    <sheet name="BẢNG KÊ LƯƠNG" sheetId="59" state="hidden" r:id="rId23"/>
    <sheet name="thu tiền bhxh Quyên" sheetId="72" state="hidden" r:id="rId24"/>
    <sheet name="PHAN TOAN" sheetId="41" r:id="rId25"/>
    <sheet name="KTCB" sheetId="28" state="hidden" r:id="rId26"/>
    <sheet name="PHAN TOAN (2)" sheetId="126" state="hidden" r:id="rId27"/>
    <sheet name="CVK" sheetId="44" state="hidden" r:id="rId28"/>
    <sheet name="Lương Đội 1" sheetId="77" state="hidden" r:id="rId29"/>
    <sheet name="Tong luong NT (2)" sheetId="84" state="hidden" r:id="rId30"/>
    <sheet name="Lương Đội" sheetId="75" state="hidden" r:id="rId31"/>
    <sheet name="BCKL" sheetId="132" state="hidden" r:id="rId32"/>
    <sheet name="Phu cấp người Việt " sheetId="98" state="hidden" r:id="rId33"/>
    <sheet name="Đội 1 (Truy lãnh)" sheetId="111" state="hidden" r:id="rId34"/>
    <sheet name="Đôi 1 tạm ứng" sheetId="110" state="hidden" r:id="rId35"/>
    <sheet name="Đội 2 (truy lãnh)" sheetId="112" state="hidden" r:id="rId36"/>
    <sheet name="Đội 2 tu" sheetId="116" state="hidden" r:id="rId37"/>
    <sheet name="Đội 3 truy lãnh" sheetId="113" state="hidden" r:id="rId38"/>
    <sheet name="Đội 3 tư" sheetId="115" state="hidden" r:id="rId39"/>
    <sheet name="DOI 3" sheetId="48" state="hidden" r:id="rId40"/>
    <sheet name="DOI 1" sheetId="50" state="hidden" r:id="rId41"/>
    <sheet name="DOI 2" sheetId="51" state="hidden" r:id="rId42"/>
    <sheet name="Vuon uom" sheetId="11" state="hidden" r:id="rId43"/>
    <sheet name="VCKD (2)" sheetId="52" state="hidden" r:id="rId44"/>
    <sheet name="lương con lào " sheetId="32" state="hidden" r:id="rId45"/>
    <sheet name="CC NT" sheetId="3" state="hidden" r:id="rId46"/>
    <sheet name="trồng mới" sheetId="43" state="hidden" r:id="rId47"/>
    <sheet name="NĐT" sheetId="27" state="hidden" r:id="rId48"/>
    <sheet name="PC xang xe" sheetId="37" state="hidden" r:id="rId49"/>
    <sheet name="chăm sóc TT" sheetId="61" state="hidden" r:id="rId50"/>
    <sheet name="Phụ cấp 300K" sheetId="102" state="hidden" r:id="rId51"/>
    <sheet name="học cạo" sheetId="103" state="hidden" r:id="rId52"/>
    <sheet name="KTCC" sheetId="42" state="hidden" r:id="rId53"/>
    <sheet name="PCTB" sheetId="21" state="hidden" r:id="rId54"/>
    <sheet name="lương con cb" sheetId="5" state="hidden" r:id="rId55"/>
    <sheet name="HẠNG KT" sheetId="63" state="hidden" r:id="rId56"/>
    <sheet name="Thuong 3 T " sheetId="66" state="hidden" r:id="rId57"/>
    <sheet name="Thuong 1T  " sheetId="68" state="hidden" r:id="rId58"/>
    <sheet name="Ung luong" sheetId="69" state="hidden" r:id="rId59"/>
    <sheet name="Tiền thưởng tết dương lịch" sheetId="70" state="hidden" r:id="rId60"/>
    <sheet name="TTTX" sheetId="87" state="hidden" r:id="rId61"/>
    <sheet name="Châm công tiền xăng" sheetId="85" state="hidden" r:id="rId62"/>
    <sheet name="HS bảo hiểm" sheetId="2" state="hidden" r:id="rId63"/>
    <sheet name="Sheet4" sheetId="93" state="hidden" r:id="rId64"/>
    <sheet name="Sheet3" sheetId="92" state="hidden" r:id="rId65"/>
    <sheet name="Truy lãnh" sheetId="82" state="hidden" r:id="rId66"/>
    <sheet name="Mủ CN (tam ung)" sheetId="107" state="hidden" r:id="rId67"/>
    <sheet name="Danh sách TNCN" sheetId="122" state="hidden" r:id="rId68"/>
    <sheet name="chấm công người việt" sheetId="88" state="hidden" r:id="rId69"/>
    <sheet name="Hỗ trợ xư qly" sheetId="73" state="hidden" r:id="rId70"/>
    <sheet name="Chấm Công Tái xế" sheetId="94" state="hidden" r:id="rId71"/>
    <sheet name="Mủ CN" sheetId="104" state="hidden" r:id="rId72"/>
    <sheet name="Mủ CN (TH)" sheetId="109" state="hidden" r:id="rId73"/>
    <sheet name="Đội 1 (2)" sheetId="121" state="hidden" r:id="rId74"/>
    <sheet name="PLcon" sheetId="74" state="hidden" r:id="rId75"/>
    <sheet name="Sheet1" sheetId="119" state="hidden" r:id="rId76"/>
    <sheet name="Sheet1 (2)" sheetId="137" state="hidden" r:id="rId77"/>
    <sheet name="Sheet6" sheetId="125" state="hidden" r:id="rId78"/>
    <sheet name="Sheet2" sheetId="120" state="hidden" r:id="rId79"/>
    <sheet name="Sheet7" sheetId="128" state="hidden" r:id="rId80"/>
    <sheet name="Sheet8" sheetId="130" state="hidden" r:id="rId81"/>
    <sheet name="Sheet5" sheetId="136" r:id="rId82"/>
    <sheet name="Sheet9" sheetId="138" state="hidden" r:id="rId83"/>
  </sheets>
  <externalReferences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xlnm._FilterDatabase" localSheetId="4" hidden="1">'Chấm công CN'!$A$11:$AR$11</definedName>
    <definedName name="_xlnm._FilterDatabase" localSheetId="7" hidden="1">'Chấm công đi làm thưởng'!$A$11:$S$58</definedName>
    <definedName name="_xlnm._FilterDatabase" localSheetId="8" hidden="1">'Đội 1'!$A$17:$AA$101</definedName>
    <definedName name="_xlnm._FilterDatabase" localSheetId="73" hidden="1">'Đội 1 (2)'!$A$17:$T$30</definedName>
    <definedName name="_xlnm._FilterDatabase" localSheetId="33" hidden="1">'Đội 1 (Truy lãnh)'!$A$16:$AF$63</definedName>
    <definedName name="_xlnm._FilterDatabase" localSheetId="9" hidden="1">'Đội 2'!#REF!</definedName>
    <definedName name="_xlnm._FilterDatabase" localSheetId="35" hidden="1">'Đội 2 (truy lãnh)'!$A$15:$AA$99</definedName>
    <definedName name="_xlnm._FilterDatabase" localSheetId="37" hidden="1">'Đội 3 truy lãnh'!$A$15:$Y$44</definedName>
    <definedName name="_xlnm._FilterDatabase" localSheetId="66" hidden="1">'Mủ CN (tam ung)'!$A$10:$AS$170</definedName>
    <definedName name="_xlnm._FilterDatabase" localSheetId="1" hidden="1">'Mủ CN (TT)'!$A$10:$BD$209</definedName>
    <definedName name="_xlnm._FilterDatabase" localSheetId="5" hidden="1">'Phụ cấp cây non'!$A$11:$AQ$11</definedName>
    <definedName name="_xlnm._FilterDatabase" localSheetId="59" hidden="1">'Tiền thưởng tết dương lịch'!$A$13:$M$204</definedName>
    <definedName name="_xlnm._FilterDatabase" localSheetId="11" hidden="1">VCKD!$A$18:$AD$222</definedName>
    <definedName name="_xlnm.Print_Area" localSheetId="22">'BẢNG KÊ LƯƠNG'!$A$1:$X$56</definedName>
    <definedName name="_xlnm.Print_Area" localSheetId="49">'chăm sóc TT'!$A$1:$R$23</definedName>
    <definedName name="_xlnm.Print_Area" localSheetId="40">'DOI 1'!$A$1:$Z$48</definedName>
    <definedName name="_xlnm.Print_Area" localSheetId="41">'DOI 2'!$A$1:$Z$72</definedName>
    <definedName name="_xlnm.Print_Area" localSheetId="39">'DOI 3'!$A$1:$Z$44</definedName>
    <definedName name="_xlnm.Print_Area" localSheetId="25">KTCB!$A$1:$Q$32</definedName>
    <definedName name="_xlnm.Print_Area" localSheetId="21">'LƯƠNG USD NGƯỜI VIỆT'!$A$1:$R$66</definedName>
    <definedName name="_xlnm.Print_Area" localSheetId="47">NĐT!$A$1:$R$24</definedName>
    <definedName name="_xlnm.Print_Area" localSheetId="48">'PC xang xe'!$A$1:$I$43</definedName>
    <definedName name="_xlnm.Print_Area" localSheetId="74">PLcon!$A$1:$L$1368</definedName>
    <definedName name="_xlnm.Print_Area" localSheetId="23">'thu tiền bhxh Quyên'!$A$1:$R$54</definedName>
    <definedName name="_xlnm.Print_Area" localSheetId="46">'trồng mới'!$A$1:$R$24</definedName>
    <definedName name="_xlnm.Print_Area" localSheetId="43">'VCKD (2)'!$A$1:$Z$72</definedName>
    <definedName name="_xlnm.Print_Area" localSheetId="42">'Vuon uom'!$A$1:$R$23</definedName>
    <definedName name="_xlnm.Print_Titles" localSheetId="20">'Báo cáoKL (2)'!#REF!</definedName>
    <definedName name="_xlnm.Print_Titles" localSheetId="14">BVNT!$9:$12</definedName>
    <definedName name="_xlnm.Print_Titles" localSheetId="45">'CC NT'!$47:$48</definedName>
    <definedName name="_xlnm.Print_Titles" localSheetId="27">CVK!$8:$8</definedName>
    <definedName name="_xlnm.Print_Titles" localSheetId="49">'chăm sóc TT'!$6:$9</definedName>
    <definedName name="_xlnm.Print_Titles" localSheetId="4">'Chấm công CN'!$10:$11</definedName>
    <definedName name="_xlnm.Print_Titles" localSheetId="7">'Chấm công đi làm thưởng'!$10:$11</definedName>
    <definedName name="_xlnm.Print_Titles" localSheetId="68">'chấm công người việt'!$10:$11</definedName>
    <definedName name="_xlnm.Print_Titles" localSheetId="40">'DOI 1'!$8:$11</definedName>
    <definedName name="_xlnm.Print_Titles" localSheetId="41">'DOI 2'!$8:$11</definedName>
    <definedName name="_xlnm.Print_Titles" localSheetId="39">'DOI 3'!$8:$11</definedName>
    <definedName name="_xlnm.Print_Titles" localSheetId="8">'Đội 1'!$13:$17</definedName>
    <definedName name="_xlnm.Print_Titles" localSheetId="73">'Đội 1 (2)'!$13:$17</definedName>
    <definedName name="_xlnm.Print_Titles" localSheetId="33">'Đội 1 (Truy lãnh)'!$13:$16</definedName>
    <definedName name="_xlnm.Print_Titles" localSheetId="9">'Đội 2'!#REF!</definedName>
    <definedName name="_xlnm.Print_Titles" localSheetId="35">'Đội 2 (truy lãnh)'!$13:$15</definedName>
    <definedName name="_xlnm.Print_Titles" localSheetId="10">'Đội 3'!$13:$15</definedName>
    <definedName name="_xlnm.Print_Titles" localSheetId="37">'Đội 3 truy lãnh'!$13:$15</definedName>
    <definedName name="_xlnm.Print_Titles" localSheetId="51">'học cạo'!$10:$10</definedName>
    <definedName name="_xlnm.Print_Titles" localSheetId="13">'Hổ trợ xăng CN'!$9:$9</definedName>
    <definedName name="_xlnm.Print_Titles" localSheetId="25">KTCB!$15:$17</definedName>
    <definedName name="_xlnm.Print_Titles" localSheetId="21">'LƯƠNG USD NGƯỜI VIỆT'!$12:$15</definedName>
    <definedName name="_xlnm.Print_Titles" localSheetId="71">'Mủ CN'!$9:$10</definedName>
    <definedName name="_xlnm.Print_Titles" localSheetId="66">'Mủ CN (tam ung)'!$9:$10</definedName>
    <definedName name="_xlnm.Print_Titles" localSheetId="1">'Mủ CN (TT)'!$9:$10</definedName>
    <definedName name="_xlnm.Print_Titles" localSheetId="72">'Mủ CN (TH)'!$9:$10</definedName>
    <definedName name="_xlnm.Print_Titles" localSheetId="3">'Mủ dây'!$9:$10</definedName>
    <definedName name="_xlnm.Print_Titles" localSheetId="47">NĐT!$6:$9</definedName>
    <definedName name="_xlnm.Print_Titles" localSheetId="48">'PC xang xe'!$9:$11</definedName>
    <definedName name="_xlnm.Print_Titles" localSheetId="53">PCTB!#REF!</definedName>
    <definedName name="_xlnm.Print_Titles" localSheetId="24">'PHAN TOAN'!$12:$12</definedName>
    <definedName name="_xlnm.Print_Titles" localSheetId="26">'PHAN TOAN (2)'!$12:$12</definedName>
    <definedName name="_xlnm.Print_Titles" localSheetId="50">'Phụ cấp 300K'!$10:$10</definedName>
    <definedName name="_xlnm.Print_Titles" localSheetId="5">'Phụ cấp cây non'!$10:$11</definedName>
    <definedName name="_xlnm.Print_Titles" localSheetId="32">'Phu cấp người Việt '!$10:$11</definedName>
    <definedName name="_xlnm.Print_Titles" localSheetId="75">Sheet1!$11:$12</definedName>
    <definedName name="_xlnm.Print_Titles" localSheetId="76">'Sheet1 (2)'!$11:$12</definedName>
    <definedName name="_xlnm.Print_Titles" localSheetId="78">Sheet2!$9:$9</definedName>
    <definedName name="_xlnm.Print_Titles" localSheetId="82">Sheet9!$10:$11</definedName>
    <definedName name="_xlnm.Print_Titles" localSheetId="59">'Tiền thưởng tết dương lịch'!$11:$13</definedName>
    <definedName name="_xlnm.Print_Titles" localSheetId="12">'Tong luong NT'!$12:$13</definedName>
    <definedName name="_xlnm.Print_Titles" localSheetId="29">'Tong luong NT (2)'!$12:$15</definedName>
    <definedName name="_xlnm.Print_Titles" localSheetId="6">'Thanh toán bốc mủ'!$12:$13</definedName>
    <definedName name="_xlnm.Print_Titles" localSheetId="18">'Thưởng SL'!$11:$13</definedName>
    <definedName name="_xlnm.Print_Titles" localSheetId="46">'trồng mới'!$6:$9</definedName>
    <definedName name="_xlnm.Print_Titles" localSheetId="11">VCKD!$12:$15</definedName>
    <definedName name="_xlnm.Print_Titles" localSheetId="43">'VCKD (2)'!$8:$11</definedName>
    <definedName name="_xlnm.Print_Titles" localSheetId="42">'Vuon uom'!$6:$9</definedName>
  </definedNames>
  <calcPr calcId="144525"/>
</workbook>
</file>

<file path=xl/calcChain.xml><?xml version="1.0" encoding="utf-8"?>
<calcChain xmlns="http://schemas.openxmlformats.org/spreadsheetml/2006/main">
  <c r="M46" i="89" l="1"/>
  <c r="M102" i="90"/>
  <c r="M104" i="90"/>
  <c r="D17" i="122" l="1"/>
  <c r="D15" i="122"/>
  <c r="D16" i="122"/>
  <c r="D14" i="122"/>
  <c r="F28" i="41"/>
  <c r="F26" i="41"/>
  <c r="F25" i="41"/>
  <c r="E11" i="90"/>
  <c r="N18" i="91" l="1"/>
  <c r="T170" i="138" l="1"/>
  <c r="U170" i="138"/>
  <c r="V170" i="138"/>
  <c r="W170" i="138"/>
  <c r="X170" i="138"/>
  <c r="X221" i="138" s="1"/>
  <c r="Y170" i="138"/>
  <c r="Z170" i="138"/>
  <c r="AA170" i="138"/>
  <c r="AB170" i="138"/>
  <c r="T195" i="138"/>
  <c r="U195" i="138"/>
  <c r="V195" i="138"/>
  <c r="W195" i="138"/>
  <c r="X195" i="138"/>
  <c r="Y195" i="138"/>
  <c r="Z195" i="138"/>
  <c r="AA195" i="138"/>
  <c r="AA221" i="138" s="1"/>
  <c r="AB195" i="138"/>
  <c r="U221" i="138"/>
  <c r="V221" i="138"/>
  <c r="W221" i="138"/>
  <c r="Y221" i="138"/>
  <c r="Z221" i="138"/>
  <c r="T220" i="138"/>
  <c r="U220" i="138"/>
  <c r="V220" i="138"/>
  <c r="W220" i="138"/>
  <c r="X220" i="138"/>
  <c r="Y220" i="138"/>
  <c r="Z220" i="138"/>
  <c r="AA220" i="138"/>
  <c r="I41" i="41" l="1"/>
  <c r="H33" i="91" l="1"/>
  <c r="J33" i="91"/>
  <c r="K33" i="54" s="1"/>
  <c r="I31" i="41"/>
  <c r="D31" i="41"/>
  <c r="D30" i="41"/>
  <c r="K95" i="54"/>
  <c r="K96" i="54"/>
  <c r="K97" i="54"/>
  <c r="K98" i="54"/>
  <c r="K99" i="54"/>
  <c r="M95" i="91"/>
  <c r="M96" i="91"/>
  <c r="M97" i="91"/>
  <c r="M98" i="91"/>
  <c r="M99" i="91"/>
  <c r="N95" i="54" l="1"/>
  <c r="O95" i="54"/>
  <c r="Q95" i="54"/>
  <c r="R95" i="54"/>
  <c r="N96" i="54"/>
  <c r="O96" i="54"/>
  <c r="Q96" i="54"/>
  <c r="R96" i="54"/>
  <c r="N97" i="54"/>
  <c r="O97" i="54"/>
  <c r="Q97" i="54"/>
  <c r="R97" i="54"/>
  <c r="N98" i="54"/>
  <c r="O98" i="54"/>
  <c r="Q98" i="54"/>
  <c r="R98" i="54"/>
  <c r="N99" i="54"/>
  <c r="O99" i="54"/>
  <c r="Q99" i="54"/>
  <c r="R99" i="54"/>
  <c r="M95" i="54"/>
  <c r="M96" i="54"/>
  <c r="M97" i="54"/>
  <c r="M98" i="54"/>
  <c r="M99" i="54"/>
  <c r="L95" i="54"/>
  <c r="L96" i="54"/>
  <c r="L97" i="54"/>
  <c r="L98" i="54"/>
  <c r="L99" i="54"/>
  <c r="K47" i="89"/>
  <c r="E11" i="89"/>
  <c r="P97" i="54" l="1"/>
  <c r="P98" i="54"/>
  <c r="P99" i="54"/>
  <c r="P96" i="54"/>
  <c r="P95" i="54"/>
  <c r="AA32" i="88" l="1"/>
  <c r="AH19" i="94"/>
  <c r="D195" i="103" l="1"/>
  <c r="D196" i="103"/>
  <c r="D197" i="103"/>
  <c r="D198" i="103"/>
  <c r="D199" i="103"/>
  <c r="D200" i="103"/>
  <c r="D201" i="103"/>
  <c r="D202" i="103"/>
  <c r="D203" i="103"/>
  <c r="D204" i="103"/>
  <c r="D205" i="103"/>
  <c r="D206" i="103"/>
  <c r="D207" i="103"/>
  <c r="D208" i="103"/>
  <c r="D209" i="103"/>
  <c r="D210" i="103"/>
  <c r="D211" i="103"/>
  <c r="D212" i="103"/>
  <c r="D213" i="103"/>
  <c r="D214" i="103"/>
  <c r="D215" i="103"/>
  <c r="D216" i="103"/>
  <c r="D217" i="103"/>
  <c r="D194" i="103"/>
  <c r="F192" i="103"/>
  <c r="D99" i="103"/>
  <c r="F99" i="103" s="1"/>
  <c r="D100" i="103"/>
  <c r="F100" i="103" s="1"/>
  <c r="D101" i="103"/>
  <c r="F101" i="103" s="1"/>
  <c r="D102" i="103"/>
  <c r="F102" i="103" s="1"/>
  <c r="D103" i="103"/>
  <c r="F103" i="103" s="1"/>
  <c r="D104" i="103"/>
  <c r="F104" i="103" s="1"/>
  <c r="D105" i="103"/>
  <c r="F105" i="103" s="1"/>
  <c r="D106" i="103"/>
  <c r="F106" i="103" s="1"/>
  <c r="D107" i="103"/>
  <c r="F107" i="103" s="1"/>
  <c r="D108" i="103"/>
  <c r="F108" i="103" s="1"/>
  <c r="D109" i="103"/>
  <c r="F109" i="103" s="1"/>
  <c r="D110" i="103"/>
  <c r="F110" i="103" s="1"/>
  <c r="D111" i="103"/>
  <c r="F111" i="103" s="1"/>
  <c r="D112" i="103"/>
  <c r="F112" i="103" s="1"/>
  <c r="D113" i="103"/>
  <c r="F113" i="103" s="1"/>
  <c r="D114" i="103"/>
  <c r="F114" i="103" s="1"/>
  <c r="D115" i="103"/>
  <c r="F115" i="103" s="1"/>
  <c r="D116" i="103"/>
  <c r="F116" i="103" s="1"/>
  <c r="D117" i="103"/>
  <c r="F117" i="103" s="1"/>
  <c r="D118" i="103"/>
  <c r="F118" i="103" s="1"/>
  <c r="D119" i="103"/>
  <c r="F119" i="103" s="1"/>
  <c r="D120" i="103"/>
  <c r="F120" i="103" s="1"/>
  <c r="D121" i="103"/>
  <c r="F121" i="103" s="1"/>
  <c r="D122" i="103"/>
  <c r="F122" i="103" s="1"/>
  <c r="D123" i="103"/>
  <c r="F123" i="103" s="1"/>
  <c r="D124" i="103"/>
  <c r="F124" i="103" s="1"/>
  <c r="D125" i="103"/>
  <c r="F125" i="103" s="1"/>
  <c r="D126" i="103"/>
  <c r="F126" i="103" s="1"/>
  <c r="D127" i="103"/>
  <c r="F127" i="103" s="1"/>
  <c r="D128" i="103"/>
  <c r="F128" i="103" s="1"/>
  <c r="D129" i="103"/>
  <c r="F129" i="103" s="1"/>
  <c r="D130" i="103"/>
  <c r="F130" i="103" s="1"/>
  <c r="D131" i="103"/>
  <c r="F131" i="103" s="1"/>
  <c r="D132" i="103"/>
  <c r="F132" i="103" s="1"/>
  <c r="D133" i="103"/>
  <c r="F133" i="103" s="1"/>
  <c r="D134" i="103"/>
  <c r="F134" i="103" s="1"/>
  <c r="D135" i="103"/>
  <c r="F135" i="103" s="1"/>
  <c r="D136" i="103"/>
  <c r="F136" i="103" s="1"/>
  <c r="D137" i="103"/>
  <c r="F137" i="103" s="1"/>
  <c r="D138" i="103"/>
  <c r="F138" i="103" s="1"/>
  <c r="D139" i="103"/>
  <c r="F139" i="103" s="1"/>
  <c r="D140" i="103"/>
  <c r="F140" i="103" s="1"/>
  <c r="D141" i="103"/>
  <c r="F141" i="103" s="1"/>
  <c r="D142" i="103"/>
  <c r="F142" i="103" s="1"/>
  <c r="D143" i="103"/>
  <c r="F143" i="103" s="1"/>
  <c r="D144" i="103"/>
  <c r="F144" i="103" s="1"/>
  <c r="D145" i="103"/>
  <c r="F145" i="103" s="1"/>
  <c r="D146" i="103"/>
  <c r="F146" i="103" s="1"/>
  <c r="D147" i="103"/>
  <c r="F147" i="103" s="1"/>
  <c r="D148" i="103"/>
  <c r="F148" i="103" s="1"/>
  <c r="D149" i="103"/>
  <c r="F149" i="103" s="1"/>
  <c r="D150" i="103"/>
  <c r="F150" i="103" s="1"/>
  <c r="D151" i="103"/>
  <c r="F151" i="103" s="1"/>
  <c r="D152" i="103"/>
  <c r="F152" i="103" s="1"/>
  <c r="D153" i="103"/>
  <c r="F153" i="103" s="1"/>
  <c r="D154" i="103"/>
  <c r="F154" i="103" s="1"/>
  <c r="D155" i="103"/>
  <c r="F155" i="103" s="1"/>
  <c r="D156" i="103"/>
  <c r="F156" i="103" s="1"/>
  <c r="D157" i="103"/>
  <c r="F157" i="103" s="1"/>
  <c r="D158" i="103"/>
  <c r="F158" i="103" s="1"/>
  <c r="D159" i="103"/>
  <c r="F159" i="103" s="1"/>
  <c r="D160" i="103"/>
  <c r="F160" i="103" s="1"/>
  <c r="D161" i="103"/>
  <c r="F161" i="103" s="1"/>
  <c r="D162" i="103"/>
  <c r="F162" i="103" s="1"/>
  <c r="D163" i="103"/>
  <c r="F163" i="103" s="1"/>
  <c r="D164" i="103"/>
  <c r="F164" i="103" s="1"/>
  <c r="D165" i="103"/>
  <c r="F165" i="103" s="1"/>
  <c r="D166" i="103"/>
  <c r="F166" i="103" s="1"/>
  <c r="D167" i="103"/>
  <c r="F167" i="103" s="1"/>
  <c r="D168" i="103"/>
  <c r="F168" i="103" s="1"/>
  <c r="D169" i="103"/>
  <c r="F169" i="103" s="1"/>
  <c r="D170" i="103"/>
  <c r="F170" i="103" s="1"/>
  <c r="D171" i="103"/>
  <c r="F171" i="103" s="1"/>
  <c r="D172" i="103"/>
  <c r="F172" i="103" s="1"/>
  <c r="D173" i="103"/>
  <c r="F173" i="103" s="1"/>
  <c r="D174" i="103"/>
  <c r="F174" i="103" s="1"/>
  <c r="D175" i="103"/>
  <c r="F175" i="103" s="1"/>
  <c r="D176" i="103"/>
  <c r="F176" i="103" s="1"/>
  <c r="D177" i="103"/>
  <c r="F177" i="103" s="1"/>
  <c r="D178" i="103"/>
  <c r="F178" i="103" s="1"/>
  <c r="D179" i="103"/>
  <c r="F179" i="103" s="1"/>
  <c r="D180" i="103"/>
  <c r="F180" i="103" s="1"/>
  <c r="D181" i="103"/>
  <c r="F181" i="103" s="1"/>
  <c r="D182" i="103"/>
  <c r="F182" i="103" s="1"/>
  <c r="D183" i="103"/>
  <c r="F183" i="103" s="1"/>
  <c r="D184" i="103"/>
  <c r="F184" i="103" s="1"/>
  <c r="D185" i="103"/>
  <c r="F185" i="103" s="1"/>
  <c r="D186" i="103"/>
  <c r="F186" i="103" s="1"/>
  <c r="D187" i="103"/>
  <c r="F187" i="103" s="1"/>
  <c r="D188" i="103"/>
  <c r="F188" i="103" s="1"/>
  <c r="D189" i="103"/>
  <c r="F189" i="103" s="1"/>
  <c r="D190" i="103"/>
  <c r="F190" i="103" s="1"/>
  <c r="D191" i="103"/>
  <c r="F191" i="103" s="1"/>
  <c r="D192" i="103"/>
  <c r="D98" i="103"/>
  <c r="AJ98" i="138"/>
  <c r="F15" i="103"/>
  <c r="F16" i="103"/>
  <c r="F17" i="103"/>
  <c r="F18" i="103"/>
  <c r="F19" i="103"/>
  <c r="F20" i="103"/>
  <c r="F21" i="103"/>
  <c r="F22" i="103"/>
  <c r="F23" i="103"/>
  <c r="F24" i="103"/>
  <c r="F25" i="103"/>
  <c r="F26" i="103"/>
  <c r="F27" i="103"/>
  <c r="F28" i="103"/>
  <c r="F29" i="103"/>
  <c r="F30" i="103"/>
  <c r="F31" i="103"/>
  <c r="F32" i="103"/>
  <c r="F33" i="103"/>
  <c r="F34" i="103"/>
  <c r="F35" i="103"/>
  <c r="F36" i="103"/>
  <c r="F37" i="103"/>
  <c r="F38" i="103"/>
  <c r="F39" i="103"/>
  <c r="F40" i="103"/>
  <c r="F41" i="103"/>
  <c r="F42" i="103"/>
  <c r="F43" i="103"/>
  <c r="F44" i="103"/>
  <c r="F45" i="103"/>
  <c r="F46" i="103"/>
  <c r="F47" i="103"/>
  <c r="F48" i="103"/>
  <c r="F49" i="103"/>
  <c r="F50" i="103"/>
  <c r="F51" i="103"/>
  <c r="F52" i="103"/>
  <c r="F53" i="103"/>
  <c r="F54" i="103"/>
  <c r="F55" i="103"/>
  <c r="F56" i="103"/>
  <c r="F57" i="103"/>
  <c r="F58" i="103"/>
  <c r="F59" i="103"/>
  <c r="F60" i="103"/>
  <c r="F61" i="103"/>
  <c r="F62" i="103"/>
  <c r="F63" i="103"/>
  <c r="F64" i="103"/>
  <c r="F65" i="103"/>
  <c r="F66" i="103"/>
  <c r="F67" i="103"/>
  <c r="F68" i="103"/>
  <c r="F69" i="103"/>
  <c r="F70" i="103"/>
  <c r="F71" i="103"/>
  <c r="F72" i="103"/>
  <c r="F73" i="103"/>
  <c r="F74" i="103"/>
  <c r="F75" i="103"/>
  <c r="F76" i="103"/>
  <c r="F77" i="103"/>
  <c r="F78" i="103"/>
  <c r="F79" i="103"/>
  <c r="F80" i="103"/>
  <c r="F81" i="103"/>
  <c r="F82" i="103"/>
  <c r="F83" i="103"/>
  <c r="F84" i="103"/>
  <c r="F85" i="103"/>
  <c r="F86" i="103"/>
  <c r="F87" i="103"/>
  <c r="F88" i="103"/>
  <c r="F89" i="103"/>
  <c r="F90" i="103"/>
  <c r="F91" i="103"/>
  <c r="F92" i="103"/>
  <c r="F93" i="103"/>
  <c r="F94" i="103"/>
  <c r="F95" i="103"/>
  <c r="F96" i="103"/>
  <c r="D59" i="103"/>
  <c r="D60" i="103"/>
  <c r="D61" i="103"/>
  <c r="D62" i="103"/>
  <c r="D63" i="103"/>
  <c r="D64" i="103"/>
  <c r="D65" i="103"/>
  <c r="D66" i="103"/>
  <c r="D67" i="103"/>
  <c r="D68" i="103"/>
  <c r="D69" i="103"/>
  <c r="D70" i="103"/>
  <c r="D71" i="103"/>
  <c r="D72" i="103"/>
  <c r="D73" i="103"/>
  <c r="D74" i="103"/>
  <c r="D75" i="103"/>
  <c r="D76" i="103"/>
  <c r="D77" i="103"/>
  <c r="D78" i="103"/>
  <c r="D79" i="103"/>
  <c r="D80" i="103"/>
  <c r="D81" i="103"/>
  <c r="D82" i="103"/>
  <c r="D83" i="103"/>
  <c r="D84" i="103"/>
  <c r="D85" i="103"/>
  <c r="D86" i="103"/>
  <c r="D87" i="103"/>
  <c r="D88" i="103"/>
  <c r="D89" i="103"/>
  <c r="D90" i="103"/>
  <c r="D91" i="103"/>
  <c r="D92" i="103"/>
  <c r="D93" i="103"/>
  <c r="D94" i="103"/>
  <c r="D95" i="103"/>
  <c r="D96" i="103"/>
  <c r="D54" i="103"/>
  <c r="D55" i="103"/>
  <c r="D56" i="103"/>
  <c r="D57" i="103"/>
  <c r="D58" i="103"/>
  <c r="D13" i="103"/>
  <c r="D14" i="103"/>
  <c r="D15" i="103"/>
  <c r="D16" i="103"/>
  <c r="D17" i="103"/>
  <c r="D18" i="103"/>
  <c r="D19" i="103"/>
  <c r="D20" i="103"/>
  <c r="D21" i="103"/>
  <c r="D22" i="103"/>
  <c r="D23" i="103"/>
  <c r="D24" i="103"/>
  <c r="D25" i="103"/>
  <c r="D26" i="103"/>
  <c r="D27" i="103"/>
  <c r="D28" i="103"/>
  <c r="D29" i="103"/>
  <c r="D30" i="103"/>
  <c r="D31" i="103"/>
  <c r="D32" i="103"/>
  <c r="D33" i="103"/>
  <c r="D34" i="103"/>
  <c r="D35" i="103"/>
  <c r="D36" i="103"/>
  <c r="D37" i="103"/>
  <c r="D38" i="103"/>
  <c r="D39" i="103"/>
  <c r="D40" i="103"/>
  <c r="D41" i="103"/>
  <c r="D42" i="103"/>
  <c r="D43" i="103"/>
  <c r="D44" i="103"/>
  <c r="D45" i="103"/>
  <c r="D46" i="103"/>
  <c r="D47" i="103"/>
  <c r="D48" i="103"/>
  <c r="D49" i="103"/>
  <c r="D50" i="103"/>
  <c r="D51" i="103"/>
  <c r="D52" i="103"/>
  <c r="D53" i="103"/>
  <c r="D12" i="103"/>
  <c r="AF153" i="138"/>
  <c r="AE147" i="138"/>
  <c r="AE148" i="138"/>
  <c r="AE149" i="138"/>
  <c r="AE150" i="138"/>
  <c r="AE151" i="138"/>
  <c r="AE152" i="138"/>
  <c r="AE153" i="138"/>
  <c r="AE154" i="138"/>
  <c r="AE155" i="138"/>
  <c r="AE156" i="138"/>
  <c r="AC147" i="138"/>
  <c r="AC148" i="138"/>
  <c r="AC149" i="138"/>
  <c r="AC150" i="138"/>
  <c r="AC151" i="138"/>
  <c r="AC152" i="138"/>
  <c r="AF152" i="138" s="1"/>
  <c r="AC153" i="138"/>
  <c r="AC154" i="138"/>
  <c r="AC155" i="138"/>
  <c r="AF147" i="138"/>
  <c r="AF149" i="138"/>
  <c r="AF151" i="138"/>
  <c r="AC168" i="138"/>
  <c r="AF168" i="138" s="1"/>
  <c r="AC146" i="138"/>
  <c r="AF146" i="138" s="1"/>
  <c r="AD146" i="138"/>
  <c r="AE146" i="138"/>
  <c r="AC86" i="138"/>
  <c r="AC87" i="138"/>
  <c r="AF87" i="138" s="1"/>
  <c r="AC88" i="138"/>
  <c r="AC89" i="138"/>
  <c r="AF89" i="138" s="1"/>
  <c r="AC90" i="138"/>
  <c r="AC91" i="138"/>
  <c r="AF91" i="138" s="1"/>
  <c r="AC92" i="138"/>
  <c r="AC93" i="138"/>
  <c r="AF93" i="138" s="1"/>
  <c r="AC94" i="138"/>
  <c r="AC95" i="138"/>
  <c r="AF95" i="138" s="1"/>
  <c r="AC96" i="138"/>
  <c r="AC97" i="138"/>
  <c r="R98" i="138"/>
  <c r="S98" i="138"/>
  <c r="T98" i="138"/>
  <c r="U98" i="138"/>
  <c r="V98" i="138"/>
  <c r="W98" i="138"/>
  <c r="X98" i="138"/>
  <c r="Y98" i="138"/>
  <c r="Z98" i="138"/>
  <c r="AA98" i="138"/>
  <c r="AB98" i="138"/>
  <c r="AF86" i="138"/>
  <c r="AF88" i="138"/>
  <c r="AF90" i="138"/>
  <c r="AF92" i="138"/>
  <c r="AF94" i="138"/>
  <c r="F97" i="103" l="1"/>
  <c r="D97" i="103"/>
  <c r="AF150" i="138"/>
  <c r="AF148" i="138"/>
  <c r="AC14" i="138" l="1"/>
  <c r="AC12" i="138"/>
  <c r="AC13" i="138"/>
  <c r="AC15" i="138"/>
  <c r="AC16" i="138"/>
  <c r="AC17" i="138"/>
  <c r="AC18" i="138"/>
  <c r="AC19" i="138"/>
  <c r="AC20" i="138"/>
  <c r="AC21" i="138"/>
  <c r="AC22" i="138"/>
  <c r="AC23" i="138"/>
  <c r="AC24" i="138"/>
  <c r="AC25" i="138"/>
  <c r="AC26" i="138"/>
  <c r="AC27" i="138"/>
  <c r="AC28" i="138"/>
  <c r="AC29" i="138"/>
  <c r="AC30" i="138"/>
  <c r="AC31" i="138"/>
  <c r="AC32" i="138"/>
  <c r="AC33" i="138"/>
  <c r="AC34" i="138"/>
  <c r="AC35" i="138"/>
  <c r="AC36" i="138"/>
  <c r="AC37" i="138"/>
  <c r="AC38" i="138"/>
  <c r="AC39" i="138"/>
  <c r="AC40" i="138"/>
  <c r="AC41" i="138"/>
  <c r="AC42" i="138"/>
  <c r="AF42" i="138" s="1"/>
  <c r="AC43" i="138"/>
  <c r="AC44" i="138"/>
  <c r="AC45" i="138"/>
  <c r="AC47" i="138"/>
  <c r="AC48" i="138"/>
  <c r="AC49" i="138"/>
  <c r="AC50" i="138"/>
  <c r="AC51" i="138"/>
  <c r="AC52" i="138"/>
  <c r="AC53" i="138"/>
  <c r="AC54" i="138"/>
  <c r="AC55" i="138"/>
  <c r="AC56" i="138"/>
  <c r="AC57" i="138"/>
  <c r="AC58" i="138"/>
  <c r="AC59" i="138"/>
  <c r="AC60" i="138"/>
  <c r="AC61" i="138"/>
  <c r="AC62" i="138"/>
  <c r="AC63" i="138"/>
  <c r="AC64" i="138"/>
  <c r="AC65" i="138"/>
  <c r="AC66" i="138"/>
  <c r="AC67" i="138"/>
  <c r="AC68" i="138"/>
  <c r="AC69" i="138"/>
  <c r="AC70" i="138"/>
  <c r="AC71" i="138"/>
  <c r="AC72" i="138"/>
  <c r="AC73" i="138"/>
  <c r="AC74" i="138"/>
  <c r="AC75" i="138"/>
  <c r="AC76" i="138"/>
  <c r="AC77" i="138"/>
  <c r="AC78" i="138"/>
  <c r="AC79" i="138"/>
  <c r="AC80" i="138"/>
  <c r="AC81" i="138"/>
  <c r="AC82" i="138"/>
  <c r="AC83" i="138"/>
  <c r="AF83" i="138" s="1"/>
  <c r="AC84" i="138"/>
  <c r="AF84" i="138" s="1"/>
  <c r="AC85" i="138"/>
  <c r="AF85" i="138" s="1"/>
  <c r="AF96" i="138"/>
  <c r="AC99" i="138"/>
  <c r="AC100" i="138"/>
  <c r="AC101" i="138"/>
  <c r="AC102" i="138"/>
  <c r="AC103" i="138"/>
  <c r="AC104" i="138"/>
  <c r="AC105" i="138"/>
  <c r="AC106" i="138"/>
  <c r="AC107" i="138"/>
  <c r="AC108" i="138"/>
  <c r="AC109" i="138"/>
  <c r="AC110" i="138"/>
  <c r="AC111" i="138"/>
  <c r="AC112" i="138"/>
  <c r="AC113" i="138"/>
  <c r="AC114" i="138"/>
  <c r="AC115" i="138"/>
  <c r="AC116" i="138"/>
  <c r="AC117" i="138"/>
  <c r="AC118" i="138"/>
  <c r="AC119" i="138"/>
  <c r="AC120" i="138"/>
  <c r="AC121" i="138"/>
  <c r="AC122" i="138"/>
  <c r="AC123" i="138"/>
  <c r="AC124" i="138"/>
  <c r="AC125" i="138"/>
  <c r="AC126" i="138"/>
  <c r="AC127" i="138"/>
  <c r="AC128" i="138"/>
  <c r="AC129" i="138"/>
  <c r="AC130" i="138"/>
  <c r="AC131" i="138"/>
  <c r="AC132" i="138"/>
  <c r="AC133" i="138"/>
  <c r="AC134" i="138"/>
  <c r="AC135" i="138"/>
  <c r="AC136" i="138"/>
  <c r="AC137" i="138"/>
  <c r="AC138" i="138"/>
  <c r="AC139" i="138"/>
  <c r="AC140" i="138"/>
  <c r="AC141" i="138"/>
  <c r="AC142" i="138"/>
  <c r="AC143" i="138"/>
  <c r="AC144" i="138"/>
  <c r="AC145" i="138"/>
  <c r="AC156" i="138"/>
  <c r="AC157" i="138"/>
  <c r="AC158" i="138"/>
  <c r="AC159" i="138"/>
  <c r="AC160" i="138"/>
  <c r="AC161" i="138"/>
  <c r="AC162" i="138"/>
  <c r="AC163" i="138"/>
  <c r="AC164" i="138"/>
  <c r="AC165" i="138"/>
  <c r="AC166" i="138"/>
  <c r="AC167" i="138"/>
  <c r="AC169" i="138"/>
  <c r="AC171" i="138"/>
  <c r="AC172" i="138"/>
  <c r="AC173" i="138"/>
  <c r="AC174" i="138"/>
  <c r="AC175" i="138"/>
  <c r="AC176" i="138"/>
  <c r="AC177" i="138"/>
  <c r="AC178" i="138"/>
  <c r="AC179" i="138"/>
  <c r="AC180" i="138"/>
  <c r="AC181" i="138"/>
  <c r="AC182" i="138"/>
  <c r="AC183" i="138"/>
  <c r="AC184" i="138"/>
  <c r="AC185" i="138"/>
  <c r="AC186" i="138"/>
  <c r="AC187" i="138"/>
  <c r="AC188" i="138"/>
  <c r="AC189" i="138"/>
  <c r="AC190" i="138"/>
  <c r="AC191" i="138"/>
  <c r="AC192" i="138"/>
  <c r="AC193" i="138"/>
  <c r="AC194" i="138"/>
  <c r="AC196" i="138"/>
  <c r="AC197" i="138"/>
  <c r="AC198" i="138"/>
  <c r="AC199" i="138"/>
  <c r="AC200" i="138"/>
  <c r="AC201" i="138"/>
  <c r="AC202" i="138"/>
  <c r="AC203" i="138"/>
  <c r="AC204" i="138"/>
  <c r="AC205" i="138"/>
  <c r="AC206" i="138"/>
  <c r="AC207" i="138"/>
  <c r="AC208" i="138"/>
  <c r="AC209" i="138"/>
  <c r="AC210" i="138"/>
  <c r="AC211" i="138"/>
  <c r="AC212" i="138"/>
  <c r="AC213" i="138"/>
  <c r="AC214" i="138"/>
  <c r="AC215" i="138"/>
  <c r="AC216" i="138"/>
  <c r="AC217" i="138"/>
  <c r="AC218" i="138"/>
  <c r="AC219" i="138"/>
  <c r="AB220" i="138"/>
  <c r="S220" i="138"/>
  <c r="R220" i="138"/>
  <c r="Q220" i="138"/>
  <c r="P220" i="138"/>
  <c r="O220" i="138"/>
  <c r="N220" i="138"/>
  <c r="M220" i="138"/>
  <c r="L220" i="138"/>
  <c r="K220" i="138"/>
  <c r="J220" i="138"/>
  <c r="I220" i="138"/>
  <c r="H220" i="138"/>
  <c r="G220" i="138"/>
  <c r="F220" i="138"/>
  <c r="AE219" i="138"/>
  <c r="AD219" i="138"/>
  <c r="AE218" i="138"/>
  <c r="AD218" i="138"/>
  <c r="AE217" i="138"/>
  <c r="AD217" i="138"/>
  <c r="AG216" i="138"/>
  <c r="AH216" i="138" s="1"/>
  <c r="AE216" i="138"/>
  <c r="AD216" i="138"/>
  <c r="AG215" i="138"/>
  <c r="AH215" i="138" s="1"/>
  <c r="AE215" i="138"/>
  <c r="AD215" i="138"/>
  <c r="AE214" i="138"/>
  <c r="AD214" i="138"/>
  <c r="AE213" i="138"/>
  <c r="AD213" i="138"/>
  <c r="AE212" i="138"/>
  <c r="AD212" i="138"/>
  <c r="AE211" i="138"/>
  <c r="AD211" i="138"/>
  <c r="AE210" i="138"/>
  <c r="AD210" i="138"/>
  <c r="AE209" i="138"/>
  <c r="AD209" i="138"/>
  <c r="AE208" i="138"/>
  <c r="AD208" i="138"/>
  <c r="AE207" i="138"/>
  <c r="AD207" i="138"/>
  <c r="AG206" i="138"/>
  <c r="AH206" i="138" s="1"/>
  <c r="AE206" i="138"/>
  <c r="AD206" i="138"/>
  <c r="AG205" i="138"/>
  <c r="AH205" i="138" s="1"/>
  <c r="AE205" i="138"/>
  <c r="AD205" i="138"/>
  <c r="AG204" i="138"/>
  <c r="AH204" i="138" s="1"/>
  <c r="AE204" i="138"/>
  <c r="AD204" i="138"/>
  <c r="AG203" i="138"/>
  <c r="AH203" i="138" s="1"/>
  <c r="AE203" i="138"/>
  <c r="AD203" i="138"/>
  <c r="AG202" i="138"/>
  <c r="AH202" i="138" s="1"/>
  <c r="AE202" i="138"/>
  <c r="AD202" i="138"/>
  <c r="AG201" i="138"/>
  <c r="AH201" i="138" s="1"/>
  <c r="AE201" i="138"/>
  <c r="AD201" i="138"/>
  <c r="AG200" i="138"/>
  <c r="AH200" i="138" s="1"/>
  <c r="AE200" i="138"/>
  <c r="AD200" i="138"/>
  <c r="AG199" i="138"/>
  <c r="AH199" i="138" s="1"/>
  <c r="AE199" i="138"/>
  <c r="AD199" i="138"/>
  <c r="AG198" i="138"/>
  <c r="AH198" i="138" s="1"/>
  <c r="AE198" i="138"/>
  <c r="AD198" i="138"/>
  <c r="AG197" i="138"/>
  <c r="AH197" i="138" s="1"/>
  <c r="AE197" i="138"/>
  <c r="AD197" i="138"/>
  <c r="AG196" i="138"/>
  <c r="AH196" i="138" s="1"/>
  <c r="AE196" i="138"/>
  <c r="AD196" i="138"/>
  <c r="AI195" i="138"/>
  <c r="S195" i="138"/>
  <c r="R195" i="138"/>
  <c r="Q195" i="138"/>
  <c r="P195" i="138"/>
  <c r="O195" i="138"/>
  <c r="N195" i="138"/>
  <c r="M195" i="138"/>
  <c r="L195" i="138"/>
  <c r="K195" i="138"/>
  <c r="J195" i="138"/>
  <c r="I195" i="138"/>
  <c r="H195" i="138"/>
  <c r="G195" i="138"/>
  <c r="F195" i="138"/>
  <c r="AE194" i="138"/>
  <c r="AD194" i="138"/>
  <c r="AE193" i="138"/>
  <c r="AD193" i="138"/>
  <c r="AE192" i="138"/>
  <c r="AD192" i="138"/>
  <c r="AE191" i="138"/>
  <c r="AD191" i="138"/>
  <c r="AE190" i="138"/>
  <c r="AD190" i="138"/>
  <c r="AE189" i="138"/>
  <c r="AD189" i="138"/>
  <c r="AE188" i="138"/>
  <c r="AD188" i="138"/>
  <c r="AE187" i="138"/>
  <c r="AD187" i="138"/>
  <c r="AE186" i="138"/>
  <c r="AD186" i="138"/>
  <c r="AE185" i="138"/>
  <c r="AD185" i="138"/>
  <c r="AG184" i="138"/>
  <c r="AH184" i="138" s="1"/>
  <c r="AE184" i="138"/>
  <c r="AD184" i="138"/>
  <c r="AG183" i="138"/>
  <c r="AH183" i="138" s="1"/>
  <c r="AE183" i="138"/>
  <c r="AD183" i="138"/>
  <c r="AE182" i="138"/>
  <c r="AD182" i="138"/>
  <c r="AE181" i="138"/>
  <c r="AD181" i="138"/>
  <c r="AE180" i="138"/>
  <c r="AD180" i="138"/>
  <c r="AE179" i="138"/>
  <c r="AD179" i="138"/>
  <c r="AE178" i="138"/>
  <c r="AD178" i="138"/>
  <c r="AE177" i="138"/>
  <c r="AD177" i="138"/>
  <c r="AE176" i="138"/>
  <c r="AD176" i="138"/>
  <c r="AE175" i="138"/>
  <c r="AD175" i="138"/>
  <c r="AG174" i="138"/>
  <c r="AH174" i="138" s="1"/>
  <c r="AE174" i="138"/>
  <c r="AD174" i="138"/>
  <c r="AG173" i="138"/>
  <c r="AH173" i="138" s="1"/>
  <c r="AE173" i="138"/>
  <c r="AD173" i="138"/>
  <c r="AG172" i="138"/>
  <c r="AH172" i="138" s="1"/>
  <c r="AE172" i="138"/>
  <c r="AD172" i="138"/>
  <c r="AG171" i="138"/>
  <c r="AE171" i="138"/>
  <c r="AD171" i="138"/>
  <c r="S170" i="138"/>
  <c r="R170" i="138"/>
  <c r="Q170" i="138"/>
  <c r="P170" i="138"/>
  <c r="O170" i="138"/>
  <c r="N170" i="138"/>
  <c r="M170" i="138"/>
  <c r="L170" i="138"/>
  <c r="K170" i="138"/>
  <c r="J170" i="138"/>
  <c r="I170" i="138"/>
  <c r="H170" i="138"/>
  <c r="G170" i="138"/>
  <c r="F170" i="138"/>
  <c r="AE169" i="138"/>
  <c r="AD169" i="138"/>
  <c r="AE167" i="138"/>
  <c r="AD167" i="138"/>
  <c r="AE166" i="138"/>
  <c r="AD166" i="138"/>
  <c r="AE165" i="138"/>
  <c r="AD165" i="138"/>
  <c r="AE164" i="138"/>
  <c r="AD164" i="138"/>
  <c r="AE163" i="138"/>
  <c r="AD163" i="138"/>
  <c r="AE162" i="138"/>
  <c r="AD162" i="138"/>
  <c r="AG161" i="138"/>
  <c r="AH161" i="138" s="1"/>
  <c r="AE161" i="138"/>
  <c r="AD161" i="138"/>
  <c r="AG160" i="138"/>
  <c r="AH160" i="138" s="1"/>
  <c r="AE160" i="138"/>
  <c r="AD160" i="138"/>
  <c r="AG159" i="138"/>
  <c r="AH159" i="138" s="1"/>
  <c r="AE159" i="138"/>
  <c r="AD159" i="138"/>
  <c r="AE158" i="138"/>
  <c r="AD158" i="138"/>
  <c r="AE157" i="138"/>
  <c r="AD157" i="138"/>
  <c r="AD156" i="138"/>
  <c r="AD155" i="138"/>
  <c r="AF155" i="138" s="1"/>
  <c r="AD154" i="138"/>
  <c r="AF154" i="138" s="1"/>
  <c r="AE145" i="138"/>
  <c r="AD145" i="138"/>
  <c r="AE144" i="138"/>
  <c r="AD144" i="138"/>
  <c r="AE143" i="138"/>
  <c r="AD143" i="138"/>
  <c r="AE142" i="138"/>
  <c r="AD142" i="138"/>
  <c r="AE141" i="138"/>
  <c r="AD141" i="138"/>
  <c r="AE140" i="138"/>
  <c r="AD140" i="138"/>
  <c r="AE139" i="138"/>
  <c r="AD139" i="138"/>
  <c r="AE138" i="138"/>
  <c r="AD138" i="138"/>
  <c r="AE137" i="138"/>
  <c r="AD137" i="138"/>
  <c r="AE136" i="138"/>
  <c r="AD136" i="138"/>
  <c r="AE135" i="138"/>
  <c r="AD135" i="138"/>
  <c r="AE134" i="138"/>
  <c r="AD134" i="138"/>
  <c r="AE133" i="138"/>
  <c r="AD133" i="138"/>
  <c r="AE132" i="138"/>
  <c r="AD132" i="138"/>
  <c r="AE131" i="138"/>
  <c r="AD131" i="138"/>
  <c r="AE130" i="138"/>
  <c r="AD130" i="138"/>
  <c r="AE129" i="138"/>
  <c r="AD129" i="138"/>
  <c r="AE128" i="138"/>
  <c r="AD128" i="138"/>
  <c r="AG127" i="138"/>
  <c r="AH127" i="138" s="1"/>
  <c r="AE127" i="138"/>
  <c r="AD127" i="138"/>
  <c r="AG126" i="138"/>
  <c r="AH126" i="138" s="1"/>
  <c r="AE126" i="138"/>
  <c r="AD126" i="138"/>
  <c r="AG125" i="138"/>
  <c r="AH125" i="138" s="1"/>
  <c r="AE125" i="138"/>
  <c r="AD125" i="138"/>
  <c r="AG124" i="138"/>
  <c r="AH124" i="138" s="1"/>
  <c r="AE124" i="138"/>
  <c r="AD124" i="138"/>
  <c r="AG123" i="138"/>
  <c r="AH123" i="138" s="1"/>
  <c r="AE123" i="138"/>
  <c r="AD123" i="138"/>
  <c r="AG122" i="138"/>
  <c r="AH122" i="138" s="1"/>
  <c r="AE122" i="138"/>
  <c r="AD122" i="138"/>
  <c r="AG121" i="138"/>
  <c r="AH121" i="138" s="1"/>
  <c r="AE121" i="138"/>
  <c r="AD121" i="138"/>
  <c r="AG120" i="138"/>
  <c r="AH120" i="138" s="1"/>
  <c r="AE120" i="138"/>
  <c r="AD120" i="138"/>
  <c r="AG119" i="138"/>
  <c r="AH119" i="138" s="1"/>
  <c r="AE119" i="138"/>
  <c r="AD119" i="138"/>
  <c r="AG118" i="138"/>
  <c r="AH118" i="138" s="1"/>
  <c r="AE118" i="138"/>
  <c r="AD118" i="138"/>
  <c r="AG117" i="138"/>
  <c r="AH117" i="138" s="1"/>
  <c r="AE117" i="138"/>
  <c r="AD117" i="138"/>
  <c r="AG116" i="138"/>
  <c r="AH116" i="138" s="1"/>
  <c r="AE116" i="138"/>
  <c r="AD116" i="138"/>
  <c r="AG115" i="138"/>
  <c r="AH115" i="138" s="1"/>
  <c r="AE115" i="138"/>
  <c r="AD115" i="138"/>
  <c r="AG114" i="138"/>
  <c r="AH114" i="138" s="1"/>
  <c r="AE114" i="138"/>
  <c r="AD114" i="138"/>
  <c r="AG113" i="138"/>
  <c r="AH113" i="138" s="1"/>
  <c r="AE113" i="138"/>
  <c r="AD113" i="138"/>
  <c r="AG112" i="138"/>
  <c r="AH112" i="138" s="1"/>
  <c r="AE112" i="138"/>
  <c r="AD112" i="138"/>
  <c r="AG111" i="138"/>
  <c r="AH111" i="138" s="1"/>
  <c r="AE111" i="138"/>
  <c r="AD111" i="138"/>
  <c r="AG110" i="138"/>
  <c r="AH110" i="138" s="1"/>
  <c r="AE110" i="138"/>
  <c r="AD110" i="138"/>
  <c r="AG109" i="138"/>
  <c r="AH109" i="138" s="1"/>
  <c r="AE109" i="138"/>
  <c r="AD109" i="138"/>
  <c r="AG108" i="138"/>
  <c r="AH108" i="138" s="1"/>
  <c r="AE108" i="138"/>
  <c r="AD108" i="138"/>
  <c r="AG107" i="138"/>
  <c r="AH107" i="138" s="1"/>
  <c r="AE107" i="138"/>
  <c r="AD107" i="138"/>
  <c r="AG106" i="138"/>
  <c r="AH106" i="138" s="1"/>
  <c r="AE106" i="138"/>
  <c r="AD106" i="138"/>
  <c r="AG105" i="138"/>
  <c r="AH105" i="138" s="1"/>
  <c r="AE105" i="138"/>
  <c r="AD105" i="138"/>
  <c r="AG104" i="138"/>
  <c r="AH104" i="138" s="1"/>
  <c r="AE104" i="138"/>
  <c r="AD104" i="138"/>
  <c r="AG103" i="138"/>
  <c r="AH103" i="138" s="1"/>
  <c r="AE103" i="138"/>
  <c r="AD103" i="138"/>
  <c r="AG102" i="138"/>
  <c r="AH102" i="138" s="1"/>
  <c r="AE102" i="138"/>
  <c r="AD102" i="138"/>
  <c r="AG101" i="138"/>
  <c r="AH101" i="138" s="1"/>
  <c r="AE101" i="138"/>
  <c r="AD101" i="138"/>
  <c r="AG100" i="138"/>
  <c r="AH100" i="138" s="1"/>
  <c r="AE100" i="138"/>
  <c r="AD100" i="138"/>
  <c r="AG99" i="138"/>
  <c r="AH99" i="138" s="1"/>
  <c r="AE99" i="138"/>
  <c r="AD99" i="138"/>
  <c r="Q98" i="138"/>
  <c r="P98" i="138"/>
  <c r="O98" i="138"/>
  <c r="N98" i="138"/>
  <c r="M98" i="138"/>
  <c r="L98" i="138"/>
  <c r="K98" i="138"/>
  <c r="J98" i="138"/>
  <c r="I98" i="138"/>
  <c r="H98" i="138"/>
  <c r="G98" i="138"/>
  <c r="F98" i="138"/>
  <c r="AE97" i="138"/>
  <c r="AD97" i="138"/>
  <c r="AE82" i="138"/>
  <c r="AD82" i="138"/>
  <c r="AE81" i="138"/>
  <c r="AD81" i="138"/>
  <c r="AE80" i="138"/>
  <c r="AD80" i="138"/>
  <c r="AE79" i="138"/>
  <c r="AD79" i="138"/>
  <c r="AE78" i="138"/>
  <c r="AD78" i="138"/>
  <c r="AE77" i="138"/>
  <c r="AD77" i="138"/>
  <c r="AE76" i="138"/>
  <c r="AD76" i="138"/>
  <c r="AE75" i="138"/>
  <c r="AD75" i="138"/>
  <c r="AE74" i="138"/>
  <c r="AD74" i="138"/>
  <c r="AE73" i="138"/>
  <c r="AD73" i="138"/>
  <c r="AE72" i="138"/>
  <c r="AD72" i="138"/>
  <c r="AE71" i="138"/>
  <c r="AD71" i="138"/>
  <c r="AE70" i="138"/>
  <c r="AD70" i="138"/>
  <c r="AE69" i="138"/>
  <c r="AD69" i="138"/>
  <c r="AE68" i="138"/>
  <c r="AD68" i="138"/>
  <c r="AE67" i="138"/>
  <c r="AD67" i="138"/>
  <c r="AE66" i="138"/>
  <c r="AD66" i="138"/>
  <c r="AE65" i="138"/>
  <c r="AD65" i="138"/>
  <c r="AE64" i="138"/>
  <c r="AD64" i="138"/>
  <c r="AE63" i="138"/>
  <c r="AD63" i="138"/>
  <c r="AE62" i="138"/>
  <c r="AD62" i="138"/>
  <c r="AE61" i="138"/>
  <c r="AD61" i="138"/>
  <c r="AE60" i="138"/>
  <c r="AD60" i="138"/>
  <c r="AE59" i="138"/>
  <c r="AD59" i="138"/>
  <c r="AE58" i="138"/>
  <c r="AD58" i="138"/>
  <c r="AE57" i="138"/>
  <c r="AD57" i="138"/>
  <c r="AE56" i="138"/>
  <c r="AD56" i="138"/>
  <c r="AE55" i="138"/>
  <c r="AD55" i="138"/>
  <c r="AE54" i="138"/>
  <c r="AD54" i="138"/>
  <c r="AE53" i="138"/>
  <c r="AD53" i="138"/>
  <c r="AE52" i="138"/>
  <c r="AD52" i="138"/>
  <c r="AE51" i="138"/>
  <c r="AD51" i="138"/>
  <c r="AE50" i="138"/>
  <c r="AD50" i="138"/>
  <c r="AE49" i="138"/>
  <c r="AD49" i="138"/>
  <c r="AE48" i="138"/>
  <c r="AD48" i="138"/>
  <c r="AE47" i="138"/>
  <c r="AD47" i="138"/>
  <c r="AB46" i="138"/>
  <c r="T46" i="138"/>
  <c r="S46" i="138"/>
  <c r="R46" i="138"/>
  <c r="Q46" i="138"/>
  <c r="P46" i="138"/>
  <c r="O46" i="138"/>
  <c r="N46" i="138"/>
  <c r="M46" i="138"/>
  <c r="L46" i="138"/>
  <c r="K46" i="138"/>
  <c r="J46" i="138"/>
  <c r="I46" i="138"/>
  <c r="H46" i="138"/>
  <c r="G46" i="138"/>
  <c r="F46" i="138"/>
  <c r="AE45" i="138"/>
  <c r="AD45" i="138"/>
  <c r="AE44" i="138"/>
  <c r="AD44" i="138"/>
  <c r="AE40" i="138"/>
  <c r="AD40" i="138"/>
  <c r="AE39" i="138"/>
  <c r="AD39" i="138"/>
  <c r="AE38" i="138"/>
  <c r="AD38" i="138"/>
  <c r="AE37" i="138"/>
  <c r="AD37" i="138"/>
  <c r="AG36" i="138"/>
  <c r="AH36" i="138" s="1"/>
  <c r="AE36" i="138"/>
  <c r="AD36" i="138"/>
  <c r="AE35" i="138"/>
  <c r="AD35" i="138"/>
  <c r="AE34" i="138"/>
  <c r="AD34" i="138"/>
  <c r="AE33" i="138"/>
  <c r="AD33" i="138"/>
  <c r="AE32" i="138"/>
  <c r="AD32" i="138"/>
  <c r="AE31" i="138"/>
  <c r="AD31" i="138"/>
  <c r="AE30" i="138"/>
  <c r="AD30" i="138"/>
  <c r="AE29" i="138"/>
  <c r="AD29" i="138"/>
  <c r="AE28" i="138"/>
  <c r="AD28" i="138"/>
  <c r="AE27" i="138"/>
  <c r="AD27" i="138"/>
  <c r="AE26" i="138"/>
  <c r="AD26" i="138"/>
  <c r="AE25" i="138"/>
  <c r="AD25" i="138"/>
  <c r="AG24" i="138"/>
  <c r="AH24" i="138" s="1"/>
  <c r="AE24" i="138"/>
  <c r="AD24" i="138"/>
  <c r="AG23" i="138"/>
  <c r="AH23" i="138" s="1"/>
  <c r="AE23" i="138"/>
  <c r="AD23" i="138"/>
  <c r="AG22" i="138"/>
  <c r="AH22" i="138" s="1"/>
  <c r="AE22" i="138"/>
  <c r="AD22" i="138"/>
  <c r="AG21" i="138"/>
  <c r="AH21" i="138" s="1"/>
  <c r="AE21" i="138"/>
  <c r="AD21" i="138"/>
  <c r="AG20" i="138"/>
  <c r="AH20" i="138" s="1"/>
  <c r="AE20" i="138"/>
  <c r="AD20" i="138"/>
  <c r="AG19" i="138"/>
  <c r="AH19" i="138" s="1"/>
  <c r="AE19" i="138"/>
  <c r="AD19" i="138"/>
  <c r="AG18" i="138"/>
  <c r="AH18" i="138" s="1"/>
  <c r="AE18" i="138"/>
  <c r="AD18" i="138"/>
  <c r="AG17" i="138"/>
  <c r="AH17" i="138" s="1"/>
  <c r="AE17" i="138"/>
  <c r="AD17" i="138"/>
  <c r="AG16" i="138"/>
  <c r="AH16" i="138" s="1"/>
  <c r="AE16" i="138"/>
  <c r="AD16" i="138"/>
  <c r="AG15" i="138"/>
  <c r="AH15" i="138" s="1"/>
  <c r="AE15" i="138"/>
  <c r="AD15" i="138"/>
  <c r="AK14" i="138"/>
  <c r="AG14" i="138"/>
  <c r="AH14" i="138" s="1"/>
  <c r="AE14" i="138"/>
  <c r="AD14" i="138"/>
  <c r="AK13" i="138"/>
  <c r="AG13" i="138"/>
  <c r="AH13" i="138" s="1"/>
  <c r="AE13" i="138"/>
  <c r="AD13" i="138"/>
  <c r="AK12" i="138"/>
  <c r="AG12" i="138"/>
  <c r="AG221" i="138" s="1"/>
  <c r="AE12" i="138"/>
  <c r="AD12" i="138"/>
  <c r="AG214" i="108"/>
  <c r="AG213" i="108"/>
  <c r="I221" i="138" l="1"/>
  <c r="M221" i="138"/>
  <c r="Q221" i="138"/>
  <c r="J221" i="138"/>
  <c r="N221" i="138"/>
  <c r="R221" i="138"/>
  <c r="G221" i="138"/>
  <c r="K221" i="138"/>
  <c r="O221" i="138"/>
  <c r="S221" i="138"/>
  <c r="H221" i="138"/>
  <c r="L221" i="138"/>
  <c r="P221" i="138"/>
  <c r="T221" i="138"/>
  <c r="AF97" i="138"/>
  <c r="AF160" i="138"/>
  <c r="AF64" i="138"/>
  <c r="AF56" i="138"/>
  <c r="AF68" i="138"/>
  <c r="AC170" i="138"/>
  <c r="AF123" i="138"/>
  <c r="AF120" i="138"/>
  <c r="AF174" i="138"/>
  <c r="AK174" i="138" s="1"/>
  <c r="AF213" i="138"/>
  <c r="AF52" i="138"/>
  <c r="AC220" i="138"/>
  <c r="AF33" i="138"/>
  <c r="AF139" i="138"/>
  <c r="AF196" i="138"/>
  <c r="AF17" i="138"/>
  <c r="AF118" i="138"/>
  <c r="AF163" i="138"/>
  <c r="AF172" i="138"/>
  <c r="AK172" i="138" s="1"/>
  <c r="AF184" i="138"/>
  <c r="AK184" i="138" s="1"/>
  <c r="AF197" i="138"/>
  <c r="AC98" i="138"/>
  <c r="AC195" i="138"/>
  <c r="AF12" i="138"/>
  <c r="AF20" i="138"/>
  <c r="AF130" i="138"/>
  <c r="AF138" i="138"/>
  <c r="AF162" i="138"/>
  <c r="AF203" i="138"/>
  <c r="AF204" i="138"/>
  <c r="AF13" i="138"/>
  <c r="AF134" i="138"/>
  <c r="AF158" i="138"/>
  <c r="AF32" i="138"/>
  <c r="AF102" i="138"/>
  <c r="AF107" i="138"/>
  <c r="AF124" i="138"/>
  <c r="AF205" i="138"/>
  <c r="AC46" i="138"/>
  <c r="AF29" i="138"/>
  <c r="AF51" i="138"/>
  <c r="AF60" i="138"/>
  <c r="AF76" i="138"/>
  <c r="AF104" i="138"/>
  <c r="AF108" i="138"/>
  <c r="AF131" i="138"/>
  <c r="AF161" i="138"/>
  <c r="AF166" i="138"/>
  <c r="AF209" i="138"/>
  <c r="AD195" i="138"/>
  <c r="AF75" i="138"/>
  <c r="AF212" i="138"/>
  <c r="AD98" i="138"/>
  <c r="AF110" i="138"/>
  <c r="AF112" i="138"/>
  <c r="AF126" i="138"/>
  <c r="AF129" i="138"/>
  <c r="AF137" i="138"/>
  <c r="AF145" i="138"/>
  <c r="AF165" i="138"/>
  <c r="AF177" i="138"/>
  <c r="AK177" i="138" s="1"/>
  <c r="AF181" i="138"/>
  <c r="AK181" i="138" s="1"/>
  <c r="AF187" i="138"/>
  <c r="AK187" i="138" s="1"/>
  <c r="AF191" i="138"/>
  <c r="AK191" i="138" s="1"/>
  <c r="AF198" i="138"/>
  <c r="AF206" i="138"/>
  <c r="AF207" i="138"/>
  <c r="AF211" i="138"/>
  <c r="AF27" i="138"/>
  <c r="AF35" i="138"/>
  <c r="AF50" i="138"/>
  <c r="AF62" i="138"/>
  <c r="AF70" i="138"/>
  <c r="AF74" i="138"/>
  <c r="AF78" i="138"/>
  <c r="AF82" i="138"/>
  <c r="AF34" i="138"/>
  <c r="AF49" i="138"/>
  <c r="AF53" i="138"/>
  <c r="AF57" i="138"/>
  <c r="AF65" i="138"/>
  <c r="AF73" i="138"/>
  <c r="AF81" i="138"/>
  <c r="AF100" i="138"/>
  <c r="AF115" i="138"/>
  <c r="AF116" i="138"/>
  <c r="AF127" i="138"/>
  <c r="AF128" i="138"/>
  <c r="AF132" i="138"/>
  <c r="AF136" i="138"/>
  <c r="AF140" i="138"/>
  <c r="AF144" i="138"/>
  <c r="AF156" i="138"/>
  <c r="AF164" i="138"/>
  <c r="AF176" i="138"/>
  <c r="AK176" i="138" s="1"/>
  <c r="AE195" i="138"/>
  <c r="AF180" i="138"/>
  <c r="AK180" i="138" s="1"/>
  <c r="AF186" i="138"/>
  <c r="AK186" i="138" s="1"/>
  <c r="AF190" i="138"/>
  <c r="AK190" i="138" s="1"/>
  <c r="AF194" i="138"/>
  <c r="AK194" i="138" s="1"/>
  <c r="AF201" i="138"/>
  <c r="AF210" i="138"/>
  <c r="AF217" i="138"/>
  <c r="AF16" i="138"/>
  <c r="AF21" i="138"/>
  <c r="AF24" i="138"/>
  <c r="AF22" i="138"/>
  <c r="AF45" i="138"/>
  <c r="AB221" i="138"/>
  <c r="AE46" i="138"/>
  <c r="AF18" i="138"/>
  <c r="AF38" i="138"/>
  <c r="AF39" i="138"/>
  <c r="AF40" i="138"/>
  <c r="AF41" i="138"/>
  <c r="AF43" i="138"/>
  <c r="AF54" i="138"/>
  <c r="AF25" i="138"/>
  <c r="AF26" i="138"/>
  <c r="AF36" i="138"/>
  <c r="AF77" i="138"/>
  <c r="AD170" i="138"/>
  <c r="AF103" i="138"/>
  <c r="AF105" i="138"/>
  <c r="AF111" i="138"/>
  <c r="AF113" i="138"/>
  <c r="AF119" i="138"/>
  <c r="AF121" i="138"/>
  <c r="AH12" i="138"/>
  <c r="AF15" i="138"/>
  <c r="AF23" i="138"/>
  <c r="AE98" i="138"/>
  <c r="AF66" i="138"/>
  <c r="AF67" i="138"/>
  <c r="AD46" i="138"/>
  <c r="AF14" i="138"/>
  <c r="AF28" i="138"/>
  <c r="AF37" i="138"/>
  <c r="AF48" i="138"/>
  <c r="AF58" i="138"/>
  <c r="AF59" i="138"/>
  <c r="AF69" i="138"/>
  <c r="AF80" i="138"/>
  <c r="AG98" i="138"/>
  <c r="AE170" i="138"/>
  <c r="AF106" i="138"/>
  <c r="AF114" i="138"/>
  <c r="AF122" i="138"/>
  <c r="AF19" i="138"/>
  <c r="AF31" i="138"/>
  <c r="AF44" i="138"/>
  <c r="AF61" i="138"/>
  <c r="AF72" i="138"/>
  <c r="AF101" i="138"/>
  <c r="AF109" i="138"/>
  <c r="AF117" i="138"/>
  <c r="AF125" i="138"/>
  <c r="F221" i="138"/>
  <c r="AF47" i="138"/>
  <c r="AF63" i="138"/>
  <c r="AF79" i="138"/>
  <c r="AF141" i="138"/>
  <c r="AF142" i="138"/>
  <c r="AF143" i="138"/>
  <c r="AF167" i="138"/>
  <c r="AF169" i="138"/>
  <c r="AH171" i="138"/>
  <c r="AH195" i="138" s="1"/>
  <c r="AG195" i="138"/>
  <c r="AF175" i="138"/>
  <c r="AK175" i="138" s="1"/>
  <c r="AF182" i="138"/>
  <c r="AK182" i="138" s="1"/>
  <c r="AF183" i="138"/>
  <c r="AK183" i="138" s="1"/>
  <c r="AF188" i="138"/>
  <c r="AK188" i="138" s="1"/>
  <c r="AF189" i="138"/>
  <c r="AK189" i="138" s="1"/>
  <c r="AF199" i="138"/>
  <c r="AF214" i="138"/>
  <c r="AF215" i="138"/>
  <c r="AF218" i="138"/>
  <c r="AF219" i="138"/>
  <c r="AD220" i="138"/>
  <c r="AF30" i="138"/>
  <c r="AF55" i="138"/>
  <c r="AF71" i="138"/>
  <c r="AF133" i="138"/>
  <c r="AF135" i="138"/>
  <c r="AF157" i="138"/>
  <c r="AF159" i="138"/>
  <c r="AF173" i="138"/>
  <c r="AK173" i="138" s="1"/>
  <c r="AF178" i="138"/>
  <c r="AK178" i="138" s="1"/>
  <c r="AF179" i="138"/>
  <c r="AK179" i="138" s="1"/>
  <c r="AF185" i="138"/>
  <c r="AK185" i="138" s="1"/>
  <c r="AF192" i="138"/>
  <c r="AK192" i="138" s="1"/>
  <c r="AF193" i="138"/>
  <c r="AK193" i="138" s="1"/>
  <c r="AE220" i="138"/>
  <c r="AF200" i="138"/>
  <c r="AF202" i="138"/>
  <c r="AF208" i="138"/>
  <c r="AF216" i="138"/>
  <c r="AF171" i="138"/>
  <c r="AF99" i="138"/>
  <c r="N209" i="135"/>
  <c r="AG21" i="132" l="1"/>
  <c r="AH21" i="132" s="1"/>
  <c r="AI21" i="132" s="1"/>
  <c r="AK170" i="138"/>
  <c r="AF170" i="138"/>
  <c r="AC221" i="138"/>
  <c r="AM170" i="138"/>
  <c r="AD221" i="138"/>
  <c r="AM46" i="138"/>
  <c r="AF220" i="138"/>
  <c r="AK46" i="138"/>
  <c r="AN170" i="138"/>
  <c r="AL46" i="138"/>
  <c r="AN46" i="138"/>
  <c r="AE221" i="138"/>
  <c r="AE237" i="138" s="1"/>
  <c r="AF46" i="138"/>
  <c r="AH221" i="138"/>
  <c r="AH98" i="138"/>
  <c r="AF98" i="138"/>
  <c r="AF195" i="138"/>
  <c r="AK171" i="138"/>
  <c r="AO170" i="138" l="1"/>
  <c r="AJ170" i="138"/>
  <c r="AF221" i="138"/>
  <c r="AJ46" i="138"/>
  <c r="D61" i="137"/>
  <c r="D61" i="119"/>
  <c r="G15" i="44"/>
  <c r="G14" i="44"/>
  <c r="G11" i="44"/>
  <c r="D15" i="44"/>
  <c r="D14" i="44"/>
  <c r="D12" i="44"/>
  <c r="D13" i="44"/>
  <c r="D11" i="44"/>
  <c r="T15" i="132" l="1"/>
  <c r="X15" i="132"/>
  <c r="AG22" i="132"/>
  <c r="AH22" i="132" s="1"/>
  <c r="AI22" i="132" s="1"/>
  <c r="AJ22" i="132" s="1"/>
  <c r="AJ21" i="132"/>
  <c r="AE27" i="132"/>
  <c r="AE23" i="132"/>
  <c r="AC27" i="132"/>
  <c r="AA27" i="132"/>
  <c r="Y27" i="132"/>
  <c r="W28" i="132"/>
  <c r="U28" i="132"/>
  <c r="S28" i="132"/>
  <c r="Y25" i="132"/>
  <c r="AE25" i="132"/>
  <c r="AA25" i="132"/>
  <c r="AB28" i="132"/>
  <c r="AC25" i="132"/>
  <c r="W25" i="132"/>
  <c r="U25" i="132"/>
  <c r="S25" i="132"/>
  <c r="AF23" i="132"/>
  <c r="AF19" i="132"/>
  <c r="AF20" i="132"/>
  <c r="AF21" i="132"/>
  <c r="AF22" i="132"/>
  <c r="AF18" i="132"/>
  <c r="AE19" i="132"/>
  <c r="AE20" i="132"/>
  <c r="AE21" i="132"/>
  <c r="AE22" i="132"/>
  <c r="AE18" i="132"/>
  <c r="AC23" i="132"/>
  <c r="AC19" i="132"/>
  <c r="AC20" i="132"/>
  <c r="AC21" i="132"/>
  <c r="AC22" i="132"/>
  <c r="AC18" i="132"/>
  <c r="AA23" i="132"/>
  <c r="AA19" i="132"/>
  <c r="AA20" i="132"/>
  <c r="AA21" i="132"/>
  <c r="AA22" i="132"/>
  <c r="AA18" i="132"/>
  <c r="Y23" i="132"/>
  <c r="Y19" i="132"/>
  <c r="Y20" i="132"/>
  <c r="Y21" i="132"/>
  <c r="Y22" i="132"/>
  <c r="Y18" i="132"/>
  <c r="W23" i="132"/>
  <c r="W19" i="132"/>
  <c r="W20" i="132"/>
  <c r="W21" i="132"/>
  <c r="W22" i="132"/>
  <c r="W18" i="132"/>
  <c r="U19" i="132"/>
  <c r="U20" i="132"/>
  <c r="U21" i="132"/>
  <c r="U22" i="132"/>
  <c r="U18" i="132"/>
  <c r="S23" i="132"/>
  <c r="S19" i="132"/>
  <c r="S20" i="132"/>
  <c r="S21" i="132"/>
  <c r="S22" i="132"/>
  <c r="S18" i="132"/>
  <c r="AG20" i="132" l="1"/>
  <c r="AH20" i="132" s="1"/>
  <c r="AK20" i="132" s="1"/>
  <c r="AI20" i="132" l="1"/>
  <c r="AJ20" i="132" s="1"/>
  <c r="AG19" i="132"/>
  <c r="AH19" i="132" s="1"/>
  <c r="AI19" i="132" s="1"/>
  <c r="AJ19" i="132" s="1"/>
  <c r="AG18" i="132"/>
  <c r="R88" i="132"/>
  <c r="R89" i="132" s="1"/>
  <c r="Q87" i="132"/>
  <c r="Q84" i="132"/>
  <c r="D84" i="132"/>
  <c r="O84" i="132" s="1"/>
  <c r="O81" i="132" s="1"/>
  <c r="Q83" i="132"/>
  <c r="O83" i="132"/>
  <c r="O82" i="132"/>
  <c r="O80" i="132"/>
  <c r="O79" i="132"/>
  <c r="O77" i="132" s="1"/>
  <c r="O78" i="132"/>
  <c r="Q77" i="132"/>
  <c r="O75" i="132"/>
  <c r="D75" i="132"/>
  <c r="O74" i="132"/>
  <c r="D74" i="132"/>
  <c r="Q73" i="132"/>
  <c r="D73" i="132"/>
  <c r="O73" i="132" s="1"/>
  <c r="O72" i="132"/>
  <c r="Q71" i="132"/>
  <c r="O70" i="132"/>
  <c r="D70" i="132"/>
  <c r="O69" i="132"/>
  <c r="D69" i="132"/>
  <c r="Q68" i="132"/>
  <c r="D68" i="132"/>
  <c r="O68" i="132" s="1"/>
  <c r="Q67" i="132"/>
  <c r="O67" i="132"/>
  <c r="D67" i="132"/>
  <c r="M66" i="132"/>
  <c r="D66" i="132"/>
  <c r="O66" i="132" s="1"/>
  <c r="O65" i="132"/>
  <c r="M63" i="132"/>
  <c r="O63" i="132" s="1"/>
  <c r="D63" i="132"/>
  <c r="M62" i="132"/>
  <c r="D62" i="132"/>
  <c r="O62" i="132" s="1"/>
  <c r="M61" i="132"/>
  <c r="O61" i="132" s="1"/>
  <c r="D61" i="132"/>
  <c r="Q60" i="132"/>
  <c r="M59" i="132"/>
  <c r="O59" i="132" s="1"/>
  <c r="D59" i="132"/>
  <c r="M57" i="132"/>
  <c r="O57" i="132" s="1"/>
  <c r="D57" i="132"/>
  <c r="Q56" i="132"/>
  <c r="Q57" i="132" s="1"/>
  <c r="Q85" i="132" s="1"/>
  <c r="F55" i="132"/>
  <c r="Q54" i="132"/>
  <c r="M54" i="132"/>
  <c r="O54" i="132" s="1"/>
  <c r="D54" i="132"/>
  <c r="J52" i="132"/>
  <c r="M52" i="132" s="1"/>
  <c r="O52" i="132" s="1"/>
  <c r="D52" i="132"/>
  <c r="Q51" i="132"/>
  <c r="Q52" i="132" s="1"/>
  <c r="Q53" i="132" s="1"/>
  <c r="Q50" i="132"/>
  <c r="M50" i="132"/>
  <c r="D50" i="132"/>
  <c r="O50" i="132" s="1"/>
  <c r="M49" i="132"/>
  <c r="M48" i="132"/>
  <c r="D48" i="132"/>
  <c r="O48" i="132" s="1"/>
  <c r="Q47" i="132"/>
  <c r="O47" i="132"/>
  <c r="D47" i="132"/>
  <c r="O46" i="132"/>
  <c r="D46" i="132"/>
  <c r="M45" i="132"/>
  <c r="D45" i="132"/>
  <c r="O45" i="132" s="1"/>
  <c r="M44" i="132"/>
  <c r="O44" i="132" s="1"/>
  <c r="D44" i="132"/>
  <c r="Q43" i="132"/>
  <c r="O43" i="132"/>
  <c r="D41" i="132"/>
  <c r="O41" i="132" s="1"/>
  <c r="D40" i="132"/>
  <c r="O40" i="132" s="1"/>
  <c r="M39" i="132"/>
  <c r="O39" i="132" s="1"/>
  <c r="D39" i="132"/>
  <c r="Q37" i="132"/>
  <c r="O37" i="132"/>
  <c r="D37" i="132"/>
  <c r="O36" i="132"/>
  <c r="D36" i="132"/>
  <c r="O35" i="132"/>
  <c r="D35" i="132"/>
  <c r="Q34" i="132"/>
  <c r="O34" i="132"/>
  <c r="O33" i="132"/>
  <c r="D32" i="132"/>
  <c r="O32" i="132" s="1"/>
  <c r="Q31" i="132"/>
  <c r="O31" i="132"/>
  <c r="D31" i="132"/>
  <c r="M30" i="132"/>
  <c r="D30" i="132"/>
  <c r="O30" i="132" s="1"/>
  <c r="O28" i="132" s="1"/>
  <c r="Q29" i="132"/>
  <c r="O29" i="132"/>
  <c r="R28" i="132"/>
  <c r="D27" i="132"/>
  <c r="O27" i="132" s="1"/>
  <c r="D26" i="132"/>
  <c r="O26" i="132" s="1"/>
  <c r="D25" i="132"/>
  <c r="O25" i="132" s="1"/>
  <c r="M24" i="132"/>
  <c r="O24" i="132" s="1"/>
  <c r="D24" i="132"/>
  <c r="AD23" i="132"/>
  <c r="AB23" i="132"/>
  <c r="Z23" i="132"/>
  <c r="V23" i="132"/>
  <c r="T23" i="132"/>
  <c r="U23" i="132" s="1"/>
  <c r="R23" i="132"/>
  <c r="O21" i="132"/>
  <c r="O20" i="132"/>
  <c r="Z19" i="132"/>
  <c r="O19" i="132"/>
  <c r="X18" i="132"/>
  <c r="X23" i="132" s="1"/>
  <c r="O18" i="132"/>
  <c r="O17" i="132" s="1"/>
  <c r="AH18" i="132" l="1"/>
  <c r="AG23" i="132"/>
  <c r="O42" i="132"/>
  <c r="O22" i="132" s="1"/>
  <c r="O12" i="132" s="1"/>
  <c r="O85" i="132" s="1"/>
  <c r="O23" i="132"/>
  <c r="O38" i="132"/>
  <c r="O64" i="132"/>
  <c r="O71" i="132"/>
  <c r="AI18" i="132" l="1"/>
  <c r="AJ18" i="132" s="1"/>
  <c r="AH23" i="132"/>
  <c r="AI23" i="132" s="1"/>
  <c r="AJ23" i="132" s="1"/>
  <c r="G29" i="41"/>
  <c r="G14" i="8" l="1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13" i="8"/>
  <c r="J249" i="1"/>
  <c r="L218" i="1"/>
  <c r="M218" i="1"/>
  <c r="N218" i="1"/>
  <c r="O218" i="1"/>
  <c r="P218" i="1"/>
  <c r="Q218" i="1"/>
  <c r="L131" i="1"/>
  <c r="M131" i="1"/>
  <c r="N131" i="1"/>
  <c r="O131" i="1"/>
  <c r="P131" i="1"/>
  <c r="Q131" i="1"/>
  <c r="L218" i="54"/>
  <c r="I218" i="54"/>
  <c r="U187" i="54"/>
  <c r="H189" i="54"/>
  <c r="H220" i="1" s="1"/>
  <c r="H190" i="54"/>
  <c r="H221" i="1" s="1"/>
  <c r="H191" i="54"/>
  <c r="H222" i="1" s="1"/>
  <c r="H192" i="54"/>
  <c r="H223" i="1" s="1"/>
  <c r="H193" i="54"/>
  <c r="H224" i="1" s="1"/>
  <c r="H194" i="54"/>
  <c r="H225" i="1" s="1"/>
  <c r="H195" i="54"/>
  <c r="H226" i="1" s="1"/>
  <c r="H196" i="54"/>
  <c r="H227" i="1" s="1"/>
  <c r="H197" i="54"/>
  <c r="H228" i="1" s="1"/>
  <c r="H198" i="54"/>
  <c r="H229" i="1" s="1"/>
  <c r="H199" i="54"/>
  <c r="H230" i="1" s="1"/>
  <c r="H200" i="54"/>
  <c r="H231" i="1" s="1"/>
  <c r="H201" i="54"/>
  <c r="H232" i="1" s="1"/>
  <c r="H202" i="54"/>
  <c r="H233" i="1" s="1"/>
  <c r="H203" i="54"/>
  <c r="H234" i="1" s="1"/>
  <c r="H204" i="54"/>
  <c r="H235" i="1" s="1"/>
  <c r="H205" i="54"/>
  <c r="H236" i="1" s="1"/>
  <c r="H206" i="54"/>
  <c r="H237" i="1" s="1"/>
  <c r="H207" i="54"/>
  <c r="H238" i="1" s="1"/>
  <c r="H208" i="54"/>
  <c r="H239" i="1" s="1"/>
  <c r="H209" i="54"/>
  <c r="H240" i="1" s="1"/>
  <c r="H210" i="54"/>
  <c r="H241" i="1" s="1"/>
  <c r="H211" i="54"/>
  <c r="H242" i="1" s="1"/>
  <c r="H212" i="54"/>
  <c r="H243" i="1" s="1"/>
  <c r="H213" i="54"/>
  <c r="H244" i="1" s="1"/>
  <c r="H214" i="54"/>
  <c r="H245" i="1" s="1"/>
  <c r="H215" i="54"/>
  <c r="H246" i="1" s="1"/>
  <c r="H216" i="54"/>
  <c r="H247" i="1" s="1"/>
  <c r="H217" i="54"/>
  <c r="H248" i="1" s="1"/>
  <c r="J100" i="54"/>
  <c r="Q100" i="54"/>
  <c r="U100" i="54"/>
  <c r="H102" i="54"/>
  <c r="H103" i="54"/>
  <c r="H104" i="54"/>
  <c r="H105" i="54"/>
  <c r="H106" i="54"/>
  <c r="H107" i="54"/>
  <c r="H108" i="54"/>
  <c r="H109" i="54"/>
  <c r="H110" i="54"/>
  <c r="H111" i="54"/>
  <c r="H112" i="54"/>
  <c r="H113" i="54"/>
  <c r="H114" i="54"/>
  <c r="H115" i="54"/>
  <c r="H116" i="54"/>
  <c r="H117" i="54"/>
  <c r="H118" i="54"/>
  <c r="H119" i="54"/>
  <c r="H120" i="54"/>
  <c r="H121" i="54"/>
  <c r="H122" i="54"/>
  <c r="H123" i="54"/>
  <c r="H124" i="54"/>
  <c r="H125" i="54"/>
  <c r="H126" i="54"/>
  <c r="H127" i="54"/>
  <c r="H128" i="54"/>
  <c r="H129" i="54"/>
  <c r="H130" i="54"/>
  <c r="H131" i="54"/>
  <c r="H132" i="54"/>
  <c r="H133" i="54"/>
  <c r="H134" i="54"/>
  <c r="H135" i="54"/>
  <c r="H136" i="54"/>
  <c r="H137" i="54"/>
  <c r="H138" i="54"/>
  <c r="H139" i="54"/>
  <c r="H140" i="54"/>
  <c r="H141" i="54"/>
  <c r="H142" i="54"/>
  <c r="H143" i="54"/>
  <c r="H144" i="54"/>
  <c r="H145" i="54"/>
  <c r="H146" i="54"/>
  <c r="H147" i="54"/>
  <c r="H148" i="54"/>
  <c r="H149" i="54"/>
  <c r="H150" i="54"/>
  <c r="H151" i="54"/>
  <c r="H152" i="54"/>
  <c r="H153" i="54"/>
  <c r="H154" i="54"/>
  <c r="H155" i="54"/>
  <c r="H156" i="54"/>
  <c r="H157" i="54"/>
  <c r="H158" i="54"/>
  <c r="H159" i="54"/>
  <c r="H160" i="54"/>
  <c r="H161" i="54"/>
  <c r="H162" i="54"/>
  <c r="H163" i="54"/>
  <c r="H164" i="54"/>
  <c r="H165" i="54"/>
  <c r="H166" i="54"/>
  <c r="H167" i="54"/>
  <c r="H168" i="54"/>
  <c r="H169" i="54"/>
  <c r="H170" i="54"/>
  <c r="H171" i="54"/>
  <c r="H172" i="54"/>
  <c r="H173" i="54"/>
  <c r="H174" i="54"/>
  <c r="H175" i="54"/>
  <c r="H176" i="54"/>
  <c r="H177" i="54"/>
  <c r="H178" i="54"/>
  <c r="H179" i="54"/>
  <c r="H180" i="54"/>
  <c r="H181" i="54"/>
  <c r="H182" i="54"/>
  <c r="H183" i="54"/>
  <c r="H184" i="54"/>
  <c r="H185" i="54"/>
  <c r="H186" i="54"/>
  <c r="H101" i="54"/>
  <c r="I100" i="91"/>
  <c r="R100" i="91"/>
  <c r="U100" i="91"/>
  <c r="V100" i="91"/>
  <c r="X100" i="91"/>
  <c r="F100" i="91"/>
  <c r="U17" i="54"/>
  <c r="I95" i="54"/>
  <c r="I96" i="54"/>
  <c r="I97" i="54"/>
  <c r="I98" i="54"/>
  <c r="I99" i="54"/>
  <c r="H19" i="54"/>
  <c r="H50" i="1" s="1"/>
  <c r="H20" i="54"/>
  <c r="H51" i="1" s="1"/>
  <c r="H21" i="54"/>
  <c r="H22" i="54"/>
  <c r="H53" i="1" s="1"/>
  <c r="H23" i="54"/>
  <c r="H24" i="54"/>
  <c r="H55" i="1" s="1"/>
  <c r="H25" i="54"/>
  <c r="H26" i="54"/>
  <c r="H27" i="54"/>
  <c r="H58" i="1" s="1"/>
  <c r="H28" i="54"/>
  <c r="H59" i="1" s="1"/>
  <c r="H29" i="54"/>
  <c r="H30" i="54"/>
  <c r="H61" i="1" s="1"/>
  <c r="H31" i="54"/>
  <c r="H32" i="54"/>
  <c r="H63" i="1" s="1"/>
  <c r="H33" i="54"/>
  <c r="H34" i="54"/>
  <c r="H35" i="54"/>
  <c r="H66" i="1" s="1"/>
  <c r="H36" i="54"/>
  <c r="H67" i="1" s="1"/>
  <c r="H37" i="54"/>
  <c r="H38" i="54"/>
  <c r="H69" i="1" s="1"/>
  <c r="H39" i="54"/>
  <c r="H40" i="54"/>
  <c r="H71" i="1" s="1"/>
  <c r="H41" i="54"/>
  <c r="H42" i="54"/>
  <c r="H43" i="54"/>
  <c r="H74" i="1" s="1"/>
  <c r="H44" i="54"/>
  <c r="H75" i="1" s="1"/>
  <c r="H45" i="54"/>
  <c r="H46" i="54"/>
  <c r="H77" i="1" s="1"/>
  <c r="H47" i="54"/>
  <c r="H48" i="54"/>
  <c r="H79" i="1" s="1"/>
  <c r="H49" i="54"/>
  <c r="H80" i="1" s="1"/>
  <c r="H50" i="54"/>
  <c r="H51" i="54"/>
  <c r="H82" i="1" s="1"/>
  <c r="H52" i="54"/>
  <c r="H83" i="1" s="1"/>
  <c r="H53" i="54"/>
  <c r="H54" i="54"/>
  <c r="H85" i="1" s="1"/>
  <c r="H55" i="54"/>
  <c r="H56" i="54"/>
  <c r="H87" i="1" s="1"/>
  <c r="H57" i="54"/>
  <c r="H88" i="1" s="1"/>
  <c r="H58" i="54"/>
  <c r="H59" i="54"/>
  <c r="H90" i="1" s="1"/>
  <c r="H60" i="54"/>
  <c r="H91" i="1" s="1"/>
  <c r="H61" i="54"/>
  <c r="H92" i="1" s="1"/>
  <c r="H62" i="54"/>
  <c r="H93" i="1" s="1"/>
  <c r="H63" i="54"/>
  <c r="H64" i="54"/>
  <c r="H95" i="1" s="1"/>
  <c r="H65" i="54"/>
  <c r="H96" i="1" s="1"/>
  <c r="H66" i="54"/>
  <c r="H67" i="54"/>
  <c r="H98" i="1" s="1"/>
  <c r="H68" i="54"/>
  <c r="H99" i="1" s="1"/>
  <c r="H69" i="54"/>
  <c r="H100" i="1" s="1"/>
  <c r="H70" i="54"/>
  <c r="H101" i="1" s="1"/>
  <c r="H71" i="54"/>
  <c r="H72" i="54"/>
  <c r="H103" i="1" s="1"/>
  <c r="H73" i="54"/>
  <c r="H104" i="1" s="1"/>
  <c r="H74" i="54"/>
  <c r="H75" i="54"/>
  <c r="H106" i="1" s="1"/>
  <c r="H76" i="54"/>
  <c r="H107" i="1" s="1"/>
  <c r="H77" i="54"/>
  <c r="H108" i="1" s="1"/>
  <c r="H78" i="54"/>
  <c r="H109" i="1" s="1"/>
  <c r="H79" i="54"/>
  <c r="H80" i="54"/>
  <c r="H111" i="1" s="1"/>
  <c r="H81" i="54"/>
  <c r="H112" i="1" s="1"/>
  <c r="H82" i="54"/>
  <c r="H83" i="54"/>
  <c r="H114" i="1" s="1"/>
  <c r="H84" i="54"/>
  <c r="H115" i="1" s="1"/>
  <c r="H85" i="54"/>
  <c r="H116" i="1" s="1"/>
  <c r="H86" i="54"/>
  <c r="H117" i="1" s="1"/>
  <c r="H87" i="54"/>
  <c r="H88" i="54"/>
  <c r="H119" i="1" s="1"/>
  <c r="H89" i="54"/>
  <c r="H120" i="1" s="1"/>
  <c r="H90" i="54"/>
  <c r="H91" i="54"/>
  <c r="H122" i="1" s="1"/>
  <c r="H92" i="54"/>
  <c r="H123" i="1" s="1"/>
  <c r="H93" i="54"/>
  <c r="H124" i="1" s="1"/>
  <c r="H94" i="54"/>
  <c r="H125" i="1" s="1"/>
  <c r="H95" i="54"/>
  <c r="H96" i="54"/>
  <c r="H127" i="1" s="1"/>
  <c r="H97" i="54"/>
  <c r="H128" i="1" s="1"/>
  <c r="H98" i="54"/>
  <c r="H99" i="54"/>
  <c r="H130" i="1" s="1"/>
  <c r="H18" i="54"/>
  <c r="H49" i="1" s="1"/>
  <c r="J17" i="54"/>
  <c r="H16" i="89"/>
  <c r="I188" i="54" s="1"/>
  <c r="E12" i="89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8" i="90"/>
  <c r="N19" i="90"/>
  <c r="N20" i="90"/>
  <c r="N21" i="90"/>
  <c r="N22" i="90"/>
  <c r="N23" i="90"/>
  <c r="N24" i="90"/>
  <c r="N25" i="90"/>
  <c r="N26" i="90"/>
  <c r="N27" i="90"/>
  <c r="N28" i="90"/>
  <c r="N29" i="90"/>
  <c r="N30" i="90"/>
  <c r="N31" i="90"/>
  <c r="N32" i="90"/>
  <c r="N33" i="90"/>
  <c r="N34" i="90"/>
  <c r="N35" i="90"/>
  <c r="N36" i="90"/>
  <c r="N37" i="90"/>
  <c r="N38" i="90"/>
  <c r="N39" i="90"/>
  <c r="N40" i="90"/>
  <c r="N41" i="90"/>
  <c r="N42" i="90"/>
  <c r="N43" i="90"/>
  <c r="N44" i="90"/>
  <c r="N45" i="90"/>
  <c r="N46" i="90"/>
  <c r="N47" i="90"/>
  <c r="N48" i="90"/>
  <c r="N49" i="90"/>
  <c r="N50" i="90"/>
  <c r="N51" i="90"/>
  <c r="N52" i="90"/>
  <c r="N53" i="90"/>
  <c r="N54" i="90"/>
  <c r="N55" i="90"/>
  <c r="N56" i="90"/>
  <c r="N57" i="90"/>
  <c r="N58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98" i="90"/>
  <c r="N99" i="90"/>
  <c r="N100" i="90"/>
  <c r="N101" i="90"/>
  <c r="N102" i="90"/>
  <c r="N103" i="90"/>
  <c r="N18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L65" i="90"/>
  <c r="L66" i="90"/>
  <c r="L67" i="90"/>
  <c r="L68" i="90"/>
  <c r="L69" i="90"/>
  <c r="L70" i="90"/>
  <c r="L71" i="90"/>
  <c r="L72" i="90"/>
  <c r="L73" i="90"/>
  <c r="L74" i="90"/>
  <c r="L75" i="90"/>
  <c r="L76" i="90"/>
  <c r="L77" i="90"/>
  <c r="L78" i="90"/>
  <c r="L79" i="90"/>
  <c r="L80" i="90"/>
  <c r="L81" i="90"/>
  <c r="L82" i="90"/>
  <c r="L83" i="90"/>
  <c r="L84" i="90"/>
  <c r="L85" i="90"/>
  <c r="L86" i="90"/>
  <c r="L87" i="90"/>
  <c r="L88" i="90"/>
  <c r="L89" i="90"/>
  <c r="L90" i="90"/>
  <c r="L91" i="90"/>
  <c r="L92" i="90"/>
  <c r="L93" i="90"/>
  <c r="L94" i="90"/>
  <c r="L95" i="90"/>
  <c r="L96" i="90"/>
  <c r="L97" i="90"/>
  <c r="L98" i="90"/>
  <c r="L99" i="90"/>
  <c r="L100" i="90"/>
  <c r="L101" i="90"/>
  <c r="L102" i="90"/>
  <c r="L103" i="90"/>
  <c r="L186" i="54" s="1"/>
  <c r="L19" i="90"/>
  <c r="L20" i="90"/>
  <c r="L21" i="90"/>
  <c r="L22" i="90"/>
  <c r="L23" i="90"/>
  <c r="L24" i="90"/>
  <c r="L25" i="90"/>
  <c r="L26" i="90"/>
  <c r="L27" i="90"/>
  <c r="L18" i="90"/>
  <c r="J19" i="90"/>
  <c r="J20" i="90"/>
  <c r="J21" i="90"/>
  <c r="M21" i="90" s="1"/>
  <c r="J22" i="90"/>
  <c r="J23" i="90"/>
  <c r="J24" i="90"/>
  <c r="J25" i="90"/>
  <c r="M25" i="90" s="1"/>
  <c r="J26" i="90"/>
  <c r="J27" i="90"/>
  <c r="J28" i="90"/>
  <c r="J29" i="90"/>
  <c r="J30" i="90"/>
  <c r="M30" i="90" s="1"/>
  <c r="J31" i="90"/>
  <c r="J32" i="90"/>
  <c r="J33" i="90"/>
  <c r="J34" i="90"/>
  <c r="M34" i="90" s="1"/>
  <c r="J35" i="90"/>
  <c r="J36" i="90"/>
  <c r="J37" i="90"/>
  <c r="J38" i="90"/>
  <c r="M38" i="90" s="1"/>
  <c r="J39" i="90"/>
  <c r="J40" i="90"/>
  <c r="J41" i="90"/>
  <c r="J42" i="90"/>
  <c r="M42" i="90" s="1"/>
  <c r="J43" i="90"/>
  <c r="J44" i="90"/>
  <c r="J45" i="90"/>
  <c r="J46" i="90"/>
  <c r="M46" i="90" s="1"/>
  <c r="J47" i="90"/>
  <c r="J48" i="90"/>
  <c r="J49" i="90"/>
  <c r="J50" i="90"/>
  <c r="M50" i="90" s="1"/>
  <c r="J51" i="90"/>
  <c r="J52" i="90"/>
  <c r="J53" i="90"/>
  <c r="J54" i="90"/>
  <c r="M54" i="90" s="1"/>
  <c r="J55" i="90"/>
  <c r="J56" i="90"/>
  <c r="J57" i="90"/>
  <c r="J58" i="90"/>
  <c r="M58" i="90" s="1"/>
  <c r="J59" i="90"/>
  <c r="J60" i="90"/>
  <c r="J61" i="90"/>
  <c r="J62" i="90"/>
  <c r="M62" i="90" s="1"/>
  <c r="J63" i="90"/>
  <c r="J64" i="90"/>
  <c r="J65" i="90"/>
  <c r="J66" i="90"/>
  <c r="M66" i="90" s="1"/>
  <c r="J67" i="90"/>
  <c r="J68" i="90"/>
  <c r="J69" i="90"/>
  <c r="J70" i="90"/>
  <c r="M70" i="90" s="1"/>
  <c r="J71" i="90"/>
  <c r="J72" i="90"/>
  <c r="J73" i="90"/>
  <c r="J74" i="90"/>
  <c r="M74" i="90" s="1"/>
  <c r="J75" i="90"/>
  <c r="J76" i="90"/>
  <c r="J77" i="90"/>
  <c r="J78" i="90"/>
  <c r="M78" i="90" s="1"/>
  <c r="J79" i="90"/>
  <c r="J80" i="90"/>
  <c r="J81" i="90"/>
  <c r="J82" i="90"/>
  <c r="M82" i="90" s="1"/>
  <c r="J83" i="90"/>
  <c r="J84" i="90"/>
  <c r="J85" i="90"/>
  <c r="J86" i="90"/>
  <c r="M86" i="90" s="1"/>
  <c r="J87" i="90"/>
  <c r="J88" i="90"/>
  <c r="J89" i="90"/>
  <c r="J90" i="90"/>
  <c r="M90" i="90" s="1"/>
  <c r="J91" i="90"/>
  <c r="J92" i="90"/>
  <c r="J93" i="90"/>
  <c r="J94" i="90"/>
  <c r="M94" i="90" s="1"/>
  <c r="J95" i="90"/>
  <c r="J96" i="90"/>
  <c r="J97" i="90"/>
  <c r="J98" i="90"/>
  <c r="M98" i="90" s="1"/>
  <c r="J99" i="90"/>
  <c r="J100" i="90"/>
  <c r="J101" i="90"/>
  <c r="J102" i="90"/>
  <c r="J103" i="90"/>
  <c r="J18" i="90"/>
  <c r="H25" i="90"/>
  <c r="I108" i="54" s="1"/>
  <c r="H26" i="90"/>
  <c r="I109" i="54" s="1"/>
  <c r="H27" i="90"/>
  <c r="I110" i="54" s="1"/>
  <c r="H28" i="90"/>
  <c r="I111" i="54" s="1"/>
  <c r="H29" i="90"/>
  <c r="I112" i="54" s="1"/>
  <c r="H30" i="90"/>
  <c r="I113" i="54" s="1"/>
  <c r="H31" i="90"/>
  <c r="I114" i="54" s="1"/>
  <c r="H32" i="90"/>
  <c r="I115" i="54" s="1"/>
  <c r="H33" i="90"/>
  <c r="I116" i="54" s="1"/>
  <c r="H34" i="90"/>
  <c r="I117" i="54" s="1"/>
  <c r="H35" i="90"/>
  <c r="I118" i="54" s="1"/>
  <c r="H36" i="90"/>
  <c r="I119" i="54" s="1"/>
  <c r="H37" i="90"/>
  <c r="I120" i="54" s="1"/>
  <c r="H38" i="90"/>
  <c r="I121" i="54" s="1"/>
  <c r="H39" i="90"/>
  <c r="I122" i="54" s="1"/>
  <c r="H40" i="90"/>
  <c r="I123" i="54" s="1"/>
  <c r="H41" i="90"/>
  <c r="I124" i="54" s="1"/>
  <c r="H42" i="90"/>
  <c r="I125" i="54" s="1"/>
  <c r="H43" i="90"/>
  <c r="I126" i="54" s="1"/>
  <c r="H44" i="90"/>
  <c r="I127" i="54" s="1"/>
  <c r="H45" i="90"/>
  <c r="I128" i="54" s="1"/>
  <c r="H46" i="90"/>
  <c r="I129" i="54" s="1"/>
  <c r="H47" i="90"/>
  <c r="I130" i="54" s="1"/>
  <c r="H48" i="90"/>
  <c r="I131" i="54" s="1"/>
  <c r="H49" i="90"/>
  <c r="I132" i="54" s="1"/>
  <c r="H50" i="90"/>
  <c r="I133" i="54" s="1"/>
  <c r="H51" i="90"/>
  <c r="I134" i="54" s="1"/>
  <c r="H52" i="90"/>
  <c r="I135" i="54" s="1"/>
  <c r="H53" i="90"/>
  <c r="I136" i="54" s="1"/>
  <c r="H54" i="90"/>
  <c r="I137" i="54" s="1"/>
  <c r="H55" i="90"/>
  <c r="I138" i="54" s="1"/>
  <c r="H56" i="90"/>
  <c r="I139" i="54" s="1"/>
  <c r="H57" i="90"/>
  <c r="I140" i="54" s="1"/>
  <c r="H58" i="90"/>
  <c r="I141" i="54" s="1"/>
  <c r="H59" i="90"/>
  <c r="I142" i="54" s="1"/>
  <c r="H60" i="90"/>
  <c r="I143" i="54" s="1"/>
  <c r="H61" i="90"/>
  <c r="I144" i="54" s="1"/>
  <c r="H62" i="90"/>
  <c r="I145" i="54" s="1"/>
  <c r="H63" i="90"/>
  <c r="I146" i="54" s="1"/>
  <c r="H64" i="90"/>
  <c r="I147" i="54" s="1"/>
  <c r="H65" i="90"/>
  <c r="I148" i="54" s="1"/>
  <c r="H66" i="90"/>
  <c r="I149" i="54" s="1"/>
  <c r="H67" i="90"/>
  <c r="I150" i="54" s="1"/>
  <c r="H68" i="90"/>
  <c r="I151" i="54" s="1"/>
  <c r="H69" i="90"/>
  <c r="I152" i="54" s="1"/>
  <c r="H70" i="90"/>
  <c r="I153" i="54" s="1"/>
  <c r="H71" i="90"/>
  <c r="I154" i="54" s="1"/>
  <c r="H72" i="90"/>
  <c r="I155" i="54" s="1"/>
  <c r="H73" i="90"/>
  <c r="I156" i="54" s="1"/>
  <c r="H74" i="90"/>
  <c r="I157" i="54" s="1"/>
  <c r="H75" i="90"/>
  <c r="I158" i="54" s="1"/>
  <c r="H76" i="90"/>
  <c r="I159" i="54" s="1"/>
  <c r="H77" i="90"/>
  <c r="I160" i="54" s="1"/>
  <c r="H78" i="90"/>
  <c r="I161" i="54" s="1"/>
  <c r="H79" i="90"/>
  <c r="I162" i="54" s="1"/>
  <c r="H80" i="90"/>
  <c r="I163" i="54" s="1"/>
  <c r="H81" i="90"/>
  <c r="I164" i="54" s="1"/>
  <c r="H82" i="90"/>
  <c r="I165" i="54" s="1"/>
  <c r="H83" i="90"/>
  <c r="I166" i="54" s="1"/>
  <c r="H84" i="90"/>
  <c r="I167" i="54" s="1"/>
  <c r="H85" i="90"/>
  <c r="I168" i="54" s="1"/>
  <c r="H86" i="90"/>
  <c r="I169" i="54" s="1"/>
  <c r="H87" i="90"/>
  <c r="I170" i="54" s="1"/>
  <c r="H88" i="90"/>
  <c r="I171" i="54" s="1"/>
  <c r="H89" i="90"/>
  <c r="I172" i="54" s="1"/>
  <c r="H90" i="90"/>
  <c r="I173" i="54" s="1"/>
  <c r="H91" i="90"/>
  <c r="I174" i="54" s="1"/>
  <c r="H92" i="90"/>
  <c r="I175" i="54" s="1"/>
  <c r="H93" i="90"/>
  <c r="I176" i="54" s="1"/>
  <c r="H94" i="90"/>
  <c r="I177" i="54" s="1"/>
  <c r="H95" i="90"/>
  <c r="I178" i="54" s="1"/>
  <c r="H96" i="90"/>
  <c r="I179" i="54" s="1"/>
  <c r="H97" i="90"/>
  <c r="I180" i="54" s="1"/>
  <c r="H98" i="90"/>
  <c r="I181" i="54" s="1"/>
  <c r="H99" i="90"/>
  <c r="I182" i="54" s="1"/>
  <c r="H100" i="90"/>
  <c r="I183" i="54" s="1"/>
  <c r="H101" i="90"/>
  <c r="I184" i="54" s="1"/>
  <c r="H102" i="90"/>
  <c r="I185" i="54" s="1"/>
  <c r="H103" i="90"/>
  <c r="I186" i="54" s="1"/>
  <c r="H19" i="90"/>
  <c r="I102" i="54" s="1"/>
  <c r="H20" i="90"/>
  <c r="I103" i="54" s="1"/>
  <c r="H21" i="90"/>
  <c r="I104" i="54" s="1"/>
  <c r="H22" i="90"/>
  <c r="I105" i="54" s="1"/>
  <c r="H23" i="90"/>
  <c r="I106" i="54" s="1"/>
  <c r="H24" i="90"/>
  <c r="I107" i="54" s="1"/>
  <c r="H18" i="90"/>
  <c r="I101" i="54" s="1"/>
  <c r="I104" i="90"/>
  <c r="Q104" i="90"/>
  <c r="T104" i="90"/>
  <c r="F104" i="90"/>
  <c r="G178" i="90" s="1"/>
  <c r="J178" i="90" s="1"/>
  <c r="G182" i="90" s="1"/>
  <c r="M182" i="90" s="1"/>
  <c r="G19" i="90"/>
  <c r="H133" i="1" s="1"/>
  <c r="G20" i="90"/>
  <c r="H134" i="1" s="1"/>
  <c r="G21" i="90"/>
  <c r="H135" i="1" s="1"/>
  <c r="G22" i="90"/>
  <c r="H136" i="1" s="1"/>
  <c r="G23" i="90"/>
  <c r="H137" i="1" s="1"/>
  <c r="G24" i="90"/>
  <c r="H138" i="1" s="1"/>
  <c r="G25" i="90"/>
  <c r="H139" i="1" s="1"/>
  <c r="G26" i="90"/>
  <c r="H140" i="1" s="1"/>
  <c r="G27" i="90"/>
  <c r="H141" i="1" s="1"/>
  <c r="G28" i="90"/>
  <c r="H142" i="1" s="1"/>
  <c r="G29" i="90"/>
  <c r="H143" i="1" s="1"/>
  <c r="G30" i="90"/>
  <c r="H144" i="1" s="1"/>
  <c r="G31" i="90"/>
  <c r="H145" i="1" s="1"/>
  <c r="G32" i="90"/>
  <c r="H146" i="1" s="1"/>
  <c r="G33" i="90"/>
  <c r="H147" i="1" s="1"/>
  <c r="G34" i="90"/>
  <c r="H148" i="1" s="1"/>
  <c r="G35" i="90"/>
  <c r="H149" i="1" s="1"/>
  <c r="G36" i="90"/>
  <c r="H150" i="1" s="1"/>
  <c r="G37" i="90"/>
  <c r="H151" i="1" s="1"/>
  <c r="G38" i="90"/>
  <c r="H152" i="1" s="1"/>
  <c r="G39" i="90"/>
  <c r="H153" i="1" s="1"/>
  <c r="G40" i="90"/>
  <c r="H154" i="1" s="1"/>
  <c r="G41" i="90"/>
  <c r="H155" i="1" s="1"/>
  <c r="G42" i="90"/>
  <c r="H156" i="1" s="1"/>
  <c r="G43" i="90"/>
  <c r="H157" i="1" s="1"/>
  <c r="G44" i="90"/>
  <c r="H158" i="1" s="1"/>
  <c r="G45" i="90"/>
  <c r="H159" i="1" s="1"/>
  <c r="G46" i="90"/>
  <c r="H160" i="1" s="1"/>
  <c r="G47" i="90"/>
  <c r="H161" i="1" s="1"/>
  <c r="G48" i="90"/>
  <c r="H162" i="1" s="1"/>
  <c r="G49" i="90"/>
  <c r="H163" i="1" s="1"/>
  <c r="G50" i="90"/>
  <c r="H164" i="1" s="1"/>
  <c r="G51" i="90"/>
  <c r="H165" i="1" s="1"/>
  <c r="G52" i="90"/>
  <c r="H166" i="1" s="1"/>
  <c r="G53" i="90"/>
  <c r="H167" i="1" s="1"/>
  <c r="G54" i="90"/>
  <c r="H168" i="1" s="1"/>
  <c r="G55" i="90"/>
  <c r="H169" i="1" s="1"/>
  <c r="G56" i="90"/>
  <c r="H170" i="1" s="1"/>
  <c r="G57" i="90"/>
  <c r="H171" i="1" s="1"/>
  <c r="G58" i="90"/>
  <c r="H172" i="1" s="1"/>
  <c r="G59" i="90"/>
  <c r="H173" i="1" s="1"/>
  <c r="G60" i="90"/>
  <c r="H174" i="1" s="1"/>
  <c r="G61" i="90"/>
  <c r="H175" i="1" s="1"/>
  <c r="G62" i="90"/>
  <c r="H176" i="1" s="1"/>
  <c r="G63" i="90"/>
  <c r="H177" i="1" s="1"/>
  <c r="G64" i="90"/>
  <c r="H178" i="1" s="1"/>
  <c r="G65" i="90"/>
  <c r="H179" i="1" s="1"/>
  <c r="G66" i="90"/>
  <c r="H180" i="1" s="1"/>
  <c r="G67" i="90"/>
  <c r="H181" i="1" s="1"/>
  <c r="G68" i="90"/>
  <c r="H182" i="1" s="1"/>
  <c r="G69" i="90"/>
  <c r="H183" i="1" s="1"/>
  <c r="G70" i="90"/>
  <c r="H184" i="1" s="1"/>
  <c r="G71" i="90"/>
  <c r="H185" i="1" s="1"/>
  <c r="G72" i="90"/>
  <c r="H186" i="1" s="1"/>
  <c r="G73" i="90"/>
  <c r="H187" i="1" s="1"/>
  <c r="G74" i="90"/>
  <c r="H188" i="1" s="1"/>
  <c r="G75" i="90"/>
  <c r="H189" i="1" s="1"/>
  <c r="G76" i="90"/>
  <c r="H190" i="1" s="1"/>
  <c r="G77" i="90"/>
  <c r="H191" i="1" s="1"/>
  <c r="G78" i="90"/>
  <c r="H192" i="1" s="1"/>
  <c r="G79" i="90"/>
  <c r="H193" i="1" s="1"/>
  <c r="G80" i="90"/>
  <c r="H194" i="1" s="1"/>
  <c r="G81" i="90"/>
  <c r="H195" i="1" s="1"/>
  <c r="G82" i="90"/>
  <c r="H196" i="1" s="1"/>
  <c r="G83" i="90"/>
  <c r="H197" i="1" s="1"/>
  <c r="G84" i="90"/>
  <c r="H198" i="1" s="1"/>
  <c r="G85" i="90"/>
  <c r="H199" i="1" s="1"/>
  <c r="G86" i="90"/>
  <c r="H200" i="1" s="1"/>
  <c r="G87" i="90"/>
  <c r="H201" i="1" s="1"/>
  <c r="G88" i="90"/>
  <c r="H202" i="1" s="1"/>
  <c r="G89" i="90"/>
  <c r="H203" i="1" s="1"/>
  <c r="G90" i="90"/>
  <c r="H204" i="1" s="1"/>
  <c r="G91" i="90"/>
  <c r="H205" i="1" s="1"/>
  <c r="G92" i="90"/>
  <c r="H206" i="1" s="1"/>
  <c r="G93" i="90"/>
  <c r="H207" i="1" s="1"/>
  <c r="G94" i="90"/>
  <c r="H208" i="1" s="1"/>
  <c r="G95" i="90"/>
  <c r="H209" i="1" s="1"/>
  <c r="G96" i="90"/>
  <c r="H210" i="1" s="1"/>
  <c r="G97" i="90"/>
  <c r="G98" i="90"/>
  <c r="G99" i="90"/>
  <c r="H213" i="1" s="1"/>
  <c r="G100" i="90"/>
  <c r="H214" i="1" s="1"/>
  <c r="G101" i="90"/>
  <c r="G102" i="90"/>
  <c r="H216" i="1" s="1"/>
  <c r="G103" i="90"/>
  <c r="H217" i="1" s="1"/>
  <c r="R200" i="90"/>
  <c r="R199" i="90"/>
  <c r="R198" i="90"/>
  <c r="J184" i="90"/>
  <c r="J181" i="90"/>
  <c r="G181" i="90"/>
  <c r="J180" i="90"/>
  <c r="G180" i="90"/>
  <c r="J179" i="90"/>
  <c r="G179" i="90"/>
  <c r="G177" i="90"/>
  <c r="J176" i="90"/>
  <c r="J175" i="90"/>
  <c r="J174" i="90"/>
  <c r="J173" i="90"/>
  <c r="J172" i="90"/>
  <c r="J171" i="90"/>
  <c r="J170" i="90"/>
  <c r="J169" i="90"/>
  <c r="O157" i="90"/>
  <c r="C157" i="90"/>
  <c r="U104" i="90"/>
  <c r="G18" i="90"/>
  <c r="H132" i="1" s="1"/>
  <c r="Y16" i="90"/>
  <c r="X16" i="90"/>
  <c r="Z15" i="90"/>
  <c r="Z14" i="90"/>
  <c r="Z11" i="90"/>
  <c r="X11" i="90"/>
  <c r="G19" i="91"/>
  <c r="G20" i="91"/>
  <c r="G21" i="91"/>
  <c r="G22" i="91"/>
  <c r="G23" i="91"/>
  <c r="G24" i="91"/>
  <c r="G25" i="91"/>
  <c r="G26" i="91"/>
  <c r="G27" i="91"/>
  <c r="G28" i="91"/>
  <c r="G29" i="91"/>
  <c r="G30" i="91"/>
  <c r="G31" i="91"/>
  <c r="G32" i="91"/>
  <c r="G33" i="91"/>
  <c r="G34" i="91"/>
  <c r="G35" i="91"/>
  <c r="G36" i="91"/>
  <c r="G37" i="91"/>
  <c r="G38" i="91"/>
  <c r="G39" i="91"/>
  <c r="G40" i="91"/>
  <c r="G41" i="91"/>
  <c r="G42" i="91"/>
  <c r="G43" i="91"/>
  <c r="G44" i="91"/>
  <c r="G45" i="91"/>
  <c r="G46" i="91"/>
  <c r="G47" i="91"/>
  <c r="G48" i="91"/>
  <c r="G49" i="91"/>
  <c r="G50" i="91"/>
  <c r="G51" i="91"/>
  <c r="G52" i="91"/>
  <c r="G53" i="91"/>
  <c r="G54" i="91"/>
  <c r="G55" i="91"/>
  <c r="G56" i="91"/>
  <c r="G57" i="91"/>
  <c r="G58" i="91"/>
  <c r="G59" i="91"/>
  <c r="G60" i="91"/>
  <c r="G61" i="91"/>
  <c r="G62" i="91"/>
  <c r="G63" i="91"/>
  <c r="G64" i="91"/>
  <c r="G65" i="91"/>
  <c r="G66" i="91"/>
  <c r="G67" i="91"/>
  <c r="G68" i="91"/>
  <c r="G69" i="91"/>
  <c r="G70" i="91"/>
  <c r="G71" i="91"/>
  <c r="G72" i="91"/>
  <c r="G73" i="91"/>
  <c r="G74" i="91"/>
  <c r="G75" i="91"/>
  <c r="G76" i="91"/>
  <c r="G77" i="91"/>
  <c r="G78" i="91"/>
  <c r="G79" i="91"/>
  <c r="G80" i="91"/>
  <c r="G81" i="91"/>
  <c r="G82" i="91"/>
  <c r="G83" i="91"/>
  <c r="G84" i="91"/>
  <c r="G85" i="91"/>
  <c r="G86" i="91"/>
  <c r="G87" i="91"/>
  <c r="G88" i="91"/>
  <c r="G89" i="91"/>
  <c r="G90" i="91"/>
  <c r="G91" i="91"/>
  <c r="G92" i="91"/>
  <c r="G93" i="91"/>
  <c r="G94" i="91"/>
  <c r="G95" i="91"/>
  <c r="G96" i="91"/>
  <c r="G97" i="91"/>
  <c r="G98" i="91"/>
  <c r="G99" i="91"/>
  <c r="G18" i="91"/>
  <c r="S95" i="91"/>
  <c r="S96" i="91"/>
  <c r="S97" i="91"/>
  <c r="S98" i="91"/>
  <c r="S99" i="91"/>
  <c r="S99" i="54" s="1"/>
  <c r="R50" i="90" l="1"/>
  <c r="R101" i="90"/>
  <c r="R25" i="90"/>
  <c r="R43" i="90"/>
  <c r="R31" i="90"/>
  <c r="R98" i="90"/>
  <c r="R46" i="90"/>
  <c r="R97" i="90"/>
  <c r="R57" i="90"/>
  <c r="R21" i="90"/>
  <c r="R92" i="90"/>
  <c r="R60" i="90"/>
  <c r="R44" i="90"/>
  <c r="R24" i="90"/>
  <c r="R61" i="90"/>
  <c r="M18" i="90"/>
  <c r="M101" i="54" s="1"/>
  <c r="I132" i="1" s="1"/>
  <c r="M100" i="90"/>
  <c r="M96" i="90"/>
  <c r="M179" i="54" s="1"/>
  <c r="I210" i="1" s="1"/>
  <c r="M92" i="90"/>
  <c r="M175" i="54" s="1"/>
  <c r="I206" i="1" s="1"/>
  <c r="M88" i="90"/>
  <c r="M171" i="54" s="1"/>
  <c r="I202" i="1" s="1"/>
  <c r="M84" i="90"/>
  <c r="M80" i="90"/>
  <c r="M163" i="54" s="1"/>
  <c r="I194" i="1" s="1"/>
  <c r="M76" i="90"/>
  <c r="M72" i="90"/>
  <c r="M155" i="54" s="1"/>
  <c r="I186" i="1" s="1"/>
  <c r="M68" i="90"/>
  <c r="M64" i="90"/>
  <c r="M147" i="54" s="1"/>
  <c r="I178" i="1" s="1"/>
  <c r="M60" i="90"/>
  <c r="M56" i="90"/>
  <c r="M52" i="90"/>
  <c r="M48" i="90"/>
  <c r="M131" i="54" s="1"/>
  <c r="I162" i="1" s="1"/>
  <c r="M44" i="90"/>
  <c r="M127" i="54" s="1"/>
  <c r="I158" i="1" s="1"/>
  <c r="M40" i="90"/>
  <c r="M123" i="54" s="1"/>
  <c r="I154" i="1" s="1"/>
  <c r="M36" i="90"/>
  <c r="M119" i="54" s="1"/>
  <c r="I150" i="1" s="1"/>
  <c r="M32" i="90"/>
  <c r="M28" i="90"/>
  <c r="M24" i="90"/>
  <c r="M107" i="54" s="1"/>
  <c r="I138" i="1" s="1"/>
  <c r="M20" i="90"/>
  <c r="M103" i="54" s="1"/>
  <c r="R76" i="90"/>
  <c r="R72" i="90"/>
  <c r="R81" i="90"/>
  <c r="R73" i="90"/>
  <c r="M27" i="90"/>
  <c r="M23" i="90"/>
  <c r="M106" i="54" s="1"/>
  <c r="I137" i="1" s="1"/>
  <c r="M19" i="90"/>
  <c r="R63" i="90"/>
  <c r="M26" i="90"/>
  <c r="M22" i="90"/>
  <c r="M101" i="90"/>
  <c r="M184" i="54" s="1"/>
  <c r="I215" i="1" s="1"/>
  <c r="M97" i="90"/>
  <c r="M180" i="54" s="1"/>
  <c r="I211" i="1" s="1"/>
  <c r="M93" i="90"/>
  <c r="M176" i="54" s="1"/>
  <c r="I207" i="1" s="1"/>
  <c r="M89" i="90"/>
  <c r="M85" i="90"/>
  <c r="M168" i="54" s="1"/>
  <c r="I199" i="1" s="1"/>
  <c r="M81" i="90"/>
  <c r="M164" i="54" s="1"/>
  <c r="I195" i="1" s="1"/>
  <c r="M77" i="90"/>
  <c r="M160" i="54" s="1"/>
  <c r="I191" i="1" s="1"/>
  <c r="M73" i="90"/>
  <c r="M156" i="54" s="1"/>
  <c r="I187" i="1" s="1"/>
  <c r="M69" i="90"/>
  <c r="M152" i="54" s="1"/>
  <c r="I183" i="1" s="1"/>
  <c r="M65" i="90"/>
  <c r="M148" i="54" s="1"/>
  <c r="I179" i="1" s="1"/>
  <c r="M61" i="90"/>
  <c r="M144" i="54" s="1"/>
  <c r="I175" i="1" s="1"/>
  <c r="M57" i="90"/>
  <c r="M53" i="90"/>
  <c r="M136" i="54" s="1"/>
  <c r="I167" i="1" s="1"/>
  <c r="M49" i="90"/>
  <c r="M132" i="54" s="1"/>
  <c r="I163" i="1" s="1"/>
  <c r="M45" i="90"/>
  <c r="M41" i="90"/>
  <c r="M37" i="90"/>
  <c r="M120" i="54" s="1"/>
  <c r="I151" i="1" s="1"/>
  <c r="M33" i="90"/>
  <c r="M116" i="54" s="1"/>
  <c r="I147" i="1" s="1"/>
  <c r="M29" i="90"/>
  <c r="M112" i="54" s="1"/>
  <c r="I143" i="1" s="1"/>
  <c r="M99" i="90"/>
  <c r="M182" i="54" s="1"/>
  <c r="I213" i="1" s="1"/>
  <c r="M95" i="90"/>
  <c r="M178" i="54" s="1"/>
  <c r="I209" i="1" s="1"/>
  <c r="M91" i="90"/>
  <c r="M174" i="54" s="1"/>
  <c r="I205" i="1" s="1"/>
  <c r="M87" i="90"/>
  <c r="M170" i="54" s="1"/>
  <c r="I201" i="1" s="1"/>
  <c r="M83" i="90"/>
  <c r="M166" i="54" s="1"/>
  <c r="I197" i="1" s="1"/>
  <c r="M79" i="90"/>
  <c r="M162" i="54" s="1"/>
  <c r="I193" i="1" s="1"/>
  <c r="M75" i="90"/>
  <c r="M158" i="54" s="1"/>
  <c r="I189" i="1" s="1"/>
  <c r="M71" i="90"/>
  <c r="M154" i="54" s="1"/>
  <c r="I185" i="1" s="1"/>
  <c r="M67" i="90"/>
  <c r="M150" i="54" s="1"/>
  <c r="I181" i="1" s="1"/>
  <c r="M63" i="90"/>
  <c r="M146" i="54" s="1"/>
  <c r="I177" i="1" s="1"/>
  <c r="M59" i="90"/>
  <c r="M142" i="54" s="1"/>
  <c r="I173" i="1" s="1"/>
  <c r="M55" i="90"/>
  <c r="M138" i="54" s="1"/>
  <c r="I169" i="1" s="1"/>
  <c r="M51" i="90"/>
  <c r="M134" i="54" s="1"/>
  <c r="I165" i="1" s="1"/>
  <c r="M47" i="90"/>
  <c r="M130" i="54" s="1"/>
  <c r="I161" i="1" s="1"/>
  <c r="M43" i="90"/>
  <c r="M126" i="54" s="1"/>
  <c r="I157" i="1" s="1"/>
  <c r="M39" i="90"/>
  <c r="M122" i="54" s="1"/>
  <c r="I153" i="1" s="1"/>
  <c r="M35" i="90"/>
  <c r="M118" i="54" s="1"/>
  <c r="I149" i="1" s="1"/>
  <c r="M31" i="90"/>
  <c r="M114" i="54" s="1"/>
  <c r="I145" i="1" s="1"/>
  <c r="O186" i="54"/>
  <c r="O182" i="54"/>
  <c r="O178" i="54"/>
  <c r="O174" i="54"/>
  <c r="O170" i="54"/>
  <c r="O166" i="54"/>
  <c r="O162" i="54"/>
  <c r="O158" i="54"/>
  <c r="O154" i="54"/>
  <c r="O150" i="54"/>
  <c r="O146" i="54"/>
  <c r="O142" i="54"/>
  <c r="O138" i="54"/>
  <c r="O134" i="54"/>
  <c r="O130" i="54"/>
  <c r="O126" i="54"/>
  <c r="O122" i="54"/>
  <c r="O118" i="54"/>
  <c r="O114" i="54"/>
  <c r="O110" i="54"/>
  <c r="O106" i="54"/>
  <c r="O102" i="54"/>
  <c r="O185" i="54"/>
  <c r="O181" i="54"/>
  <c r="O177" i="54"/>
  <c r="O173" i="54"/>
  <c r="O169" i="54"/>
  <c r="O165" i="54"/>
  <c r="O161" i="54"/>
  <c r="O157" i="54"/>
  <c r="O153" i="54"/>
  <c r="O149" i="54"/>
  <c r="O145" i="54"/>
  <c r="O141" i="54"/>
  <c r="O137" i="54"/>
  <c r="O133" i="54"/>
  <c r="O129" i="54"/>
  <c r="O125" i="54"/>
  <c r="O121" i="54"/>
  <c r="O117" i="54"/>
  <c r="O113" i="54"/>
  <c r="O109" i="54"/>
  <c r="O105" i="54"/>
  <c r="O184" i="54"/>
  <c r="O180" i="54"/>
  <c r="O176" i="54"/>
  <c r="O172" i="54"/>
  <c r="O168" i="54"/>
  <c r="O164" i="54"/>
  <c r="O160" i="54"/>
  <c r="O156" i="54"/>
  <c r="O152" i="54"/>
  <c r="O148" i="54"/>
  <c r="O144" i="54"/>
  <c r="O140" i="54"/>
  <c r="O136" i="54"/>
  <c r="O132" i="54"/>
  <c r="O124" i="54"/>
  <c r="O120" i="54"/>
  <c r="O116" i="54"/>
  <c r="O108" i="54"/>
  <c r="O104" i="54"/>
  <c r="O101" i="54"/>
  <c r="O183" i="54"/>
  <c r="O179" i="54"/>
  <c r="O175" i="54"/>
  <c r="O171" i="54"/>
  <c r="O167" i="54"/>
  <c r="O163" i="54"/>
  <c r="O159" i="54"/>
  <c r="O155" i="54"/>
  <c r="O151" i="54"/>
  <c r="O147" i="54"/>
  <c r="O143" i="54"/>
  <c r="O139" i="54"/>
  <c r="O135" i="54"/>
  <c r="O131" i="54"/>
  <c r="O127" i="54"/>
  <c r="O123" i="54"/>
  <c r="O119" i="54"/>
  <c r="O115" i="54"/>
  <c r="O111" i="54"/>
  <c r="O107" i="54"/>
  <c r="O103" i="54"/>
  <c r="K186" i="54"/>
  <c r="M103" i="90"/>
  <c r="K174" i="54"/>
  <c r="K166" i="54"/>
  <c r="K158" i="54"/>
  <c r="K146" i="54"/>
  <c r="K138" i="54"/>
  <c r="K130" i="54"/>
  <c r="K122" i="54"/>
  <c r="K114" i="54"/>
  <c r="K106" i="54"/>
  <c r="N186" i="54"/>
  <c r="N182" i="54"/>
  <c r="N178" i="54"/>
  <c r="N170" i="54"/>
  <c r="N166" i="54"/>
  <c r="N162" i="54"/>
  <c r="N158" i="54"/>
  <c r="N154" i="54"/>
  <c r="N150" i="54"/>
  <c r="N146" i="54"/>
  <c r="N142" i="54"/>
  <c r="N138" i="54"/>
  <c r="N134" i="54"/>
  <c r="N130" i="54"/>
  <c r="N126" i="54"/>
  <c r="N122" i="54"/>
  <c r="N118" i="54"/>
  <c r="N114" i="54"/>
  <c r="N110" i="54"/>
  <c r="N106" i="54"/>
  <c r="N102" i="54"/>
  <c r="M181" i="54"/>
  <c r="I212" i="1" s="1"/>
  <c r="K181" i="54"/>
  <c r="M173" i="54"/>
  <c r="I204" i="1" s="1"/>
  <c r="K173" i="54"/>
  <c r="M165" i="54"/>
  <c r="I196" i="1" s="1"/>
  <c r="K165" i="54"/>
  <c r="M157" i="54"/>
  <c r="I188" i="1" s="1"/>
  <c r="K157" i="54"/>
  <c r="M149" i="54"/>
  <c r="I180" i="1" s="1"/>
  <c r="K149" i="54"/>
  <c r="M137" i="54"/>
  <c r="I168" i="1" s="1"/>
  <c r="K137" i="54"/>
  <c r="M129" i="54"/>
  <c r="I160" i="1" s="1"/>
  <c r="K129" i="54"/>
  <c r="M121" i="54"/>
  <c r="I152" i="1" s="1"/>
  <c r="K121" i="54"/>
  <c r="M113" i="54"/>
  <c r="I144" i="1" s="1"/>
  <c r="K113" i="54"/>
  <c r="K109" i="54"/>
  <c r="N181" i="54"/>
  <c r="N173" i="54"/>
  <c r="N169" i="54"/>
  <c r="N161" i="54"/>
  <c r="N153" i="54"/>
  <c r="N149" i="54"/>
  <c r="N141" i="54"/>
  <c r="N137" i="54"/>
  <c r="N133" i="54"/>
  <c r="N129" i="54"/>
  <c r="N125" i="54"/>
  <c r="N121" i="54"/>
  <c r="N117" i="54"/>
  <c r="N113" i="54"/>
  <c r="N109" i="54"/>
  <c r="N105" i="54"/>
  <c r="K184" i="54"/>
  <c r="K180" i="54"/>
  <c r="K176" i="54"/>
  <c r="M172" i="54"/>
  <c r="I203" i="1" s="1"/>
  <c r="K172" i="54"/>
  <c r="K168" i="54"/>
  <c r="K164" i="54"/>
  <c r="K160" i="54"/>
  <c r="K156" i="54"/>
  <c r="K152" i="54"/>
  <c r="K148" i="54"/>
  <c r="K144" i="54"/>
  <c r="M140" i="54"/>
  <c r="I171" i="1" s="1"/>
  <c r="K140" i="54"/>
  <c r="K136" i="54"/>
  <c r="K132" i="54"/>
  <c r="M128" i="54"/>
  <c r="I159" i="1" s="1"/>
  <c r="K128" i="54"/>
  <c r="M124" i="54"/>
  <c r="I155" i="1" s="1"/>
  <c r="K124" i="54"/>
  <c r="K120" i="54"/>
  <c r="K116" i="54"/>
  <c r="K112" i="54"/>
  <c r="M108" i="54"/>
  <c r="I139" i="1" s="1"/>
  <c r="K108" i="54"/>
  <c r="M104" i="54"/>
  <c r="I135" i="1" s="1"/>
  <c r="K104" i="54"/>
  <c r="N184" i="54"/>
  <c r="N180" i="54"/>
  <c r="N176" i="54"/>
  <c r="N172" i="54"/>
  <c r="N168" i="54"/>
  <c r="N164" i="54"/>
  <c r="N160" i="54"/>
  <c r="N156" i="54"/>
  <c r="N152" i="54"/>
  <c r="N148" i="54"/>
  <c r="N144" i="54"/>
  <c r="N140" i="54"/>
  <c r="N136" i="54"/>
  <c r="N132" i="54"/>
  <c r="N124" i="54"/>
  <c r="N120" i="54"/>
  <c r="N116" i="54"/>
  <c r="N112" i="54"/>
  <c r="N128" i="54"/>
  <c r="N108" i="54"/>
  <c r="N104" i="54"/>
  <c r="K182" i="54"/>
  <c r="K178" i="54"/>
  <c r="K170" i="54"/>
  <c r="K162" i="54"/>
  <c r="K154" i="54"/>
  <c r="K150" i="54"/>
  <c r="K142" i="54"/>
  <c r="K134" i="54"/>
  <c r="K126" i="54"/>
  <c r="K118" i="54"/>
  <c r="M110" i="54"/>
  <c r="I141" i="1" s="1"/>
  <c r="K110" i="54"/>
  <c r="M102" i="54"/>
  <c r="I133" i="1" s="1"/>
  <c r="K102" i="54"/>
  <c r="N174" i="54"/>
  <c r="O112" i="54"/>
  <c r="O128" i="54"/>
  <c r="K185" i="54"/>
  <c r="M177" i="54"/>
  <c r="I208" i="1" s="1"/>
  <c r="K177" i="54"/>
  <c r="K169" i="54"/>
  <c r="K161" i="54"/>
  <c r="K153" i="54"/>
  <c r="K145" i="54"/>
  <c r="K141" i="54"/>
  <c r="M133" i="54"/>
  <c r="I164" i="1" s="1"/>
  <c r="K133" i="54"/>
  <c r="K125" i="54"/>
  <c r="M117" i="54"/>
  <c r="I148" i="1" s="1"/>
  <c r="K117" i="54"/>
  <c r="K105" i="54"/>
  <c r="M105" i="54"/>
  <c r="I136" i="1" s="1"/>
  <c r="N185" i="54"/>
  <c r="N177" i="54"/>
  <c r="N165" i="54"/>
  <c r="N157" i="54"/>
  <c r="N145" i="54"/>
  <c r="K101" i="54"/>
  <c r="K183" i="54"/>
  <c r="M183" i="54"/>
  <c r="I214" i="1" s="1"/>
  <c r="K179" i="54"/>
  <c r="K175" i="54"/>
  <c r="K171" i="54"/>
  <c r="K167" i="54"/>
  <c r="M167" i="54"/>
  <c r="I198" i="1" s="1"/>
  <c r="K163" i="54"/>
  <c r="K159" i="54"/>
  <c r="M159" i="54"/>
  <c r="I190" i="1" s="1"/>
  <c r="K155" i="54"/>
  <c r="K151" i="54"/>
  <c r="M151" i="54"/>
  <c r="I182" i="1" s="1"/>
  <c r="K147" i="54"/>
  <c r="K143" i="54"/>
  <c r="M143" i="54"/>
  <c r="I174" i="1" s="1"/>
  <c r="K139" i="54"/>
  <c r="K135" i="54"/>
  <c r="M135" i="54"/>
  <c r="I166" i="1" s="1"/>
  <c r="K131" i="54"/>
  <c r="K127" i="54"/>
  <c r="K123" i="54"/>
  <c r="K119" i="54"/>
  <c r="K115" i="54"/>
  <c r="M115" i="54"/>
  <c r="I146" i="1" s="1"/>
  <c r="K111" i="54"/>
  <c r="M111" i="54"/>
  <c r="I142" i="1" s="1"/>
  <c r="K107" i="54"/>
  <c r="K103" i="54"/>
  <c r="N101" i="54"/>
  <c r="N183" i="54"/>
  <c r="N179" i="54"/>
  <c r="N175" i="54"/>
  <c r="N171" i="54"/>
  <c r="N167" i="54"/>
  <c r="N163" i="54"/>
  <c r="N159" i="54"/>
  <c r="N155" i="54"/>
  <c r="N151" i="54"/>
  <c r="N147" i="54"/>
  <c r="N143" i="54"/>
  <c r="N139" i="54"/>
  <c r="N135" i="54"/>
  <c r="N131" i="54"/>
  <c r="N127" i="54"/>
  <c r="N123" i="54"/>
  <c r="N119" i="54"/>
  <c r="N115" i="54"/>
  <c r="N111" i="54"/>
  <c r="N107" i="54"/>
  <c r="N103" i="54"/>
  <c r="S95" i="54"/>
  <c r="J126" i="1" s="1"/>
  <c r="S97" i="54"/>
  <c r="J128" i="1" s="1"/>
  <c r="S98" i="54"/>
  <c r="J129" i="1" s="1"/>
  <c r="S96" i="54"/>
  <c r="J127" i="1" s="1"/>
  <c r="L104" i="54"/>
  <c r="L181" i="54"/>
  <c r="L173" i="54"/>
  <c r="L161" i="54"/>
  <c r="M161" i="54"/>
  <c r="I192" i="1" s="1"/>
  <c r="L153" i="54"/>
  <c r="M153" i="54"/>
  <c r="I184" i="1" s="1"/>
  <c r="L145" i="54"/>
  <c r="M145" i="54"/>
  <c r="I176" i="1" s="1"/>
  <c r="L133" i="54"/>
  <c r="L121" i="54"/>
  <c r="L101" i="54"/>
  <c r="L107" i="54"/>
  <c r="L103" i="54"/>
  <c r="L184" i="54"/>
  <c r="L180" i="54"/>
  <c r="L176" i="54"/>
  <c r="L172" i="54"/>
  <c r="L168" i="54"/>
  <c r="L164" i="54"/>
  <c r="L160" i="54"/>
  <c r="L156" i="54"/>
  <c r="L152" i="54"/>
  <c r="L148" i="54"/>
  <c r="L144" i="54"/>
  <c r="L140" i="54"/>
  <c r="L136" i="54"/>
  <c r="L132" i="54"/>
  <c r="L128" i="54"/>
  <c r="L124" i="54"/>
  <c r="L120" i="54"/>
  <c r="L116" i="54"/>
  <c r="L112" i="54"/>
  <c r="L108" i="54"/>
  <c r="L177" i="54"/>
  <c r="L169" i="54"/>
  <c r="M169" i="54"/>
  <c r="I200" i="1" s="1"/>
  <c r="L157" i="54"/>
  <c r="M141" i="54"/>
  <c r="I172" i="1" s="1"/>
  <c r="L141" i="54"/>
  <c r="M125" i="54"/>
  <c r="I156" i="1" s="1"/>
  <c r="L125" i="54"/>
  <c r="L113" i="54"/>
  <c r="L110" i="54"/>
  <c r="L102" i="54"/>
  <c r="L179" i="54"/>
  <c r="L171" i="54"/>
  <c r="L163" i="54"/>
  <c r="L155" i="54"/>
  <c r="L147" i="54"/>
  <c r="M139" i="54"/>
  <c r="I170" i="1" s="1"/>
  <c r="L139" i="54"/>
  <c r="L135" i="54"/>
  <c r="L127" i="54"/>
  <c r="L119" i="54"/>
  <c r="L111" i="54"/>
  <c r="L185" i="54"/>
  <c r="M185" i="54"/>
  <c r="I216" i="1" s="1"/>
  <c r="L165" i="54"/>
  <c r="L149" i="54"/>
  <c r="L137" i="54"/>
  <c r="L129" i="54"/>
  <c r="L117" i="54"/>
  <c r="L106" i="54"/>
  <c r="L183" i="54"/>
  <c r="L175" i="54"/>
  <c r="L167" i="54"/>
  <c r="L159" i="54"/>
  <c r="L151" i="54"/>
  <c r="L143" i="54"/>
  <c r="L131" i="54"/>
  <c r="L123" i="54"/>
  <c r="L115" i="54"/>
  <c r="M109" i="54"/>
  <c r="I140" i="1" s="1"/>
  <c r="L109" i="54"/>
  <c r="L105" i="54"/>
  <c r="L182" i="54"/>
  <c r="L178" i="54"/>
  <c r="L174" i="54"/>
  <c r="L170" i="54"/>
  <c r="L166" i="54"/>
  <c r="L162" i="54"/>
  <c r="L158" i="54"/>
  <c r="L154" i="54"/>
  <c r="L150" i="54"/>
  <c r="L146" i="54"/>
  <c r="L142" i="54"/>
  <c r="L138" i="54"/>
  <c r="L134" i="54"/>
  <c r="L130" i="54"/>
  <c r="L126" i="54"/>
  <c r="L122" i="54"/>
  <c r="L118" i="54"/>
  <c r="L114" i="54"/>
  <c r="L104" i="90"/>
  <c r="G159" i="90" s="1"/>
  <c r="J159" i="90" s="1"/>
  <c r="J104" i="90"/>
  <c r="P99" i="90"/>
  <c r="R99" i="90" s="1"/>
  <c r="O104" i="90"/>
  <c r="P102" i="90"/>
  <c r="R102" i="90" s="1"/>
  <c r="P77" i="90"/>
  <c r="R77" i="90" s="1"/>
  <c r="P59" i="90"/>
  <c r="R59" i="90" s="1"/>
  <c r="N104" i="90"/>
  <c r="P96" i="90"/>
  <c r="R96" i="90" s="1"/>
  <c r="P103" i="90"/>
  <c r="R103" i="90" s="1"/>
  <c r="P95" i="90"/>
  <c r="R95" i="90" s="1"/>
  <c r="P98" i="90"/>
  <c r="P97" i="90"/>
  <c r="R180" i="54" s="1"/>
  <c r="P100" i="90"/>
  <c r="R100" i="90" s="1"/>
  <c r="P75" i="90"/>
  <c r="R75" i="90" s="1"/>
  <c r="P101" i="90"/>
  <c r="H188" i="54"/>
  <c r="H212" i="1"/>
  <c r="H215" i="1"/>
  <c r="H211" i="1"/>
  <c r="H100" i="54"/>
  <c r="G104" i="90"/>
  <c r="G100" i="91"/>
  <c r="H113" i="1"/>
  <c r="H97" i="1"/>
  <c r="H65" i="1"/>
  <c r="H76" i="1"/>
  <c r="H60" i="1"/>
  <c r="H129" i="1"/>
  <c r="H81" i="1"/>
  <c r="H84" i="1"/>
  <c r="H121" i="1"/>
  <c r="H105" i="1"/>
  <c r="H89" i="1"/>
  <c r="H64" i="1"/>
  <c r="H56" i="1"/>
  <c r="H68" i="1"/>
  <c r="H52" i="1"/>
  <c r="H72" i="1"/>
  <c r="H73" i="1"/>
  <c r="H57" i="1"/>
  <c r="H126" i="1"/>
  <c r="H118" i="1"/>
  <c r="H110" i="1"/>
  <c r="H102" i="1"/>
  <c r="H94" i="1"/>
  <c r="H86" i="1"/>
  <c r="H78" i="1"/>
  <c r="H70" i="1"/>
  <c r="H62" i="1"/>
  <c r="H54" i="1"/>
  <c r="J130" i="1"/>
  <c r="I100" i="54"/>
  <c r="G17" i="54"/>
  <c r="H17" i="54"/>
  <c r="H104" i="90"/>
  <c r="G192" i="90"/>
  <c r="J177" i="90"/>
  <c r="P24" i="90"/>
  <c r="P30" i="90"/>
  <c r="R113" i="54" s="1"/>
  <c r="P46" i="90"/>
  <c r="P48" i="90"/>
  <c r="R48" i="90" s="1"/>
  <c r="P62" i="90"/>
  <c r="R62" i="90" s="1"/>
  <c r="P72" i="90"/>
  <c r="P90" i="90"/>
  <c r="R90" i="90" s="1"/>
  <c r="P83" i="90"/>
  <c r="R83" i="90" s="1"/>
  <c r="P45" i="90"/>
  <c r="R45" i="90" s="1"/>
  <c r="P51" i="90"/>
  <c r="R51" i="90" s="1"/>
  <c r="P53" i="90"/>
  <c r="R53" i="90" s="1"/>
  <c r="P26" i="90"/>
  <c r="R26" i="90" s="1"/>
  <c r="P23" i="90"/>
  <c r="R23" i="90" s="1"/>
  <c r="P35" i="90"/>
  <c r="R35" i="90" s="1"/>
  <c r="P37" i="90"/>
  <c r="R37" i="90" s="1"/>
  <c r="P27" i="90"/>
  <c r="R27" i="90" s="1"/>
  <c r="P36" i="90"/>
  <c r="R36" i="90" s="1"/>
  <c r="P85" i="90"/>
  <c r="R85" i="90" s="1"/>
  <c r="P89" i="90"/>
  <c r="R89" i="90" s="1"/>
  <c r="P93" i="90"/>
  <c r="R93" i="90" s="1"/>
  <c r="P43" i="90"/>
  <c r="P61" i="90"/>
  <c r="R144" i="54" s="1"/>
  <c r="P67" i="90"/>
  <c r="R67" i="90" s="1"/>
  <c r="P69" i="90"/>
  <c r="R69" i="90" s="1"/>
  <c r="P80" i="90"/>
  <c r="R80" i="90" s="1"/>
  <c r="P88" i="90"/>
  <c r="R88" i="90" s="1"/>
  <c r="P91" i="90"/>
  <c r="R91" i="90" s="1"/>
  <c r="P82" i="90"/>
  <c r="R82" i="90" s="1"/>
  <c r="P21" i="90"/>
  <c r="P32" i="90"/>
  <c r="R32" i="90" s="1"/>
  <c r="P40" i="90"/>
  <c r="R40" i="90" s="1"/>
  <c r="P66" i="90"/>
  <c r="R66" i="90" s="1"/>
  <c r="P92" i="90"/>
  <c r="P94" i="90"/>
  <c r="R94" i="90" s="1"/>
  <c r="P20" i="90"/>
  <c r="R20" i="90" s="1"/>
  <c r="P22" i="90"/>
  <c r="R22" i="90" s="1"/>
  <c r="P56" i="90"/>
  <c r="R56" i="90" s="1"/>
  <c r="P64" i="90"/>
  <c r="R64" i="90" s="1"/>
  <c r="P74" i="90"/>
  <c r="R74" i="90" s="1"/>
  <c r="P70" i="90"/>
  <c r="R70" i="90" s="1"/>
  <c r="P86" i="90"/>
  <c r="R86" i="90" s="1"/>
  <c r="P29" i="90"/>
  <c r="R29" i="90" s="1"/>
  <c r="P49" i="90"/>
  <c r="R132" i="54" s="1"/>
  <c r="P55" i="90"/>
  <c r="R55" i="90" s="1"/>
  <c r="P65" i="90"/>
  <c r="R65" i="90" s="1"/>
  <c r="P81" i="90"/>
  <c r="P87" i="90"/>
  <c r="R87" i="90" s="1"/>
  <c r="P18" i="90"/>
  <c r="R18" i="90" s="1"/>
  <c r="P19" i="90"/>
  <c r="R19" i="90" s="1"/>
  <c r="P25" i="90"/>
  <c r="P38" i="90"/>
  <c r="R121" i="54" s="1"/>
  <c r="P78" i="90"/>
  <c r="R78" i="90" s="1"/>
  <c r="P33" i="90"/>
  <c r="R33" i="90" s="1"/>
  <c r="P39" i="90"/>
  <c r="R39" i="90" s="1"/>
  <c r="P71" i="90"/>
  <c r="R71" i="90" s="1"/>
  <c r="P28" i="90"/>
  <c r="R28" i="90" s="1"/>
  <c r="P31" i="90"/>
  <c r="P41" i="90"/>
  <c r="R41" i="90" s="1"/>
  <c r="P47" i="90"/>
  <c r="R47" i="90" s="1"/>
  <c r="P54" i="90"/>
  <c r="R54" i="90" s="1"/>
  <c r="P57" i="90"/>
  <c r="P63" i="90"/>
  <c r="P73" i="90"/>
  <c r="P79" i="90"/>
  <c r="R79" i="90" s="1"/>
  <c r="P34" i="90"/>
  <c r="R34" i="90" s="1"/>
  <c r="P42" i="90"/>
  <c r="R42" i="90" s="1"/>
  <c r="P50" i="90"/>
  <c r="R133" i="54" s="1"/>
  <c r="P58" i="90"/>
  <c r="R58" i="90" s="1"/>
  <c r="P44" i="90"/>
  <c r="P52" i="90"/>
  <c r="R52" i="90" s="1"/>
  <c r="P60" i="90"/>
  <c r="P68" i="90"/>
  <c r="R68" i="90" s="1"/>
  <c r="P76" i="90"/>
  <c r="P84" i="90"/>
  <c r="R84" i="90" s="1"/>
  <c r="R30" i="90" l="1"/>
  <c r="R38" i="90"/>
  <c r="P104" i="54"/>
  <c r="R49" i="90"/>
  <c r="P169" i="54"/>
  <c r="P117" i="54"/>
  <c r="P133" i="54"/>
  <c r="P174" i="54"/>
  <c r="P106" i="54"/>
  <c r="P122" i="54"/>
  <c r="P138" i="54"/>
  <c r="P154" i="54"/>
  <c r="P170" i="54"/>
  <c r="P153" i="54"/>
  <c r="P152" i="54"/>
  <c r="P168" i="54"/>
  <c r="P184" i="54"/>
  <c r="P125" i="54"/>
  <c r="P141" i="54"/>
  <c r="P109" i="54"/>
  <c r="P124" i="54"/>
  <c r="P144" i="54"/>
  <c r="P160" i="54"/>
  <c r="P176" i="54"/>
  <c r="P131" i="54"/>
  <c r="P147" i="54"/>
  <c r="P179" i="54"/>
  <c r="P115" i="54"/>
  <c r="P163" i="54"/>
  <c r="P120" i="54"/>
  <c r="P140" i="54"/>
  <c r="P156" i="54"/>
  <c r="P172" i="54"/>
  <c r="P149" i="54"/>
  <c r="P173" i="54"/>
  <c r="P157" i="54"/>
  <c r="P186" i="54"/>
  <c r="P111" i="54"/>
  <c r="P127" i="54"/>
  <c r="P143" i="54"/>
  <c r="P159" i="54"/>
  <c r="P175" i="54"/>
  <c r="P145" i="54"/>
  <c r="P185" i="54"/>
  <c r="P129" i="54"/>
  <c r="P110" i="54"/>
  <c r="P126" i="54"/>
  <c r="P142" i="54"/>
  <c r="P158" i="54"/>
  <c r="P105" i="54"/>
  <c r="P121" i="54"/>
  <c r="P137" i="54"/>
  <c r="R167" i="54"/>
  <c r="R135" i="54"/>
  <c r="R125" i="54"/>
  <c r="R146" i="54"/>
  <c r="R124" i="54"/>
  <c r="R122" i="54"/>
  <c r="R108" i="54"/>
  <c r="R164" i="54"/>
  <c r="R112" i="54"/>
  <c r="R128" i="54"/>
  <c r="R147" i="54"/>
  <c r="S94" i="90"/>
  <c r="V94" i="90" s="1"/>
  <c r="R177" i="54"/>
  <c r="R115" i="54"/>
  <c r="R171" i="54"/>
  <c r="R127" i="54"/>
  <c r="R140" i="54"/>
  <c r="R116" i="54"/>
  <c r="R169" i="54"/>
  <c r="R104" i="54"/>
  <c r="R168" i="54"/>
  <c r="R183" i="54"/>
  <c r="R151" i="54"/>
  <c r="S58" i="90"/>
  <c r="V58" i="90" s="1"/>
  <c r="R141" i="54"/>
  <c r="R162" i="54"/>
  <c r="R137" i="54"/>
  <c r="R111" i="54"/>
  <c r="R161" i="54"/>
  <c r="R101" i="54"/>
  <c r="R138" i="54"/>
  <c r="R153" i="54"/>
  <c r="R105" i="54"/>
  <c r="R149" i="54"/>
  <c r="R165" i="54"/>
  <c r="R152" i="54"/>
  <c r="S35" i="90"/>
  <c r="V35" i="90" s="1"/>
  <c r="R118" i="54"/>
  <c r="R109" i="54"/>
  <c r="R166" i="54"/>
  <c r="R131" i="54"/>
  <c r="R179" i="54"/>
  <c r="R185" i="54"/>
  <c r="P103" i="54"/>
  <c r="P119" i="54"/>
  <c r="P135" i="54"/>
  <c r="P151" i="54"/>
  <c r="P167" i="54"/>
  <c r="P183" i="54"/>
  <c r="P165" i="54"/>
  <c r="P116" i="54"/>
  <c r="S144" i="54"/>
  <c r="P113" i="54"/>
  <c r="P181" i="54"/>
  <c r="P114" i="54"/>
  <c r="P130" i="54"/>
  <c r="P146" i="54"/>
  <c r="P162" i="54"/>
  <c r="P182" i="54"/>
  <c r="R172" i="54"/>
  <c r="R110" i="54"/>
  <c r="R106" i="54"/>
  <c r="R134" i="54"/>
  <c r="R155" i="54"/>
  <c r="R158" i="54"/>
  <c r="R178" i="54"/>
  <c r="R142" i="54"/>
  <c r="R159" i="54"/>
  <c r="R117" i="54"/>
  <c r="R114" i="54"/>
  <c r="R102" i="54"/>
  <c r="R148" i="54"/>
  <c r="R139" i="54"/>
  <c r="R175" i="54"/>
  <c r="R163" i="54"/>
  <c r="R126" i="54"/>
  <c r="R120" i="54"/>
  <c r="R145" i="54"/>
  <c r="R107" i="54"/>
  <c r="R186" i="54"/>
  <c r="R160" i="54"/>
  <c r="S182" i="54"/>
  <c r="R182" i="54"/>
  <c r="K100" i="54"/>
  <c r="G15" i="76" s="1"/>
  <c r="H15" i="76" s="1"/>
  <c r="P132" i="54"/>
  <c r="P178" i="54"/>
  <c r="R143" i="54"/>
  <c r="R156" i="54"/>
  <c r="R130" i="54"/>
  <c r="R154" i="54"/>
  <c r="R170" i="54"/>
  <c r="R157" i="54"/>
  <c r="R103" i="54"/>
  <c r="R123" i="54"/>
  <c r="R174" i="54"/>
  <c r="R150" i="54"/>
  <c r="R176" i="54"/>
  <c r="R119" i="54"/>
  <c r="R136" i="54"/>
  <c r="R173" i="54"/>
  <c r="R129" i="54"/>
  <c r="R184" i="54"/>
  <c r="R181" i="54"/>
  <c r="P107" i="54"/>
  <c r="P123" i="54"/>
  <c r="P139" i="54"/>
  <c r="P155" i="54"/>
  <c r="P171" i="54"/>
  <c r="P177" i="54"/>
  <c r="P108" i="54"/>
  <c r="P136" i="54"/>
  <c r="P148" i="54"/>
  <c r="P164" i="54"/>
  <c r="P180" i="54"/>
  <c r="P161" i="54"/>
  <c r="P102" i="54"/>
  <c r="P118" i="54"/>
  <c r="P134" i="54"/>
  <c r="P150" i="54"/>
  <c r="P166" i="54"/>
  <c r="P128" i="54"/>
  <c r="P112" i="54"/>
  <c r="G157" i="90"/>
  <c r="J157" i="90" s="1"/>
  <c r="G160" i="90"/>
  <c r="J160" i="90" s="1"/>
  <c r="G158" i="90"/>
  <c r="J158" i="90" s="1"/>
  <c r="M186" i="54"/>
  <c r="I217" i="1" s="1"/>
  <c r="O100" i="54"/>
  <c r="I134" i="1"/>
  <c r="S147" i="54"/>
  <c r="S149" i="54"/>
  <c r="S76" i="90"/>
  <c r="V76" i="90" s="1"/>
  <c r="S45" i="90"/>
  <c r="V45" i="90" s="1"/>
  <c r="S170" i="54"/>
  <c r="H219" i="1"/>
  <c r="H131" i="1"/>
  <c r="P104" i="90"/>
  <c r="S79" i="90"/>
  <c r="V79" i="90" s="1"/>
  <c r="S74" i="90"/>
  <c r="V74" i="90" s="1"/>
  <c r="S31" i="90" l="1"/>
  <c r="V31" i="90" s="1"/>
  <c r="S50" i="90"/>
  <c r="V50" i="90" s="1"/>
  <c r="S65" i="90"/>
  <c r="V65" i="90" s="1"/>
  <c r="G19" i="76"/>
  <c r="H19" i="76" s="1"/>
  <c r="J19" i="76" s="1"/>
  <c r="F14" i="97" s="1"/>
  <c r="S72" i="90"/>
  <c r="V72" i="90" s="1"/>
  <c r="S33" i="90"/>
  <c r="V33" i="90" s="1"/>
  <c r="S101" i="54"/>
  <c r="J132" i="1" s="1"/>
  <c r="K132" i="1" s="1"/>
  <c r="R132" i="1" s="1"/>
  <c r="S23" i="90"/>
  <c r="V23" i="90" s="1"/>
  <c r="S99" i="90"/>
  <c r="V99" i="90" s="1"/>
  <c r="J167" i="90"/>
  <c r="N167" i="90" s="1"/>
  <c r="R167" i="90" s="1"/>
  <c r="G167" i="90"/>
  <c r="M100" i="54"/>
  <c r="S118" i="54"/>
  <c r="J149" i="1" s="1"/>
  <c r="K149" i="1" s="1"/>
  <c r="R149" i="1" s="1"/>
  <c r="S132" i="54"/>
  <c r="T132" i="54" s="1"/>
  <c r="V132" i="54" s="1"/>
  <c r="S62" i="90"/>
  <c r="V62" i="90" s="1"/>
  <c r="S145" i="54"/>
  <c r="J176" i="1" s="1"/>
  <c r="K176" i="1" s="1"/>
  <c r="R176" i="1" s="1"/>
  <c r="S152" i="54"/>
  <c r="J183" i="1" s="1"/>
  <c r="K183" i="1" s="1"/>
  <c r="R183" i="1" s="1"/>
  <c r="S127" i="54"/>
  <c r="J158" i="1" s="1"/>
  <c r="K158" i="1" s="1"/>
  <c r="R158" i="1" s="1"/>
  <c r="S171" i="54"/>
  <c r="J202" i="1" s="1"/>
  <c r="K202" i="1" s="1"/>
  <c r="R202" i="1" s="1"/>
  <c r="S135" i="54"/>
  <c r="T135" i="54" s="1"/>
  <c r="V135" i="54" s="1"/>
  <c r="S131" i="54"/>
  <c r="T131" i="54" s="1"/>
  <c r="V131" i="54" s="1"/>
  <c r="S150" i="54"/>
  <c r="J181" i="1" s="1"/>
  <c r="K181" i="1" s="1"/>
  <c r="R181" i="1" s="1"/>
  <c r="S105" i="54"/>
  <c r="J136" i="1" s="1"/>
  <c r="K136" i="1" s="1"/>
  <c r="R136" i="1" s="1"/>
  <c r="S161" i="54"/>
  <c r="J192" i="1" s="1"/>
  <c r="K192" i="1" s="1"/>
  <c r="R192" i="1" s="1"/>
  <c r="S116" i="54"/>
  <c r="J147" i="1" s="1"/>
  <c r="K147" i="1" s="1"/>
  <c r="R147" i="1" s="1"/>
  <c r="S102" i="90"/>
  <c r="V102" i="90" s="1"/>
  <c r="S185" i="54"/>
  <c r="T185" i="54" s="1"/>
  <c r="S115" i="54"/>
  <c r="J146" i="1" s="1"/>
  <c r="K146" i="1" s="1"/>
  <c r="R146" i="1" s="1"/>
  <c r="S137" i="54"/>
  <c r="T137" i="54" s="1"/>
  <c r="V137" i="54" s="1"/>
  <c r="S129" i="54"/>
  <c r="J160" i="1" s="1"/>
  <c r="K160" i="1" s="1"/>
  <c r="R160" i="1" s="1"/>
  <c r="S126" i="54"/>
  <c r="J157" i="1" s="1"/>
  <c r="K157" i="1" s="1"/>
  <c r="R157" i="1" s="1"/>
  <c r="S102" i="54"/>
  <c r="J133" i="1" s="1"/>
  <c r="K133" i="1" s="1"/>
  <c r="R133" i="1" s="1"/>
  <c r="S140" i="54"/>
  <c r="J171" i="1" s="1"/>
  <c r="K171" i="1" s="1"/>
  <c r="R171" i="1" s="1"/>
  <c r="S167" i="54"/>
  <c r="T167" i="54" s="1"/>
  <c r="V167" i="54" s="1"/>
  <c r="S96" i="90"/>
  <c r="V96" i="90" s="1"/>
  <c r="S179" i="54"/>
  <c r="T179" i="54" s="1"/>
  <c r="S172" i="54"/>
  <c r="J203" i="1" s="1"/>
  <c r="K203" i="1" s="1"/>
  <c r="R203" i="1" s="1"/>
  <c r="S143" i="54"/>
  <c r="J174" i="1" s="1"/>
  <c r="K174" i="1" s="1"/>
  <c r="R174" i="1" s="1"/>
  <c r="S173" i="54"/>
  <c r="J204" i="1" s="1"/>
  <c r="K204" i="1" s="1"/>
  <c r="R204" i="1" s="1"/>
  <c r="S153" i="54"/>
  <c r="J184" i="1" s="1"/>
  <c r="K184" i="1" s="1"/>
  <c r="R184" i="1" s="1"/>
  <c r="S100" i="90"/>
  <c r="V100" i="90" s="1"/>
  <c r="S183" i="54"/>
  <c r="J214" i="1" s="1"/>
  <c r="K214" i="1" s="1"/>
  <c r="R214" i="1" s="1"/>
  <c r="S165" i="54"/>
  <c r="J196" i="1" s="1"/>
  <c r="K196" i="1" s="1"/>
  <c r="R196" i="1" s="1"/>
  <c r="S95" i="90"/>
  <c r="V95" i="90" s="1"/>
  <c r="S178" i="54"/>
  <c r="T178" i="54" s="1"/>
  <c r="S166" i="54"/>
  <c r="J197" i="1" s="1"/>
  <c r="K197" i="1" s="1"/>
  <c r="R197" i="1" s="1"/>
  <c r="S174" i="54"/>
  <c r="J205" i="1" s="1"/>
  <c r="K205" i="1" s="1"/>
  <c r="R205" i="1" s="1"/>
  <c r="S29" i="90"/>
  <c r="V29" i="90" s="1"/>
  <c r="S112" i="54"/>
  <c r="J143" i="1" s="1"/>
  <c r="K143" i="1" s="1"/>
  <c r="R143" i="1" s="1"/>
  <c r="S128" i="54"/>
  <c r="T128" i="54" s="1"/>
  <c r="V128" i="54" s="1"/>
  <c r="S130" i="54"/>
  <c r="J161" i="1" s="1"/>
  <c r="K161" i="1" s="1"/>
  <c r="R161" i="1" s="1"/>
  <c r="S111" i="54"/>
  <c r="J142" i="1" s="1"/>
  <c r="K142" i="1" s="1"/>
  <c r="R142" i="1" s="1"/>
  <c r="S59" i="90"/>
  <c r="V59" i="90" s="1"/>
  <c r="S142" i="54"/>
  <c r="J173" i="1" s="1"/>
  <c r="K173" i="1" s="1"/>
  <c r="R173" i="1" s="1"/>
  <c r="S177" i="54"/>
  <c r="J208" i="1" s="1"/>
  <c r="K208" i="1" s="1"/>
  <c r="R208" i="1" s="1"/>
  <c r="S162" i="54"/>
  <c r="T162" i="54" s="1"/>
  <c r="V162" i="54" s="1"/>
  <c r="S155" i="54"/>
  <c r="J186" i="1" s="1"/>
  <c r="K186" i="1" s="1"/>
  <c r="R186" i="1" s="1"/>
  <c r="S157" i="54"/>
  <c r="J188" i="1" s="1"/>
  <c r="K188" i="1" s="1"/>
  <c r="R188" i="1" s="1"/>
  <c r="S121" i="54"/>
  <c r="J152" i="1" s="1"/>
  <c r="K152" i="1" s="1"/>
  <c r="R152" i="1" s="1"/>
  <c r="S117" i="54"/>
  <c r="T117" i="54" s="1"/>
  <c r="V117" i="54" s="1"/>
  <c r="S180" i="54"/>
  <c r="T180" i="54" s="1"/>
  <c r="S163" i="54"/>
  <c r="T163" i="54" s="1"/>
  <c r="S159" i="54"/>
  <c r="T159" i="54" s="1"/>
  <c r="V159" i="54" s="1"/>
  <c r="S134" i="54"/>
  <c r="T134" i="54" s="1"/>
  <c r="V134" i="54" s="1"/>
  <c r="S138" i="54"/>
  <c r="J169" i="1" s="1"/>
  <c r="K169" i="1" s="1"/>
  <c r="R169" i="1" s="1"/>
  <c r="S158" i="54"/>
  <c r="T158" i="54" s="1"/>
  <c r="V158" i="54" s="1"/>
  <c r="S123" i="54"/>
  <c r="J154" i="1" s="1"/>
  <c r="K154" i="1" s="1"/>
  <c r="R154" i="1" s="1"/>
  <c r="S101" i="90"/>
  <c r="V101" i="90" s="1"/>
  <c r="S184" i="54"/>
  <c r="T184" i="54" s="1"/>
  <c r="S104" i="54"/>
  <c r="J135" i="1" s="1"/>
  <c r="K135" i="1" s="1"/>
  <c r="R135" i="1" s="1"/>
  <c r="S164" i="54"/>
  <c r="J195" i="1" s="1"/>
  <c r="K195" i="1" s="1"/>
  <c r="R195" i="1" s="1"/>
  <c r="S146" i="54"/>
  <c r="J177" i="1" s="1"/>
  <c r="K177" i="1" s="1"/>
  <c r="R177" i="1" s="1"/>
  <c r="S156" i="54"/>
  <c r="T156" i="54" s="1"/>
  <c r="V156" i="54" s="1"/>
  <c r="S168" i="54"/>
  <c r="T168" i="54" s="1"/>
  <c r="V168" i="54" s="1"/>
  <c r="S122" i="54"/>
  <c r="J153" i="1" s="1"/>
  <c r="K153" i="1" s="1"/>
  <c r="R153" i="1" s="1"/>
  <c r="S160" i="54"/>
  <c r="T160" i="54" s="1"/>
  <c r="V160" i="54" s="1"/>
  <c r="S120" i="54"/>
  <c r="J151" i="1" s="1"/>
  <c r="K151" i="1" s="1"/>
  <c r="R151" i="1" s="1"/>
  <c r="S169" i="54"/>
  <c r="T169" i="54" s="1"/>
  <c r="S154" i="54"/>
  <c r="J185" i="1" s="1"/>
  <c r="K185" i="1" s="1"/>
  <c r="R185" i="1" s="1"/>
  <c r="S133" i="54"/>
  <c r="T133" i="54" s="1"/>
  <c r="V133" i="54" s="1"/>
  <c r="S73" i="90"/>
  <c r="V73" i="90" s="1"/>
  <c r="S55" i="90"/>
  <c r="V55" i="90" s="1"/>
  <c r="S77" i="90"/>
  <c r="V77" i="90" s="1"/>
  <c r="S113" i="54"/>
  <c r="J144" i="1" s="1"/>
  <c r="K144" i="1" s="1"/>
  <c r="R144" i="1" s="1"/>
  <c r="S139" i="54"/>
  <c r="J170" i="1" s="1"/>
  <c r="K170" i="1" s="1"/>
  <c r="R170" i="1" s="1"/>
  <c r="S98" i="90"/>
  <c r="V98" i="90" s="1"/>
  <c r="S181" i="54"/>
  <c r="T181" i="54" s="1"/>
  <c r="V181" i="54" s="1"/>
  <c r="S106" i="54"/>
  <c r="J137" i="1" s="1"/>
  <c r="K137" i="1" s="1"/>
  <c r="R137" i="1" s="1"/>
  <c r="S136" i="54"/>
  <c r="T136" i="54" s="1"/>
  <c r="V136" i="54" s="1"/>
  <c r="S103" i="54"/>
  <c r="J134" i="1" s="1"/>
  <c r="K134" i="1" s="1"/>
  <c r="R134" i="1" s="1"/>
  <c r="S107" i="54"/>
  <c r="J138" i="1" s="1"/>
  <c r="K138" i="1" s="1"/>
  <c r="R138" i="1" s="1"/>
  <c r="S119" i="54"/>
  <c r="J150" i="1" s="1"/>
  <c r="K150" i="1" s="1"/>
  <c r="R150" i="1" s="1"/>
  <c r="S175" i="54"/>
  <c r="T175" i="54" s="1"/>
  <c r="S108" i="54"/>
  <c r="J139" i="1" s="1"/>
  <c r="K139" i="1" s="1"/>
  <c r="R139" i="1" s="1"/>
  <c r="S141" i="54"/>
  <c r="J172" i="1" s="1"/>
  <c r="K172" i="1" s="1"/>
  <c r="R172" i="1" s="1"/>
  <c r="S125" i="54"/>
  <c r="J156" i="1" s="1"/>
  <c r="K156" i="1" s="1"/>
  <c r="R156" i="1" s="1"/>
  <c r="S176" i="54"/>
  <c r="J207" i="1" s="1"/>
  <c r="K207" i="1" s="1"/>
  <c r="R207" i="1" s="1"/>
  <c r="S114" i="54"/>
  <c r="T114" i="54" s="1"/>
  <c r="V114" i="54" s="1"/>
  <c r="S103" i="90"/>
  <c r="V103" i="90" s="1"/>
  <c r="S186" i="54"/>
  <c r="T186" i="54" s="1"/>
  <c r="S110" i="54"/>
  <c r="T110" i="54" s="1"/>
  <c r="V110" i="54" s="1"/>
  <c r="S148" i="54"/>
  <c r="T148" i="54" s="1"/>
  <c r="V148" i="54" s="1"/>
  <c r="S124" i="54"/>
  <c r="J155" i="1" s="1"/>
  <c r="K155" i="1" s="1"/>
  <c r="R155" i="1" s="1"/>
  <c r="S151" i="54"/>
  <c r="T151" i="54" s="1"/>
  <c r="V151" i="54" s="1"/>
  <c r="I131" i="1"/>
  <c r="S90" i="90"/>
  <c r="V90" i="90" s="1"/>
  <c r="S80" i="90"/>
  <c r="V80" i="90" s="1"/>
  <c r="S47" i="90"/>
  <c r="V47" i="90" s="1"/>
  <c r="S44" i="90"/>
  <c r="V44" i="90" s="1"/>
  <c r="S83" i="90"/>
  <c r="V83" i="90" s="1"/>
  <c r="S81" i="90"/>
  <c r="V81" i="90" s="1"/>
  <c r="S86" i="90"/>
  <c r="V86" i="90" s="1"/>
  <c r="S37" i="90"/>
  <c r="V37" i="90" s="1"/>
  <c r="S63" i="90"/>
  <c r="V63" i="90" s="1"/>
  <c r="S60" i="90"/>
  <c r="V60" i="90" s="1"/>
  <c r="S57" i="90"/>
  <c r="V57" i="90" s="1"/>
  <c r="S91" i="90"/>
  <c r="V91" i="90" s="1"/>
  <c r="S51" i="90"/>
  <c r="V51" i="90" s="1"/>
  <c r="S56" i="90"/>
  <c r="V56" i="90" s="1"/>
  <c r="S92" i="90"/>
  <c r="V92" i="90" s="1"/>
  <c r="S20" i="90"/>
  <c r="V20" i="90" s="1"/>
  <c r="S69" i="90"/>
  <c r="V69" i="90" s="1"/>
  <c r="S19" i="90"/>
  <c r="V19" i="90" s="1"/>
  <c r="S93" i="90"/>
  <c r="V93" i="90" s="1"/>
  <c r="S89" i="90"/>
  <c r="V89" i="90" s="1"/>
  <c r="S46" i="90"/>
  <c r="V46" i="90" s="1"/>
  <c r="S78" i="90"/>
  <c r="V78" i="90" s="1"/>
  <c r="S71" i="90"/>
  <c r="V71" i="90" s="1"/>
  <c r="S84" i="90"/>
  <c r="V84" i="90" s="1"/>
  <c r="S36" i="90"/>
  <c r="V36" i="90" s="1"/>
  <c r="S53" i="90"/>
  <c r="V53" i="90" s="1"/>
  <c r="S82" i="90"/>
  <c r="V82" i="90" s="1"/>
  <c r="S24" i="90"/>
  <c r="V24" i="90" s="1"/>
  <c r="S43" i="90"/>
  <c r="V43" i="90" s="1"/>
  <c r="S30" i="90"/>
  <c r="V30" i="90" s="1"/>
  <c r="R100" i="54"/>
  <c r="S32" i="90"/>
  <c r="V32" i="90" s="1"/>
  <c r="S39" i="90"/>
  <c r="V39" i="90" s="1"/>
  <c r="S22" i="90"/>
  <c r="V22" i="90" s="1"/>
  <c r="S40" i="90"/>
  <c r="V40" i="90" s="1"/>
  <c r="S42" i="90"/>
  <c r="V42" i="90" s="1"/>
  <c r="S21" i="90"/>
  <c r="V21" i="90" s="1"/>
  <c r="S34" i="90"/>
  <c r="V34" i="90" s="1"/>
  <c r="S70" i="90"/>
  <c r="V70" i="90" s="1"/>
  <c r="S48" i="90"/>
  <c r="V48" i="90" s="1"/>
  <c r="S97" i="90"/>
  <c r="V97" i="90" s="1"/>
  <c r="S27" i="90"/>
  <c r="V27" i="90" s="1"/>
  <c r="S28" i="90"/>
  <c r="V28" i="90" s="1"/>
  <c r="S49" i="90"/>
  <c r="V49" i="90" s="1"/>
  <c r="S52" i="90"/>
  <c r="V52" i="90" s="1"/>
  <c r="S41" i="90"/>
  <c r="V41" i="90" s="1"/>
  <c r="S38" i="90"/>
  <c r="V38" i="90" s="1"/>
  <c r="S25" i="90"/>
  <c r="V25" i="90" s="1"/>
  <c r="S75" i="90"/>
  <c r="V75" i="90" s="1"/>
  <c r="S88" i="90"/>
  <c r="V88" i="90" s="1"/>
  <c r="S85" i="90"/>
  <c r="V85" i="90" s="1"/>
  <c r="S67" i="90"/>
  <c r="V67" i="90" s="1"/>
  <c r="S54" i="90"/>
  <c r="V54" i="90" s="1"/>
  <c r="S68" i="90"/>
  <c r="V68" i="90" s="1"/>
  <c r="S64" i="90"/>
  <c r="V64" i="90" s="1"/>
  <c r="S66" i="90"/>
  <c r="V66" i="90" s="1"/>
  <c r="J201" i="1"/>
  <c r="K201" i="1" s="1"/>
  <c r="R201" i="1" s="1"/>
  <c r="T170" i="54"/>
  <c r="J213" i="1"/>
  <c r="K213" i="1" s="1"/>
  <c r="R213" i="1" s="1"/>
  <c r="T182" i="54"/>
  <c r="S61" i="90"/>
  <c r="V61" i="90" s="1"/>
  <c r="T149" i="54"/>
  <c r="J180" i="1"/>
  <c r="K180" i="1" s="1"/>
  <c r="R180" i="1" s="1"/>
  <c r="J178" i="1"/>
  <c r="K178" i="1" s="1"/>
  <c r="R178" i="1" s="1"/>
  <c r="T147" i="54"/>
  <c r="J175" i="1"/>
  <c r="T144" i="54"/>
  <c r="S87" i="90"/>
  <c r="V87" i="90" s="1"/>
  <c r="J16" i="76"/>
  <c r="J15" i="76"/>
  <c r="M15" i="76" s="1"/>
  <c r="V147" i="54" l="1"/>
  <c r="V163" i="54"/>
  <c r="V186" i="54"/>
  <c r="V179" i="54"/>
  <c r="V149" i="54"/>
  <c r="V170" i="54"/>
  <c r="V185" i="54"/>
  <c r="V169" i="54"/>
  <c r="V182" i="54"/>
  <c r="V175" i="54"/>
  <c r="V184" i="54"/>
  <c r="V180" i="54"/>
  <c r="V178" i="54"/>
  <c r="T101" i="54"/>
  <c r="V101" i="54" s="1"/>
  <c r="T165" i="54"/>
  <c r="J190" i="1"/>
  <c r="K190" i="1" s="1"/>
  <c r="R190" i="1" s="1"/>
  <c r="T102" i="54"/>
  <c r="V102" i="54" s="1"/>
  <c r="J162" i="1"/>
  <c r="K162" i="1" s="1"/>
  <c r="R162" i="1" s="1"/>
  <c r="J168" i="1"/>
  <c r="K168" i="1" s="1"/>
  <c r="R168" i="1" s="1"/>
  <c r="J209" i="1"/>
  <c r="K209" i="1" s="1"/>
  <c r="R209" i="1" s="1"/>
  <c r="J215" i="1"/>
  <c r="K215" i="1" s="1"/>
  <c r="R215" i="1" s="1"/>
  <c r="J211" i="1"/>
  <c r="K211" i="1" s="1"/>
  <c r="R211" i="1" s="1"/>
  <c r="T177" i="54"/>
  <c r="V177" i="54" s="1"/>
  <c r="T105" i="54"/>
  <c r="V105" i="54" s="1"/>
  <c r="J200" i="1"/>
  <c r="K200" i="1" s="1"/>
  <c r="R200" i="1" s="1"/>
  <c r="T140" i="54"/>
  <c r="V140" i="54" s="1"/>
  <c r="T172" i="54"/>
  <c r="V172" i="54" s="1"/>
  <c r="T119" i="54"/>
  <c r="V119" i="54" s="1"/>
  <c r="T154" i="54"/>
  <c r="V154" i="54" s="1"/>
  <c r="J216" i="1"/>
  <c r="K216" i="1" s="1"/>
  <c r="R216" i="1" s="1"/>
  <c r="T115" i="54"/>
  <c r="V115" i="54" s="1"/>
  <c r="T122" i="54"/>
  <c r="V122" i="54" s="1"/>
  <c r="T121" i="54"/>
  <c r="V121" i="54" s="1"/>
  <c r="T130" i="54"/>
  <c r="V130" i="54" s="1"/>
  <c r="T145" i="54"/>
  <c r="V145" i="54" s="1"/>
  <c r="J187" i="1"/>
  <c r="K187" i="1" s="1"/>
  <c r="R187" i="1" s="1"/>
  <c r="T142" i="54"/>
  <c r="V142" i="54" s="1"/>
  <c r="J167" i="1"/>
  <c r="K167" i="1" s="1"/>
  <c r="R167" i="1" s="1"/>
  <c r="T111" i="54"/>
  <c r="V111" i="54" s="1"/>
  <c r="T124" i="54"/>
  <c r="V124" i="54" s="1"/>
  <c r="T139" i="54"/>
  <c r="V139" i="54" s="1"/>
  <c r="J189" i="1"/>
  <c r="K189" i="1" s="1"/>
  <c r="R189" i="1" s="1"/>
  <c r="J212" i="1"/>
  <c r="K212" i="1" s="1"/>
  <c r="R212" i="1" s="1"/>
  <c r="J159" i="1"/>
  <c r="K159" i="1" s="1"/>
  <c r="R159" i="1" s="1"/>
  <c r="T164" i="54"/>
  <c r="T107" i="54"/>
  <c r="V107" i="54" s="1"/>
  <c r="T120" i="54"/>
  <c r="V120" i="54" s="1"/>
  <c r="T150" i="54"/>
  <c r="V150" i="54" s="1"/>
  <c r="J217" i="1"/>
  <c r="K217" i="1" s="1"/>
  <c r="R217" i="1" s="1"/>
  <c r="T123" i="54"/>
  <c r="V123" i="54" s="1"/>
  <c r="T108" i="54"/>
  <c r="V108" i="54" s="1"/>
  <c r="T103" i="54"/>
  <c r="V103" i="54" s="1"/>
  <c r="T161" i="54"/>
  <c r="V161" i="54" s="1"/>
  <c r="J198" i="1"/>
  <c r="K198" i="1" s="1"/>
  <c r="R198" i="1" s="1"/>
  <c r="J193" i="1"/>
  <c r="K193" i="1" s="1"/>
  <c r="R193" i="1" s="1"/>
  <c r="T129" i="54"/>
  <c r="V129" i="54" s="1"/>
  <c r="T104" i="54"/>
  <c r="V104" i="54" s="1"/>
  <c r="J179" i="1"/>
  <c r="K179" i="1" s="1"/>
  <c r="R179" i="1" s="1"/>
  <c r="J199" i="1"/>
  <c r="K199" i="1" s="1"/>
  <c r="R199" i="1" s="1"/>
  <c r="T138" i="54"/>
  <c r="V138" i="54" s="1"/>
  <c r="J164" i="1"/>
  <c r="K164" i="1" s="1"/>
  <c r="R164" i="1" s="1"/>
  <c r="J191" i="1"/>
  <c r="K191" i="1" s="1"/>
  <c r="R191" i="1" s="1"/>
  <c r="T146" i="54"/>
  <c r="V146" i="54" s="1"/>
  <c r="J165" i="1"/>
  <c r="K165" i="1" s="1"/>
  <c r="R165" i="1" s="1"/>
  <c r="J194" i="1"/>
  <c r="K194" i="1" s="1"/>
  <c r="R194" i="1" s="1"/>
  <c r="J148" i="1"/>
  <c r="K148" i="1" s="1"/>
  <c r="R148" i="1" s="1"/>
  <c r="T157" i="54"/>
  <c r="V157" i="54" s="1"/>
  <c r="T106" i="54"/>
  <c r="V106" i="54" s="1"/>
  <c r="J210" i="1"/>
  <c r="K210" i="1" s="1"/>
  <c r="R210" i="1" s="1"/>
  <c r="T183" i="54"/>
  <c r="V183" i="54" s="1"/>
  <c r="T155" i="54"/>
  <c r="V155" i="54" s="1"/>
  <c r="T166" i="54"/>
  <c r="V166" i="54" s="1"/>
  <c r="J182" i="1"/>
  <c r="K182" i="1" s="1"/>
  <c r="R182" i="1" s="1"/>
  <c r="T112" i="54"/>
  <c r="V112" i="54" s="1"/>
  <c r="T125" i="54"/>
  <c r="V125" i="54" s="1"/>
  <c r="T116" i="54"/>
  <c r="V116" i="54" s="1"/>
  <c r="T126" i="54"/>
  <c r="V126" i="54" s="1"/>
  <c r="J206" i="1"/>
  <c r="K206" i="1" s="1"/>
  <c r="R206" i="1" s="1"/>
  <c r="T127" i="54"/>
  <c r="V127" i="54" s="1"/>
  <c r="T152" i="54"/>
  <c r="V152" i="54" s="1"/>
  <c r="J166" i="1"/>
  <c r="K166" i="1" s="1"/>
  <c r="R166" i="1" s="1"/>
  <c r="T118" i="54"/>
  <c r="V118" i="54" s="1"/>
  <c r="J141" i="1"/>
  <c r="K141" i="1" s="1"/>
  <c r="R141" i="1" s="1"/>
  <c r="J145" i="1"/>
  <c r="K145" i="1" s="1"/>
  <c r="R145" i="1" s="1"/>
  <c r="T174" i="54"/>
  <c r="V174" i="54" s="1"/>
  <c r="T173" i="54"/>
  <c r="V173" i="54" s="1"/>
  <c r="T171" i="54"/>
  <c r="J163" i="1"/>
  <c r="K163" i="1" s="1"/>
  <c r="R163" i="1" s="1"/>
  <c r="T143" i="54"/>
  <c r="V143" i="54" s="1"/>
  <c r="T113" i="54"/>
  <c r="V113" i="54" s="1"/>
  <c r="T176" i="54"/>
  <c r="T153" i="54"/>
  <c r="V153" i="54" s="1"/>
  <c r="T141" i="54"/>
  <c r="V141" i="54" s="1"/>
  <c r="V144" i="54"/>
  <c r="K175" i="1"/>
  <c r="Q90" i="91"/>
  <c r="Q91" i="91"/>
  <c r="Q92" i="91"/>
  <c r="Q93" i="91"/>
  <c r="Q94" i="91"/>
  <c r="Q89" i="91"/>
  <c r="O53" i="91"/>
  <c r="O54" i="91"/>
  <c r="O55" i="91"/>
  <c r="O56" i="91"/>
  <c r="O57" i="91"/>
  <c r="O58" i="91"/>
  <c r="O59" i="91"/>
  <c r="O60" i="91"/>
  <c r="O61" i="91"/>
  <c r="O62" i="91"/>
  <c r="O63" i="91"/>
  <c r="O64" i="91"/>
  <c r="O65" i="91"/>
  <c r="O66" i="91"/>
  <c r="O67" i="91"/>
  <c r="O68" i="91"/>
  <c r="O69" i="91"/>
  <c r="O70" i="91"/>
  <c r="O71" i="91"/>
  <c r="O72" i="91"/>
  <c r="O73" i="91"/>
  <c r="O74" i="91"/>
  <c r="O75" i="91"/>
  <c r="O76" i="91"/>
  <c r="O77" i="91"/>
  <c r="O78" i="91"/>
  <c r="O79" i="91"/>
  <c r="O80" i="91"/>
  <c r="O81" i="91"/>
  <c r="O82" i="91"/>
  <c r="O83" i="91"/>
  <c r="O84" i="91"/>
  <c r="O85" i="91"/>
  <c r="O86" i="91"/>
  <c r="O87" i="91"/>
  <c r="O88" i="91"/>
  <c r="O89" i="91"/>
  <c r="O90" i="91"/>
  <c r="O91" i="91"/>
  <c r="O92" i="91"/>
  <c r="O93" i="91"/>
  <c r="O94" i="91"/>
  <c r="O52" i="91"/>
  <c r="O52" i="54" s="1"/>
  <c r="N94" i="91"/>
  <c r="N53" i="91"/>
  <c r="N54" i="91"/>
  <c r="N55" i="91"/>
  <c r="N56" i="91"/>
  <c r="N57" i="91"/>
  <c r="N58" i="91"/>
  <c r="N59" i="91"/>
  <c r="N60" i="91"/>
  <c r="N61" i="91"/>
  <c r="N62" i="91"/>
  <c r="N63" i="91"/>
  <c r="N64" i="91"/>
  <c r="N65" i="91"/>
  <c r="N66" i="91"/>
  <c r="N67" i="91"/>
  <c r="N68" i="91"/>
  <c r="N69" i="91"/>
  <c r="N70" i="91"/>
  <c r="N71" i="91"/>
  <c r="N72" i="91"/>
  <c r="N73" i="91"/>
  <c r="N74" i="91"/>
  <c r="N75" i="91"/>
  <c r="N76" i="91"/>
  <c r="N77" i="91"/>
  <c r="N78" i="91"/>
  <c r="N79" i="91"/>
  <c r="N80" i="91"/>
  <c r="N81" i="91"/>
  <c r="N82" i="91"/>
  <c r="N83" i="91"/>
  <c r="N84" i="91"/>
  <c r="N85" i="91"/>
  <c r="N86" i="91"/>
  <c r="N87" i="91"/>
  <c r="N88" i="91"/>
  <c r="N89" i="91"/>
  <c r="N90" i="91"/>
  <c r="N91" i="91"/>
  <c r="N92" i="91"/>
  <c r="N93" i="91"/>
  <c r="N52" i="91"/>
  <c r="N19" i="91"/>
  <c r="O19" i="91"/>
  <c r="O19" i="54" s="1"/>
  <c r="N20" i="91"/>
  <c r="O20" i="91"/>
  <c r="N21" i="91"/>
  <c r="O21" i="91"/>
  <c r="O21" i="54" s="1"/>
  <c r="N22" i="91"/>
  <c r="O22" i="91"/>
  <c r="N23" i="91"/>
  <c r="O23" i="91"/>
  <c r="O23" i="54" s="1"/>
  <c r="N24" i="91"/>
  <c r="O24" i="91"/>
  <c r="O24" i="54" s="1"/>
  <c r="N25" i="91"/>
  <c r="O25" i="91"/>
  <c r="O25" i="54" s="1"/>
  <c r="N26" i="91"/>
  <c r="O26" i="91"/>
  <c r="O26" i="54" s="1"/>
  <c r="N27" i="91"/>
  <c r="O27" i="91"/>
  <c r="O27" i="54" s="1"/>
  <c r="N28" i="91"/>
  <c r="O28" i="91"/>
  <c r="O28" i="54" s="1"/>
  <c r="N29" i="91"/>
  <c r="O29" i="91"/>
  <c r="O29" i="54" s="1"/>
  <c r="N30" i="91"/>
  <c r="O30" i="91"/>
  <c r="O30" i="54" s="1"/>
  <c r="N31" i="91"/>
  <c r="O31" i="91"/>
  <c r="O31" i="54" s="1"/>
  <c r="N32" i="91"/>
  <c r="O32" i="91"/>
  <c r="O32" i="54" s="1"/>
  <c r="N33" i="91"/>
  <c r="O33" i="91"/>
  <c r="O33" i="54" s="1"/>
  <c r="N34" i="91"/>
  <c r="O34" i="91"/>
  <c r="N35" i="91"/>
  <c r="O35" i="91"/>
  <c r="N36" i="91"/>
  <c r="O36" i="91"/>
  <c r="N37" i="91"/>
  <c r="O37" i="91"/>
  <c r="N38" i="91"/>
  <c r="O38" i="91"/>
  <c r="N39" i="91"/>
  <c r="O39" i="91"/>
  <c r="N40" i="91"/>
  <c r="O40" i="91"/>
  <c r="N41" i="91"/>
  <c r="O41" i="91"/>
  <c r="N42" i="91"/>
  <c r="O42" i="91"/>
  <c r="N43" i="91"/>
  <c r="O43" i="91"/>
  <c r="N44" i="91"/>
  <c r="O44" i="91"/>
  <c r="N45" i="91"/>
  <c r="O45" i="91"/>
  <c r="N46" i="91"/>
  <c r="O46" i="91"/>
  <c r="N47" i="91"/>
  <c r="O47" i="91"/>
  <c r="N48" i="91"/>
  <c r="O48" i="91"/>
  <c r="N49" i="91"/>
  <c r="O49" i="91"/>
  <c r="N50" i="91"/>
  <c r="O50" i="91"/>
  <c r="N51" i="91"/>
  <c r="O51" i="91"/>
  <c r="AE18" i="131"/>
  <c r="X18" i="131"/>
  <c r="F18" i="131"/>
  <c r="G18" i="131"/>
  <c r="H18" i="131"/>
  <c r="I18" i="131"/>
  <c r="J18" i="131"/>
  <c r="K18" i="131"/>
  <c r="L18" i="131"/>
  <c r="M18" i="131"/>
  <c r="N18" i="131"/>
  <c r="O18" i="131"/>
  <c r="P18" i="131"/>
  <c r="Q18" i="131"/>
  <c r="R18" i="131"/>
  <c r="S18" i="131"/>
  <c r="T18" i="131"/>
  <c r="U18" i="131"/>
  <c r="V18" i="131"/>
  <c r="W18" i="131"/>
  <c r="Y18" i="131"/>
  <c r="Z18" i="131"/>
  <c r="AA18" i="131"/>
  <c r="AB18" i="131"/>
  <c r="AC18" i="131"/>
  <c r="AD18" i="131"/>
  <c r="AF18" i="131"/>
  <c r="AG18" i="131"/>
  <c r="AH18" i="131"/>
  <c r="E18" i="131"/>
  <c r="AA210" i="135"/>
  <c r="S210" i="135"/>
  <c r="K210" i="135"/>
  <c r="AH209" i="135"/>
  <c r="AG209" i="135"/>
  <c r="AF209" i="135"/>
  <c r="AE209" i="135"/>
  <c r="AE210" i="135" s="1"/>
  <c r="AD209" i="135"/>
  <c r="AC209" i="135"/>
  <c r="AB209" i="135"/>
  <c r="AA209" i="135"/>
  <c r="Z209" i="135"/>
  <c r="Y209" i="135"/>
  <c r="X209" i="135"/>
  <c r="W209" i="135"/>
  <c r="W210" i="135" s="1"/>
  <c r="V209" i="135"/>
  <c r="U209" i="135"/>
  <c r="T209" i="135"/>
  <c r="S209" i="135"/>
  <c r="R209" i="135"/>
  <c r="Q209" i="135"/>
  <c r="P209" i="135"/>
  <c r="O209" i="135"/>
  <c r="O210" i="135" s="1"/>
  <c r="M209" i="135"/>
  <c r="L209" i="135"/>
  <c r="K209" i="135"/>
  <c r="J209" i="135"/>
  <c r="I209" i="135"/>
  <c r="H209" i="135"/>
  <c r="G209" i="135"/>
  <c r="G210" i="135" s="1"/>
  <c r="F209" i="135"/>
  <c r="E209" i="135"/>
  <c r="AL208" i="135"/>
  <c r="AK208" i="135"/>
  <c r="AJ208" i="135"/>
  <c r="P45" i="89" s="1"/>
  <c r="AI208" i="135"/>
  <c r="O45" i="89" s="1"/>
  <c r="AL207" i="135"/>
  <c r="AK207" i="135"/>
  <c r="AJ207" i="135"/>
  <c r="P44" i="89" s="1"/>
  <c r="AI207" i="135"/>
  <c r="AL206" i="135"/>
  <c r="AK206" i="135"/>
  <c r="AJ206" i="135"/>
  <c r="P43" i="89" s="1"/>
  <c r="AI206" i="135"/>
  <c r="AL205" i="135"/>
  <c r="AK205" i="135"/>
  <c r="AJ205" i="135"/>
  <c r="P42" i="89" s="1"/>
  <c r="AI205" i="135"/>
  <c r="O42" i="89" s="1"/>
  <c r="AL204" i="135"/>
  <c r="AK204" i="135"/>
  <c r="AJ204" i="135"/>
  <c r="P41" i="89" s="1"/>
  <c r="AI204" i="135"/>
  <c r="O41" i="89" s="1"/>
  <c r="AL203" i="135"/>
  <c r="AK203" i="135"/>
  <c r="AJ203" i="135"/>
  <c r="P40" i="89" s="1"/>
  <c r="AI203" i="135"/>
  <c r="AL202" i="135"/>
  <c r="AK202" i="135"/>
  <c r="AJ202" i="135"/>
  <c r="P39" i="89" s="1"/>
  <c r="AI202" i="135"/>
  <c r="AL201" i="135"/>
  <c r="AK201" i="135"/>
  <c r="AJ201" i="135"/>
  <c r="P38" i="89" s="1"/>
  <c r="AI201" i="135"/>
  <c r="AL200" i="135"/>
  <c r="AK200" i="135"/>
  <c r="AJ200" i="135"/>
  <c r="P37" i="89" s="1"/>
  <c r="AI200" i="135"/>
  <c r="O37" i="89" s="1"/>
  <c r="AN199" i="135"/>
  <c r="AO199" i="135" s="1"/>
  <c r="AL199" i="135"/>
  <c r="AK199" i="135"/>
  <c r="AJ199" i="135"/>
  <c r="P36" i="89" s="1"/>
  <c r="AI199" i="135"/>
  <c r="O36" i="89" s="1"/>
  <c r="AN198" i="135"/>
  <c r="AO198" i="135" s="1"/>
  <c r="AL198" i="135"/>
  <c r="AK198" i="135"/>
  <c r="AJ198" i="135"/>
  <c r="P35" i="89" s="1"/>
  <c r="AI198" i="135"/>
  <c r="AL197" i="135"/>
  <c r="AK197" i="135"/>
  <c r="AJ197" i="135"/>
  <c r="P34" i="89" s="1"/>
  <c r="AI197" i="135"/>
  <c r="AL196" i="135"/>
  <c r="AK196" i="135"/>
  <c r="AJ196" i="135"/>
  <c r="P33" i="89" s="1"/>
  <c r="AI196" i="135"/>
  <c r="O33" i="89" s="1"/>
  <c r="AL195" i="135"/>
  <c r="AK195" i="135"/>
  <c r="AJ195" i="135"/>
  <c r="P32" i="89" s="1"/>
  <c r="AI195" i="135"/>
  <c r="AL194" i="135"/>
  <c r="AK194" i="135"/>
  <c r="AJ194" i="135"/>
  <c r="P31" i="89" s="1"/>
  <c r="AI194" i="135"/>
  <c r="AL193" i="135"/>
  <c r="AK193" i="135"/>
  <c r="AJ193" i="135"/>
  <c r="P30" i="89" s="1"/>
  <c r="AI193" i="135"/>
  <c r="O30" i="89" s="1"/>
  <c r="AL192" i="135"/>
  <c r="AK192" i="135"/>
  <c r="AJ192" i="135"/>
  <c r="P29" i="89" s="1"/>
  <c r="AI192" i="135"/>
  <c r="O29" i="89" s="1"/>
  <c r="AL191" i="135"/>
  <c r="AK191" i="135"/>
  <c r="AJ191" i="135"/>
  <c r="P28" i="89" s="1"/>
  <c r="AI191" i="135"/>
  <c r="AL190" i="135"/>
  <c r="AK190" i="135"/>
  <c r="AJ190" i="135"/>
  <c r="P27" i="89" s="1"/>
  <c r="AI190" i="135"/>
  <c r="AN189" i="135"/>
  <c r="AO189" i="135" s="1"/>
  <c r="AL189" i="135"/>
  <c r="AK189" i="135"/>
  <c r="AJ189" i="135"/>
  <c r="P26" i="89" s="1"/>
  <c r="AI189" i="135"/>
  <c r="AN188" i="135"/>
  <c r="AO188" i="135" s="1"/>
  <c r="AL188" i="135"/>
  <c r="AK188" i="135"/>
  <c r="AJ188" i="135"/>
  <c r="P25" i="89" s="1"/>
  <c r="AI188" i="135"/>
  <c r="O25" i="89" s="1"/>
  <c r="AN187" i="135"/>
  <c r="AO187" i="135" s="1"/>
  <c r="AL187" i="135"/>
  <c r="AK187" i="135"/>
  <c r="AJ187" i="135"/>
  <c r="P24" i="89" s="1"/>
  <c r="AI187" i="135"/>
  <c r="O24" i="89" s="1"/>
  <c r="AN186" i="135"/>
  <c r="AO186" i="135" s="1"/>
  <c r="AL186" i="135"/>
  <c r="AK186" i="135"/>
  <c r="AJ186" i="135"/>
  <c r="P23" i="89" s="1"/>
  <c r="AI186" i="135"/>
  <c r="AN185" i="135"/>
  <c r="AO185" i="135" s="1"/>
  <c r="AL185" i="135"/>
  <c r="AK185" i="135"/>
  <c r="AJ185" i="135"/>
  <c r="P22" i="89" s="1"/>
  <c r="AI185" i="135"/>
  <c r="AN184" i="135"/>
  <c r="AO184" i="135" s="1"/>
  <c r="AL184" i="135"/>
  <c r="AK184" i="135"/>
  <c r="AJ184" i="135"/>
  <c r="P21" i="89" s="1"/>
  <c r="AI184" i="135"/>
  <c r="O21" i="89" s="1"/>
  <c r="AN183" i="135"/>
  <c r="AO183" i="135" s="1"/>
  <c r="AL183" i="135"/>
  <c r="AK183" i="135"/>
  <c r="AJ183" i="135"/>
  <c r="P20" i="89" s="1"/>
  <c r="AI183" i="135"/>
  <c r="O20" i="89" s="1"/>
  <c r="AN182" i="135"/>
  <c r="AO182" i="135" s="1"/>
  <c r="AL182" i="135"/>
  <c r="AK182" i="135"/>
  <c r="AJ182" i="135"/>
  <c r="P19" i="89" s="1"/>
  <c r="AI182" i="135"/>
  <c r="AN181" i="135"/>
  <c r="AO181" i="135" s="1"/>
  <c r="AL181" i="135"/>
  <c r="AK181" i="135"/>
  <c r="AJ181" i="135"/>
  <c r="P18" i="89" s="1"/>
  <c r="AI181" i="135"/>
  <c r="O18" i="89" s="1"/>
  <c r="AN180" i="135"/>
  <c r="AO180" i="135" s="1"/>
  <c r="AL180" i="135"/>
  <c r="AK180" i="135"/>
  <c r="AJ180" i="135"/>
  <c r="P17" i="89" s="1"/>
  <c r="AI180" i="135"/>
  <c r="O17" i="89" s="1"/>
  <c r="AN179" i="135"/>
  <c r="AO179" i="135" s="1"/>
  <c r="AL179" i="135"/>
  <c r="AK179" i="135"/>
  <c r="AJ179" i="135"/>
  <c r="AI179" i="135"/>
  <c r="O16" i="89" s="1"/>
  <c r="AP178" i="135"/>
  <c r="AH178" i="135"/>
  <c r="AG178" i="135"/>
  <c r="AF178" i="135"/>
  <c r="AE178" i="135"/>
  <c r="AD178" i="135"/>
  <c r="AC178" i="135"/>
  <c r="AB178" i="135"/>
  <c r="AA178" i="135"/>
  <c r="Z178" i="135"/>
  <c r="Y178" i="135"/>
  <c r="X178" i="135"/>
  <c r="W178" i="135"/>
  <c r="V178" i="135"/>
  <c r="U178" i="135"/>
  <c r="T178" i="135"/>
  <c r="S178" i="135"/>
  <c r="R178" i="135"/>
  <c r="Q178" i="135"/>
  <c r="P178" i="135"/>
  <c r="O178" i="135"/>
  <c r="N178" i="135"/>
  <c r="M178" i="135"/>
  <c r="L178" i="135"/>
  <c r="K178" i="135"/>
  <c r="J178" i="135"/>
  <c r="I178" i="135"/>
  <c r="H178" i="135"/>
  <c r="G178" i="135"/>
  <c r="F178" i="135"/>
  <c r="E178" i="135"/>
  <c r="AL177" i="135"/>
  <c r="AK177" i="135"/>
  <c r="AJ177" i="135"/>
  <c r="AI177" i="135"/>
  <c r="AL176" i="135"/>
  <c r="AK176" i="135"/>
  <c r="AJ176" i="135"/>
  <c r="AI176" i="135"/>
  <c r="AL175" i="135"/>
  <c r="AK175" i="135"/>
  <c r="AJ175" i="135"/>
  <c r="AI175" i="135"/>
  <c r="AM175" i="135" s="1"/>
  <c r="AR175" i="135" s="1"/>
  <c r="AL174" i="135"/>
  <c r="AK174" i="135"/>
  <c r="AJ174" i="135"/>
  <c r="AI174" i="135"/>
  <c r="AM174" i="135" s="1"/>
  <c r="AR174" i="135" s="1"/>
  <c r="AL173" i="135"/>
  <c r="AK173" i="135"/>
  <c r="AJ173" i="135"/>
  <c r="AI173" i="135"/>
  <c r="AL172" i="135"/>
  <c r="AK172" i="135"/>
  <c r="AJ172" i="135"/>
  <c r="AI172" i="135"/>
  <c r="AM172" i="135" s="1"/>
  <c r="AR172" i="135" s="1"/>
  <c r="AL171" i="135"/>
  <c r="AK171" i="135"/>
  <c r="AJ171" i="135"/>
  <c r="AI171" i="135"/>
  <c r="AM171" i="135" s="1"/>
  <c r="AR171" i="135" s="1"/>
  <c r="AL170" i="135"/>
  <c r="AK170" i="135"/>
  <c r="AJ170" i="135"/>
  <c r="AI170" i="135"/>
  <c r="AM170" i="135" s="1"/>
  <c r="AR170" i="135" s="1"/>
  <c r="AL169" i="135"/>
  <c r="AK169" i="135"/>
  <c r="AJ169" i="135"/>
  <c r="AI169" i="135"/>
  <c r="AL168" i="135"/>
  <c r="AK168" i="135"/>
  <c r="AJ168" i="135"/>
  <c r="AI168" i="135"/>
  <c r="AN167" i="135"/>
  <c r="AO167" i="135" s="1"/>
  <c r="AL167" i="135"/>
  <c r="AK167" i="135"/>
  <c r="AJ167" i="135"/>
  <c r="AI167" i="135"/>
  <c r="AM167" i="135" s="1"/>
  <c r="AR167" i="135" s="1"/>
  <c r="AN166" i="135"/>
  <c r="AO166" i="135" s="1"/>
  <c r="AL166" i="135"/>
  <c r="AK166" i="135"/>
  <c r="AJ166" i="135"/>
  <c r="AI166" i="135"/>
  <c r="AM166" i="135" s="1"/>
  <c r="AR166" i="135" s="1"/>
  <c r="AL165" i="135"/>
  <c r="AK165" i="135"/>
  <c r="AJ165" i="135"/>
  <c r="AI165" i="135"/>
  <c r="AL164" i="135"/>
  <c r="AK164" i="135"/>
  <c r="AJ164" i="135"/>
  <c r="AI164" i="135"/>
  <c r="AL163" i="135"/>
  <c r="AK163" i="135"/>
  <c r="AJ163" i="135"/>
  <c r="AI163" i="135"/>
  <c r="AM163" i="135" s="1"/>
  <c r="AR163" i="135" s="1"/>
  <c r="AL162" i="135"/>
  <c r="AK162" i="135"/>
  <c r="AJ162" i="135"/>
  <c r="AI162" i="135"/>
  <c r="AM162" i="135" s="1"/>
  <c r="AR162" i="135" s="1"/>
  <c r="AL161" i="135"/>
  <c r="AK161" i="135"/>
  <c r="AJ161" i="135"/>
  <c r="AI161" i="135"/>
  <c r="AL160" i="135"/>
  <c r="AK160" i="135"/>
  <c r="AJ160" i="135"/>
  <c r="AI160" i="135"/>
  <c r="AM160" i="135" s="1"/>
  <c r="AR160" i="135" s="1"/>
  <c r="AL159" i="135"/>
  <c r="AK159" i="135"/>
  <c r="AJ159" i="135"/>
  <c r="AJ178" i="135" s="1"/>
  <c r="AI159" i="135"/>
  <c r="AM159" i="135" s="1"/>
  <c r="AR159" i="135" s="1"/>
  <c r="AL158" i="135"/>
  <c r="AK158" i="135"/>
  <c r="AJ158" i="135"/>
  <c r="AI158" i="135"/>
  <c r="AM158" i="135" s="1"/>
  <c r="AR158" i="135" s="1"/>
  <c r="AN157" i="135"/>
  <c r="AO157" i="135" s="1"/>
  <c r="AL157" i="135"/>
  <c r="AK157" i="135"/>
  <c r="AJ157" i="135"/>
  <c r="AI157" i="135"/>
  <c r="AM157" i="135" s="1"/>
  <c r="AR157" i="135" s="1"/>
  <c r="AN156" i="135"/>
  <c r="AO156" i="135" s="1"/>
  <c r="AL156" i="135"/>
  <c r="AK156" i="135"/>
  <c r="AJ156" i="135"/>
  <c r="AI156" i="135"/>
  <c r="AN155" i="135"/>
  <c r="AO155" i="135" s="1"/>
  <c r="AL155" i="135"/>
  <c r="AK155" i="135"/>
  <c r="AJ155" i="135"/>
  <c r="AI155" i="135"/>
  <c r="AM155" i="135" s="1"/>
  <c r="AR155" i="135" s="1"/>
  <c r="AN154" i="135"/>
  <c r="AO154" i="135" s="1"/>
  <c r="AO178" i="135" s="1"/>
  <c r="AL154" i="135"/>
  <c r="AK154" i="135"/>
  <c r="AJ154" i="135"/>
  <c r="AI154" i="135"/>
  <c r="AH153" i="135"/>
  <c r="AG153" i="135"/>
  <c r="AF153" i="135"/>
  <c r="AE153" i="135"/>
  <c r="AD153" i="135"/>
  <c r="AC153" i="135"/>
  <c r="AB153" i="135"/>
  <c r="AB210" i="135" s="1"/>
  <c r="AA153" i="135"/>
  <c r="Z153" i="135"/>
  <c r="Y153" i="135"/>
  <c r="X153" i="135"/>
  <c r="W153" i="135"/>
  <c r="V153" i="135"/>
  <c r="U153" i="135"/>
  <c r="T153" i="135"/>
  <c r="T210" i="135" s="1"/>
  <c r="S153" i="135"/>
  <c r="R153" i="135"/>
  <c r="Q153" i="135"/>
  <c r="P153" i="135"/>
  <c r="O153" i="135"/>
  <c r="N153" i="135"/>
  <c r="M153" i="135"/>
  <c r="L153" i="135"/>
  <c r="L210" i="135" s="1"/>
  <c r="K153" i="135"/>
  <c r="J153" i="135"/>
  <c r="I153" i="135"/>
  <c r="H153" i="135"/>
  <c r="G153" i="135"/>
  <c r="F153" i="135"/>
  <c r="E153" i="135"/>
  <c r="AL152" i="135"/>
  <c r="AK152" i="135"/>
  <c r="AJ152" i="135"/>
  <c r="AI152" i="135"/>
  <c r="AM152" i="135" s="1"/>
  <c r="AL151" i="135"/>
  <c r="AK151" i="135"/>
  <c r="AJ151" i="135"/>
  <c r="AI151" i="135"/>
  <c r="AM151" i="135" s="1"/>
  <c r="AL150" i="135"/>
  <c r="AK150" i="135"/>
  <c r="AJ150" i="135"/>
  <c r="AI150" i="135"/>
  <c r="AM150" i="135" s="1"/>
  <c r="AL149" i="135"/>
  <c r="AK149" i="135"/>
  <c r="AJ149" i="135"/>
  <c r="AI149" i="135"/>
  <c r="AM149" i="135" s="1"/>
  <c r="AL148" i="135"/>
  <c r="AK148" i="135"/>
  <c r="AJ148" i="135"/>
  <c r="AI148" i="135"/>
  <c r="AM148" i="135" s="1"/>
  <c r="AL147" i="135"/>
  <c r="AK147" i="135"/>
  <c r="AJ147" i="135"/>
  <c r="AI147" i="135"/>
  <c r="AL146" i="135"/>
  <c r="AK146" i="135"/>
  <c r="AJ146" i="135"/>
  <c r="AI146" i="135"/>
  <c r="AN145" i="135"/>
  <c r="AO145" i="135" s="1"/>
  <c r="AL145" i="135"/>
  <c r="AK145" i="135"/>
  <c r="AJ145" i="135"/>
  <c r="AI145" i="135"/>
  <c r="AN144" i="135"/>
  <c r="AO144" i="135" s="1"/>
  <c r="AL144" i="135"/>
  <c r="AK144" i="135"/>
  <c r="AJ144" i="135"/>
  <c r="AI144" i="135"/>
  <c r="AM144" i="135" s="1"/>
  <c r="AN143" i="135"/>
  <c r="AO143" i="135" s="1"/>
  <c r="AL143" i="135"/>
  <c r="AK143" i="135"/>
  <c r="AJ143" i="135"/>
  <c r="AI143" i="135"/>
  <c r="AM143" i="135" s="1"/>
  <c r="AL142" i="135"/>
  <c r="AK142" i="135"/>
  <c r="AJ142" i="135"/>
  <c r="AI142" i="135"/>
  <c r="AM142" i="135" s="1"/>
  <c r="AL141" i="135"/>
  <c r="AK141" i="135"/>
  <c r="AJ141" i="135"/>
  <c r="AI141" i="135"/>
  <c r="AL140" i="135"/>
  <c r="AK140" i="135"/>
  <c r="AJ140" i="135"/>
  <c r="AI140" i="135"/>
  <c r="AL139" i="135"/>
  <c r="AK139" i="135"/>
  <c r="AJ139" i="135"/>
  <c r="AI139" i="135"/>
  <c r="AM139" i="135" s="1"/>
  <c r="AL138" i="135"/>
  <c r="AK138" i="135"/>
  <c r="AJ138" i="135"/>
  <c r="AI138" i="135"/>
  <c r="AM138" i="135" s="1"/>
  <c r="AL137" i="135"/>
  <c r="AK137" i="135"/>
  <c r="AJ137" i="135"/>
  <c r="AI137" i="135"/>
  <c r="AM137" i="135" s="1"/>
  <c r="AL136" i="135"/>
  <c r="AK136" i="135"/>
  <c r="AJ136" i="135"/>
  <c r="AI136" i="135"/>
  <c r="AL135" i="135"/>
  <c r="AK135" i="135"/>
  <c r="AJ135" i="135"/>
  <c r="AI135" i="135"/>
  <c r="AM135" i="135" s="1"/>
  <c r="AL134" i="135"/>
  <c r="AK134" i="135"/>
  <c r="AJ134" i="135"/>
  <c r="AI134" i="135"/>
  <c r="AM134" i="135" s="1"/>
  <c r="AL133" i="135"/>
  <c r="AK133" i="135"/>
  <c r="AJ133" i="135"/>
  <c r="AI133" i="135"/>
  <c r="AL132" i="135"/>
  <c r="AK132" i="135"/>
  <c r="AJ132" i="135"/>
  <c r="AI132" i="135"/>
  <c r="AL131" i="135"/>
  <c r="AK131" i="135"/>
  <c r="AJ131" i="135"/>
  <c r="AI131" i="135"/>
  <c r="AL130" i="135"/>
  <c r="AK130" i="135"/>
  <c r="AJ130" i="135"/>
  <c r="AI130" i="135"/>
  <c r="AM130" i="135" s="1"/>
  <c r="AL129" i="135"/>
  <c r="AK129" i="135"/>
  <c r="AJ129" i="135"/>
  <c r="AI129" i="135"/>
  <c r="AM129" i="135" s="1"/>
  <c r="AL128" i="135"/>
  <c r="AK128" i="135"/>
  <c r="AJ128" i="135"/>
  <c r="AI128" i="135"/>
  <c r="AL127" i="135"/>
  <c r="AK127" i="135"/>
  <c r="AJ127" i="135"/>
  <c r="AI127" i="135"/>
  <c r="AM127" i="135" s="1"/>
  <c r="AL126" i="135"/>
  <c r="AK126" i="135"/>
  <c r="AJ126" i="135"/>
  <c r="AI126" i="135"/>
  <c r="AM126" i="135" s="1"/>
  <c r="AL125" i="135"/>
  <c r="AK125" i="135"/>
  <c r="AJ125" i="135"/>
  <c r="AI125" i="135"/>
  <c r="AL124" i="135"/>
  <c r="AK124" i="135"/>
  <c r="AJ124" i="135"/>
  <c r="AI124" i="135"/>
  <c r="AL123" i="135"/>
  <c r="AK123" i="135"/>
  <c r="AJ123" i="135"/>
  <c r="AI123" i="135"/>
  <c r="AM123" i="135" s="1"/>
  <c r="AL122" i="135"/>
  <c r="AK122" i="135"/>
  <c r="AJ122" i="135"/>
  <c r="AI122" i="135"/>
  <c r="AM122" i="135" s="1"/>
  <c r="AL121" i="135"/>
  <c r="AK121" i="135"/>
  <c r="AJ121" i="135"/>
  <c r="AI121" i="135"/>
  <c r="AM121" i="135" s="1"/>
  <c r="AL120" i="135"/>
  <c r="AK120" i="135"/>
  <c r="AJ120" i="135"/>
  <c r="AI120" i="135"/>
  <c r="AN119" i="135"/>
  <c r="AO119" i="135" s="1"/>
  <c r="AL119" i="135"/>
  <c r="AK119" i="135"/>
  <c r="AJ119" i="135"/>
  <c r="AI119" i="135"/>
  <c r="AN118" i="135"/>
  <c r="AO118" i="135" s="1"/>
  <c r="AL118" i="135"/>
  <c r="AK118" i="135"/>
  <c r="AJ118" i="135"/>
  <c r="AI118" i="135"/>
  <c r="AM118" i="135" s="1"/>
  <c r="AN117" i="135"/>
  <c r="AO117" i="135" s="1"/>
  <c r="AL117" i="135"/>
  <c r="AK117" i="135"/>
  <c r="AJ117" i="135"/>
  <c r="AI117" i="135"/>
  <c r="AM117" i="135" s="1"/>
  <c r="AN116" i="135"/>
  <c r="AO116" i="135" s="1"/>
  <c r="AL116" i="135"/>
  <c r="AK116" i="135"/>
  <c r="AJ116" i="135"/>
  <c r="AI116" i="135"/>
  <c r="AM116" i="135" s="1"/>
  <c r="AN115" i="135"/>
  <c r="AO115" i="135" s="1"/>
  <c r="AL115" i="135"/>
  <c r="AK115" i="135"/>
  <c r="AJ115" i="135"/>
  <c r="AI115" i="135"/>
  <c r="AN114" i="135"/>
  <c r="AO114" i="135" s="1"/>
  <c r="AL114" i="135"/>
  <c r="AK114" i="135"/>
  <c r="AJ114" i="135"/>
  <c r="AI114" i="135"/>
  <c r="AM114" i="135" s="1"/>
  <c r="AN113" i="135"/>
  <c r="AO113" i="135" s="1"/>
  <c r="AL113" i="135"/>
  <c r="AK113" i="135"/>
  <c r="AJ113" i="135"/>
  <c r="AI113" i="135"/>
  <c r="AM113" i="135" s="1"/>
  <c r="AN112" i="135"/>
  <c r="AO112" i="135" s="1"/>
  <c r="AL112" i="135"/>
  <c r="AK112" i="135"/>
  <c r="AJ112" i="135"/>
  <c r="AI112" i="135"/>
  <c r="AN111" i="135"/>
  <c r="AO111" i="135" s="1"/>
  <c r="AL111" i="135"/>
  <c r="AK111" i="135"/>
  <c r="AJ111" i="135"/>
  <c r="AI111" i="135"/>
  <c r="AN110" i="135"/>
  <c r="AO110" i="135" s="1"/>
  <c r="AL110" i="135"/>
  <c r="AK110" i="135"/>
  <c r="AJ110" i="135"/>
  <c r="AI110" i="135"/>
  <c r="AM110" i="135" s="1"/>
  <c r="AN109" i="135"/>
  <c r="AO109" i="135" s="1"/>
  <c r="AL109" i="135"/>
  <c r="AK109" i="135"/>
  <c r="AJ109" i="135"/>
  <c r="AI109" i="135"/>
  <c r="AM109" i="135" s="1"/>
  <c r="AN108" i="135"/>
  <c r="AO108" i="135" s="1"/>
  <c r="AL108" i="135"/>
  <c r="AK108" i="135"/>
  <c r="AJ108" i="135"/>
  <c r="AI108" i="135"/>
  <c r="AN107" i="135"/>
  <c r="AO107" i="135" s="1"/>
  <c r="AL107" i="135"/>
  <c r="AK107" i="135"/>
  <c r="AJ107" i="135"/>
  <c r="AI107" i="135"/>
  <c r="AN106" i="135"/>
  <c r="AO106" i="135" s="1"/>
  <c r="AL106" i="135"/>
  <c r="AK106" i="135"/>
  <c r="AJ106" i="135"/>
  <c r="AI106" i="135"/>
  <c r="AM106" i="135" s="1"/>
  <c r="AN105" i="135"/>
  <c r="AO105" i="135" s="1"/>
  <c r="AL105" i="135"/>
  <c r="AK105" i="135"/>
  <c r="AJ105" i="135"/>
  <c r="AI105" i="135"/>
  <c r="AM105" i="135" s="1"/>
  <c r="AN104" i="135"/>
  <c r="AO104" i="135" s="1"/>
  <c r="AL104" i="135"/>
  <c r="AK104" i="135"/>
  <c r="AJ104" i="135"/>
  <c r="AI104" i="135"/>
  <c r="AN103" i="135"/>
  <c r="AO103" i="135" s="1"/>
  <c r="AL103" i="135"/>
  <c r="AK103" i="135"/>
  <c r="AJ103" i="135"/>
  <c r="AI103" i="135"/>
  <c r="AN102" i="135"/>
  <c r="AO102" i="135" s="1"/>
  <c r="AL102" i="135"/>
  <c r="AK102" i="135"/>
  <c r="AJ102" i="135"/>
  <c r="AI102" i="135"/>
  <c r="AM102" i="135" s="1"/>
  <c r="AN101" i="135"/>
  <c r="AO101" i="135" s="1"/>
  <c r="AL101" i="135"/>
  <c r="AK101" i="135"/>
  <c r="AJ101" i="135"/>
  <c r="AI101" i="135"/>
  <c r="AM101" i="135" s="1"/>
  <c r="AN100" i="135"/>
  <c r="AO100" i="135" s="1"/>
  <c r="AL100" i="135"/>
  <c r="AK100" i="135"/>
  <c r="AJ100" i="135"/>
  <c r="AI100" i="135"/>
  <c r="AM100" i="135" s="1"/>
  <c r="AN99" i="135"/>
  <c r="AO99" i="135" s="1"/>
  <c r="AL99" i="135"/>
  <c r="AK99" i="135"/>
  <c r="AK153" i="135" s="1"/>
  <c r="AJ99" i="135"/>
  <c r="AI99" i="135"/>
  <c r="AN98" i="135"/>
  <c r="AO98" i="135" s="1"/>
  <c r="AL98" i="135"/>
  <c r="AK98" i="135"/>
  <c r="AJ98" i="135"/>
  <c r="AI98" i="135"/>
  <c r="AM98" i="135" s="1"/>
  <c r="AN97" i="135"/>
  <c r="AO97" i="135" s="1"/>
  <c r="AL97" i="135"/>
  <c r="AK97" i="135"/>
  <c r="AJ97" i="135"/>
  <c r="AI97" i="135"/>
  <c r="AM97" i="135" s="1"/>
  <c r="AN96" i="135"/>
  <c r="AO96" i="135" s="1"/>
  <c r="AL96" i="135"/>
  <c r="AK96" i="135"/>
  <c r="AJ96" i="135"/>
  <c r="AI96" i="135"/>
  <c r="AN95" i="135"/>
  <c r="AO95" i="135" s="1"/>
  <c r="AL95" i="135"/>
  <c r="AK95" i="135"/>
  <c r="AJ95" i="135"/>
  <c r="AI95" i="135"/>
  <c r="AN94" i="135"/>
  <c r="AO94" i="135" s="1"/>
  <c r="AL94" i="135"/>
  <c r="AK94" i="135"/>
  <c r="AJ94" i="135"/>
  <c r="AI94" i="135"/>
  <c r="AM94" i="135" s="1"/>
  <c r="AN93" i="135"/>
  <c r="AO93" i="135" s="1"/>
  <c r="AL93" i="135"/>
  <c r="AK93" i="135"/>
  <c r="AJ93" i="135"/>
  <c r="AI93" i="135"/>
  <c r="AM93" i="135" s="1"/>
  <c r="AN92" i="135"/>
  <c r="AO92" i="135" s="1"/>
  <c r="AL92" i="135"/>
  <c r="AK92" i="135"/>
  <c r="AJ92" i="135"/>
  <c r="AI92" i="135"/>
  <c r="AN91" i="135"/>
  <c r="AO91" i="135" s="1"/>
  <c r="AL91" i="135"/>
  <c r="AK91" i="135"/>
  <c r="AJ91" i="135"/>
  <c r="AI91" i="135"/>
  <c r="AH90" i="135"/>
  <c r="AG90" i="135"/>
  <c r="AF90" i="135"/>
  <c r="AE90" i="135"/>
  <c r="AD90" i="135"/>
  <c r="AC90" i="135"/>
  <c r="AB90" i="135"/>
  <c r="AA90" i="135"/>
  <c r="Z90" i="135"/>
  <c r="Y90" i="135"/>
  <c r="X90" i="135"/>
  <c r="W90" i="135"/>
  <c r="V90" i="135"/>
  <c r="U90" i="135"/>
  <c r="T90" i="135"/>
  <c r="S90" i="135"/>
  <c r="R90" i="135"/>
  <c r="Q90" i="135"/>
  <c r="P90" i="135"/>
  <c r="O90" i="135"/>
  <c r="N90" i="135"/>
  <c r="M90" i="135"/>
  <c r="L90" i="135"/>
  <c r="K90" i="135"/>
  <c r="J90" i="135"/>
  <c r="I90" i="135"/>
  <c r="H90" i="135"/>
  <c r="G90" i="135"/>
  <c r="F90" i="135"/>
  <c r="E90" i="135"/>
  <c r="AL89" i="135"/>
  <c r="AK89" i="135"/>
  <c r="AJ89" i="135"/>
  <c r="AI89" i="135"/>
  <c r="AM89" i="135" s="1"/>
  <c r="AM88" i="135"/>
  <c r="AJ88" i="135"/>
  <c r="AI88" i="135"/>
  <c r="AM87" i="135"/>
  <c r="AJ87" i="135"/>
  <c r="AI87" i="135"/>
  <c r="AJ86" i="135"/>
  <c r="AI86" i="135"/>
  <c r="AJ85" i="135"/>
  <c r="AI85" i="135"/>
  <c r="AM85" i="135" s="1"/>
  <c r="AM84" i="135"/>
  <c r="AJ84" i="135"/>
  <c r="AI84" i="135"/>
  <c r="AJ83" i="135"/>
  <c r="AM83" i="135" s="1"/>
  <c r="AI83" i="135"/>
  <c r="AL82" i="135"/>
  <c r="AK82" i="135"/>
  <c r="AJ82" i="135"/>
  <c r="AI82" i="135"/>
  <c r="AM82" i="135" s="1"/>
  <c r="AL81" i="135"/>
  <c r="AK81" i="135"/>
  <c r="AJ81" i="135"/>
  <c r="AI81" i="135"/>
  <c r="AM81" i="135" s="1"/>
  <c r="AL80" i="135"/>
  <c r="AK80" i="135"/>
  <c r="AJ80" i="135"/>
  <c r="AI80" i="135"/>
  <c r="AM80" i="135" s="1"/>
  <c r="AL79" i="135"/>
  <c r="AK79" i="135"/>
  <c r="AJ79" i="135"/>
  <c r="AI79" i="135"/>
  <c r="AL78" i="135"/>
  <c r="AK78" i="135"/>
  <c r="AJ78" i="135"/>
  <c r="AI78" i="135"/>
  <c r="AM78" i="135" s="1"/>
  <c r="AL77" i="135"/>
  <c r="AK77" i="135"/>
  <c r="AJ77" i="135"/>
  <c r="AI77" i="135"/>
  <c r="AM77" i="135" s="1"/>
  <c r="AL76" i="135"/>
  <c r="AK76" i="135"/>
  <c r="AJ76" i="135"/>
  <c r="AI76" i="135"/>
  <c r="AL75" i="135"/>
  <c r="AK75" i="135"/>
  <c r="AJ75" i="135"/>
  <c r="AI75" i="135"/>
  <c r="AL74" i="135"/>
  <c r="AK74" i="135"/>
  <c r="AJ74" i="135"/>
  <c r="AI74" i="135"/>
  <c r="AL73" i="135"/>
  <c r="AK73" i="135"/>
  <c r="AJ73" i="135"/>
  <c r="AI73" i="135"/>
  <c r="AM73" i="135" s="1"/>
  <c r="AL72" i="135"/>
  <c r="AK72" i="135"/>
  <c r="AJ72" i="135"/>
  <c r="AI72" i="135"/>
  <c r="AM72" i="135" s="1"/>
  <c r="AL71" i="135"/>
  <c r="AK71" i="135"/>
  <c r="AJ71" i="135"/>
  <c r="AI71" i="135"/>
  <c r="AM71" i="135" s="1"/>
  <c r="AL70" i="135"/>
  <c r="AK70" i="135"/>
  <c r="AJ70" i="135"/>
  <c r="AI70" i="135"/>
  <c r="AM70" i="135" s="1"/>
  <c r="AL69" i="135"/>
  <c r="AK69" i="135"/>
  <c r="AJ69" i="135"/>
  <c r="AI69" i="135"/>
  <c r="AM69" i="135" s="1"/>
  <c r="AL68" i="135"/>
  <c r="AK68" i="135"/>
  <c r="AJ68" i="135"/>
  <c r="AI68" i="135"/>
  <c r="AM68" i="135" s="1"/>
  <c r="AL67" i="135"/>
  <c r="AK67" i="135"/>
  <c r="AJ67" i="135"/>
  <c r="AI67" i="135"/>
  <c r="AL66" i="135"/>
  <c r="AK66" i="135"/>
  <c r="AJ66" i="135"/>
  <c r="AI66" i="135"/>
  <c r="AM66" i="135" s="1"/>
  <c r="AL65" i="135"/>
  <c r="AK65" i="135"/>
  <c r="AJ65" i="135"/>
  <c r="AI65" i="135"/>
  <c r="AM65" i="135" s="1"/>
  <c r="AL64" i="135"/>
  <c r="AK64" i="135"/>
  <c r="AJ64" i="135"/>
  <c r="AI64" i="135"/>
  <c r="AL63" i="135"/>
  <c r="AK63" i="135"/>
  <c r="AJ63" i="135"/>
  <c r="AI63" i="135"/>
  <c r="AL62" i="135"/>
  <c r="AK62" i="135"/>
  <c r="AJ62" i="135"/>
  <c r="AI62" i="135"/>
  <c r="AM62" i="135" s="1"/>
  <c r="AL61" i="135"/>
  <c r="AK61" i="135"/>
  <c r="AJ61" i="135"/>
  <c r="AI61" i="135"/>
  <c r="AM61" i="135" s="1"/>
  <c r="AL60" i="135"/>
  <c r="AK60" i="135"/>
  <c r="AJ60" i="135"/>
  <c r="AI60" i="135"/>
  <c r="AM60" i="135" s="1"/>
  <c r="AL59" i="135"/>
  <c r="AK59" i="135"/>
  <c r="AJ59" i="135"/>
  <c r="AI59" i="135"/>
  <c r="AL58" i="135"/>
  <c r="AK58" i="135"/>
  <c r="AJ58" i="135"/>
  <c r="AI58" i="135"/>
  <c r="AM58" i="135" s="1"/>
  <c r="AL57" i="135"/>
  <c r="AK57" i="135"/>
  <c r="AJ57" i="135"/>
  <c r="AI57" i="135"/>
  <c r="AM57" i="135" s="1"/>
  <c r="AL56" i="135"/>
  <c r="AK56" i="135"/>
  <c r="AJ56" i="135"/>
  <c r="AI56" i="135"/>
  <c r="AM56" i="135" s="1"/>
  <c r="AL55" i="135"/>
  <c r="AK55" i="135"/>
  <c r="AJ55" i="135"/>
  <c r="AI55" i="135"/>
  <c r="AM55" i="135" s="1"/>
  <c r="AL54" i="135"/>
  <c r="AK54" i="135"/>
  <c r="AJ54" i="135"/>
  <c r="AI54" i="135"/>
  <c r="AL53" i="135"/>
  <c r="AK53" i="135"/>
  <c r="AJ53" i="135"/>
  <c r="AI53" i="135"/>
  <c r="AL52" i="135"/>
  <c r="AK52" i="135"/>
  <c r="AJ52" i="135"/>
  <c r="AI52" i="135"/>
  <c r="AM52" i="135" s="1"/>
  <c r="AL51" i="135"/>
  <c r="AK51" i="135"/>
  <c r="AJ51" i="135"/>
  <c r="AI51" i="135"/>
  <c r="AL50" i="135"/>
  <c r="AK50" i="135"/>
  <c r="AJ50" i="135"/>
  <c r="AI50" i="135"/>
  <c r="AM50" i="135" s="1"/>
  <c r="AL49" i="135"/>
  <c r="AK49" i="135"/>
  <c r="AJ49" i="135"/>
  <c r="AJ90" i="135" s="1"/>
  <c r="AI49" i="135"/>
  <c r="AI90" i="135" s="1"/>
  <c r="AL48" i="135"/>
  <c r="AK48" i="135"/>
  <c r="AJ48" i="135"/>
  <c r="AI48" i="135"/>
  <c r="AM48" i="135" s="1"/>
  <c r="AL47" i="135"/>
  <c r="AK47" i="135"/>
  <c r="AJ47" i="135"/>
  <c r="AI47" i="135"/>
  <c r="AH46" i="135"/>
  <c r="AG46" i="135"/>
  <c r="AF46" i="135"/>
  <c r="AE46" i="135"/>
  <c r="AD46" i="135"/>
  <c r="AC46" i="135"/>
  <c r="AB46" i="135"/>
  <c r="AA46" i="135"/>
  <c r="Z46" i="135"/>
  <c r="Y46" i="135"/>
  <c r="X46" i="135"/>
  <c r="W46" i="135"/>
  <c r="V46" i="135"/>
  <c r="U46" i="135"/>
  <c r="T46" i="135"/>
  <c r="S46" i="135"/>
  <c r="R46" i="135"/>
  <c r="Q46" i="135"/>
  <c r="P46" i="135"/>
  <c r="O46" i="135"/>
  <c r="N46" i="135"/>
  <c r="M46" i="135"/>
  <c r="L46" i="135"/>
  <c r="K46" i="135"/>
  <c r="J46" i="135"/>
  <c r="I46" i="135"/>
  <c r="H46" i="135"/>
  <c r="G46" i="135"/>
  <c r="F46" i="135"/>
  <c r="E46" i="135"/>
  <c r="AL45" i="135"/>
  <c r="AK45" i="135"/>
  <c r="AJ45" i="135"/>
  <c r="AI45" i="135"/>
  <c r="AM45" i="135" s="1"/>
  <c r="AL44" i="135"/>
  <c r="AK44" i="135"/>
  <c r="AJ44" i="135"/>
  <c r="AI44" i="135"/>
  <c r="AM43" i="135"/>
  <c r="AJ43" i="135"/>
  <c r="AI43" i="135"/>
  <c r="AJ42" i="135"/>
  <c r="AM42" i="135" s="1"/>
  <c r="AI42" i="135"/>
  <c r="AJ41" i="135"/>
  <c r="AI41" i="135"/>
  <c r="AM41" i="135" s="1"/>
  <c r="AL40" i="135"/>
  <c r="AK40" i="135"/>
  <c r="AJ40" i="135"/>
  <c r="AI40" i="135"/>
  <c r="AL39" i="135"/>
  <c r="AK39" i="135"/>
  <c r="AJ39" i="135"/>
  <c r="AI39" i="135"/>
  <c r="AM39" i="135" s="1"/>
  <c r="AL38" i="135"/>
  <c r="AK38" i="135"/>
  <c r="AJ38" i="135"/>
  <c r="AI38" i="135"/>
  <c r="AM38" i="135" s="1"/>
  <c r="AL37" i="135"/>
  <c r="AK37" i="135"/>
  <c r="AJ37" i="135"/>
  <c r="AI37" i="135"/>
  <c r="AN36" i="135"/>
  <c r="AO36" i="135" s="1"/>
  <c r="AL36" i="135"/>
  <c r="AK36" i="135"/>
  <c r="AJ36" i="135"/>
  <c r="AI36" i="135"/>
  <c r="AM36" i="135" s="1"/>
  <c r="AL35" i="135"/>
  <c r="AK35" i="135"/>
  <c r="AJ35" i="135"/>
  <c r="AI35" i="135"/>
  <c r="AM35" i="135" s="1"/>
  <c r="AL34" i="135"/>
  <c r="AK34" i="135"/>
  <c r="AJ34" i="135"/>
  <c r="AI34" i="135"/>
  <c r="AM34" i="135" s="1"/>
  <c r="AL33" i="135"/>
  <c r="AK33" i="135"/>
  <c r="AJ33" i="135"/>
  <c r="AI33" i="135"/>
  <c r="AM33" i="135" s="1"/>
  <c r="AL32" i="135"/>
  <c r="AK32" i="135"/>
  <c r="AJ32" i="135"/>
  <c r="AI32" i="135"/>
  <c r="AM32" i="135" s="1"/>
  <c r="AL31" i="135"/>
  <c r="AK31" i="135"/>
  <c r="AJ31" i="135"/>
  <c r="AI31" i="135"/>
  <c r="AM31" i="135" s="1"/>
  <c r="AL30" i="135"/>
  <c r="AK30" i="135"/>
  <c r="AJ30" i="135"/>
  <c r="AI30" i="135"/>
  <c r="AL29" i="135"/>
  <c r="AK29" i="135"/>
  <c r="AJ29" i="135"/>
  <c r="AI29" i="135"/>
  <c r="AM29" i="135" s="1"/>
  <c r="AL28" i="135"/>
  <c r="AK28" i="135"/>
  <c r="AJ28" i="135"/>
  <c r="AI28" i="135"/>
  <c r="AL27" i="135"/>
  <c r="AK27" i="135"/>
  <c r="AJ27" i="135"/>
  <c r="AI27" i="135"/>
  <c r="AM27" i="135" s="1"/>
  <c r="AL26" i="135"/>
  <c r="AK26" i="135"/>
  <c r="AJ26" i="135"/>
  <c r="AI26" i="135"/>
  <c r="AM26" i="135" s="1"/>
  <c r="AL25" i="135"/>
  <c r="AK25" i="135"/>
  <c r="AJ25" i="135"/>
  <c r="AI25" i="135"/>
  <c r="AM25" i="135" s="1"/>
  <c r="AN24" i="135"/>
  <c r="AO24" i="135" s="1"/>
  <c r="AL24" i="135"/>
  <c r="AK24" i="135"/>
  <c r="AJ24" i="135"/>
  <c r="AI24" i="135"/>
  <c r="AM24" i="135" s="1"/>
  <c r="AN23" i="135"/>
  <c r="AO23" i="135" s="1"/>
  <c r="AL23" i="135"/>
  <c r="AK23" i="135"/>
  <c r="AJ23" i="135"/>
  <c r="AI23" i="135"/>
  <c r="AN22" i="135"/>
  <c r="AO22" i="135" s="1"/>
  <c r="AL22" i="135"/>
  <c r="AK22" i="135"/>
  <c r="AJ22" i="135"/>
  <c r="AI22" i="135"/>
  <c r="AM22" i="135" s="1"/>
  <c r="AN21" i="135"/>
  <c r="AO21" i="135" s="1"/>
  <c r="AL21" i="135"/>
  <c r="AK21" i="135"/>
  <c r="AJ21" i="135"/>
  <c r="AI21" i="135"/>
  <c r="AM21" i="135" s="1"/>
  <c r="AN20" i="135"/>
  <c r="AO20" i="135" s="1"/>
  <c r="AL20" i="135"/>
  <c r="AK20" i="135"/>
  <c r="AJ20" i="135"/>
  <c r="AI20" i="135"/>
  <c r="AM20" i="135" s="1"/>
  <c r="AN19" i="135"/>
  <c r="AO19" i="135" s="1"/>
  <c r="AL19" i="135"/>
  <c r="AK19" i="135"/>
  <c r="AJ19" i="135"/>
  <c r="AI19" i="135"/>
  <c r="AM19" i="135" s="1"/>
  <c r="AN18" i="135"/>
  <c r="AO18" i="135" s="1"/>
  <c r="AL18" i="135"/>
  <c r="AK18" i="135"/>
  <c r="AJ18" i="135"/>
  <c r="AI18" i="135"/>
  <c r="AM18" i="135" s="1"/>
  <c r="AN17" i="135"/>
  <c r="AO17" i="135" s="1"/>
  <c r="AL17" i="135"/>
  <c r="AK17" i="135"/>
  <c r="AJ17" i="135"/>
  <c r="AI17" i="135"/>
  <c r="AM17" i="135" s="1"/>
  <c r="AN16" i="135"/>
  <c r="AO16" i="135" s="1"/>
  <c r="AL16" i="135"/>
  <c r="AK16" i="135"/>
  <c r="AJ16" i="135"/>
  <c r="AI16" i="135"/>
  <c r="AM16" i="135" s="1"/>
  <c r="AN15" i="135"/>
  <c r="AO15" i="135" s="1"/>
  <c r="AL15" i="135"/>
  <c r="AK15" i="135"/>
  <c r="AJ15" i="135"/>
  <c r="AI15" i="135"/>
  <c r="AR14" i="135"/>
  <c r="AN14" i="135"/>
  <c r="AO14" i="135" s="1"/>
  <c r="AL14" i="135"/>
  <c r="AK14" i="135"/>
  <c r="AJ14" i="135"/>
  <c r="AI14" i="135"/>
  <c r="AR13" i="135"/>
  <c r="AN13" i="135"/>
  <c r="AO13" i="135" s="1"/>
  <c r="AL13" i="135"/>
  <c r="AK13" i="135"/>
  <c r="AJ13" i="135"/>
  <c r="AI13" i="135"/>
  <c r="AM13" i="135" s="1"/>
  <c r="AN12" i="135"/>
  <c r="AO12" i="135" s="1"/>
  <c r="AL12" i="135"/>
  <c r="AL46" i="135" s="1"/>
  <c r="AK12" i="135"/>
  <c r="AJ12" i="135"/>
  <c r="O18" i="91" s="1"/>
  <c r="AI12" i="135"/>
  <c r="L19" i="91"/>
  <c r="L19" i="54" s="1"/>
  <c r="L20" i="91"/>
  <c r="L20" i="54" s="1"/>
  <c r="L21" i="91"/>
  <c r="L21" i="54" s="1"/>
  <c r="L22" i="91"/>
  <c r="L22" i="54" s="1"/>
  <c r="L23" i="91"/>
  <c r="L23" i="54" s="1"/>
  <c r="L24" i="91"/>
  <c r="L24" i="54" s="1"/>
  <c r="L25" i="91"/>
  <c r="L25" i="54" s="1"/>
  <c r="L26" i="91"/>
  <c r="L26" i="54" s="1"/>
  <c r="L27" i="91"/>
  <c r="L27" i="54" s="1"/>
  <c r="L28" i="91"/>
  <c r="L28" i="54" s="1"/>
  <c r="L29" i="91"/>
  <c r="L29" i="54" s="1"/>
  <c r="L30" i="91"/>
  <c r="L30" i="54" s="1"/>
  <c r="L31" i="91"/>
  <c r="L31" i="54" s="1"/>
  <c r="L32" i="91"/>
  <c r="L32" i="54" s="1"/>
  <c r="L33" i="91"/>
  <c r="L33" i="54" s="1"/>
  <c r="L34" i="91"/>
  <c r="L34" i="54" s="1"/>
  <c r="L35" i="91"/>
  <c r="L35" i="54" s="1"/>
  <c r="L36" i="91"/>
  <c r="L36" i="54" s="1"/>
  <c r="L37" i="91"/>
  <c r="L37" i="54" s="1"/>
  <c r="L38" i="91"/>
  <c r="L38" i="54" s="1"/>
  <c r="L39" i="91"/>
  <c r="L39" i="54" s="1"/>
  <c r="L40" i="91"/>
  <c r="L40" i="54" s="1"/>
  <c r="L41" i="91"/>
  <c r="L41" i="54" s="1"/>
  <c r="L42" i="91"/>
  <c r="L42" i="54" s="1"/>
  <c r="L43" i="91"/>
  <c r="L43" i="54" s="1"/>
  <c r="L44" i="91"/>
  <c r="L44" i="54" s="1"/>
  <c r="L45" i="91"/>
  <c r="L45" i="54" s="1"/>
  <c r="L46" i="91"/>
  <c r="L46" i="54" s="1"/>
  <c r="L47" i="91"/>
  <c r="L47" i="54" s="1"/>
  <c r="L48" i="91"/>
  <c r="L48" i="54" s="1"/>
  <c r="L49" i="91"/>
  <c r="L49" i="54" s="1"/>
  <c r="L50" i="91"/>
  <c r="L50" i="54" s="1"/>
  <c r="L51" i="91"/>
  <c r="L51" i="54" s="1"/>
  <c r="L52" i="91"/>
  <c r="L52" i="54" s="1"/>
  <c r="L53" i="91"/>
  <c r="L53" i="54" s="1"/>
  <c r="L54" i="91"/>
  <c r="L54" i="54" s="1"/>
  <c r="L55" i="91"/>
  <c r="L55" i="54" s="1"/>
  <c r="L56" i="91"/>
  <c r="L56" i="54" s="1"/>
  <c r="L57" i="91"/>
  <c r="L57" i="54" s="1"/>
  <c r="L58" i="91"/>
  <c r="L58" i="54" s="1"/>
  <c r="L59" i="91"/>
  <c r="L59" i="54" s="1"/>
  <c r="L60" i="91"/>
  <c r="L60" i="54" s="1"/>
  <c r="L61" i="91"/>
  <c r="L61" i="54" s="1"/>
  <c r="L62" i="91"/>
  <c r="L62" i="54" s="1"/>
  <c r="L63" i="91"/>
  <c r="L63" i="54" s="1"/>
  <c r="L64" i="91"/>
  <c r="L64" i="54" s="1"/>
  <c r="L65" i="91"/>
  <c r="L65" i="54" s="1"/>
  <c r="L66" i="91"/>
  <c r="L66" i="54" s="1"/>
  <c r="L67" i="91"/>
  <c r="L67" i="54" s="1"/>
  <c r="L68" i="91"/>
  <c r="L68" i="54" s="1"/>
  <c r="L69" i="91"/>
  <c r="L69" i="54" s="1"/>
  <c r="L70" i="91"/>
  <c r="L70" i="54" s="1"/>
  <c r="L71" i="91"/>
  <c r="L71" i="54" s="1"/>
  <c r="L72" i="91"/>
  <c r="L72" i="54" s="1"/>
  <c r="L73" i="91"/>
  <c r="L73" i="54" s="1"/>
  <c r="L74" i="91"/>
  <c r="L74" i="54" s="1"/>
  <c r="L75" i="91"/>
  <c r="L75" i="54" s="1"/>
  <c r="L76" i="91"/>
  <c r="L76" i="54" s="1"/>
  <c r="L77" i="91"/>
  <c r="L77" i="54" s="1"/>
  <c r="L78" i="91"/>
  <c r="L78" i="54" s="1"/>
  <c r="L79" i="91"/>
  <c r="L79" i="54" s="1"/>
  <c r="L80" i="91"/>
  <c r="L80" i="54" s="1"/>
  <c r="L81" i="91"/>
  <c r="L81" i="54" s="1"/>
  <c r="L82" i="91"/>
  <c r="L82" i="54" s="1"/>
  <c r="L83" i="91"/>
  <c r="L83" i="54" s="1"/>
  <c r="L84" i="91"/>
  <c r="L84" i="54" s="1"/>
  <c r="L85" i="91"/>
  <c r="L85" i="54" s="1"/>
  <c r="L86" i="91"/>
  <c r="L86" i="54" s="1"/>
  <c r="L87" i="91"/>
  <c r="L87" i="54" s="1"/>
  <c r="L88" i="91"/>
  <c r="L88" i="54" s="1"/>
  <c r="L89" i="91"/>
  <c r="L89" i="54" s="1"/>
  <c r="L90" i="91"/>
  <c r="L90" i="54" s="1"/>
  <c r="L91" i="91"/>
  <c r="L91" i="54" s="1"/>
  <c r="L92" i="91"/>
  <c r="L92" i="54" s="1"/>
  <c r="L93" i="91"/>
  <c r="L93" i="54" s="1"/>
  <c r="L94" i="91"/>
  <c r="L94" i="54" s="1"/>
  <c r="L18" i="91"/>
  <c r="L18" i="54" s="1"/>
  <c r="J19" i="91"/>
  <c r="J20" i="91"/>
  <c r="J21" i="91"/>
  <c r="J22" i="91"/>
  <c r="J23" i="91"/>
  <c r="J24" i="91"/>
  <c r="J25" i="91"/>
  <c r="J26" i="91"/>
  <c r="J27" i="91"/>
  <c r="J28" i="91"/>
  <c r="J29" i="91"/>
  <c r="J30" i="91"/>
  <c r="J31" i="91"/>
  <c r="J32" i="91"/>
  <c r="J34" i="91"/>
  <c r="J35" i="91"/>
  <c r="J36" i="91"/>
  <c r="J37" i="91"/>
  <c r="J38" i="91"/>
  <c r="J39" i="91"/>
  <c r="J40" i="91"/>
  <c r="J41" i="91"/>
  <c r="J42" i="91"/>
  <c r="J43" i="91"/>
  <c r="J44" i="91"/>
  <c r="J45" i="91"/>
  <c r="J46" i="91"/>
  <c r="J47" i="91"/>
  <c r="J48" i="91"/>
  <c r="J49" i="91"/>
  <c r="J50" i="91"/>
  <c r="J51" i="91"/>
  <c r="J52" i="91"/>
  <c r="J53" i="91"/>
  <c r="J54" i="91"/>
  <c r="J55" i="91"/>
  <c r="J56" i="91"/>
  <c r="J57" i="91"/>
  <c r="J58" i="91"/>
  <c r="J59" i="91"/>
  <c r="J60" i="91"/>
  <c r="J61" i="91"/>
  <c r="J62" i="91"/>
  <c r="J63" i="91"/>
  <c r="J64" i="91"/>
  <c r="J65" i="91"/>
  <c r="J66" i="91"/>
  <c r="J67" i="91"/>
  <c r="J68" i="91"/>
  <c r="J69" i="91"/>
  <c r="J70" i="91"/>
  <c r="J71" i="91"/>
  <c r="J72" i="91"/>
  <c r="J73" i="91"/>
  <c r="J74" i="91"/>
  <c r="J75" i="91"/>
  <c r="J76" i="91"/>
  <c r="J77" i="91"/>
  <c r="J78" i="91"/>
  <c r="J79" i="91"/>
  <c r="J80" i="91"/>
  <c r="J81" i="91"/>
  <c r="J82" i="91"/>
  <c r="J83" i="91"/>
  <c r="J84" i="91"/>
  <c r="J85" i="91"/>
  <c r="J86" i="91"/>
  <c r="J87" i="91"/>
  <c r="J88" i="91"/>
  <c r="J89" i="91"/>
  <c r="J90" i="91"/>
  <c r="J91" i="91"/>
  <c r="J92" i="91"/>
  <c r="J93" i="91"/>
  <c r="J94" i="91"/>
  <c r="J18" i="91"/>
  <c r="M18" i="91" s="1"/>
  <c r="H80" i="91"/>
  <c r="I80" i="54" s="1"/>
  <c r="H81" i="91"/>
  <c r="I81" i="54" s="1"/>
  <c r="H82" i="91"/>
  <c r="I82" i="54" s="1"/>
  <c r="H83" i="91"/>
  <c r="I83" i="54" s="1"/>
  <c r="H84" i="91"/>
  <c r="I84" i="54" s="1"/>
  <c r="H85" i="91"/>
  <c r="I85" i="54" s="1"/>
  <c r="H86" i="91"/>
  <c r="I86" i="54" s="1"/>
  <c r="H87" i="91"/>
  <c r="I87" i="54" s="1"/>
  <c r="H88" i="91"/>
  <c r="I88" i="54" s="1"/>
  <c r="H89" i="91"/>
  <c r="I89" i="54" s="1"/>
  <c r="H90" i="91"/>
  <c r="I90" i="54" s="1"/>
  <c r="H91" i="91"/>
  <c r="I91" i="54" s="1"/>
  <c r="H92" i="91"/>
  <c r="I92" i="54" s="1"/>
  <c r="H93" i="91"/>
  <c r="I93" i="54" s="1"/>
  <c r="H94" i="91"/>
  <c r="I94" i="54" s="1"/>
  <c r="H19" i="91"/>
  <c r="I19" i="54" s="1"/>
  <c r="H20" i="91"/>
  <c r="H21" i="91"/>
  <c r="I21" i="54" s="1"/>
  <c r="H22" i="91"/>
  <c r="I22" i="54" s="1"/>
  <c r="H23" i="91"/>
  <c r="I23" i="54" s="1"/>
  <c r="H24" i="91"/>
  <c r="I24" i="54" s="1"/>
  <c r="H25" i="91"/>
  <c r="I25" i="54" s="1"/>
  <c r="H26" i="91"/>
  <c r="I26" i="54" s="1"/>
  <c r="H27" i="91"/>
  <c r="I27" i="54" s="1"/>
  <c r="H28" i="91"/>
  <c r="I28" i="54" s="1"/>
  <c r="H29" i="91"/>
  <c r="I29" i="54" s="1"/>
  <c r="H30" i="91"/>
  <c r="I30" i="54" s="1"/>
  <c r="H31" i="91"/>
  <c r="I31" i="54" s="1"/>
  <c r="H32" i="91"/>
  <c r="I32" i="54" s="1"/>
  <c r="I33" i="54"/>
  <c r="H34" i="91"/>
  <c r="I34" i="54" s="1"/>
  <c r="H35" i="91"/>
  <c r="I35" i="54" s="1"/>
  <c r="H36" i="91"/>
  <c r="I36" i="54" s="1"/>
  <c r="H37" i="91"/>
  <c r="I37" i="54" s="1"/>
  <c r="H38" i="91"/>
  <c r="I38" i="54" s="1"/>
  <c r="H39" i="91"/>
  <c r="I39" i="54" s="1"/>
  <c r="H40" i="91"/>
  <c r="I40" i="54" s="1"/>
  <c r="H41" i="91"/>
  <c r="I41" i="54" s="1"/>
  <c r="H42" i="91"/>
  <c r="I42" i="54" s="1"/>
  <c r="H43" i="91"/>
  <c r="I43" i="54" s="1"/>
  <c r="H44" i="91"/>
  <c r="I44" i="54" s="1"/>
  <c r="H45" i="91"/>
  <c r="I45" i="54" s="1"/>
  <c r="H46" i="91"/>
  <c r="I46" i="54" s="1"/>
  <c r="H47" i="91"/>
  <c r="I47" i="54" s="1"/>
  <c r="H48" i="91"/>
  <c r="I48" i="54" s="1"/>
  <c r="H49" i="91"/>
  <c r="I49" i="54" s="1"/>
  <c r="H50" i="91"/>
  <c r="I50" i="54" s="1"/>
  <c r="H51" i="91"/>
  <c r="I51" i="54" s="1"/>
  <c r="H52" i="91"/>
  <c r="I52" i="54" s="1"/>
  <c r="H53" i="91"/>
  <c r="I53" i="54" s="1"/>
  <c r="H54" i="91"/>
  <c r="I54" i="54" s="1"/>
  <c r="H55" i="91"/>
  <c r="I55" i="54" s="1"/>
  <c r="H56" i="91"/>
  <c r="I56" i="54" s="1"/>
  <c r="H57" i="91"/>
  <c r="I57" i="54" s="1"/>
  <c r="H58" i="91"/>
  <c r="I58" i="54" s="1"/>
  <c r="H59" i="91"/>
  <c r="I59" i="54" s="1"/>
  <c r="H60" i="91"/>
  <c r="I60" i="54" s="1"/>
  <c r="H61" i="91"/>
  <c r="I61" i="54" s="1"/>
  <c r="H62" i="91"/>
  <c r="I62" i="54" s="1"/>
  <c r="H63" i="91"/>
  <c r="I63" i="54" s="1"/>
  <c r="H64" i="91"/>
  <c r="I64" i="54" s="1"/>
  <c r="H65" i="91"/>
  <c r="I65" i="54" s="1"/>
  <c r="H66" i="91"/>
  <c r="I66" i="54" s="1"/>
  <c r="H67" i="91"/>
  <c r="I67" i="54" s="1"/>
  <c r="H68" i="91"/>
  <c r="I68" i="54" s="1"/>
  <c r="H69" i="91"/>
  <c r="I69" i="54" s="1"/>
  <c r="H70" i="91"/>
  <c r="I70" i="54" s="1"/>
  <c r="H71" i="91"/>
  <c r="I71" i="54" s="1"/>
  <c r="H72" i="91"/>
  <c r="I72" i="54" s="1"/>
  <c r="H73" i="91"/>
  <c r="I73" i="54" s="1"/>
  <c r="H74" i="91"/>
  <c r="I74" i="54" s="1"/>
  <c r="H75" i="91"/>
  <c r="I75" i="54" s="1"/>
  <c r="H76" i="91"/>
  <c r="I76" i="54" s="1"/>
  <c r="H77" i="91"/>
  <c r="I77" i="54" s="1"/>
  <c r="H78" i="91"/>
  <c r="I78" i="54" s="1"/>
  <c r="H79" i="91"/>
  <c r="I79" i="54" s="1"/>
  <c r="H18" i="91"/>
  <c r="I18" i="54" s="1"/>
  <c r="V176" i="54" l="1"/>
  <c r="V171" i="54"/>
  <c r="V165" i="54"/>
  <c r="V164" i="54"/>
  <c r="S29" i="91"/>
  <c r="S25" i="91"/>
  <c r="S19" i="91"/>
  <c r="S87" i="91"/>
  <c r="S52" i="91"/>
  <c r="S86" i="91"/>
  <c r="S92" i="91"/>
  <c r="S72" i="91"/>
  <c r="S60" i="91"/>
  <c r="S56" i="91"/>
  <c r="S45" i="91"/>
  <c r="S27" i="91"/>
  <c r="S75" i="91"/>
  <c r="S67" i="91"/>
  <c r="S55" i="91"/>
  <c r="S62" i="91"/>
  <c r="S48" i="91"/>
  <c r="S46" i="91"/>
  <c r="S38" i="91"/>
  <c r="S32" i="91"/>
  <c r="S30" i="91"/>
  <c r="S22" i="91"/>
  <c r="S89" i="91"/>
  <c r="S85" i="91"/>
  <c r="S73" i="91"/>
  <c r="S69" i="91"/>
  <c r="M19" i="91"/>
  <c r="O92" i="54"/>
  <c r="O84" i="54"/>
  <c r="O76" i="54"/>
  <c r="O68" i="54"/>
  <c r="O60" i="54"/>
  <c r="R89" i="54"/>
  <c r="O18" i="54"/>
  <c r="N51" i="54"/>
  <c r="N45" i="54"/>
  <c r="N41" i="54"/>
  <c r="N37" i="54"/>
  <c r="N35" i="54"/>
  <c r="O91" i="54"/>
  <c r="O83" i="54"/>
  <c r="O75" i="54"/>
  <c r="O67" i="54"/>
  <c r="O59" i="54"/>
  <c r="O22" i="54"/>
  <c r="O20" i="54"/>
  <c r="O94" i="54"/>
  <c r="O90" i="54"/>
  <c r="O86" i="54"/>
  <c r="O82" i="54"/>
  <c r="O78" i="54"/>
  <c r="O74" i="54"/>
  <c r="O70" i="54"/>
  <c r="O66" i="54"/>
  <c r="O62" i="54"/>
  <c r="O58" i="54"/>
  <c r="O54" i="54"/>
  <c r="O88" i="54"/>
  <c r="O80" i="54"/>
  <c r="O72" i="54"/>
  <c r="O64" i="54"/>
  <c r="O56" i="54"/>
  <c r="N49" i="54"/>
  <c r="N47" i="54"/>
  <c r="N43" i="54"/>
  <c r="N39" i="54"/>
  <c r="O87" i="54"/>
  <c r="O79" i="54"/>
  <c r="O71" i="54"/>
  <c r="O63" i="54"/>
  <c r="O55" i="54"/>
  <c r="Q90" i="54"/>
  <c r="N50" i="54"/>
  <c r="N48" i="54"/>
  <c r="N46" i="54"/>
  <c r="N44" i="54"/>
  <c r="N42" i="54"/>
  <c r="N40" i="54"/>
  <c r="N38" i="54"/>
  <c r="N36" i="54"/>
  <c r="N34" i="54"/>
  <c r="O93" i="54"/>
  <c r="O89" i="54"/>
  <c r="O85" i="54"/>
  <c r="O81" i="54"/>
  <c r="O77" i="54"/>
  <c r="O73" i="54"/>
  <c r="O69" i="54"/>
  <c r="O65" i="54"/>
  <c r="O61" i="54"/>
  <c r="O57" i="54"/>
  <c r="O53" i="54"/>
  <c r="M33" i="91"/>
  <c r="M33" i="54" s="1"/>
  <c r="I64" i="1" s="1"/>
  <c r="K94" i="54"/>
  <c r="M94" i="91"/>
  <c r="M94" i="54" s="1"/>
  <c r="I125" i="1" s="1"/>
  <c r="M86" i="91"/>
  <c r="M86" i="54" s="1"/>
  <c r="I117" i="1" s="1"/>
  <c r="K86" i="54"/>
  <c r="M82" i="91"/>
  <c r="M82" i="54" s="1"/>
  <c r="I113" i="1" s="1"/>
  <c r="K82" i="54"/>
  <c r="M74" i="91"/>
  <c r="M74" i="54" s="1"/>
  <c r="I105" i="1" s="1"/>
  <c r="K74" i="54"/>
  <c r="M66" i="91"/>
  <c r="M66" i="54" s="1"/>
  <c r="I97" i="1" s="1"/>
  <c r="K66" i="54"/>
  <c r="M58" i="91"/>
  <c r="M58" i="54" s="1"/>
  <c r="I89" i="1" s="1"/>
  <c r="K58" i="54"/>
  <c r="M50" i="91"/>
  <c r="M50" i="54" s="1"/>
  <c r="I81" i="1" s="1"/>
  <c r="K50" i="54"/>
  <c r="M42" i="91"/>
  <c r="M42" i="54" s="1"/>
  <c r="I73" i="1" s="1"/>
  <c r="K42" i="54"/>
  <c r="M34" i="91"/>
  <c r="M34" i="54" s="1"/>
  <c r="I65" i="1" s="1"/>
  <c r="K34" i="54"/>
  <c r="M26" i="91"/>
  <c r="M26" i="54" s="1"/>
  <c r="I57" i="1" s="1"/>
  <c r="K26" i="54"/>
  <c r="M22" i="91"/>
  <c r="M22" i="54" s="1"/>
  <c r="I53" i="1" s="1"/>
  <c r="K22" i="54"/>
  <c r="N89" i="54"/>
  <c r="N81" i="54"/>
  <c r="P81" i="54" s="1"/>
  <c r="N73" i="54"/>
  <c r="N65" i="54"/>
  <c r="N57" i="54"/>
  <c r="N53" i="54"/>
  <c r="K93" i="54"/>
  <c r="M93" i="91"/>
  <c r="M93" i="54" s="1"/>
  <c r="I124" i="1" s="1"/>
  <c r="M89" i="91"/>
  <c r="M89" i="54" s="1"/>
  <c r="I120" i="1" s="1"/>
  <c r="K89" i="54"/>
  <c r="M81" i="91"/>
  <c r="M81" i="54" s="1"/>
  <c r="I112" i="1" s="1"/>
  <c r="K81" i="54"/>
  <c r="M73" i="91"/>
  <c r="M73" i="54" s="1"/>
  <c r="I104" i="1" s="1"/>
  <c r="K73" i="54"/>
  <c r="M69" i="91"/>
  <c r="M69" i="54" s="1"/>
  <c r="I100" i="1" s="1"/>
  <c r="K69" i="54"/>
  <c r="M61" i="91"/>
  <c r="M61" i="54" s="1"/>
  <c r="I92" i="1" s="1"/>
  <c r="K61" i="54"/>
  <c r="M53" i="91"/>
  <c r="M53" i="54" s="1"/>
  <c r="I84" i="1" s="1"/>
  <c r="K53" i="54"/>
  <c r="M49" i="91"/>
  <c r="M49" i="54" s="1"/>
  <c r="I80" i="1" s="1"/>
  <c r="K49" i="54"/>
  <c r="M45" i="91"/>
  <c r="M45" i="54" s="1"/>
  <c r="I76" i="1" s="1"/>
  <c r="K45" i="54"/>
  <c r="M41" i="91"/>
  <c r="M41" i="54" s="1"/>
  <c r="I72" i="1" s="1"/>
  <c r="K41" i="54"/>
  <c r="M37" i="91"/>
  <c r="M37" i="54" s="1"/>
  <c r="I68" i="1" s="1"/>
  <c r="K37" i="54"/>
  <c r="M29" i="91"/>
  <c r="M29" i="54" s="1"/>
  <c r="I60" i="1" s="1"/>
  <c r="K29" i="54"/>
  <c r="N88" i="54"/>
  <c r="P88" i="54" s="1"/>
  <c r="N80" i="54"/>
  <c r="P80" i="54" s="1"/>
  <c r="N72" i="54"/>
  <c r="P72" i="54" s="1"/>
  <c r="N64" i="54"/>
  <c r="P64" i="54" s="1"/>
  <c r="N56" i="54"/>
  <c r="P56" i="54" s="1"/>
  <c r="K92" i="54"/>
  <c r="M92" i="91"/>
  <c r="M92" i="54" s="1"/>
  <c r="I123" i="1" s="1"/>
  <c r="K88" i="54"/>
  <c r="M88" i="91"/>
  <c r="M88" i="54" s="1"/>
  <c r="K84" i="54"/>
  <c r="M84" i="91"/>
  <c r="M84" i="54" s="1"/>
  <c r="K80" i="54"/>
  <c r="M80" i="91"/>
  <c r="M80" i="54" s="1"/>
  <c r="K76" i="54"/>
  <c r="M76" i="91"/>
  <c r="M76" i="54" s="1"/>
  <c r="K72" i="54"/>
  <c r="M72" i="91"/>
  <c r="M72" i="54" s="1"/>
  <c r="K68" i="54"/>
  <c r="M68" i="91"/>
  <c r="M68" i="54" s="1"/>
  <c r="K64" i="54"/>
  <c r="M64" i="91"/>
  <c r="M64" i="54" s="1"/>
  <c r="K60" i="54"/>
  <c r="M60" i="91"/>
  <c r="M60" i="54" s="1"/>
  <c r="K56" i="54"/>
  <c r="M56" i="91"/>
  <c r="M56" i="54" s="1"/>
  <c r="K52" i="54"/>
  <c r="M52" i="91"/>
  <c r="M52" i="54" s="1"/>
  <c r="K48" i="54"/>
  <c r="M48" i="91"/>
  <c r="M48" i="54" s="1"/>
  <c r="I79" i="1" s="1"/>
  <c r="K44" i="54"/>
  <c r="M44" i="91"/>
  <c r="M44" i="54" s="1"/>
  <c r="I75" i="1" s="1"/>
  <c r="K40" i="54"/>
  <c r="M40" i="91"/>
  <c r="M40" i="54" s="1"/>
  <c r="I71" i="1" s="1"/>
  <c r="K36" i="54"/>
  <c r="M36" i="91"/>
  <c r="M36" i="54" s="1"/>
  <c r="I67" i="1" s="1"/>
  <c r="M32" i="91"/>
  <c r="M32" i="54" s="1"/>
  <c r="I63" i="1" s="1"/>
  <c r="K32" i="54"/>
  <c r="M28" i="91"/>
  <c r="M28" i="54" s="1"/>
  <c r="I59" i="1" s="1"/>
  <c r="K28" i="54"/>
  <c r="M24" i="91"/>
  <c r="M24" i="54" s="1"/>
  <c r="I55" i="1" s="1"/>
  <c r="K24" i="54"/>
  <c r="M20" i="91"/>
  <c r="M20" i="54" s="1"/>
  <c r="K20" i="54"/>
  <c r="N91" i="54"/>
  <c r="N87" i="54"/>
  <c r="N83" i="54"/>
  <c r="N79" i="54"/>
  <c r="P79" i="54" s="1"/>
  <c r="N75" i="54"/>
  <c r="N71" i="54"/>
  <c r="N67" i="54"/>
  <c r="N63" i="54"/>
  <c r="N59" i="54"/>
  <c r="N55" i="54"/>
  <c r="M90" i="91"/>
  <c r="M90" i="54" s="1"/>
  <c r="I121" i="1" s="1"/>
  <c r="K90" i="54"/>
  <c r="M78" i="91"/>
  <c r="M78" i="54" s="1"/>
  <c r="I109" i="1" s="1"/>
  <c r="K78" i="54"/>
  <c r="M70" i="91"/>
  <c r="M70" i="54" s="1"/>
  <c r="I101" i="1" s="1"/>
  <c r="K70" i="54"/>
  <c r="M62" i="91"/>
  <c r="M62" i="54" s="1"/>
  <c r="I93" i="1" s="1"/>
  <c r="K62" i="54"/>
  <c r="M54" i="91"/>
  <c r="M54" i="54" s="1"/>
  <c r="I85" i="1" s="1"/>
  <c r="K54" i="54"/>
  <c r="M46" i="91"/>
  <c r="M46" i="54" s="1"/>
  <c r="I77" i="1" s="1"/>
  <c r="K46" i="54"/>
  <c r="M38" i="91"/>
  <c r="M38" i="54" s="1"/>
  <c r="I69" i="1" s="1"/>
  <c r="K38" i="54"/>
  <c r="M30" i="91"/>
  <c r="M30" i="54" s="1"/>
  <c r="I61" i="1" s="1"/>
  <c r="K30" i="54"/>
  <c r="N93" i="54"/>
  <c r="N85" i="54"/>
  <c r="N77" i="54"/>
  <c r="N69" i="54"/>
  <c r="N61" i="54"/>
  <c r="M85" i="91"/>
  <c r="M85" i="54" s="1"/>
  <c r="I116" i="1" s="1"/>
  <c r="K85" i="54"/>
  <c r="M77" i="91"/>
  <c r="M77" i="54" s="1"/>
  <c r="I108" i="1" s="1"/>
  <c r="K77" i="54"/>
  <c r="M65" i="91"/>
  <c r="M65" i="54" s="1"/>
  <c r="I96" i="1" s="1"/>
  <c r="K65" i="54"/>
  <c r="M57" i="91"/>
  <c r="M57" i="54" s="1"/>
  <c r="I88" i="1" s="1"/>
  <c r="K57" i="54"/>
  <c r="M25" i="91"/>
  <c r="M25" i="54" s="1"/>
  <c r="I56" i="1" s="1"/>
  <c r="K25" i="54"/>
  <c r="M21" i="91"/>
  <c r="M21" i="54" s="1"/>
  <c r="I52" i="1" s="1"/>
  <c r="K21" i="54"/>
  <c r="N92" i="54"/>
  <c r="P92" i="54" s="1"/>
  <c r="N84" i="54"/>
  <c r="N76" i="54"/>
  <c r="P76" i="54" s="1"/>
  <c r="N68" i="54"/>
  <c r="N60" i="54"/>
  <c r="P60" i="54" s="1"/>
  <c r="N94" i="54"/>
  <c r="K18" i="54"/>
  <c r="M18" i="54"/>
  <c r="I49" i="1" s="1"/>
  <c r="M91" i="91"/>
  <c r="M91" i="54" s="1"/>
  <c r="I122" i="1" s="1"/>
  <c r="K91" i="54"/>
  <c r="M87" i="91"/>
  <c r="M87" i="54" s="1"/>
  <c r="K87" i="54"/>
  <c r="M83" i="91"/>
  <c r="M83" i="54" s="1"/>
  <c r="K83" i="54"/>
  <c r="M79" i="91"/>
  <c r="M79" i="54" s="1"/>
  <c r="K79" i="54"/>
  <c r="M75" i="91"/>
  <c r="M75" i="54" s="1"/>
  <c r="K75" i="54"/>
  <c r="M71" i="91"/>
  <c r="M71" i="54" s="1"/>
  <c r="K71" i="54"/>
  <c r="M67" i="91"/>
  <c r="M67" i="54" s="1"/>
  <c r="K67" i="54"/>
  <c r="M63" i="91"/>
  <c r="M63" i="54" s="1"/>
  <c r="K63" i="54"/>
  <c r="M59" i="91"/>
  <c r="M59" i="54" s="1"/>
  <c r="K59" i="54"/>
  <c r="M55" i="91"/>
  <c r="M55" i="54" s="1"/>
  <c r="K55" i="54"/>
  <c r="M51" i="91"/>
  <c r="M51" i="54" s="1"/>
  <c r="I82" i="1" s="1"/>
  <c r="K51" i="54"/>
  <c r="M47" i="91"/>
  <c r="M47" i="54" s="1"/>
  <c r="I78" i="1" s="1"/>
  <c r="K47" i="54"/>
  <c r="M43" i="91"/>
  <c r="M43" i="54" s="1"/>
  <c r="I74" i="1" s="1"/>
  <c r="K43" i="54"/>
  <c r="M39" i="91"/>
  <c r="M39" i="54" s="1"/>
  <c r="I70" i="1" s="1"/>
  <c r="K39" i="54"/>
  <c r="M35" i="91"/>
  <c r="M35" i="54" s="1"/>
  <c r="I66" i="1" s="1"/>
  <c r="K35" i="54"/>
  <c r="K31" i="54"/>
  <c r="M31" i="91"/>
  <c r="M31" i="54" s="1"/>
  <c r="I62" i="1" s="1"/>
  <c r="K27" i="54"/>
  <c r="M27" i="91"/>
  <c r="M27" i="54" s="1"/>
  <c r="I58" i="1" s="1"/>
  <c r="K23" i="54"/>
  <c r="M23" i="91"/>
  <c r="M23" i="54" s="1"/>
  <c r="I54" i="1" s="1"/>
  <c r="K19" i="54"/>
  <c r="M19" i="54"/>
  <c r="I50" i="1" s="1"/>
  <c r="N52" i="54"/>
  <c r="P52" i="54" s="1"/>
  <c r="N90" i="54"/>
  <c r="N86" i="54"/>
  <c r="N82" i="54"/>
  <c r="N78" i="54"/>
  <c r="N74" i="54"/>
  <c r="N70" i="54"/>
  <c r="N66" i="54"/>
  <c r="N62" i="54"/>
  <c r="N58" i="54"/>
  <c r="N54" i="54"/>
  <c r="O51" i="54"/>
  <c r="O49" i="54"/>
  <c r="O47" i="54"/>
  <c r="O45" i="54"/>
  <c r="P45" i="54" s="1"/>
  <c r="O43" i="54"/>
  <c r="P43" i="54" s="1"/>
  <c r="O41" i="54"/>
  <c r="O39" i="54"/>
  <c r="O37" i="54"/>
  <c r="O35" i="54"/>
  <c r="N33" i="54"/>
  <c r="P33" i="54" s="1"/>
  <c r="N31" i="54"/>
  <c r="P31" i="54" s="1"/>
  <c r="N29" i="54"/>
  <c r="P29" i="54" s="1"/>
  <c r="N27" i="54"/>
  <c r="P27" i="54" s="1"/>
  <c r="N25" i="54"/>
  <c r="P25" i="54" s="1"/>
  <c r="N23" i="54"/>
  <c r="P23" i="54" s="1"/>
  <c r="N21" i="54"/>
  <c r="P21" i="54" s="1"/>
  <c r="N19" i="54"/>
  <c r="P19" i="54" s="1"/>
  <c r="N18" i="54"/>
  <c r="P18" i="54" s="1"/>
  <c r="O50" i="54"/>
  <c r="O48" i="54"/>
  <c r="O46" i="54"/>
  <c r="O44" i="54"/>
  <c r="O42" i="54"/>
  <c r="O40" i="54"/>
  <c r="O38" i="54"/>
  <c r="O36" i="54"/>
  <c r="O34" i="54"/>
  <c r="N32" i="54"/>
  <c r="P32" i="54" s="1"/>
  <c r="N30" i="54"/>
  <c r="P30" i="54" s="1"/>
  <c r="N28" i="54"/>
  <c r="P28" i="54" s="1"/>
  <c r="N26" i="54"/>
  <c r="P26" i="54" s="1"/>
  <c r="N24" i="54"/>
  <c r="P24" i="54" s="1"/>
  <c r="N22" i="54"/>
  <c r="N20" i="54"/>
  <c r="P20" i="54" s="1"/>
  <c r="P94" i="91"/>
  <c r="S94" i="91" s="1"/>
  <c r="Q100" i="91"/>
  <c r="AK209" i="135"/>
  <c r="P23" i="91"/>
  <c r="S23" i="91" s="1"/>
  <c r="N188" i="54"/>
  <c r="AL209" i="135"/>
  <c r="R20" i="89"/>
  <c r="R192" i="54" s="1"/>
  <c r="N192" i="54"/>
  <c r="R24" i="89"/>
  <c r="R196" i="54" s="1"/>
  <c r="N196" i="54"/>
  <c r="R30" i="89"/>
  <c r="R202" i="54" s="1"/>
  <c r="R36" i="89"/>
  <c r="R208" i="54" s="1"/>
  <c r="N208" i="54"/>
  <c r="AJ209" i="135"/>
  <c r="P16" i="89"/>
  <c r="R17" i="89"/>
  <c r="R189" i="54" s="1"/>
  <c r="N189" i="54"/>
  <c r="R21" i="89"/>
  <c r="R193" i="54" s="1"/>
  <c r="N193" i="54"/>
  <c r="R25" i="89"/>
  <c r="R197" i="54" s="1"/>
  <c r="N197" i="54"/>
  <c r="R37" i="89"/>
  <c r="R209" i="54" s="1"/>
  <c r="N209" i="54"/>
  <c r="AM201" i="135"/>
  <c r="O38" i="89"/>
  <c r="AM202" i="135"/>
  <c r="O39" i="89"/>
  <c r="AM203" i="135"/>
  <c r="O40" i="89"/>
  <c r="R41" i="89"/>
  <c r="R213" i="54" s="1"/>
  <c r="N213" i="54"/>
  <c r="N214" i="54"/>
  <c r="AM206" i="135"/>
  <c r="O43" i="89"/>
  <c r="AM207" i="135"/>
  <c r="O44" i="89"/>
  <c r="R45" i="89"/>
  <c r="R217" i="54" s="1"/>
  <c r="N217" i="54"/>
  <c r="N190" i="54"/>
  <c r="AM185" i="135"/>
  <c r="O22" i="89"/>
  <c r="AM189" i="135"/>
  <c r="O26" i="89"/>
  <c r="R42" i="89"/>
  <c r="R214" i="54" s="1"/>
  <c r="R18" i="89"/>
  <c r="R190" i="54" s="1"/>
  <c r="AM182" i="135"/>
  <c r="O19" i="89"/>
  <c r="AM186" i="135"/>
  <c r="O23" i="89"/>
  <c r="AM190" i="135"/>
  <c r="O27" i="89"/>
  <c r="AM191" i="135"/>
  <c r="O28" i="89"/>
  <c r="R29" i="89"/>
  <c r="R201" i="54" s="1"/>
  <c r="N201" i="54"/>
  <c r="N202" i="54"/>
  <c r="AM194" i="135"/>
  <c r="O31" i="89"/>
  <c r="AM195" i="135"/>
  <c r="O32" i="89"/>
  <c r="R33" i="89"/>
  <c r="R205" i="54" s="1"/>
  <c r="N205" i="54"/>
  <c r="AM197" i="135"/>
  <c r="O34" i="89"/>
  <c r="AM198" i="135"/>
  <c r="O35" i="89"/>
  <c r="R175" i="1"/>
  <c r="J100" i="91"/>
  <c r="L100" i="91"/>
  <c r="O100" i="91"/>
  <c r="I20" i="54"/>
  <c r="I17" i="54" s="1"/>
  <c r="H100" i="91"/>
  <c r="N100" i="91"/>
  <c r="AN178" i="135"/>
  <c r="P90" i="91"/>
  <c r="S90" i="91" s="1"/>
  <c r="P86" i="91"/>
  <c r="R86" i="54" s="1"/>
  <c r="P54" i="91"/>
  <c r="R54" i="54" s="1"/>
  <c r="P30" i="91"/>
  <c r="R30" i="54" s="1"/>
  <c r="P93" i="91"/>
  <c r="S93" i="91" s="1"/>
  <c r="P89" i="91"/>
  <c r="P85" i="91"/>
  <c r="R85" i="54" s="1"/>
  <c r="P92" i="91"/>
  <c r="P88" i="91"/>
  <c r="S88" i="91" s="1"/>
  <c r="P84" i="91"/>
  <c r="R84" i="54" s="1"/>
  <c r="P91" i="91"/>
  <c r="S91" i="91" s="1"/>
  <c r="P87" i="91"/>
  <c r="R87" i="54" s="1"/>
  <c r="P83" i="91"/>
  <c r="R83" i="54" s="1"/>
  <c r="P59" i="91"/>
  <c r="R59" i="54" s="1"/>
  <c r="P67" i="91"/>
  <c r="R67" i="54" s="1"/>
  <c r="P51" i="91"/>
  <c r="R51" i="54" s="1"/>
  <c r="P39" i="91"/>
  <c r="R39" i="54" s="1"/>
  <c r="P75" i="91"/>
  <c r="R75" i="54" s="1"/>
  <c r="P78" i="91"/>
  <c r="R78" i="54" s="1"/>
  <c r="P76" i="91"/>
  <c r="R76" i="54" s="1"/>
  <c r="P70" i="91"/>
  <c r="S70" i="91" s="1"/>
  <c r="P62" i="91"/>
  <c r="R62" i="54" s="1"/>
  <c r="P60" i="91"/>
  <c r="R60" i="54" s="1"/>
  <c r="P46" i="91"/>
  <c r="R46" i="54" s="1"/>
  <c r="P31" i="91"/>
  <c r="R31" i="54" s="1"/>
  <c r="P22" i="91"/>
  <c r="R22" i="54" s="1"/>
  <c r="P18" i="91"/>
  <c r="R18" i="54" s="1"/>
  <c r="P38" i="91"/>
  <c r="R38" i="54" s="1"/>
  <c r="P79" i="91"/>
  <c r="S79" i="91" s="1"/>
  <c r="P74" i="91"/>
  <c r="S74" i="91" s="1"/>
  <c r="P65" i="91"/>
  <c r="R65" i="54" s="1"/>
  <c r="P58" i="91"/>
  <c r="R58" i="54" s="1"/>
  <c r="P49" i="91"/>
  <c r="R49" i="54" s="1"/>
  <c r="P47" i="91"/>
  <c r="R47" i="54" s="1"/>
  <c r="P45" i="91"/>
  <c r="R45" i="54" s="1"/>
  <c r="P43" i="91"/>
  <c r="R43" i="54" s="1"/>
  <c r="P34" i="91"/>
  <c r="R34" i="54" s="1"/>
  <c r="P32" i="91"/>
  <c r="R32" i="54" s="1"/>
  <c r="P29" i="91"/>
  <c r="R29" i="54" s="1"/>
  <c r="P27" i="91"/>
  <c r="R27" i="54" s="1"/>
  <c r="P68" i="91"/>
  <c r="S68" i="91" s="1"/>
  <c r="P52" i="91"/>
  <c r="R52" i="54" s="1"/>
  <c r="P81" i="91"/>
  <c r="R81" i="54" s="1"/>
  <c r="P63" i="91"/>
  <c r="R63" i="54" s="1"/>
  <c r="P82" i="91"/>
  <c r="R82" i="54" s="1"/>
  <c r="P73" i="91"/>
  <c r="R73" i="54" s="1"/>
  <c r="P71" i="91"/>
  <c r="R71" i="54" s="1"/>
  <c r="P66" i="91"/>
  <c r="R66" i="54" s="1"/>
  <c r="P57" i="91"/>
  <c r="R57" i="54" s="1"/>
  <c r="P55" i="91"/>
  <c r="R55" i="54" s="1"/>
  <c r="P50" i="91"/>
  <c r="R50" i="54" s="1"/>
  <c r="P42" i="91"/>
  <c r="R42" i="54" s="1"/>
  <c r="P40" i="91"/>
  <c r="S40" i="91" s="1"/>
  <c r="P37" i="91"/>
  <c r="R37" i="54" s="1"/>
  <c r="P35" i="91"/>
  <c r="R35" i="54" s="1"/>
  <c r="P26" i="91"/>
  <c r="R26" i="54" s="1"/>
  <c r="P24" i="91"/>
  <c r="R24" i="54" s="1"/>
  <c r="P21" i="91"/>
  <c r="R21" i="54" s="1"/>
  <c r="P19" i="91"/>
  <c r="R19" i="54" s="1"/>
  <c r="P80" i="91"/>
  <c r="R80" i="54" s="1"/>
  <c r="P77" i="91"/>
  <c r="R77" i="54" s="1"/>
  <c r="P64" i="91"/>
  <c r="R64" i="54" s="1"/>
  <c r="P61" i="91"/>
  <c r="R61" i="54" s="1"/>
  <c r="P56" i="91"/>
  <c r="R56" i="54" s="1"/>
  <c r="P53" i="91"/>
  <c r="S53" i="91" s="1"/>
  <c r="P48" i="91"/>
  <c r="R48" i="54" s="1"/>
  <c r="P72" i="91"/>
  <c r="R72" i="54" s="1"/>
  <c r="P69" i="91"/>
  <c r="R69" i="54" s="1"/>
  <c r="P44" i="91"/>
  <c r="S44" i="91" s="1"/>
  <c r="P41" i="91"/>
  <c r="R41" i="54" s="1"/>
  <c r="P36" i="91"/>
  <c r="R36" i="54" s="1"/>
  <c r="P33" i="91"/>
  <c r="R33" i="54" s="1"/>
  <c r="P28" i="91"/>
  <c r="R28" i="54" s="1"/>
  <c r="P25" i="91"/>
  <c r="P20" i="91"/>
  <c r="R20" i="54" s="1"/>
  <c r="AO210" i="135"/>
  <c r="AO90" i="135"/>
  <c r="AI46" i="135"/>
  <c r="AR46" i="135" s="1"/>
  <c r="AM40" i="135"/>
  <c r="AM44" i="135"/>
  <c r="AM51" i="135"/>
  <c r="AM96" i="135"/>
  <c r="AM112" i="135"/>
  <c r="AM128" i="135"/>
  <c r="AK178" i="135"/>
  <c r="H210" i="135"/>
  <c r="X210" i="135"/>
  <c r="AJ46" i="135"/>
  <c r="AS46" i="135" s="1"/>
  <c r="AM15" i="135"/>
  <c r="AM23" i="135"/>
  <c r="AM30" i="135"/>
  <c r="AK90" i="135"/>
  <c r="AM53" i="135"/>
  <c r="AM54" i="135"/>
  <c r="AM64" i="135"/>
  <c r="AM74" i="135"/>
  <c r="AM76" i="135"/>
  <c r="AM92" i="135"/>
  <c r="AM108" i="135"/>
  <c r="AM131" i="135"/>
  <c r="AI178" i="135"/>
  <c r="AM154" i="135"/>
  <c r="AM156" i="135"/>
  <c r="AR156" i="135" s="1"/>
  <c r="AM164" i="135"/>
  <c r="AR164" i="135" s="1"/>
  <c r="AM168" i="135"/>
  <c r="AR168" i="135" s="1"/>
  <c r="AM176" i="135"/>
  <c r="AR176" i="135" s="1"/>
  <c r="AN210" i="135"/>
  <c r="AN90" i="135"/>
  <c r="AM28" i="135"/>
  <c r="AJ153" i="135"/>
  <c r="P210" i="135"/>
  <c r="AF210" i="135"/>
  <c r="AK46" i="135"/>
  <c r="AT46" i="135" s="1"/>
  <c r="AM14" i="135"/>
  <c r="AM37" i="135"/>
  <c r="AL90" i="135"/>
  <c r="AU46" i="135" s="1"/>
  <c r="AM67" i="135"/>
  <c r="AM86" i="135"/>
  <c r="AM104" i="135"/>
  <c r="AM120" i="135"/>
  <c r="AM136" i="135"/>
  <c r="AM145" i="135"/>
  <c r="AI209" i="135"/>
  <c r="AM180" i="135"/>
  <c r="AM184" i="135"/>
  <c r="AM188" i="135"/>
  <c r="AM196" i="135"/>
  <c r="AM200" i="135"/>
  <c r="AM208" i="135"/>
  <c r="E210" i="135"/>
  <c r="I210" i="135"/>
  <c r="M210" i="135"/>
  <c r="Q210" i="135"/>
  <c r="U210" i="135"/>
  <c r="Y210" i="135"/>
  <c r="AC210" i="135"/>
  <c r="AG210" i="135"/>
  <c r="AM12" i="135"/>
  <c r="AM47" i="135"/>
  <c r="AM63" i="135"/>
  <c r="AM79" i="135"/>
  <c r="AL153" i="135"/>
  <c r="AM146" i="135"/>
  <c r="AM147" i="135"/>
  <c r="F210" i="135"/>
  <c r="J210" i="135"/>
  <c r="N210" i="135"/>
  <c r="R210" i="135"/>
  <c r="V210" i="135"/>
  <c r="Z210" i="135"/>
  <c r="AD210" i="135"/>
  <c r="AH210" i="135"/>
  <c r="AM49" i="135"/>
  <c r="AM59" i="135"/>
  <c r="AM75" i="135"/>
  <c r="AI153" i="135"/>
  <c r="AR153" i="135" s="1"/>
  <c r="AM95" i="135"/>
  <c r="AM99" i="135"/>
  <c r="AM103" i="135"/>
  <c r="AM107" i="135"/>
  <c r="AM111" i="135"/>
  <c r="AM115" i="135"/>
  <c r="AM119" i="135"/>
  <c r="AM124" i="135"/>
  <c r="AM125" i="135"/>
  <c r="AM132" i="135"/>
  <c r="AM133" i="135"/>
  <c r="AM140" i="135"/>
  <c r="AM141" i="135"/>
  <c r="AL178" i="135"/>
  <c r="AM161" i="135"/>
  <c r="AR161" i="135" s="1"/>
  <c r="AM165" i="135"/>
  <c r="AR165" i="135" s="1"/>
  <c r="AM169" i="135"/>
  <c r="AR169" i="135" s="1"/>
  <c r="AM173" i="135"/>
  <c r="AR173" i="135" s="1"/>
  <c r="AM177" i="135"/>
  <c r="AR177" i="135" s="1"/>
  <c r="AM179" i="135"/>
  <c r="AM181" i="135"/>
  <c r="AM183" i="135"/>
  <c r="AM187" i="135"/>
  <c r="AM192" i="135"/>
  <c r="AM193" i="135"/>
  <c r="AM199" i="135"/>
  <c r="AM204" i="135"/>
  <c r="AM205" i="135"/>
  <c r="AM91" i="135"/>
  <c r="AM153" i="135" s="1"/>
  <c r="S39" i="91" l="1"/>
  <c r="S66" i="91"/>
  <c r="S58" i="91"/>
  <c r="S61" i="91"/>
  <c r="S77" i="91"/>
  <c r="S26" i="91"/>
  <c r="S34" i="91"/>
  <c r="S42" i="91"/>
  <c r="S42" i="54" s="1"/>
  <c r="S50" i="91"/>
  <c r="S59" i="91"/>
  <c r="S83" i="91"/>
  <c r="S83" i="54" s="1"/>
  <c r="J114" i="1" s="1"/>
  <c r="S37" i="91"/>
  <c r="S37" i="54" s="1"/>
  <c r="S18" i="91"/>
  <c r="S64" i="91"/>
  <c r="S80" i="91"/>
  <c r="S71" i="91"/>
  <c r="S21" i="91"/>
  <c r="S31" i="91"/>
  <c r="S47" i="91"/>
  <c r="S57" i="91"/>
  <c r="S24" i="91"/>
  <c r="S33" i="91"/>
  <c r="S49" i="91"/>
  <c r="S76" i="91"/>
  <c r="S43" i="91"/>
  <c r="S65" i="91"/>
  <c r="S81" i="91"/>
  <c r="S20" i="91"/>
  <c r="S20" i="54" s="1"/>
  <c r="S28" i="91"/>
  <c r="S36" i="91"/>
  <c r="S54" i="91"/>
  <c r="S82" i="91"/>
  <c r="S63" i="91"/>
  <c r="S41" i="91"/>
  <c r="S84" i="91"/>
  <c r="S78" i="91"/>
  <c r="S78" i="54" s="1"/>
  <c r="S35" i="91"/>
  <c r="S51" i="91"/>
  <c r="P39" i="54"/>
  <c r="P59" i="54"/>
  <c r="P91" i="54"/>
  <c r="T18" i="89"/>
  <c r="T41" i="89"/>
  <c r="S213" i="54" s="1"/>
  <c r="T36" i="89"/>
  <c r="S208" i="54" s="1"/>
  <c r="T17" i="89"/>
  <c r="S189" i="54" s="1"/>
  <c r="T24" i="89"/>
  <c r="T33" i="89"/>
  <c r="S205" i="54" s="1"/>
  <c r="T34" i="89"/>
  <c r="T42" i="89"/>
  <c r="T21" i="89"/>
  <c r="S193" i="54" s="1"/>
  <c r="T30" i="89"/>
  <c r="S202" i="54" s="1"/>
  <c r="T37" i="89"/>
  <c r="S209" i="54" s="1"/>
  <c r="T20" i="89"/>
  <c r="T45" i="89"/>
  <c r="S217" i="54" s="1"/>
  <c r="T25" i="89"/>
  <c r="S197" i="54" s="1"/>
  <c r="T29" i="89"/>
  <c r="S201" i="54" s="1"/>
  <c r="S22" i="54"/>
  <c r="S51" i="54"/>
  <c r="S29" i="54"/>
  <c r="S77" i="54"/>
  <c r="S30" i="54"/>
  <c r="S46" i="54"/>
  <c r="S31" i="54"/>
  <c r="S39" i="54"/>
  <c r="S38" i="54"/>
  <c r="P47" i="54"/>
  <c r="S214" i="54"/>
  <c r="R26" i="89"/>
  <c r="R198" i="54" s="1"/>
  <c r="Q188" i="54"/>
  <c r="Q187" i="54" s="1"/>
  <c r="S196" i="54"/>
  <c r="R22" i="89"/>
  <c r="R194" i="54" s="1"/>
  <c r="R38" i="89"/>
  <c r="R210" i="54" s="1"/>
  <c r="P65" i="54"/>
  <c r="P41" i="54"/>
  <c r="P35" i="54"/>
  <c r="P51" i="54"/>
  <c r="P94" i="54"/>
  <c r="P75" i="54"/>
  <c r="P49" i="54"/>
  <c r="P73" i="54"/>
  <c r="P63" i="54"/>
  <c r="P57" i="54"/>
  <c r="P89" i="54"/>
  <c r="R90" i="54"/>
  <c r="R91" i="54"/>
  <c r="R25" i="54"/>
  <c r="R74" i="54"/>
  <c r="R23" i="54"/>
  <c r="P40" i="54"/>
  <c r="P48" i="54"/>
  <c r="P37" i="54"/>
  <c r="P54" i="54"/>
  <c r="P70" i="54"/>
  <c r="P86" i="54"/>
  <c r="P85" i="54"/>
  <c r="R92" i="54"/>
  <c r="R44" i="54"/>
  <c r="R53" i="54"/>
  <c r="R40" i="54"/>
  <c r="R68" i="54"/>
  <c r="R79" i="54"/>
  <c r="R70" i="54"/>
  <c r="R88" i="54"/>
  <c r="P36" i="54"/>
  <c r="P44" i="54"/>
  <c r="P62" i="54"/>
  <c r="P78" i="54"/>
  <c r="P69" i="54"/>
  <c r="P55" i="54"/>
  <c r="P71" i="54"/>
  <c r="P87" i="54"/>
  <c r="R93" i="54"/>
  <c r="R94" i="54"/>
  <c r="Q41" i="54"/>
  <c r="S48" i="54"/>
  <c r="Q48" i="54"/>
  <c r="Q64" i="54"/>
  <c r="S21" i="54"/>
  <c r="Q21" i="54"/>
  <c r="Q55" i="54"/>
  <c r="S73" i="54"/>
  <c r="Q73" i="54"/>
  <c r="Q52" i="54"/>
  <c r="Q32" i="54"/>
  <c r="S47" i="54"/>
  <c r="Q47" i="54"/>
  <c r="Q22" i="54"/>
  <c r="Q62" i="54"/>
  <c r="Q75" i="54"/>
  <c r="Q59" i="54"/>
  <c r="Q84" i="54"/>
  <c r="Q86" i="54"/>
  <c r="D12" i="98"/>
  <c r="Q33" i="54"/>
  <c r="Q69" i="54"/>
  <c r="Q56" i="54"/>
  <c r="Q80" i="54"/>
  <c r="T26" i="91"/>
  <c r="W26" i="91" s="1"/>
  <c r="Q26" i="54"/>
  <c r="Q42" i="54"/>
  <c r="Q66" i="54"/>
  <c r="Q63" i="54"/>
  <c r="S27" i="54"/>
  <c r="Q27" i="54"/>
  <c r="Q43" i="54"/>
  <c r="Q58" i="54"/>
  <c r="Q38" i="54"/>
  <c r="Q46" i="54"/>
  <c r="Q76" i="54"/>
  <c r="Q51" i="54"/>
  <c r="Q87" i="54"/>
  <c r="Q30" i="54"/>
  <c r="Q93" i="54"/>
  <c r="Q89" i="54"/>
  <c r="Q20" i="54"/>
  <c r="Q36" i="54"/>
  <c r="Q72" i="54"/>
  <c r="Q61" i="54"/>
  <c r="S19" i="54"/>
  <c r="Q19" i="54"/>
  <c r="Q35" i="54"/>
  <c r="Q50" i="54"/>
  <c r="Q71" i="54"/>
  <c r="S81" i="54"/>
  <c r="Q81" i="54"/>
  <c r="Q29" i="54"/>
  <c r="Q45" i="54"/>
  <c r="Q65" i="54"/>
  <c r="Q18" i="54"/>
  <c r="Q60" i="54"/>
  <c r="Q78" i="54"/>
  <c r="Q67" i="54"/>
  <c r="Q85" i="54"/>
  <c r="Q54" i="54"/>
  <c r="P34" i="54"/>
  <c r="P42" i="54"/>
  <c r="P50" i="54"/>
  <c r="P58" i="54"/>
  <c r="P74" i="54"/>
  <c r="P90" i="54"/>
  <c r="P68" i="54"/>
  <c r="P61" i="54"/>
  <c r="P93" i="54"/>
  <c r="P67" i="54"/>
  <c r="P83" i="54"/>
  <c r="Q92" i="54"/>
  <c r="S25" i="54"/>
  <c r="Q25" i="54"/>
  <c r="Q37" i="54"/>
  <c r="Q74" i="54"/>
  <c r="Q23" i="54"/>
  <c r="Q94" i="54"/>
  <c r="Q28" i="54"/>
  <c r="Q44" i="54"/>
  <c r="S53" i="54"/>
  <c r="Q53" i="54"/>
  <c r="Q77" i="54"/>
  <c r="Q24" i="54"/>
  <c r="Q40" i="54"/>
  <c r="Q57" i="54"/>
  <c r="Q82" i="54"/>
  <c r="Q68" i="54"/>
  <c r="Q34" i="54"/>
  <c r="Q49" i="54"/>
  <c r="Q79" i="54"/>
  <c r="Q31" i="54"/>
  <c r="S70" i="54"/>
  <c r="Q70" i="54"/>
  <c r="Q39" i="54"/>
  <c r="Q83" i="54"/>
  <c r="Q88" i="54"/>
  <c r="P22" i="54"/>
  <c r="P38" i="54"/>
  <c r="P46" i="54"/>
  <c r="P66" i="54"/>
  <c r="P82" i="54"/>
  <c r="P84" i="54"/>
  <c r="P77" i="54"/>
  <c r="P53" i="54"/>
  <c r="Q91" i="54"/>
  <c r="S94" i="54"/>
  <c r="T94" i="54" s="1"/>
  <c r="V94" i="54" s="1"/>
  <c r="R125" i="1" s="1"/>
  <c r="S89" i="54"/>
  <c r="T89" i="54" s="1"/>
  <c r="V89" i="54" s="1"/>
  <c r="R120" i="1" s="1"/>
  <c r="S91" i="54"/>
  <c r="J122" i="1" s="1"/>
  <c r="K122" i="1" s="1"/>
  <c r="O122" i="1" s="1"/>
  <c r="S90" i="54"/>
  <c r="J121" i="1" s="1"/>
  <c r="K121" i="1" s="1"/>
  <c r="O121" i="1" s="1"/>
  <c r="O17" i="54"/>
  <c r="K17" i="54"/>
  <c r="T59" i="91"/>
  <c r="W59" i="91" s="1"/>
  <c r="T90" i="91"/>
  <c r="W90" i="91" s="1"/>
  <c r="T89" i="91"/>
  <c r="W89" i="91" s="1"/>
  <c r="S74" i="54"/>
  <c r="S54" i="54"/>
  <c r="S62" i="54"/>
  <c r="I91" i="1"/>
  <c r="I94" i="1"/>
  <c r="I110" i="1"/>
  <c r="I87" i="1"/>
  <c r="I119" i="1"/>
  <c r="I83" i="1"/>
  <c r="I90" i="1"/>
  <c r="I111" i="1"/>
  <c r="I99" i="1"/>
  <c r="I98" i="1"/>
  <c r="I114" i="1"/>
  <c r="I95" i="1"/>
  <c r="I115" i="1"/>
  <c r="I106" i="1"/>
  <c r="I107" i="1"/>
  <c r="I86" i="1"/>
  <c r="I102" i="1"/>
  <c r="I118" i="1"/>
  <c r="I103" i="1"/>
  <c r="T94" i="91"/>
  <c r="W94" i="91" s="1"/>
  <c r="T91" i="91"/>
  <c r="W91" i="91" s="1"/>
  <c r="R16" i="89"/>
  <c r="R188" i="54" s="1"/>
  <c r="S32" i="54"/>
  <c r="P100" i="91"/>
  <c r="S35" i="54"/>
  <c r="S43" i="54"/>
  <c r="S33" i="54"/>
  <c r="AK210" i="135"/>
  <c r="T40" i="91"/>
  <c r="W40" i="91" s="1"/>
  <c r="R32" i="89"/>
  <c r="R204" i="54" s="1"/>
  <c r="N204" i="54"/>
  <c r="R31" i="89"/>
  <c r="R203" i="54" s="1"/>
  <c r="N203" i="54"/>
  <c r="R43" i="89"/>
  <c r="R215" i="54" s="1"/>
  <c r="N215" i="54"/>
  <c r="AL210" i="135"/>
  <c r="AL226" i="135" s="1"/>
  <c r="AJ210" i="135"/>
  <c r="N206" i="54"/>
  <c r="R27" i="89"/>
  <c r="R199" i="54" s="1"/>
  <c r="N199" i="54"/>
  <c r="R23" i="89"/>
  <c r="R195" i="54" s="1"/>
  <c r="N195" i="54"/>
  <c r="R19" i="89"/>
  <c r="R191" i="54" s="1"/>
  <c r="N191" i="54"/>
  <c r="N198" i="54"/>
  <c r="R39" i="89"/>
  <c r="R211" i="54" s="1"/>
  <c r="N211" i="54"/>
  <c r="S190" i="54"/>
  <c r="R44" i="89"/>
  <c r="R216" i="54" s="1"/>
  <c r="N216" i="54"/>
  <c r="S192" i="54"/>
  <c r="R35" i="89"/>
  <c r="R207" i="54" s="1"/>
  <c r="N207" i="54"/>
  <c r="R28" i="89"/>
  <c r="R200" i="54" s="1"/>
  <c r="N200" i="54"/>
  <c r="N194" i="54"/>
  <c r="R40" i="89"/>
  <c r="R212" i="54" s="1"/>
  <c r="N212" i="54"/>
  <c r="N210" i="54"/>
  <c r="R34" i="89"/>
  <c r="R206" i="54" s="1"/>
  <c r="I51" i="1"/>
  <c r="AM178" i="135"/>
  <c r="AV153" i="135" s="1"/>
  <c r="AR154" i="135"/>
  <c r="AM209" i="135"/>
  <c r="AU153" i="135"/>
  <c r="AM46" i="135"/>
  <c r="AI210" i="135"/>
  <c r="AT153" i="135"/>
  <c r="AQ153" i="135"/>
  <c r="AM90" i="135"/>
  <c r="T43" i="89" l="1"/>
  <c r="T40" i="89"/>
  <c r="S212" i="54" s="1"/>
  <c r="T22" i="89"/>
  <c r="S194" i="54" s="1"/>
  <c r="T31" i="89"/>
  <c r="S203" i="54" s="1"/>
  <c r="T27" i="89"/>
  <c r="S199" i="54" s="1"/>
  <c r="T38" i="89"/>
  <c r="S210" i="54" s="1"/>
  <c r="T28" i="89"/>
  <c r="S200" i="54" s="1"/>
  <c r="T32" i="89"/>
  <c r="S204" i="54" s="1"/>
  <c r="T26" i="89"/>
  <c r="T19" i="89"/>
  <c r="S191" i="54" s="1"/>
  <c r="T23" i="89"/>
  <c r="S195" i="54" s="1"/>
  <c r="T35" i="89"/>
  <c r="S207" i="54" s="1"/>
  <c r="T44" i="89"/>
  <c r="T39" i="89"/>
  <c r="S211" i="54" s="1"/>
  <c r="T16" i="89"/>
  <c r="S188" i="54" s="1"/>
  <c r="T81" i="91"/>
  <c r="W81" i="91" s="1"/>
  <c r="R187" i="54"/>
  <c r="T29" i="91"/>
  <c r="W29" i="91" s="1"/>
  <c r="T83" i="91"/>
  <c r="W83" i="91" s="1"/>
  <c r="S92" i="54"/>
  <c r="T92" i="54" s="1"/>
  <c r="V92" i="54" s="1"/>
  <c r="R123" i="1" s="1"/>
  <c r="T24" i="91"/>
  <c r="W24" i="91" s="1"/>
  <c r="S18" i="54"/>
  <c r="T18" i="54" s="1"/>
  <c r="V18" i="54" s="1"/>
  <c r="R49" i="1" s="1"/>
  <c r="T44" i="91"/>
  <c r="W44" i="91" s="1"/>
  <c r="T91" i="54"/>
  <c r="V91" i="54" s="1"/>
  <c r="R122" i="1" s="1"/>
  <c r="J125" i="1"/>
  <c r="K125" i="1" s="1"/>
  <c r="O125" i="1" s="1"/>
  <c r="T92" i="91"/>
  <c r="W92" i="91" s="1"/>
  <c r="S69" i="54"/>
  <c r="J100" i="1" s="1"/>
  <c r="K100" i="1" s="1"/>
  <c r="O100" i="1" s="1"/>
  <c r="S75" i="54"/>
  <c r="J106" i="1" s="1"/>
  <c r="K106" i="1" s="1"/>
  <c r="O106" i="1" s="1"/>
  <c r="T71" i="91"/>
  <c r="W71" i="91" s="1"/>
  <c r="S71" i="54"/>
  <c r="J102" i="1" s="1"/>
  <c r="K102" i="1" s="1"/>
  <c r="O102" i="1" s="1"/>
  <c r="T57" i="91"/>
  <c r="W57" i="91" s="1"/>
  <c r="S57" i="54"/>
  <c r="T57" i="54" s="1"/>
  <c r="V57" i="54" s="1"/>
  <c r="R88" i="1" s="1"/>
  <c r="S28" i="54"/>
  <c r="T28" i="54" s="1"/>
  <c r="V28" i="54" s="1"/>
  <c r="R59" i="1" s="1"/>
  <c r="S72" i="54"/>
  <c r="J103" i="1" s="1"/>
  <c r="K103" i="1" s="1"/>
  <c r="O103" i="1" s="1"/>
  <c r="S79" i="54"/>
  <c r="J110" i="1" s="1"/>
  <c r="K110" i="1" s="1"/>
  <c r="O110" i="1" s="1"/>
  <c r="S93" i="54"/>
  <c r="J124" i="1" s="1"/>
  <c r="K124" i="1" s="1"/>
  <c r="O124" i="1" s="1"/>
  <c r="S58" i="54"/>
  <c r="J89" i="1" s="1"/>
  <c r="K89" i="1" s="1"/>
  <c r="O89" i="1" s="1"/>
  <c r="T86" i="91"/>
  <c r="W86" i="91" s="1"/>
  <c r="S86" i="54"/>
  <c r="T86" i="54" s="1"/>
  <c r="V86" i="54" s="1"/>
  <c r="R117" i="1" s="1"/>
  <c r="T67" i="91"/>
  <c r="W67" i="91" s="1"/>
  <c r="S67" i="54"/>
  <c r="J98" i="1" s="1"/>
  <c r="K98" i="1" s="1"/>
  <c r="O98" i="1" s="1"/>
  <c r="T45" i="91"/>
  <c r="W45" i="91" s="1"/>
  <c r="S45" i="54"/>
  <c r="T45" i="54" s="1"/>
  <c r="V45" i="54" s="1"/>
  <c r="R76" i="1" s="1"/>
  <c r="T50" i="91"/>
  <c r="W50" i="91" s="1"/>
  <c r="S50" i="54"/>
  <c r="J81" i="1" s="1"/>
  <c r="K81" i="1" s="1"/>
  <c r="O81" i="1" s="1"/>
  <c r="S34" i="54"/>
  <c r="T34" i="54" s="1"/>
  <c r="V34" i="54" s="1"/>
  <c r="R65" i="1" s="1"/>
  <c r="S40" i="54"/>
  <c r="T40" i="54" s="1"/>
  <c r="V40" i="54" s="1"/>
  <c r="R71" i="1" s="1"/>
  <c r="T23" i="91"/>
  <c r="W23" i="91" s="1"/>
  <c r="S23" i="54"/>
  <c r="T23" i="54" s="1"/>
  <c r="V23" i="54" s="1"/>
  <c r="R54" i="1" s="1"/>
  <c r="S61" i="54"/>
  <c r="J92" i="1" s="1"/>
  <c r="K92" i="1" s="1"/>
  <c r="O92" i="1" s="1"/>
  <c r="S64" i="54"/>
  <c r="J95" i="1" s="1"/>
  <c r="K95" i="1" s="1"/>
  <c r="O95" i="1" s="1"/>
  <c r="S63" i="54"/>
  <c r="J94" i="1" s="1"/>
  <c r="K94" i="1" s="1"/>
  <c r="O94" i="1" s="1"/>
  <c r="T61" i="91"/>
  <c r="W61" i="91" s="1"/>
  <c r="T70" i="91"/>
  <c r="W70" i="91" s="1"/>
  <c r="S66" i="54"/>
  <c r="T66" i="54" s="1"/>
  <c r="V66" i="54" s="1"/>
  <c r="R97" i="1" s="1"/>
  <c r="S84" i="54"/>
  <c r="J115" i="1" s="1"/>
  <c r="K115" i="1" s="1"/>
  <c r="O115" i="1" s="1"/>
  <c r="T60" i="91"/>
  <c r="W60" i="91" s="1"/>
  <c r="S60" i="54"/>
  <c r="J91" i="1" s="1"/>
  <c r="K91" i="1" s="1"/>
  <c r="O91" i="1" s="1"/>
  <c r="S36" i="54"/>
  <c r="J67" i="1" s="1"/>
  <c r="K67" i="1" s="1"/>
  <c r="O67" i="1" s="1"/>
  <c r="T68" i="91"/>
  <c r="W68" i="91" s="1"/>
  <c r="S68" i="54"/>
  <c r="J99" i="1" s="1"/>
  <c r="K99" i="1" s="1"/>
  <c r="O99" i="1" s="1"/>
  <c r="S24" i="54"/>
  <c r="T24" i="54" s="1"/>
  <c r="V24" i="54" s="1"/>
  <c r="R55" i="1" s="1"/>
  <c r="S52" i="54"/>
  <c r="J83" i="1" s="1"/>
  <c r="K83" i="1" s="1"/>
  <c r="O83" i="1" s="1"/>
  <c r="S80" i="54"/>
  <c r="J111" i="1" s="1"/>
  <c r="K111" i="1" s="1"/>
  <c r="O111" i="1" s="1"/>
  <c r="S87" i="54"/>
  <c r="J118" i="1" s="1"/>
  <c r="K118" i="1" s="1"/>
  <c r="O118" i="1" s="1"/>
  <c r="S76" i="54"/>
  <c r="J107" i="1" s="1"/>
  <c r="K107" i="1" s="1"/>
  <c r="O107" i="1" s="1"/>
  <c r="T65" i="91"/>
  <c r="W65" i="91" s="1"/>
  <c r="S65" i="54"/>
  <c r="T65" i="54" s="1"/>
  <c r="V65" i="54" s="1"/>
  <c r="R96" i="1" s="1"/>
  <c r="T49" i="91"/>
  <c r="W49" i="91" s="1"/>
  <c r="S49" i="54"/>
  <c r="T49" i="54" s="1"/>
  <c r="V49" i="54" s="1"/>
  <c r="R80" i="1" s="1"/>
  <c r="S85" i="54"/>
  <c r="J116" i="1" s="1"/>
  <c r="K116" i="1" s="1"/>
  <c r="O116" i="1" s="1"/>
  <c r="T75" i="91"/>
  <c r="W75" i="91" s="1"/>
  <c r="S88" i="54"/>
  <c r="J119" i="1" s="1"/>
  <c r="K119" i="1" s="1"/>
  <c r="O119" i="1" s="1"/>
  <c r="S56" i="54"/>
  <c r="J87" i="1" s="1"/>
  <c r="K87" i="1" s="1"/>
  <c r="O87" i="1" s="1"/>
  <c r="S55" i="54"/>
  <c r="T55" i="54" s="1"/>
  <c r="V55" i="54" s="1"/>
  <c r="R86" i="1" s="1"/>
  <c r="S26" i="54"/>
  <c r="T26" i="54" s="1"/>
  <c r="V26" i="54" s="1"/>
  <c r="R57" i="1" s="1"/>
  <c r="S59" i="54"/>
  <c r="J90" i="1" s="1"/>
  <c r="K90" i="1" s="1"/>
  <c r="O90" i="1" s="1"/>
  <c r="T82" i="91"/>
  <c r="W82" i="91" s="1"/>
  <c r="S82" i="54"/>
  <c r="T82" i="54" s="1"/>
  <c r="V82" i="54" s="1"/>
  <c r="R113" i="1" s="1"/>
  <c r="S44" i="54"/>
  <c r="J75" i="1" s="1"/>
  <c r="K75" i="1" s="1"/>
  <c r="O75" i="1" s="1"/>
  <c r="S41" i="54"/>
  <c r="J72" i="1" s="1"/>
  <c r="K72" i="1" s="1"/>
  <c r="O72" i="1" s="1"/>
  <c r="T66" i="91"/>
  <c r="W66" i="91" s="1"/>
  <c r="T90" i="54"/>
  <c r="V90" i="54" s="1"/>
  <c r="R121" i="1" s="1"/>
  <c r="R17" i="54"/>
  <c r="J120" i="1"/>
  <c r="K120" i="1" s="1"/>
  <c r="O120" i="1" s="1"/>
  <c r="T85" i="91"/>
  <c r="W85" i="91" s="1"/>
  <c r="T41" i="91"/>
  <c r="W41" i="91" s="1"/>
  <c r="T18" i="91"/>
  <c r="W18" i="91" s="1"/>
  <c r="T34" i="91"/>
  <c r="W34" i="91" s="1"/>
  <c r="T58" i="91"/>
  <c r="W58" i="91" s="1"/>
  <c r="Q17" i="54"/>
  <c r="T28" i="91"/>
  <c r="W28" i="91" s="1"/>
  <c r="T69" i="91"/>
  <c r="W69" i="91" s="1"/>
  <c r="T52" i="91"/>
  <c r="W52" i="91" s="1"/>
  <c r="T36" i="91"/>
  <c r="W36" i="91" s="1"/>
  <c r="T84" i="91"/>
  <c r="W84" i="91" s="1"/>
  <c r="K114" i="1"/>
  <c r="O114" i="1" s="1"/>
  <c r="T76" i="91"/>
  <c r="W76" i="91" s="1"/>
  <c r="T83" i="54"/>
  <c r="V83" i="54" s="1"/>
  <c r="R114" i="1" s="1"/>
  <c r="T54" i="91"/>
  <c r="W54" i="91" s="1"/>
  <c r="T55" i="91"/>
  <c r="W55" i="91" s="1"/>
  <c r="T77" i="91"/>
  <c r="W77" i="91" s="1"/>
  <c r="T31" i="91"/>
  <c r="W31" i="91" s="1"/>
  <c r="T43" i="91"/>
  <c r="W43" i="91" s="1"/>
  <c r="J109" i="1"/>
  <c r="K109" i="1" s="1"/>
  <c r="O109" i="1" s="1"/>
  <c r="T78" i="54"/>
  <c r="V78" i="54" s="1"/>
  <c r="R109" i="1" s="1"/>
  <c r="J104" i="1"/>
  <c r="K104" i="1" s="1"/>
  <c r="O104" i="1" s="1"/>
  <c r="T73" i="54"/>
  <c r="V73" i="54" s="1"/>
  <c r="R104" i="1" s="1"/>
  <c r="T63" i="91"/>
  <c r="W63" i="91" s="1"/>
  <c r="J105" i="1"/>
  <c r="K105" i="1" s="1"/>
  <c r="O105" i="1" s="1"/>
  <c r="T74" i="54"/>
  <c r="V74" i="54" s="1"/>
  <c r="R105" i="1" s="1"/>
  <c r="T42" i="91"/>
  <c r="W42" i="91" s="1"/>
  <c r="J101" i="1"/>
  <c r="K101" i="1" s="1"/>
  <c r="O101" i="1" s="1"/>
  <c r="T70" i="54"/>
  <c r="V70" i="54" s="1"/>
  <c r="R101" i="1" s="1"/>
  <c r="T78" i="91"/>
  <c r="W78" i="91" s="1"/>
  <c r="T87" i="91"/>
  <c r="W87" i="91" s="1"/>
  <c r="T88" i="91"/>
  <c r="W88" i="91" s="1"/>
  <c r="J108" i="1"/>
  <c r="K108" i="1" s="1"/>
  <c r="O108" i="1" s="1"/>
  <c r="T77" i="54"/>
  <c r="V77" i="54" s="1"/>
  <c r="R108" i="1" s="1"/>
  <c r="T79" i="91"/>
  <c r="W79" i="91" s="1"/>
  <c r="T64" i="91"/>
  <c r="W64" i="91" s="1"/>
  <c r="J93" i="1"/>
  <c r="K93" i="1" s="1"/>
  <c r="O93" i="1" s="1"/>
  <c r="T62" i="54"/>
  <c r="V62" i="54" s="1"/>
  <c r="R93" i="1" s="1"/>
  <c r="T80" i="91"/>
  <c r="W80" i="91" s="1"/>
  <c r="T62" i="91"/>
  <c r="W62" i="91" s="1"/>
  <c r="J84" i="1"/>
  <c r="K84" i="1" s="1"/>
  <c r="O84" i="1" s="1"/>
  <c r="T53" i="54"/>
  <c r="V53" i="54" s="1"/>
  <c r="R84" i="1" s="1"/>
  <c r="T51" i="91"/>
  <c r="W51" i="91" s="1"/>
  <c r="T48" i="91"/>
  <c r="W48" i="91" s="1"/>
  <c r="J85" i="1"/>
  <c r="K85" i="1" s="1"/>
  <c r="O85" i="1" s="1"/>
  <c r="T54" i="54"/>
  <c r="V54" i="54" s="1"/>
  <c r="R85" i="1" s="1"/>
  <c r="T72" i="91"/>
  <c r="W72" i="91" s="1"/>
  <c r="T56" i="91"/>
  <c r="W56" i="91" s="1"/>
  <c r="T73" i="91"/>
  <c r="W73" i="91" s="1"/>
  <c r="T93" i="91"/>
  <c r="W93" i="91" s="1"/>
  <c r="T53" i="91"/>
  <c r="W53" i="91" s="1"/>
  <c r="T74" i="91"/>
  <c r="W74" i="91" s="1"/>
  <c r="J112" i="1"/>
  <c r="K112" i="1" s="1"/>
  <c r="O112" i="1" s="1"/>
  <c r="T81" i="54"/>
  <c r="V81" i="54" s="1"/>
  <c r="R112" i="1" s="1"/>
  <c r="J70" i="1"/>
  <c r="K70" i="1" s="1"/>
  <c r="O70" i="1" s="1"/>
  <c r="T39" i="54"/>
  <c r="V39" i="54" s="1"/>
  <c r="R70" i="1" s="1"/>
  <c r="J69" i="1"/>
  <c r="K69" i="1" s="1"/>
  <c r="O69" i="1" s="1"/>
  <c r="T38" i="54"/>
  <c r="V38" i="54" s="1"/>
  <c r="R69" i="1" s="1"/>
  <c r="T22" i="91"/>
  <c r="W22" i="91" s="1"/>
  <c r="J66" i="1"/>
  <c r="K66" i="1" s="1"/>
  <c r="O66" i="1" s="1"/>
  <c r="T35" i="54"/>
  <c r="V35" i="54" s="1"/>
  <c r="R66" i="1" s="1"/>
  <c r="T46" i="91"/>
  <c r="W46" i="91" s="1"/>
  <c r="AM210" i="135"/>
  <c r="J78" i="1"/>
  <c r="K78" i="1" s="1"/>
  <c r="O78" i="1" s="1"/>
  <c r="T47" i="54"/>
  <c r="V47" i="54" s="1"/>
  <c r="R78" i="1" s="1"/>
  <c r="J62" i="1"/>
  <c r="K62" i="1" s="1"/>
  <c r="O62" i="1" s="1"/>
  <c r="T31" i="54"/>
  <c r="V31" i="54" s="1"/>
  <c r="R62" i="1" s="1"/>
  <c r="T39" i="91"/>
  <c r="W39" i="91" s="1"/>
  <c r="T47" i="91"/>
  <c r="W47" i="91" s="1"/>
  <c r="T51" i="54"/>
  <c r="V51" i="54" s="1"/>
  <c r="R82" i="1" s="1"/>
  <c r="J82" i="1"/>
  <c r="K82" i="1" s="1"/>
  <c r="O82" i="1" s="1"/>
  <c r="J50" i="1"/>
  <c r="K50" i="1" s="1"/>
  <c r="O50" i="1" s="1"/>
  <c r="T19" i="54"/>
  <c r="V19" i="54" s="1"/>
  <c r="R50" i="1" s="1"/>
  <c r="T38" i="91"/>
  <c r="W38" i="91" s="1"/>
  <c r="T25" i="91"/>
  <c r="W25" i="91" s="1"/>
  <c r="J60" i="1"/>
  <c r="K60" i="1" s="1"/>
  <c r="O60" i="1" s="1"/>
  <c r="T29" i="54"/>
  <c r="V29" i="54" s="1"/>
  <c r="R60" i="1" s="1"/>
  <c r="J68" i="1"/>
  <c r="K68" i="1" s="1"/>
  <c r="O68" i="1" s="1"/>
  <c r="T37" i="54"/>
  <c r="V37" i="54" s="1"/>
  <c r="R68" i="1" s="1"/>
  <c r="J56" i="1"/>
  <c r="K56" i="1" s="1"/>
  <c r="O56" i="1" s="1"/>
  <c r="T25" i="54"/>
  <c r="V25" i="54" s="1"/>
  <c r="R56" i="1" s="1"/>
  <c r="J77" i="1"/>
  <c r="K77" i="1" s="1"/>
  <c r="O77" i="1" s="1"/>
  <c r="T46" i="54"/>
  <c r="V46" i="54" s="1"/>
  <c r="R77" i="1" s="1"/>
  <c r="J53" i="1"/>
  <c r="K53" i="1" s="1"/>
  <c r="O53" i="1" s="1"/>
  <c r="T22" i="54"/>
  <c r="V22" i="54" s="1"/>
  <c r="R53" i="1" s="1"/>
  <c r="T37" i="91"/>
  <c r="W37" i="91" s="1"/>
  <c r="J64" i="1"/>
  <c r="K64" i="1" s="1"/>
  <c r="O64" i="1" s="1"/>
  <c r="T33" i="54"/>
  <c r="V33" i="54" s="1"/>
  <c r="R64" i="1" s="1"/>
  <c r="J63" i="1"/>
  <c r="K63" i="1" s="1"/>
  <c r="O63" i="1" s="1"/>
  <c r="T32" i="54"/>
  <c r="V32" i="54" s="1"/>
  <c r="R63" i="1" s="1"/>
  <c r="T33" i="91"/>
  <c r="W33" i="91" s="1"/>
  <c r="J58" i="1"/>
  <c r="K58" i="1" s="1"/>
  <c r="O58" i="1" s="1"/>
  <c r="T27" i="54"/>
  <c r="V27" i="54" s="1"/>
  <c r="R58" i="1" s="1"/>
  <c r="J52" i="1"/>
  <c r="K52" i="1" s="1"/>
  <c r="O52" i="1" s="1"/>
  <c r="T21" i="54"/>
  <c r="V21" i="54" s="1"/>
  <c r="R52" i="1" s="1"/>
  <c r="J73" i="1"/>
  <c r="K73" i="1" s="1"/>
  <c r="O73" i="1" s="1"/>
  <c r="T42" i="54"/>
  <c r="V42" i="54" s="1"/>
  <c r="R73" i="1" s="1"/>
  <c r="J61" i="1"/>
  <c r="K61" i="1" s="1"/>
  <c r="O61" i="1" s="1"/>
  <c r="T30" i="54"/>
  <c r="V30" i="54" s="1"/>
  <c r="R61" i="1" s="1"/>
  <c r="T30" i="91"/>
  <c r="W30" i="91" s="1"/>
  <c r="T21" i="91"/>
  <c r="W21" i="91" s="1"/>
  <c r="J74" i="1"/>
  <c r="K74" i="1" s="1"/>
  <c r="O74" i="1" s="1"/>
  <c r="T43" i="54"/>
  <c r="V43" i="54" s="1"/>
  <c r="R74" i="1" s="1"/>
  <c r="T35" i="91"/>
  <c r="W35" i="91" s="1"/>
  <c r="J79" i="1"/>
  <c r="K79" i="1" s="1"/>
  <c r="O79" i="1" s="1"/>
  <c r="T48" i="54"/>
  <c r="V48" i="54" s="1"/>
  <c r="R79" i="1" s="1"/>
  <c r="T27" i="91"/>
  <c r="W27" i="91" s="1"/>
  <c r="T32" i="91"/>
  <c r="W32" i="91" s="1"/>
  <c r="S206" i="54"/>
  <c r="S216" i="54"/>
  <c r="J233" i="1"/>
  <c r="R47" i="89"/>
  <c r="J240" i="1"/>
  <c r="J239" i="1"/>
  <c r="S215" i="54"/>
  <c r="J236" i="1"/>
  <c r="J221" i="1"/>
  <c r="S198" i="54"/>
  <c r="J220" i="1"/>
  <c r="J228" i="1"/>
  <c r="J245" i="1"/>
  <c r="J223" i="1"/>
  <c r="J224" i="1"/>
  <c r="J248" i="1"/>
  <c r="J244" i="1"/>
  <c r="J227" i="1"/>
  <c r="J232" i="1"/>
  <c r="S100" i="91"/>
  <c r="T20" i="91"/>
  <c r="W20" i="91" s="1"/>
  <c r="AQ46" i="135"/>
  <c r="J117" i="1" l="1"/>
  <c r="K117" i="1" s="1"/>
  <c r="O117" i="1" s="1"/>
  <c r="J49" i="1"/>
  <c r="K49" i="1" s="1"/>
  <c r="O49" i="1" s="1"/>
  <c r="J123" i="1"/>
  <c r="K123" i="1" s="1"/>
  <c r="O123" i="1" s="1"/>
  <c r="J76" i="1"/>
  <c r="K76" i="1" s="1"/>
  <c r="O76" i="1" s="1"/>
  <c r="T41" i="54"/>
  <c r="V41" i="54" s="1"/>
  <c r="R72" i="1" s="1"/>
  <c r="J113" i="1"/>
  <c r="K113" i="1" s="1"/>
  <c r="O113" i="1" s="1"/>
  <c r="T64" i="54"/>
  <c r="V64" i="54" s="1"/>
  <c r="R95" i="1" s="1"/>
  <c r="J54" i="1"/>
  <c r="K54" i="1" s="1"/>
  <c r="O54" i="1" s="1"/>
  <c r="T93" i="54"/>
  <c r="V93" i="54" s="1"/>
  <c r="R124" i="1" s="1"/>
  <c r="T59" i="54"/>
  <c r="V59" i="54" s="1"/>
  <c r="R90" i="1" s="1"/>
  <c r="T80" i="54"/>
  <c r="V80" i="54" s="1"/>
  <c r="R111" i="1" s="1"/>
  <c r="J65" i="1"/>
  <c r="K65" i="1" s="1"/>
  <c r="O65" i="1" s="1"/>
  <c r="J80" i="1"/>
  <c r="K80" i="1" s="1"/>
  <c r="O80" i="1" s="1"/>
  <c r="T87" i="54"/>
  <c r="V87" i="54" s="1"/>
  <c r="R118" i="1" s="1"/>
  <c r="T88" i="54"/>
  <c r="V88" i="54" s="1"/>
  <c r="R119" i="1" s="1"/>
  <c r="T56" i="54"/>
  <c r="V56" i="54" s="1"/>
  <c r="R87" i="1" s="1"/>
  <c r="T75" i="54"/>
  <c r="V75" i="54" s="1"/>
  <c r="R106" i="1" s="1"/>
  <c r="T72" i="54"/>
  <c r="V72" i="54" s="1"/>
  <c r="R103" i="1" s="1"/>
  <c r="J57" i="1"/>
  <c r="K57" i="1" s="1"/>
  <c r="O57" i="1" s="1"/>
  <c r="J55" i="1"/>
  <c r="K55" i="1" s="1"/>
  <c r="O55" i="1" s="1"/>
  <c r="T44" i="54"/>
  <c r="V44" i="54" s="1"/>
  <c r="R75" i="1" s="1"/>
  <c r="J86" i="1"/>
  <c r="K86" i="1" s="1"/>
  <c r="O86" i="1" s="1"/>
  <c r="J88" i="1"/>
  <c r="K88" i="1" s="1"/>
  <c r="O88" i="1" s="1"/>
  <c r="T76" i="54"/>
  <c r="V76" i="54" s="1"/>
  <c r="R107" i="1" s="1"/>
  <c r="J96" i="1"/>
  <c r="K96" i="1" s="1"/>
  <c r="O96" i="1" s="1"/>
  <c r="J59" i="1"/>
  <c r="K59" i="1" s="1"/>
  <c r="O59" i="1" s="1"/>
  <c r="J97" i="1"/>
  <c r="K97" i="1" s="1"/>
  <c r="O97" i="1" s="1"/>
  <c r="J71" i="1"/>
  <c r="K71" i="1" s="1"/>
  <c r="O71" i="1" s="1"/>
  <c r="T79" i="54"/>
  <c r="V79" i="54" s="1"/>
  <c r="R110" i="1" s="1"/>
  <c r="T50" i="54"/>
  <c r="V50" i="54" s="1"/>
  <c r="R81" i="1" s="1"/>
  <c r="T36" i="54"/>
  <c r="V36" i="54" s="1"/>
  <c r="R67" i="1" s="1"/>
  <c r="T67" i="54"/>
  <c r="V67" i="54" s="1"/>
  <c r="R98" i="1" s="1"/>
  <c r="T60" i="54"/>
  <c r="V60" i="54" s="1"/>
  <c r="R91" i="1" s="1"/>
  <c r="T61" i="54"/>
  <c r="V61" i="54" s="1"/>
  <c r="R92" i="1" s="1"/>
  <c r="T84" i="54"/>
  <c r="V84" i="54" s="1"/>
  <c r="R115" i="1" s="1"/>
  <c r="T69" i="54"/>
  <c r="V69" i="54" s="1"/>
  <c r="R100" i="1" s="1"/>
  <c r="T63" i="54"/>
  <c r="V63" i="54" s="1"/>
  <c r="R94" i="1" s="1"/>
  <c r="T71" i="54"/>
  <c r="V71" i="54" s="1"/>
  <c r="R102" i="1" s="1"/>
  <c r="T68" i="54"/>
  <c r="V68" i="54" s="1"/>
  <c r="R99" i="1" s="1"/>
  <c r="T85" i="54"/>
  <c r="V85" i="54" s="1"/>
  <c r="R116" i="1" s="1"/>
  <c r="T58" i="54"/>
  <c r="V58" i="54" s="1"/>
  <c r="R89" i="1" s="1"/>
  <c r="T52" i="54"/>
  <c r="V52" i="54" s="1"/>
  <c r="R83" i="1" s="1"/>
  <c r="J226" i="1"/>
  <c r="J229" i="1"/>
  <c r="J222" i="1"/>
  <c r="J235" i="1"/>
  <c r="J246" i="1"/>
  <c r="J247" i="1"/>
  <c r="J231" i="1"/>
  <c r="J237" i="1"/>
  <c r="J225" i="1"/>
  <c r="J219" i="1"/>
  <c r="S187" i="54"/>
  <c r="J238" i="1"/>
  <c r="J234" i="1"/>
  <c r="J230" i="1"/>
  <c r="J242" i="1"/>
  <c r="J241" i="1"/>
  <c r="J243" i="1"/>
  <c r="J51" i="1"/>
  <c r="S17" i="54"/>
  <c r="T20" i="54"/>
  <c r="AI71" i="134"/>
  <c r="AI70" i="134"/>
  <c r="AG69" i="134"/>
  <c r="AI69" i="134" s="1"/>
  <c r="AG68" i="134"/>
  <c r="AI68" i="134" s="1"/>
  <c r="AG67" i="134"/>
  <c r="AI67" i="134" s="1"/>
  <c r="AG66" i="134"/>
  <c r="AI66" i="134" s="1"/>
  <c r="AG65" i="134"/>
  <c r="AI63" i="134"/>
  <c r="AI62" i="134"/>
  <c r="AG61" i="134"/>
  <c r="AI61" i="134" s="1"/>
  <c r="AG60" i="134"/>
  <c r="AI60" i="134" s="1"/>
  <c r="AG59" i="134"/>
  <c r="AI59" i="134" s="1"/>
  <c r="AG58" i="134"/>
  <c r="AI58" i="134" s="1"/>
  <c r="AG57" i="134"/>
  <c r="AI57" i="134" s="1"/>
  <c r="AG56" i="134"/>
  <c r="AI56" i="134" s="1"/>
  <c r="AG55" i="134"/>
  <c r="AI55" i="134" s="1"/>
  <c r="AG54" i="134"/>
  <c r="AI54" i="134" s="1"/>
  <c r="AG53" i="134"/>
  <c r="AI53" i="134" s="1"/>
  <c r="AG52" i="134"/>
  <c r="AI52" i="134" s="1"/>
  <c r="AG51" i="134"/>
  <c r="AI51" i="134" s="1"/>
  <c r="AG50" i="134"/>
  <c r="AI50" i="134" s="1"/>
  <c r="AG49" i="134"/>
  <c r="AI49" i="134" s="1"/>
  <c r="AG48" i="134"/>
  <c r="AI48" i="134" s="1"/>
  <c r="AG47" i="134"/>
  <c r="AI47" i="134" s="1"/>
  <c r="AG46" i="134"/>
  <c r="AI46" i="134" s="1"/>
  <c r="AG45" i="134"/>
  <c r="AI45" i="134" s="1"/>
  <c r="AG44" i="134"/>
  <c r="AI44" i="134" s="1"/>
  <c r="AG43" i="134"/>
  <c r="AI43" i="134" s="1"/>
  <c r="AG42" i="134"/>
  <c r="AI42" i="134" s="1"/>
  <c r="AG41" i="134"/>
  <c r="AI41" i="134" s="1"/>
  <c r="AG40" i="134"/>
  <c r="AI40" i="134" s="1"/>
  <c r="AG39" i="134"/>
  <c r="AI39" i="134" s="1"/>
  <c r="AG38" i="134"/>
  <c r="AI38" i="134" s="1"/>
  <c r="AG37" i="134"/>
  <c r="AI37" i="134" s="1"/>
  <c r="AG36" i="134"/>
  <c r="AI36" i="134" s="1"/>
  <c r="AG35" i="134"/>
  <c r="AI35" i="134" s="1"/>
  <c r="AG34" i="134"/>
  <c r="AI34" i="134" s="1"/>
  <c r="AG33" i="134"/>
  <c r="AI33" i="134" s="1"/>
  <c r="AG32" i="134"/>
  <c r="AI32" i="134" s="1"/>
  <c r="AG31" i="134"/>
  <c r="AI31" i="134" s="1"/>
  <c r="AG30" i="134"/>
  <c r="AI30" i="134" s="1"/>
  <c r="AG29" i="134"/>
  <c r="AI29" i="134" s="1"/>
  <c r="AG28" i="134"/>
  <c r="AI28" i="134" s="1"/>
  <c r="AG27" i="134"/>
  <c r="AI27" i="134" s="1"/>
  <c r="AG26" i="134"/>
  <c r="AI26" i="134" s="1"/>
  <c r="AG25" i="134"/>
  <c r="AI25" i="134" s="1"/>
  <c r="AG24" i="134"/>
  <c r="AI24" i="134" s="1"/>
  <c r="AG23" i="134"/>
  <c r="AI23" i="134" s="1"/>
  <c r="AG22" i="134"/>
  <c r="AI22" i="134" s="1"/>
  <c r="AG21" i="134"/>
  <c r="AI21" i="134" s="1"/>
  <c r="AG20" i="134"/>
  <c r="AI20" i="134" s="1"/>
  <c r="AG19" i="134"/>
  <c r="AI19" i="134" s="1"/>
  <c r="AG18" i="134"/>
  <c r="AI18" i="134" s="1"/>
  <c r="AG17" i="134"/>
  <c r="AI17" i="134" s="1"/>
  <c r="AG16" i="134"/>
  <c r="AI16" i="134" s="1"/>
  <c r="AG15" i="134"/>
  <c r="AI15" i="134" s="1"/>
  <c r="AF14" i="134"/>
  <c r="AF72" i="134" s="1"/>
  <c r="AE14" i="134"/>
  <c r="AE72" i="134" s="1"/>
  <c r="AD14" i="134"/>
  <c r="AD72" i="134" s="1"/>
  <c r="AC14" i="134"/>
  <c r="AC72" i="134" s="1"/>
  <c r="AB14" i="134"/>
  <c r="AB72" i="134" s="1"/>
  <c r="AA14" i="134"/>
  <c r="AA72" i="134" s="1"/>
  <c r="Z14" i="134"/>
  <c r="Z72" i="134" s="1"/>
  <c r="Y14" i="134"/>
  <c r="Y72" i="134" s="1"/>
  <c r="X14" i="134"/>
  <c r="X72" i="134" s="1"/>
  <c r="W14" i="134"/>
  <c r="W72" i="134" s="1"/>
  <c r="V14" i="134"/>
  <c r="V72" i="134" s="1"/>
  <c r="U14" i="134"/>
  <c r="U72" i="134" s="1"/>
  <c r="T14" i="134"/>
  <c r="T72" i="134" s="1"/>
  <c r="S14" i="134"/>
  <c r="S72" i="134" s="1"/>
  <c r="R14" i="134"/>
  <c r="R72" i="134" s="1"/>
  <c r="Q14" i="134"/>
  <c r="Q72" i="134" s="1"/>
  <c r="P14" i="134"/>
  <c r="P72" i="134" s="1"/>
  <c r="O14" i="134"/>
  <c r="O72" i="134" s="1"/>
  <c r="N14" i="134"/>
  <c r="N72" i="134" s="1"/>
  <c r="M14" i="134"/>
  <c r="M72" i="134" s="1"/>
  <c r="L14" i="134"/>
  <c r="L72" i="134" s="1"/>
  <c r="K14" i="134"/>
  <c r="K72" i="134" s="1"/>
  <c r="J14" i="134"/>
  <c r="J72" i="134" s="1"/>
  <c r="I14" i="134"/>
  <c r="I72" i="134" s="1"/>
  <c r="H14" i="134"/>
  <c r="H72" i="134" s="1"/>
  <c r="G14" i="134"/>
  <c r="G72" i="134" s="1"/>
  <c r="F14" i="134"/>
  <c r="F72" i="134" s="1"/>
  <c r="E14" i="134"/>
  <c r="E72" i="134" s="1"/>
  <c r="D14" i="134"/>
  <c r="D72" i="134" s="1"/>
  <c r="C14" i="134"/>
  <c r="C72" i="134" s="1"/>
  <c r="AG64" i="134" l="1"/>
  <c r="J218" i="1"/>
  <c r="V20" i="54"/>
  <c r="K51" i="1"/>
  <c r="AI14" i="134"/>
  <c r="AG14" i="134"/>
  <c r="AG72" i="134" s="1"/>
  <c r="AI65" i="134"/>
  <c r="AI64" i="134" s="1"/>
  <c r="E62" i="117"/>
  <c r="O51" i="1" l="1"/>
  <c r="R51" i="1"/>
  <c r="AI72" i="134"/>
  <c r="F178" i="108" l="1"/>
  <c r="G178" i="108"/>
  <c r="H178" i="108"/>
  <c r="I178" i="108"/>
  <c r="J178" i="108"/>
  <c r="K178" i="108"/>
  <c r="L178" i="108"/>
  <c r="M178" i="108"/>
  <c r="N178" i="108"/>
  <c r="O178" i="108"/>
  <c r="P178" i="108"/>
  <c r="Q178" i="108"/>
  <c r="R178" i="108"/>
  <c r="S178" i="108"/>
  <c r="T178" i="108"/>
  <c r="U178" i="108"/>
  <c r="V178" i="108"/>
  <c r="W178" i="108"/>
  <c r="X178" i="108"/>
  <c r="Y178" i="108"/>
  <c r="Z178" i="108"/>
  <c r="AA178" i="108"/>
  <c r="AB178" i="108"/>
  <c r="AC178" i="108"/>
  <c r="AD178" i="108"/>
  <c r="AE178" i="108"/>
  <c r="AF178" i="108"/>
  <c r="AG178" i="108"/>
  <c r="AH178" i="108"/>
  <c r="E178" i="108"/>
  <c r="AF153" i="108" l="1"/>
  <c r="AG153" i="108"/>
  <c r="AH153" i="108"/>
  <c r="AE153" i="108"/>
  <c r="AG146" i="108" l="1"/>
  <c r="AG145" i="108"/>
  <c r="AG139" i="108"/>
  <c r="AG137" i="108"/>
  <c r="AG127" i="108"/>
  <c r="AG126" i="108"/>
  <c r="AG123" i="108"/>
  <c r="F90" i="108"/>
  <c r="G90" i="108"/>
  <c r="H90" i="108"/>
  <c r="I90" i="108"/>
  <c r="J90" i="108"/>
  <c r="K90" i="108"/>
  <c r="L90" i="108"/>
  <c r="M90" i="108"/>
  <c r="N90" i="108"/>
  <c r="O90" i="108"/>
  <c r="P90" i="108"/>
  <c r="Q90" i="108"/>
  <c r="R90" i="108"/>
  <c r="S90" i="108"/>
  <c r="T90" i="108"/>
  <c r="U90" i="108"/>
  <c r="V90" i="108"/>
  <c r="W90" i="108"/>
  <c r="X90" i="108"/>
  <c r="Y90" i="108"/>
  <c r="Z90" i="108"/>
  <c r="AA90" i="108"/>
  <c r="AB90" i="108"/>
  <c r="AC90" i="108"/>
  <c r="AD90" i="108"/>
  <c r="AE90" i="108"/>
  <c r="AF90" i="108"/>
  <c r="AH90" i="108"/>
  <c r="E90" i="108"/>
  <c r="AG90" i="108" l="1"/>
  <c r="AI16" i="108"/>
  <c r="AI17" i="108"/>
  <c r="F46" i="108"/>
  <c r="G46" i="108"/>
  <c r="H46" i="108"/>
  <c r="I46" i="108"/>
  <c r="J46" i="108"/>
  <c r="K46" i="108"/>
  <c r="L46" i="108"/>
  <c r="M46" i="108"/>
  <c r="N46" i="108"/>
  <c r="O46" i="108"/>
  <c r="P46" i="108"/>
  <c r="Q46" i="108"/>
  <c r="R46" i="108"/>
  <c r="S46" i="108"/>
  <c r="T46" i="108"/>
  <c r="U46" i="108"/>
  <c r="V46" i="108"/>
  <c r="W46" i="108"/>
  <c r="X46" i="108"/>
  <c r="Y46" i="108"/>
  <c r="Z46" i="108"/>
  <c r="AA46" i="108"/>
  <c r="AB46" i="108"/>
  <c r="AC46" i="108"/>
  <c r="AD46" i="108"/>
  <c r="AE46" i="108"/>
  <c r="AF46" i="108"/>
  <c r="AG46" i="108"/>
  <c r="AH46" i="108"/>
  <c r="E46" i="108"/>
  <c r="AI65" i="108"/>
  <c r="AI66" i="108"/>
  <c r="AI67" i="108"/>
  <c r="AI68" i="108"/>
  <c r="AI69" i="108"/>
  <c r="AI70" i="108"/>
  <c r="AI71" i="108"/>
  <c r="AI72" i="108"/>
  <c r="AI73" i="108"/>
  <c r="AI74" i="108"/>
  <c r="AI75" i="108"/>
  <c r="AI76" i="108"/>
  <c r="AI77" i="108"/>
  <c r="AI78" i="108"/>
  <c r="AI79" i="108"/>
  <c r="AI80" i="108"/>
  <c r="AI81" i="108"/>
  <c r="AI82" i="108"/>
  <c r="AI83" i="108"/>
  <c r="AI84" i="108"/>
  <c r="AI85" i="108"/>
  <c r="AI86" i="108"/>
  <c r="AI87" i="108"/>
  <c r="AI12" i="131"/>
  <c r="AI13" i="131"/>
  <c r="AI14" i="131"/>
  <c r="AI15" i="131"/>
  <c r="AI16" i="131"/>
  <c r="AL16" i="131" l="1"/>
  <c r="AL12" i="131"/>
  <c r="AL14" i="131"/>
  <c r="AL15" i="131"/>
  <c r="AL13" i="131"/>
  <c r="F11" i="108"/>
  <c r="G11" i="108"/>
  <c r="H11" i="108"/>
  <c r="I11" i="108"/>
  <c r="J11" i="108"/>
  <c r="K11" i="108"/>
  <c r="L11" i="108"/>
  <c r="M11" i="108"/>
  <c r="N11" i="108"/>
  <c r="O11" i="108"/>
  <c r="P11" i="108"/>
  <c r="Q11" i="108"/>
  <c r="R11" i="108"/>
  <c r="S11" i="108"/>
  <c r="T11" i="108"/>
  <c r="U11" i="108"/>
  <c r="V11" i="108"/>
  <c r="W11" i="108"/>
  <c r="X11" i="108"/>
  <c r="Y11" i="108"/>
  <c r="Z11" i="108"/>
  <c r="AA11" i="108"/>
  <c r="AB11" i="108"/>
  <c r="AC11" i="108"/>
  <c r="AD11" i="108"/>
  <c r="AE11" i="108"/>
  <c r="AF11" i="108"/>
  <c r="AG11" i="108"/>
  <c r="AH11" i="108"/>
  <c r="E11" i="108"/>
  <c r="C20" i="87" l="1"/>
  <c r="C18" i="87"/>
  <c r="C19" i="87"/>
  <c r="C21" i="87"/>
  <c r="C22" i="87"/>
  <c r="C23" i="87"/>
  <c r="C24" i="87"/>
  <c r="C10" i="87"/>
  <c r="C11" i="87"/>
  <c r="C12" i="87"/>
  <c r="C13" i="87"/>
  <c r="C14" i="87"/>
  <c r="C15" i="87"/>
  <c r="C16" i="87"/>
  <c r="C17" i="87"/>
  <c r="C9" i="87"/>
  <c r="AH32" i="88" l="1"/>
  <c r="T32" i="88"/>
  <c r="L32" i="88"/>
  <c r="M32" i="88"/>
  <c r="N32" i="88"/>
  <c r="O32" i="88"/>
  <c r="P32" i="88"/>
  <c r="F32" i="88"/>
  <c r="G32" i="88"/>
  <c r="H32" i="88"/>
  <c r="I32" i="88"/>
  <c r="K16" i="96" l="1"/>
  <c r="M20" i="96"/>
  <c r="AH14" i="94"/>
  <c r="B19" i="87" l="1"/>
  <c r="AI23" i="85"/>
  <c r="AL23" i="85" s="1"/>
  <c r="AI24" i="85"/>
  <c r="AI25" i="85"/>
  <c r="AI26" i="85"/>
  <c r="AI27" i="85"/>
  <c r="J32" i="88"/>
  <c r="K32" i="88"/>
  <c r="Q32" i="88"/>
  <c r="R32" i="88"/>
  <c r="S32" i="88"/>
  <c r="U32" i="88"/>
  <c r="V32" i="88"/>
  <c r="W32" i="88"/>
  <c r="X32" i="88"/>
  <c r="Y32" i="88"/>
  <c r="Z32" i="88"/>
  <c r="AB32" i="88"/>
  <c r="AC32" i="88"/>
  <c r="AD32" i="88"/>
  <c r="AE32" i="88"/>
  <c r="AF32" i="88"/>
  <c r="E32" i="88"/>
  <c r="AI16" i="94"/>
  <c r="AI17" i="94"/>
  <c r="AI15" i="94"/>
  <c r="AI18" i="94"/>
  <c r="AG19" i="94"/>
  <c r="AG14" i="94"/>
  <c r="AI13" i="94"/>
  <c r="AI12" i="94"/>
  <c r="AG11" i="94"/>
  <c r="AH11" i="94"/>
  <c r="G15" i="97"/>
  <c r="G14" i="97"/>
  <c r="E19" i="87" l="1"/>
  <c r="M19" i="76"/>
  <c r="K14" i="76" l="1"/>
  <c r="L14" i="76"/>
  <c r="J46" i="89" l="1"/>
  <c r="F14" i="76" l="1"/>
  <c r="G31" i="41"/>
  <c r="I46" i="89" l="1"/>
  <c r="K218" i="54"/>
  <c r="J218" i="54"/>
  <c r="J187" i="54" s="1"/>
  <c r="AA20" i="89" l="1"/>
  <c r="AB18" i="89"/>
  <c r="O218" i="54" l="1"/>
  <c r="P218" i="54"/>
  <c r="L45" i="89"/>
  <c r="L37" i="89"/>
  <c r="L209" i="54" s="1"/>
  <c r="L38" i="89"/>
  <c r="L210" i="54" s="1"/>
  <c r="L39" i="89"/>
  <c r="L211" i="54" s="1"/>
  <c r="L40" i="89"/>
  <c r="L212" i="54" s="1"/>
  <c r="L41" i="89"/>
  <c r="L213" i="54" s="1"/>
  <c r="L42" i="89"/>
  <c r="L214" i="54" s="1"/>
  <c r="L43" i="89"/>
  <c r="L215" i="54" s="1"/>
  <c r="L44" i="89"/>
  <c r="L216" i="54" s="1"/>
  <c r="L17" i="89"/>
  <c r="L189" i="54" s="1"/>
  <c r="L18" i="89"/>
  <c r="L190" i="54" s="1"/>
  <c r="L19" i="89"/>
  <c r="L191" i="54" s="1"/>
  <c r="L20" i="89"/>
  <c r="L192" i="54" s="1"/>
  <c r="L21" i="89"/>
  <c r="L193" i="54" s="1"/>
  <c r="L22" i="89"/>
  <c r="L194" i="54" s="1"/>
  <c r="L23" i="89"/>
  <c r="L195" i="54" s="1"/>
  <c r="L24" i="89"/>
  <c r="L196" i="54" s="1"/>
  <c r="L25" i="89"/>
  <c r="L197" i="54" s="1"/>
  <c r="L26" i="89"/>
  <c r="L198" i="54" s="1"/>
  <c r="L27" i="89"/>
  <c r="L199" i="54" s="1"/>
  <c r="L28" i="89"/>
  <c r="L200" i="54" s="1"/>
  <c r="L29" i="89"/>
  <c r="L201" i="54" s="1"/>
  <c r="L30" i="89"/>
  <c r="L202" i="54" s="1"/>
  <c r="L31" i="89"/>
  <c r="L203" i="54" s="1"/>
  <c r="L32" i="89"/>
  <c r="L204" i="54" s="1"/>
  <c r="L33" i="89"/>
  <c r="L205" i="54" s="1"/>
  <c r="L34" i="89"/>
  <c r="L206" i="54" s="1"/>
  <c r="L35" i="89"/>
  <c r="L207" i="54" s="1"/>
  <c r="L36" i="89"/>
  <c r="L208" i="54" s="1"/>
  <c r="L16" i="89"/>
  <c r="L188" i="54" s="1"/>
  <c r="L217" i="54" l="1"/>
  <c r="L187" i="54" s="1"/>
  <c r="N45" i="89"/>
  <c r="AI155" i="108"/>
  <c r="AI156" i="108"/>
  <c r="AI157" i="108"/>
  <c r="AI158" i="108"/>
  <c r="AI159" i="108"/>
  <c r="AI160" i="108"/>
  <c r="AI161" i="108"/>
  <c r="AI162" i="108"/>
  <c r="AI163" i="108"/>
  <c r="AI164" i="108"/>
  <c r="AI165" i="108"/>
  <c r="AI166" i="108"/>
  <c r="AI167" i="108"/>
  <c r="AI168" i="108"/>
  <c r="AI169" i="108"/>
  <c r="AI170" i="108"/>
  <c r="AI171" i="108"/>
  <c r="AI172" i="108"/>
  <c r="AI173" i="108"/>
  <c r="AI174" i="108"/>
  <c r="AI175" i="108"/>
  <c r="AI176" i="108"/>
  <c r="AI177" i="108"/>
  <c r="AI154" i="108"/>
  <c r="AI180" i="108"/>
  <c r="AI181" i="108"/>
  <c r="AI182" i="108"/>
  <c r="AI183" i="108"/>
  <c r="AI184" i="108"/>
  <c r="AI185" i="108"/>
  <c r="AI186" i="108"/>
  <c r="AI187" i="108"/>
  <c r="AI188" i="108"/>
  <c r="AI189" i="108"/>
  <c r="AI190" i="108"/>
  <c r="AI191" i="108"/>
  <c r="AI192" i="108"/>
  <c r="AI193" i="108"/>
  <c r="AI194" i="108"/>
  <c r="AI195" i="108"/>
  <c r="AI196" i="108"/>
  <c r="AI197" i="108"/>
  <c r="AI198" i="108"/>
  <c r="AI199" i="108"/>
  <c r="AI200" i="108"/>
  <c r="AI201" i="108"/>
  <c r="AI202" i="108"/>
  <c r="AI203" i="108"/>
  <c r="AI204" i="108"/>
  <c r="AI205" i="108"/>
  <c r="AI206" i="108"/>
  <c r="AI207" i="108"/>
  <c r="AI208" i="108"/>
  <c r="AI179" i="108"/>
  <c r="AI92" i="108"/>
  <c r="AI93" i="108"/>
  <c r="AI94" i="108"/>
  <c r="AI95" i="108"/>
  <c r="AI96" i="108"/>
  <c r="AI97" i="108"/>
  <c r="AI98" i="108"/>
  <c r="AI99" i="108"/>
  <c r="AI100" i="108"/>
  <c r="AI101" i="108"/>
  <c r="AI102" i="108"/>
  <c r="AI103" i="108"/>
  <c r="AI104" i="108"/>
  <c r="AI105" i="108"/>
  <c r="AI106" i="108"/>
  <c r="AI107" i="108"/>
  <c r="AI108" i="108"/>
  <c r="AI109" i="108"/>
  <c r="AI110" i="108"/>
  <c r="AI111" i="108"/>
  <c r="AI112" i="108"/>
  <c r="AI113" i="108"/>
  <c r="AI114" i="108"/>
  <c r="AI115" i="108"/>
  <c r="AI116" i="108"/>
  <c r="AI117" i="108"/>
  <c r="AI118" i="108"/>
  <c r="AI119" i="108"/>
  <c r="AI120" i="108"/>
  <c r="AI121" i="108"/>
  <c r="AI122" i="108"/>
  <c r="AI123" i="108"/>
  <c r="AI124" i="108"/>
  <c r="AI125" i="108"/>
  <c r="AI126" i="108"/>
  <c r="AI127" i="108"/>
  <c r="AI128" i="108"/>
  <c r="AI129" i="108"/>
  <c r="AI130" i="108"/>
  <c r="AI131" i="108"/>
  <c r="AI132" i="108"/>
  <c r="AI133" i="108"/>
  <c r="AI134" i="108"/>
  <c r="AI135" i="108"/>
  <c r="AI136" i="108"/>
  <c r="AI137" i="108"/>
  <c r="AI138" i="108"/>
  <c r="AI139" i="108"/>
  <c r="AI140" i="108"/>
  <c r="AI141" i="108"/>
  <c r="AI142" i="108"/>
  <c r="AI143" i="108"/>
  <c r="AI144" i="108"/>
  <c r="AI145" i="108"/>
  <c r="AI146" i="108"/>
  <c r="AI147" i="108"/>
  <c r="AI148" i="108"/>
  <c r="AI149" i="108"/>
  <c r="AI150" i="108"/>
  <c r="AI151" i="108"/>
  <c r="AI152" i="108"/>
  <c r="AI91" i="108"/>
  <c r="AI48" i="108"/>
  <c r="AI49" i="108"/>
  <c r="AI50" i="108"/>
  <c r="AI51" i="108"/>
  <c r="AI52" i="108"/>
  <c r="AI53" i="108"/>
  <c r="AI54" i="108"/>
  <c r="AI55" i="108"/>
  <c r="AI56" i="108"/>
  <c r="AI57" i="108"/>
  <c r="AI58" i="108"/>
  <c r="AI59" i="108"/>
  <c r="AI60" i="108"/>
  <c r="AI61" i="108"/>
  <c r="AI62" i="108"/>
  <c r="AI63" i="108"/>
  <c r="AI64" i="108"/>
  <c r="AI88" i="108"/>
  <c r="AI89" i="108"/>
  <c r="AI47" i="108"/>
  <c r="AI13" i="108"/>
  <c r="AI14" i="108"/>
  <c r="AI15" i="108"/>
  <c r="AI18" i="108"/>
  <c r="AI19" i="108"/>
  <c r="AI20" i="108"/>
  <c r="AI21" i="108"/>
  <c r="AI22" i="108"/>
  <c r="AI23" i="108"/>
  <c r="AI24" i="108"/>
  <c r="AI25" i="108"/>
  <c r="AI26" i="108"/>
  <c r="AI27" i="108"/>
  <c r="AI28" i="108"/>
  <c r="AI29" i="108"/>
  <c r="AI30" i="108"/>
  <c r="AI31" i="108"/>
  <c r="AI32" i="108"/>
  <c r="AI33" i="108"/>
  <c r="AI34" i="108"/>
  <c r="AI35" i="108"/>
  <c r="AI36" i="108"/>
  <c r="AI37" i="108"/>
  <c r="AI38" i="108"/>
  <c r="AI39" i="108"/>
  <c r="AI40" i="108"/>
  <c r="AI41" i="108"/>
  <c r="AI42" i="108"/>
  <c r="AI43" i="108"/>
  <c r="AI44" i="108"/>
  <c r="AI45" i="108"/>
  <c r="AI12" i="108"/>
  <c r="H43" i="89" l="1"/>
  <c r="I215" i="54" s="1"/>
  <c r="H39" i="89"/>
  <c r="I211" i="54" s="1"/>
  <c r="H35" i="89"/>
  <c r="I207" i="54" s="1"/>
  <c r="H31" i="89"/>
  <c r="I203" i="54" s="1"/>
  <c r="H27" i="89"/>
  <c r="I199" i="54" s="1"/>
  <c r="H23" i="89"/>
  <c r="I195" i="54" s="1"/>
  <c r="H19" i="89"/>
  <c r="I191" i="54" s="1"/>
  <c r="H42" i="89"/>
  <c r="I214" i="54" s="1"/>
  <c r="H38" i="89"/>
  <c r="I210" i="54" s="1"/>
  <c r="H34" i="89"/>
  <c r="I206" i="54" s="1"/>
  <c r="H30" i="89"/>
  <c r="I202" i="54" s="1"/>
  <c r="H26" i="89"/>
  <c r="I198" i="54" s="1"/>
  <c r="H22" i="89"/>
  <c r="I194" i="54" s="1"/>
  <c r="H18" i="89"/>
  <c r="I190" i="54" s="1"/>
  <c r="H45" i="89"/>
  <c r="I217" i="54" s="1"/>
  <c r="H41" i="89"/>
  <c r="I213" i="54" s="1"/>
  <c r="H37" i="89"/>
  <c r="I209" i="54" s="1"/>
  <c r="H33" i="89"/>
  <c r="I205" i="54" s="1"/>
  <c r="H29" i="89"/>
  <c r="I201" i="54" s="1"/>
  <c r="H25" i="89"/>
  <c r="I197" i="54" s="1"/>
  <c r="H21" i="89"/>
  <c r="I193" i="54" s="1"/>
  <c r="H17" i="89"/>
  <c r="I189" i="54" s="1"/>
  <c r="H44" i="89"/>
  <c r="I216" i="54" s="1"/>
  <c r="H40" i="89"/>
  <c r="I212" i="54" s="1"/>
  <c r="H36" i="89"/>
  <c r="I208" i="54" s="1"/>
  <c r="H32" i="89"/>
  <c r="I204" i="54" s="1"/>
  <c r="H28" i="89"/>
  <c r="I200" i="54" s="1"/>
  <c r="H24" i="89"/>
  <c r="I196" i="54" s="1"/>
  <c r="H20" i="89"/>
  <c r="I192" i="54" s="1"/>
  <c r="AI178" i="108"/>
  <c r="AI46" i="108"/>
  <c r="AG209" i="108"/>
  <c r="AH209" i="108"/>
  <c r="I187" i="54" l="1"/>
  <c r="AE13" i="127"/>
  <c r="AG14" i="127"/>
  <c r="E23" i="41" s="1"/>
  <c r="AE12" i="127"/>
  <c r="AE11" i="127"/>
  <c r="AI11" i="108"/>
  <c r="AE14" i="127" l="1"/>
  <c r="E11" i="91" l="1"/>
  <c r="K53" i="133"/>
  <c r="J53" i="133"/>
  <c r="I53" i="133"/>
  <c r="H53" i="133"/>
  <c r="G53" i="133"/>
  <c r="F53" i="133"/>
  <c r="E53" i="133"/>
  <c r="O52" i="133"/>
  <c r="P52" i="133" s="1"/>
  <c r="Q51" i="133"/>
  <c r="O46" i="133"/>
  <c r="P46" i="133" s="1"/>
  <c r="O40" i="133"/>
  <c r="P40" i="133" s="1"/>
  <c r="O39" i="133"/>
  <c r="P39" i="133" s="1"/>
  <c r="O16" i="133"/>
  <c r="P16" i="133" s="1"/>
  <c r="O15" i="133"/>
  <c r="P15" i="133" s="1"/>
  <c r="O14" i="133"/>
  <c r="P14" i="133" s="1"/>
  <c r="O13" i="133"/>
  <c r="P13" i="133" s="1"/>
  <c r="O12" i="133"/>
  <c r="H54" i="133" l="1"/>
  <c r="I54" i="133"/>
  <c r="J54" i="133"/>
  <c r="O51" i="133"/>
  <c r="O38" i="133"/>
  <c r="P12" i="133"/>
  <c r="P54" i="133" s="1"/>
  <c r="O54" i="133"/>
  <c r="P51" i="133"/>
  <c r="M53" i="133"/>
  <c r="F54" i="133"/>
  <c r="E54" i="133"/>
  <c r="V26" i="133"/>
  <c r="G54" i="133"/>
  <c r="K54" i="133"/>
  <c r="L53" i="133"/>
  <c r="N53" i="133" s="1"/>
  <c r="P38" i="133" l="1"/>
  <c r="V45" i="133"/>
  <c r="S26" i="133"/>
  <c r="U26" i="133"/>
  <c r="U45" i="133"/>
  <c r="L54" i="133"/>
  <c r="S45" i="133"/>
  <c r="S52" i="133"/>
  <c r="R52" i="133"/>
  <c r="N54" i="133" l="1"/>
  <c r="W45" i="133"/>
  <c r="AI16" i="85" l="1"/>
  <c r="AJ16" i="85" s="1"/>
  <c r="AI14" i="85"/>
  <c r="AK14" i="85" s="1"/>
  <c r="AD14" i="94"/>
  <c r="AE14" i="94"/>
  <c r="AF14" i="94"/>
  <c r="W14" i="94"/>
  <c r="X14" i="94"/>
  <c r="Y14" i="94"/>
  <c r="Z14" i="94"/>
  <c r="P14" i="94"/>
  <c r="Q14" i="94"/>
  <c r="R14" i="94"/>
  <c r="S14" i="94"/>
  <c r="L14" i="94"/>
  <c r="E14" i="94"/>
  <c r="E30" i="120"/>
  <c r="AQ158" i="108"/>
  <c r="AP16" i="108"/>
  <c r="AK16" i="85" l="1"/>
  <c r="AJ14" i="85"/>
  <c r="AL14" i="85" s="1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K18" i="96"/>
  <c r="K17" i="96"/>
  <c r="AG32" i="88" l="1"/>
  <c r="AI31" i="88"/>
  <c r="AJ31" i="88" s="1"/>
  <c r="AI30" i="88"/>
  <c r="AJ30" i="88" s="1"/>
  <c r="AI29" i="88"/>
  <c r="AJ29" i="88" s="1"/>
  <c r="AI28" i="88"/>
  <c r="AJ28" i="88" s="1"/>
  <c r="AI27" i="88"/>
  <c r="AJ27" i="88" s="1"/>
  <c r="AI26" i="88"/>
  <c r="AJ26" i="88" s="1"/>
  <c r="AI25" i="88"/>
  <c r="AJ25" i="88" s="1"/>
  <c r="AI24" i="88"/>
  <c r="AJ24" i="88" s="1"/>
  <c r="AI23" i="88"/>
  <c r="AJ23" i="88" s="1"/>
  <c r="AI22" i="88"/>
  <c r="AJ22" i="88" s="1"/>
  <c r="AI21" i="88"/>
  <c r="AJ21" i="88" s="1"/>
  <c r="AI20" i="88"/>
  <c r="AJ20" i="88" s="1"/>
  <c r="AI19" i="88"/>
  <c r="AJ19" i="88" s="1"/>
  <c r="AI18" i="88"/>
  <c r="AJ18" i="88" s="1"/>
  <c r="AI17" i="88"/>
  <c r="AJ17" i="88" s="1"/>
  <c r="AI16" i="88"/>
  <c r="AJ16" i="88" s="1"/>
  <c r="AI15" i="88"/>
  <c r="AJ15" i="88" s="1"/>
  <c r="AI14" i="88"/>
  <c r="AJ14" i="88" s="1"/>
  <c r="AI13" i="88"/>
  <c r="AJ13" i="88" s="1"/>
  <c r="AI12" i="88"/>
  <c r="AJ12" i="88" s="1"/>
  <c r="AH11" i="88"/>
  <c r="AF11" i="88"/>
  <c r="AE11" i="88"/>
  <c r="AD11" i="88"/>
  <c r="AC11" i="88"/>
  <c r="AB11" i="88"/>
  <c r="AA11" i="88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G11" i="88"/>
  <c r="F11" i="88"/>
  <c r="E11" i="88"/>
  <c r="AG10" i="88"/>
  <c r="AG11" i="88" s="1"/>
  <c r="AI32" i="88" l="1"/>
  <c r="AL13" i="88"/>
  <c r="AL14" i="88"/>
  <c r="AL15" i="88"/>
  <c r="AL16" i="88"/>
  <c r="AL17" i="88"/>
  <c r="AL18" i="88"/>
  <c r="AL19" i="88"/>
  <c r="AL20" i="88"/>
  <c r="AL21" i="88"/>
  <c r="AL22" i="88"/>
  <c r="AL23" i="88"/>
  <c r="AL24" i="88"/>
  <c r="AL25" i="88"/>
  <c r="AL26" i="88"/>
  <c r="AL27" i="88"/>
  <c r="AL28" i="88"/>
  <c r="AL29" i="88"/>
  <c r="AL30" i="88"/>
  <c r="AL31" i="88"/>
  <c r="AK12" i="88"/>
  <c r="AK13" i="88"/>
  <c r="AK14" i="88"/>
  <c r="AK15" i="88"/>
  <c r="AK16" i="88"/>
  <c r="AK17" i="88"/>
  <c r="AK18" i="88"/>
  <c r="AK19" i="88"/>
  <c r="AK20" i="88"/>
  <c r="AK21" i="88"/>
  <c r="AK22" i="88"/>
  <c r="AK23" i="88"/>
  <c r="AK24" i="88"/>
  <c r="AK25" i="88"/>
  <c r="AK26" i="88"/>
  <c r="AK27" i="88"/>
  <c r="AK28" i="88"/>
  <c r="AK29" i="88"/>
  <c r="AK30" i="88"/>
  <c r="AK31" i="88"/>
  <c r="AK32" i="88" l="1"/>
  <c r="AJ32" i="88"/>
  <c r="AL12" i="88"/>
  <c r="AL32" i="88" s="1"/>
  <c r="E10" i="124" l="1"/>
  <c r="E172" i="124"/>
  <c r="E171" i="124"/>
  <c r="E170" i="124"/>
  <c r="E169" i="124"/>
  <c r="E167" i="124"/>
  <c r="E166" i="124"/>
  <c r="E165" i="124"/>
  <c r="E164" i="124"/>
  <c r="E163" i="124"/>
  <c r="E162" i="124"/>
  <c r="E161" i="124"/>
  <c r="E160" i="124"/>
  <c r="E159" i="124"/>
  <c r="E158" i="124"/>
  <c r="E157" i="124"/>
  <c r="E156" i="124"/>
  <c r="E154" i="124"/>
  <c r="E153" i="124"/>
  <c r="E151" i="124"/>
  <c r="E150" i="124"/>
  <c r="E149" i="124"/>
  <c r="E148" i="124"/>
  <c r="E146" i="124"/>
  <c r="E145" i="124"/>
  <c r="E144" i="124"/>
  <c r="E140" i="124"/>
  <c r="E138" i="124"/>
  <c r="E134" i="124"/>
  <c r="E133" i="124"/>
  <c r="E132" i="124"/>
  <c r="E131" i="124"/>
  <c r="E129" i="124"/>
  <c r="E128" i="124"/>
  <c r="E127" i="124"/>
  <c r="E126" i="124"/>
  <c r="E125" i="124"/>
  <c r="E124" i="124"/>
  <c r="E123" i="124"/>
  <c r="E122" i="124"/>
  <c r="E121" i="124"/>
  <c r="E120" i="124"/>
  <c r="E119" i="124"/>
  <c r="E118" i="124"/>
  <c r="E117" i="124"/>
  <c r="E116" i="124"/>
  <c r="E115" i="124"/>
  <c r="E114" i="124"/>
  <c r="E113" i="124"/>
  <c r="E112" i="124"/>
  <c r="E111" i="124"/>
  <c r="E110" i="124"/>
  <c r="E109" i="124"/>
  <c r="E108" i="124"/>
  <c r="E107" i="124"/>
  <c r="E106" i="124"/>
  <c r="E105" i="124"/>
  <c r="E104" i="124"/>
  <c r="E103" i="124"/>
  <c r="E102" i="124"/>
  <c r="E101" i="124"/>
  <c r="E100" i="124"/>
  <c r="E99" i="124"/>
  <c r="E98" i="124"/>
  <c r="E96" i="124"/>
  <c r="E95" i="124"/>
  <c r="E93" i="124"/>
  <c r="E92" i="124"/>
  <c r="E91" i="124"/>
  <c r="E90" i="124"/>
  <c r="E89" i="124"/>
  <c r="E88" i="124"/>
  <c r="E85" i="124"/>
  <c r="E83" i="124"/>
  <c r="E82" i="124"/>
  <c r="E80" i="124"/>
  <c r="E79" i="124"/>
  <c r="E76" i="124"/>
  <c r="E75" i="124"/>
  <c r="E74" i="124"/>
  <c r="E73" i="124"/>
  <c r="E72" i="124"/>
  <c r="E40" i="124"/>
  <c r="E70" i="124"/>
  <c r="E69" i="124"/>
  <c r="AK17" i="131"/>
  <c r="AK18" i="131" s="1"/>
  <c r="AJ17" i="131"/>
  <c r="AJ18" i="131" s="1"/>
  <c r="AI17" i="131"/>
  <c r="AI18" i="131" s="1"/>
  <c r="E67" i="124"/>
  <c r="E66" i="124"/>
  <c r="E65" i="124"/>
  <c r="E64" i="124"/>
  <c r="E63" i="124"/>
  <c r="E62" i="124"/>
  <c r="E61" i="124"/>
  <c r="E60" i="124"/>
  <c r="E59" i="124"/>
  <c r="E58" i="124"/>
  <c r="E57" i="124"/>
  <c r="E56" i="124"/>
  <c r="E55" i="124"/>
  <c r="E54" i="124"/>
  <c r="E53" i="124"/>
  <c r="E52" i="124"/>
  <c r="E51" i="124"/>
  <c r="E50" i="124"/>
  <c r="E49" i="124"/>
  <c r="E48" i="124"/>
  <c r="E47" i="124"/>
  <c r="E46" i="124"/>
  <c r="E45" i="124"/>
  <c r="E44" i="124"/>
  <c r="E43" i="124"/>
  <c r="E42" i="124"/>
  <c r="E39" i="124"/>
  <c r="E38" i="124"/>
  <c r="E37" i="124"/>
  <c r="E36" i="124"/>
  <c r="E35" i="124"/>
  <c r="E34" i="124"/>
  <c r="E33" i="124"/>
  <c r="E32" i="124"/>
  <c r="E31" i="124"/>
  <c r="E30" i="124"/>
  <c r="E29" i="124"/>
  <c r="E28" i="124"/>
  <c r="E27" i="124"/>
  <c r="AR12" i="135" s="1"/>
  <c r="E26" i="124"/>
  <c r="E25" i="124"/>
  <c r="E24" i="124"/>
  <c r="E23" i="124"/>
  <c r="E22" i="124"/>
  <c r="E21" i="124"/>
  <c r="E20" i="124"/>
  <c r="E19" i="124"/>
  <c r="E18" i="124"/>
  <c r="E17" i="124"/>
  <c r="E16" i="124"/>
  <c r="E15" i="124"/>
  <c r="E14" i="124"/>
  <c r="E13" i="124"/>
  <c r="E68" i="124" l="1"/>
  <c r="AL17" i="131"/>
  <c r="AL18" i="131" s="1"/>
  <c r="E11" i="124"/>
  <c r="E87" i="124"/>
  <c r="E142" i="124"/>
  <c r="E137" i="124"/>
  <c r="E168" i="124"/>
  <c r="E152" i="124"/>
  <c r="E94" i="124"/>
  <c r="E78" i="124"/>
  <c r="E141" i="124"/>
  <c r="E139" i="124"/>
  <c r="E136" i="124"/>
  <c r="E155" i="124"/>
  <c r="AM18" i="131"/>
  <c r="E97" i="124"/>
  <c r="E81" i="124"/>
  <c r="E12" i="124"/>
  <c r="E84" i="124"/>
  <c r="E143" i="124"/>
  <c r="E135" i="124"/>
  <c r="E130" i="124" l="1"/>
  <c r="AK34" i="131"/>
  <c r="AN18" i="131"/>
  <c r="E41" i="124" l="1"/>
  <c r="G40" i="124"/>
  <c r="F175" i="124"/>
  <c r="G149" i="124"/>
  <c r="G150" i="124"/>
  <c r="G152" i="124"/>
  <c r="G153" i="124"/>
  <c r="G154" i="124"/>
  <c r="G155" i="124"/>
  <c r="G156" i="124"/>
  <c r="G157" i="124"/>
  <c r="G158" i="124"/>
  <c r="G159" i="124"/>
  <c r="G160" i="124"/>
  <c r="G161" i="124"/>
  <c r="G162" i="124"/>
  <c r="G163" i="124"/>
  <c r="G164" i="124"/>
  <c r="G165" i="124"/>
  <c r="G166" i="124"/>
  <c r="G167" i="124"/>
  <c r="G168" i="124"/>
  <c r="G169" i="124"/>
  <c r="G170" i="124"/>
  <c r="G171" i="124"/>
  <c r="G172" i="124"/>
  <c r="G148" i="124"/>
  <c r="G132" i="124"/>
  <c r="G133" i="124"/>
  <c r="G134" i="124"/>
  <c r="G135" i="124"/>
  <c r="G136" i="124"/>
  <c r="G137" i="124"/>
  <c r="G138" i="124"/>
  <c r="G139" i="124"/>
  <c r="G140" i="124"/>
  <c r="G141" i="124"/>
  <c r="G142" i="124"/>
  <c r="G143" i="124"/>
  <c r="G144" i="124"/>
  <c r="G145" i="124"/>
  <c r="G146" i="124"/>
  <c r="G73" i="124"/>
  <c r="G74" i="124"/>
  <c r="G75" i="124"/>
  <c r="G76" i="124"/>
  <c r="G77" i="124"/>
  <c r="G78" i="124"/>
  <c r="G79" i="124"/>
  <c r="G80" i="124"/>
  <c r="G81" i="124"/>
  <c r="G82" i="124"/>
  <c r="G83" i="124"/>
  <c r="G84" i="124"/>
  <c r="G85" i="124"/>
  <c r="G86" i="124"/>
  <c r="G87" i="124"/>
  <c r="G88" i="124"/>
  <c r="G89" i="124"/>
  <c r="G90" i="124"/>
  <c r="G91" i="124"/>
  <c r="G92" i="124"/>
  <c r="G93" i="124"/>
  <c r="G94" i="124"/>
  <c r="G95" i="124"/>
  <c r="G96" i="124"/>
  <c r="G97" i="124"/>
  <c r="G98" i="124"/>
  <c r="G99" i="124"/>
  <c r="G100" i="124"/>
  <c r="G101" i="124"/>
  <c r="G102" i="124"/>
  <c r="G103" i="124"/>
  <c r="G104" i="124"/>
  <c r="G105" i="124"/>
  <c r="G106" i="124"/>
  <c r="G107" i="124"/>
  <c r="G108" i="124"/>
  <c r="G109" i="124"/>
  <c r="G110" i="124"/>
  <c r="G111" i="124"/>
  <c r="G112" i="124"/>
  <c r="G113" i="124"/>
  <c r="G114" i="124"/>
  <c r="G115" i="124"/>
  <c r="G116" i="124"/>
  <c r="G117" i="124"/>
  <c r="G118" i="124"/>
  <c r="G119" i="124"/>
  <c r="G120" i="124"/>
  <c r="G121" i="124"/>
  <c r="G122" i="124"/>
  <c r="G123" i="124"/>
  <c r="G124" i="124"/>
  <c r="G125" i="124"/>
  <c r="G126" i="124"/>
  <c r="G127" i="124"/>
  <c r="G128" i="124"/>
  <c r="G129" i="124"/>
  <c r="G72" i="124"/>
  <c r="G43" i="124"/>
  <c r="G44" i="124"/>
  <c r="G45" i="124"/>
  <c r="G46" i="124"/>
  <c r="G47" i="124"/>
  <c r="G48" i="124"/>
  <c r="G49" i="124"/>
  <c r="G50" i="124"/>
  <c r="G51" i="124"/>
  <c r="G52" i="124"/>
  <c r="G53" i="124"/>
  <c r="G54" i="124"/>
  <c r="G55" i="124"/>
  <c r="G56" i="124"/>
  <c r="G57" i="124"/>
  <c r="G58" i="124"/>
  <c r="G59" i="124"/>
  <c r="G60" i="124"/>
  <c r="G61" i="124"/>
  <c r="G62" i="124"/>
  <c r="G63" i="124"/>
  <c r="G64" i="124"/>
  <c r="G65" i="124"/>
  <c r="G66" i="124"/>
  <c r="G67" i="124"/>
  <c r="G68" i="124"/>
  <c r="G69" i="124"/>
  <c r="G70" i="124"/>
  <c r="G11" i="124"/>
  <c r="G12" i="124"/>
  <c r="G13" i="124"/>
  <c r="G14" i="124"/>
  <c r="G15" i="124"/>
  <c r="G16" i="124"/>
  <c r="G17" i="124"/>
  <c r="G18" i="124"/>
  <c r="G19" i="124"/>
  <c r="G20" i="124"/>
  <c r="G21" i="124"/>
  <c r="G22" i="124"/>
  <c r="G23" i="124"/>
  <c r="G24" i="124"/>
  <c r="G25" i="124"/>
  <c r="G26" i="124"/>
  <c r="G27" i="124"/>
  <c r="G28" i="124"/>
  <c r="G29" i="124"/>
  <c r="G30" i="124"/>
  <c r="G31" i="124"/>
  <c r="G32" i="124"/>
  <c r="G33" i="124"/>
  <c r="G34" i="124"/>
  <c r="G35" i="124"/>
  <c r="G36" i="124"/>
  <c r="G37" i="124"/>
  <c r="G38" i="124"/>
  <c r="G39" i="124"/>
  <c r="G10" i="124"/>
  <c r="G130" i="124" l="1"/>
  <c r="G41" i="124"/>
  <c r="E147" i="124"/>
  <c r="E71" i="124"/>
  <c r="E174" i="124"/>
  <c r="G151" i="124"/>
  <c r="G131" i="124"/>
  <c r="G147" i="124" s="1"/>
  <c r="G42" i="124"/>
  <c r="G71" i="124" s="1"/>
  <c r="E175" i="124" l="1"/>
  <c r="F28" i="85"/>
  <c r="G28" i="85"/>
  <c r="H28" i="85"/>
  <c r="I28" i="85"/>
  <c r="J28" i="85"/>
  <c r="K28" i="85"/>
  <c r="L28" i="85"/>
  <c r="M28" i="85"/>
  <c r="N28" i="85"/>
  <c r="O28" i="85"/>
  <c r="P28" i="85"/>
  <c r="Q28" i="85"/>
  <c r="R28" i="85"/>
  <c r="S28" i="85"/>
  <c r="T28" i="85"/>
  <c r="U28" i="85"/>
  <c r="V28" i="85"/>
  <c r="W28" i="85"/>
  <c r="X28" i="85"/>
  <c r="Y28" i="85"/>
  <c r="Z28" i="85"/>
  <c r="AA28" i="85"/>
  <c r="AB28" i="85"/>
  <c r="AC28" i="85"/>
  <c r="AD28" i="85"/>
  <c r="AE28" i="85"/>
  <c r="AF28" i="85"/>
  <c r="AG28" i="85"/>
  <c r="AH28" i="85"/>
  <c r="E28" i="85"/>
  <c r="AI12" i="85"/>
  <c r="AK27" i="85"/>
  <c r="AK26" i="85"/>
  <c r="AK25" i="85"/>
  <c r="AK24" i="85"/>
  <c r="AI22" i="85"/>
  <c r="AK22" i="85" s="1"/>
  <c r="AI21" i="85"/>
  <c r="AK21" i="85" s="1"/>
  <c r="AI20" i="85"/>
  <c r="AK20" i="85" s="1"/>
  <c r="AI19" i="85"/>
  <c r="AK19" i="85" s="1"/>
  <c r="AI18" i="85"/>
  <c r="AK18" i="85" s="1"/>
  <c r="AI17" i="85"/>
  <c r="AK17" i="85" s="1"/>
  <c r="AI15" i="85"/>
  <c r="AK15" i="85" s="1"/>
  <c r="AI13" i="85"/>
  <c r="AK13" i="85" s="1"/>
  <c r="AH11" i="85"/>
  <c r="AF11" i="85"/>
  <c r="AE11" i="85"/>
  <c r="AD11" i="85"/>
  <c r="AC11" i="85"/>
  <c r="AB11" i="85"/>
  <c r="AA11" i="85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G11" i="85"/>
  <c r="F11" i="85"/>
  <c r="E11" i="85"/>
  <c r="AG11" i="85"/>
  <c r="K253" i="1"/>
  <c r="O253" i="1" s="1"/>
  <c r="R253" i="1" s="1"/>
  <c r="D253" i="1"/>
  <c r="M11" i="28"/>
  <c r="M12" i="28"/>
  <c r="G34" i="41"/>
  <c r="D32" i="41"/>
  <c r="AI28" i="85" l="1"/>
  <c r="G33" i="41"/>
  <c r="G32" i="41" s="1"/>
  <c r="AK12" i="85"/>
  <c r="AJ12" i="85"/>
  <c r="AJ13" i="85"/>
  <c r="AL13" i="85" s="1"/>
  <c r="E10" i="87" s="1"/>
  <c r="E11" i="87"/>
  <c r="AJ15" i="85"/>
  <c r="AL15" i="85" s="1"/>
  <c r="E12" i="87" s="1"/>
  <c r="AL16" i="85"/>
  <c r="E13" i="87" s="1"/>
  <c r="AJ17" i="85"/>
  <c r="AL17" i="85" s="1"/>
  <c r="E14" i="87" s="1"/>
  <c r="AJ18" i="85"/>
  <c r="AL18" i="85" s="1"/>
  <c r="E15" i="87" s="1"/>
  <c r="AJ19" i="85"/>
  <c r="AL19" i="85" s="1"/>
  <c r="E16" i="87" s="1"/>
  <c r="AJ20" i="85"/>
  <c r="AL20" i="85" s="1"/>
  <c r="E17" i="87" s="1"/>
  <c r="AJ21" i="85"/>
  <c r="AL21" i="85" s="1"/>
  <c r="AJ22" i="85"/>
  <c r="AL22" i="85" s="1"/>
  <c r="E20" i="87" s="1"/>
  <c r="AJ24" i="85"/>
  <c r="AL24" i="85" s="1"/>
  <c r="E21" i="87" s="1"/>
  <c r="AJ25" i="85"/>
  <c r="AL25" i="85" s="1"/>
  <c r="E22" i="87" s="1"/>
  <c r="AJ26" i="85"/>
  <c r="AL26" i="85" s="1"/>
  <c r="E23" i="87" s="1"/>
  <c r="AJ27" i="85"/>
  <c r="AL27" i="85" s="1"/>
  <c r="E24" i="87" s="1"/>
  <c r="E18" i="87" l="1"/>
  <c r="AK28" i="85"/>
  <c r="AJ28" i="85"/>
  <c r="AL12" i="85"/>
  <c r="AL28" i="85" l="1"/>
  <c r="I14" i="1"/>
  <c r="J14" i="1"/>
  <c r="L14" i="1"/>
  <c r="M14" i="1"/>
  <c r="N14" i="1"/>
  <c r="P14" i="1"/>
  <c r="Q14" i="1"/>
  <c r="J46" i="8"/>
  <c r="E46" i="8"/>
  <c r="I37" i="8"/>
  <c r="I32" i="8"/>
  <c r="K32" i="8" s="1"/>
  <c r="H34" i="1" s="1"/>
  <c r="I29" i="8"/>
  <c r="I28" i="8"/>
  <c r="K28" i="8" s="1"/>
  <c r="H30" i="1" s="1"/>
  <c r="I23" i="8"/>
  <c r="I24" i="8"/>
  <c r="I26" i="8"/>
  <c r="I27" i="8"/>
  <c r="K27" i="8" s="1"/>
  <c r="H29" i="1" s="1"/>
  <c r="I30" i="8"/>
  <c r="K30" i="8" s="1"/>
  <c r="H32" i="1" s="1"/>
  <c r="I31" i="8"/>
  <c r="I33" i="8"/>
  <c r="K33" i="8" s="1"/>
  <c r="H35" i="1" s="1"/>
  <c r="I34" i="8"/>
  <c r="K34" i="8" s="1"/>
  <c r="H36" i="1" s="1"/>
  <c r="I35" i="8"/>
  <c r="I36" i="8"/>
  <c r="K36" i="8" s="1"/>
  <c r="H38" i="1" s="1"/>
  <c r="I38" i="8"/>
  <c r="I39" i="8"/>
  <c r="K39" i="8" s="1"/>
  <c r="H41" i="1" s="1"/>
  <c r="I42" i="8"/>
  <c r="K42" i="8" s="1"/>
  <c r="H44" i="1" s="1"/>
  <c r="I43" i="8"/>
  <c r="K43" i="8" s="1"/>
  <c r="H45" i="1" s="1"/>
  <c r="AR183" i="108"/>
  <c r="AR182" i="108"/>
  <c r="AR181" i="108"/>
  <c r="AQ157" i="108"/>
  <c r="AQ156" i="108"/>
  <c r="AQ100" i="108"/>
  <c r="AQ99" i="108"/>
  <c r="AQ98" i="108"/>
  <c r="AP52" i="108"/>
  <c r="AP51" i="108"/>
  <c r="AP50" i="108"/>
  <c r="AP15" i="108"/>
  <c r="AP14" i="108"/>
  <c r="C25" i="87" l="1"/>
  <c r="E9" i="87"/>
  <c r="E25" i="87" s="1"/>
  <c r="K35" i="1"/>
  <c r="O35" i="1" s="1"/>
  <c r="R35" i="1" s="1"/>
  <c r="K35" i="8"/>
  <c r="H37" i="1" s="1"/>
  <c r="K37" i="1" s="1"/>
  <c r="O37" i="1" s="1"/>
  <c r="R37" i="1" s="1"/>
  <c r="K31" i="8"/>
  <c r="H33" i="1" s="1"/>
  <c r="K33" i="1" s="1"/>
  <c r="O33" i="1" s="1"/>
  <c r="R33" i="1" s="1"/>
  <c r="K23" i="8"/>
  <c r="H25" i="1" s="1"/>
  <c r="K25" i="1" s="1"/>
  <c r="O25" i="1" s="1"/>
  <c r="R25" i="1" s="1"/>
  <c r="K29" i="8"/>
  <c r="H31" i="1" s="1"/>
  <c r="K31" i="1" s="1"/>
  <c r="O31" i="1" s="1"/>
  <c r="R31" i="1" s="1"/>
  <c r="K38" i="8"/>
  <c r="H40" i="1" s="1"/>
  <c r="K40" i="1" s="1"/>
  <c r="O40" i="1" s="1"/>
  <c r="R40" i="1" s="1"/>
  <c r="K26" i="8"/>
  <c r="H28" i="1" s="1"/>
  <c r="K28" i="1" s="1"/>
  <c r="O28" i="1" s="1"/>
  <c r="R28" i="1" s="1"/>
  <c r="K37" i="8"/>
  <c r="H39" i="1" s="1"/>
  <c r="K39" i="1" s="1"/>
  <c r="O39" i="1" s="1"/>
  <c r="R39" i="1" s="1"/>
  <c r="K24" i="8"/>
  <c r="H26" i="1" s="1"/>
  <c r="K26" i="1" s="1"/>
  <c r="O26" i="1" s="1"/>
  <c r="R26" i="1" s="1"/>
  <c r="I44" i="8"/>
  <c r="I40" i="8"/>
  <c r="K29" i="1"/>
  <c r="O29" i="1" s="1"/>
  <c r="R29" i="1" s="1"/>
  <c r="K44" i="1"/>
  <c r="O44" i="1" s="1"/>
  <c r="R44" i="1" s="1"/>
  <c r="K36" i="1"/>
  <c r="O36" i="1" s="1"/>
  <c r="R36" i="1" s="1"/>
  <c r="K32" i="1"/>
  <c r="O32" i="1" s="1"/>
  <c r="R32" i="1" s="1"/>
  <c r="K38" i="1"/>
  <c r="O38" i="1" s="1"/>
  <c r="R38" i="1" s="1"/>
  <c r="K34" i="1"/>
  <c r="O34" i="1" s="1"/>
  <c r="R34" i="1" s="1"/>
  <c r="K30" i="1"/>
  <c r="O30" i="1" s="1"/>
  <c r="R30" i="1" s="1"/>
  <c r="I45" i="8"/>
  <c r="I41" i="8"/>
  <c r="I25" i="8"/>
  <c r="K45" i="1"/>
  <c r="O45" i="1" s="1"/>
  <c r="R45" i="1" s="1"/>
  <c r="K41" i="1"/>
  <c r="O41" i="1" s="1"/>
  <c r="R41" i="1" s="1"/>
  <c r="K25" i="8" l="1"/>
  <c r="H27" i="1" s="1"/>
  <c r="K27" i="1" s="1"/>
  <c r="O27" i="1" s="1"/>
  <c r="R27" i="1" s="1"/>
  <c r="K45" i="8"/>
  <c r="H47" i="1" s="1"/>
  <c r="K47" i="1" s="1"/>
  <c r="O47" i="1" s="1"/>
  <c r="R47" i="1" s="1"/>
  <c r="K40" i="8"/>
  <c r="H42" i="1" s="1"/>
  <c r="K42" i="1" s="1"/>
  <c r="O42" i="1" s="1"/>
  <c r="R42" i="1" s="1"/>
  <c r="K41" i="8"/>
  <c r="H43" i="1" s="1"/>
  <c r="K43" i="1" s="1"/>
  <c r="O43" i="1" s="1"/>
  <c r="R43" i="1" s="1"/>
  <c r="K44" i="8"/>
  <c r="H46" i="1" s="1"/>
  <c r="K46" i="1" s="1"/>
  <c r="O46" i="1" s="1"/>
  <c r="R46" i="1" s="1"/>
  <c r="AI63" i="117" l="1"/>
  <c r="O19" i="121"/>
  <c r="Q19" i="121"/>
  <c r="O20" i="121"/>
  <c r="Q20" i="121"/>
  <c r="O21" i="121"/>
  <c r="Q21" i="121"/>
  <c r="O22" i="121"/>
  <c r="Q22" i="121"/>
  <c r="O23" i="121"/>
  <c r="Q23" i="121"/>
  <c r="O24" i="121"/>
  <c r="Q24" i="121"/>
  <c r="O25" i="121"/>
  <c r="Q25" i="121"/>
  <c r="O26" i="121"/>
  <c r="Q26" i="121"/>
  <c r="O27" i="121"/>
  <c r="Q27" i="121"/>
  <c r="O28" i="121"/>
  <c r="Q28" i="121"/>
  <c r="Q18" i="121"/>
  <c r="O18" i="121"/>
  <c r="AS209" i="108" l="1"/>
  <c r="AS213" i="108" s="1"/>
  <c r="F216" i="130" l="1"/>
  <c r="F217" i="130" s="1"/>
  <c r="F209" i="130"/>
  <c r="F198" i="130"/>
  <c r="F167" i="130"/>
  <c r="F143" i="130"/>
  <c r="F80" i="130"/>
  <c r="F43" i="130"/>
  <c r="N14" i="94"/>
  <c r="G14" i="94"/>
  <c r="H14" i="94"/>
  <c r="I14" i="94"/>
  <c r="J14" i="94"/>
  <c r="K14" i="94"/>
  <c r="F219" i="128" l="1"/>
  <c r="F218" i="128"/>
  <c r="F209" i="128"/>
  <c r="F198" i="128"/>
  <c r="F167" i="128"/>
  <c r="F143" i="128"/>
  <c r="F80" i="128"/>
  <c r="F43" i="128"/>
  <c r="D1139" i="74" l="1"/>
  <c r="D1136" i="74"/>
  <c r="J1143" i="74"/>
  <c r="J1144" i="74" s="1"/>
  <c r="J1140" i="74"/>
  <c r="D1140" i="74"/>
  <c r="I1137" i="74"/>
  <c r="I1139" i="74" s="1"/>
  <c r="J1139" i="74" s="1"/>
  <c r="J1136" i="74"/>
  <c r="H1135" i="74"/>
  <c r="G1134" i="74"/>
  <c r="A1134" i="74"/>
  <c r="C1359" i="74" l="1"/>
  <c r="C1356" i="74"/>
  <c r="I1343" i="74"/>
  <c r="C1343" i="74"/>
  <c r="I1330" i="74"/>
  <c r="C1330" i="74"/>
  <c r="I1317" i="74"/>
  <c r="C1317" i="74"/>
  <c r="I1303" i="74"/>
  <c r="C1303" i="74"/>
  <c r="I1289" i="74"/>
  <c r="C1289" i="74"/>
  <c r="I1276" i="74"/>
  <c r="C1276" i="74"/>
  <c r="I1262" i="74"/>
  <c r="C1262" i="74"/>
  <c r="I1248" i="74"/>
  <c r="C1248" i="74"/>
  <c r="I1235" i="74"/>
  <c r="C1235" i="74"/>
  <c r="I1221" i="74"/>
  <c r="C1221" i="74"/>
  <c r="I1207" i="74"/>
  <c r="C1207" i="74"/>
  <c r="I1194" i="74"/>
  <c r="C1194" i="74"/>
  <c r="I1180" i="74"/>
  <c r="C1180" i="74"/>
  <c r="I1166" i="74"/>
  <c r="C1166" i="74"/>
  <c r="I1153" i="74"/>
  <c r="G37" i="41" l="1"/>
  <c r="D14" i="127" l="1"/>
  <c r="E14" i="127"/>
  <c r="F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U14" i="127"/>
  <c r="V14" i="127"/>
  <c r="W14" i="127"/>
  <c r="X14" i="127"/>
  <c r="Y14" i="127"/>
  <c r="Z14" i="127"/>
  <c r="AA14" i="127"/>
  <c r="AB14" i="127"/>
  <c r="AC14" i="127"/>
  <c r="AD14" i="127"/>
  <c r="C14" i="127"/>
  <c r="T14" i="127" l="1"/>
  <c r="C1361" i="74" l="1"/>
  <c r="J219" i="54"/>
  <c r="I47" i="89" l="1"/>
  <c r="AT178" i="108" l="1"/>
  <c r="AJ181" i="108" l="1"/>
  <c r="AJ185" i="108"/>
  <c r="AJ189" i="108"/>
  <c r="AJ193" i="108"/>
  <c r="AJ197" i="108"/>
  <c r="AJ201" i="108"/>
  <c r="AJ205" i="108"/>
  <c r="AJ179" i="108"/>
  <c r="AJ183" i="108"/>
  <c r="AJ187" i="108"/>
  <c r="AJ191" i="108"/>
  <c r="AJ195" i="108"/>
  <c r="AJ199" i="108"/>
  <c r="AJ203" i="108"/>
  <c r="AJ207" i="108"/>
  <c r="AJ182" i="108"/>
  <c r="AJ190" i="108"/>
  <c r="AJ198" i="108"/>
  <c r="AJ206" i="108"/>
  <c r="AJ184" i="108"/>
  <c r="AJ200" i="108"/>
  <c r="AJ186" i="108"/>
  <c r="AJ194" i="108"/>
  <c r="AJ202" i="108"/>
  <c r="AJ180" i="108"/>
  <c r="AJ188" i="108"/>
  <c r="AJ196" i="108"/>
  <c r="AJ204" i="108"/>
  <c r="AJ192" i="108"/>
  <c r="AJ208" i="108"/>
  <c r="AK206" i="108"/>
  <c r="AK198" i="108"/>
  <c r="AK190" i="108"/>
  <c r="AK182" i="108"/>
  <c r="AK207" i="108"/>
  <c r="AK199" i="108"/>
  <c r="AK191" i="108"/>
  <c r="AK183" i="108"/>
  <c r="AK179" i="108"/>
  <c r="AK201" i="108"/>
  <c r="AK193" i="108"/>
  <c r="AK185" i="108"/>
  <c r="AK204" i="108"/>
  <c r="AK196" i="108"/>
  <c r="AK188" i="108"/>
  <c r="AK180" i="108"/>
  <c r="AK202" i="108"/>
  <c r="AK194" i="108"/>
  <c r="AK186" i="108"/>
  <c r="AK203" i="108"/>
  <c r="AK195" i="108"/>
  <c r="AK187" i="108"/>
  <c r="AK205" i="108"/>
  <c r="AK197" i="108"/>
  <c r="AK189" i="108"/>
  <c r="AK181" i="108"/>
  <c r="AK208" i="108"/>
  <c r="AK200" i="108"/>
  <c r="AK192" i="108"/>
  <c r="AK184" i="108"/>
  <c r="AP68" i="117"/>
  <c r="AO68" i="117"/>
  <c r="AQ68" i="117" s="1"/>
  <c r="AI67" i="117"/>
  <c r="AI66" i="117"/>
  <c r="AI65" i="117"/>
  <c r="AI64" i="117"/>
  <c r="AQ62" i="117"/>
  <c r="AH62" i="117"/>
  <c r="AG62" i="117"/>
  <c r="AF62" i="117"/>
  <c r="AE62" i="117"/>
  <c r="AD62" i="117"/>
  <c r="AC62" i="117"/>
  <c r="AB62" i="117"/>
  <c r="AA62" i="117"/>
  <c r="Z62" i="117"/>
  <c r="Y62" i="117"/>
  <c r="X62" i="117"/>
  <c r="W62" i="117"/>
  <c r="V62" i="117"/>
  <c r="U62" i="117"/>
  <c r="T62" i="117"/>
  <c r="S62" i="117"/>
  <c r="R62" i="117"/>
  <c r="Q62" i="117"/>
  <c r="P62" i="117"/>
  <c r="O62" i="117"/>
  <c r="N62" i="117"/>
  <c r="M62" i="117"/>
  <c r="L62" i="117"/>
  <c r="K62" i="117"/>
  <c r="J62" i="117"/>
  <c r="I62" i="117"/>
  <c r="H62" i="117"/>
  <c r="G62" i="117"/>
  <c r="F62" i="117"/>
  <c r="AI61" i="117"/>
  <c r="AI60" i="117"/>
  <c r="AI59" i="117"/>
  <c r="AI58" i="117"/>
  <c r="AI57" i="117"/>
  <c r="AI56" i="117"/>
  <c r="AI55" i="117"/>
  <c r="AI54" i="117"/>
  <c r="AI53" i="117"/>
  <c r="AI52" i="117"/>
  <c r="AI51" i="117"/>
  <c r="AI50" i="117"/>
  <c r="AI49" i="117"/>
  <c r="AI48" i="117"/>
  <c r="AI47" i="117"/>
  <c r="AQ46" i="117"/>
  <c r="AH46" i="117"/>
  <c r="AG46" i="117"/>
  <c r="AF46" i="117"/>
  <c r="AE46" i="117"/>
  <c r="AD46" i="117"/>
  <c r="AC46" i="117"/>
  <c r="AB46" i="117"/>
  <c r="AA46" i="117"/>
  <c r="Z46" i="117"/>
  <c r="Y46" i="117"/>
  <c r="X46" i="117"/>
  <c r="W46" i="117"/>
  <c r="V46" i="117"/>
  <c r="U46" i="117"/>
  <c r="T46" i="117"/>
  <c r="S46" i="117"/>
  <c r="R46" i="117"/>
  <c r="Q46" i="117"/>
  <c r="P46" i="117"/>
  <c r="O46" i="117"/>
  <c r="N46" i="117"/>
  <c r="M46" i="117"/>
  <c r="L46" i="117"/>
  <c r="K46" i="117"/>
  <c r="J46" i="117"/>
  <c r="I46" i="117"/>
  <c r="H46" i="117"/>
  <c r="G46" i="117"/>
  <c r="F46" i="117"/>
  <c r="E46" i="117"/>
  <c r="AI45" i="117"/>
  <c r="AI44" i="117"/>
  <c r="AI43" i="117"/>
  <c r="AI42" i="117"/>
  <c r="AI41" i="117"/>
  <c r="AI40" i="117"/>
  <c r="AI39" i="117"/>
  <c r="AI38" i="117"/>
  <c r="AI37" i="117"/>
  <c r="AI36" i="117"/>
  <c r="AI35" i="117"/>
  <c r="AI34" i="117"/>
  <c r="AI33" i="117"/>
  <c r="AI32" i="117"/>
  <c r="AI31" i="117"/>
  <c r="AI30" i="117"/>
  <c r="AI29" i="117"/>
  <c r="AI28" i="117"/>
  <c r="AI27" i="117"/>
  <c r="AI26" i="117"/>
  <c r="AI25" i="117"/>
  <c r="AI24" i="117"/>
  <c r="AI23" i="117"/>
  <c r="AI22" i="117"/>
  <c r="AI21" i="117"/>
  <c r="AI20" i="117"/>
  <c r="AI19" i="117"/>
  <c r="AI18" i="117"/>
  <c r="AI17" i="117"/>
  <c r="AI16" i="117"/>
  <c r="AI15" i="117"/>
  <c r="AI14" i="117"/>
  <c r="AI13" i="117"/>
  <c r="AI12" i="117"/>
  <c r="AQ11" i="117"/>
  <c r="AH11" i="117"/>
  <c r="AG11" i="117"/>
  <c r="AF11" i="117"/>
  <c r="AE11" i="117"/>
  <c r="AD11" i="117"/>
  <c r="AC11" i="117"/>
  <c r="AB11" i="117"/>
  <c r="AA11" i="117"/>
  <c r="Z11" i="117"/>
  <c r="Y11" i="117"/>
  <c r="X11" i="117"/>
  <c r="W11" i="117"/>
  <c r="V11" i="117"/>
  <c r="U11" i="117"/>
  <c r="T11" i="117"/>
  <c r="S11" i="117"/>
  <c r="R11" i="117"/>
  <c r="Q11" i="117"/>
  <c r="P11" i="117"/>
  <c r="O11" i="117"/>
  <c r="N11" i="117"/>
  <c r="M11" i="117"/>
  <c r="L11" i="117"/>
  <c r="K11" i="117"/>
  <c r="J11" i="117"/>
  <c r="I11" i="117"/>
  <c r="H11" i="117"/>
  <c r="G11" i="117"/>
  <c r="F11" i="117"/>
  <c r="E11" i="117"/>
  <c r="F68" i="117" l="1"/>
  <c r="R68" i="117"/>
  <c r="V68" i="117"/>
  <c r="Z68" i="117"/>
  <c r="AD68" i="117"/>
  <c r="AH68" i="117"/>
  <c r="AK178" i="108"/>
  <c r="AI62" i="117"/>
  <c r="E68" i="117"/>
  <c r="O68" i="117"/>
  <c r="S68" i="117"/>
  <c r="W68" i="117"/>
  <c r="AA68" i="117"/>
  <c r="AE68" i="117"/>
  <c r="Q68" i="117"/>
  <c r="U68" i="117"/>
  <c r="Y68" i="117"/>
  <c r="AC68" i="117"/>
  <c r="AG68" i="117"/>
  <c r="G68" i="117"/>
  <c r="K68" i="117"/>
  <c r="P68" i="117"/>
  <c r="T68" i="117"/>
  <c r="X68" i="117"/>
  <c r="AB68" i="117"/>
  <c r="AF68" i="117"/>
  <c r="H68" i="117"/>
  <c r="L68" i="117"/>
  <c r="I68" i="117"/>
  <c r="M68" i="117"/>
  <c r="J68" i="117"/>
  <c r="N68" i="117"/>
  <c r="AI11" i="117"/>
  <c r="AR62" i="117"/>
  <c r="AI46" i="117"/>
  <c r="AI68" i="117" l="1"/>
  <c r="AP12" i="117"/>
  <c r="E47" i="89" l="1"/>
  <c r="H48" i="126" l="1"/>
  <c r="E34" i="126"/>
  <c r="C29" i="126"/>
  <c r="E29" i="126" s="1"/>
  <c r="G11" i="126"/>
  <c r="D28" i="126" s="1"/>
  <c r="F23" i="125"/>
  <c r="F24" i="125"/>
  <c r="F22" i="125"/>
  <c r="F21" i="125"/>
  <c r="F20" i="125"/>
  <c r="F19" i="125"/>
  <c r="F11" i="125"/>
  <c r="F12" i="125"/>
  <c r="F13" i="125"/>
  <c r="F14" i="125"/>
  <c r="F10" i="125"/>
  <c r="F15" i="125" s="1"/>
  <c r="E15" i="125"/>
  <c r="J70" i="124"/>
  <c r="F25" i="125" l="1"/>
  <c r="D24" i="126"/>
  <c r="D27" i="126" s="1"/>
  <c r="D18" i="126"/>
  <c r="E18" i="126" s="1"/>
  <c r="D22" i="126"/>
  <c r="E22" i="126" s="1"/>
  <c r="D17" i="126"/>
  <c r="E17" i="126" s="1"/>
  <c r="D19" i="126"/>
  <c r="E19" i="126" s="1"/>
  <c r="D21" i="126"/>
  <c r="E21" i="126" s="1"/>
  <c r="D20" i="126"/>
  <c r="E20" i="126" s="1"/>
  <c r="D25" i="126"/>
  <c r="C23" i="121"/>
  <c r="C21" i="121"/>
  <c r="E16" i="126" l="1"/>
  <c r="D1126" i="74"/>
  <c r="J1112" i="74"/>
  <c r="D1112" i="74"/>
  <c r="J1100" i="74"/>
  <c r="D1100" i="74"/>
  <c r="J1086" i="74"/>
  <c r="D1086" i="74"/>
  <c r="J1072" i="74"/>
  <c r="D1072" i="74"/>
  <c r="J1058" i="74"/>
  <c r="D1058" i="74"/>
  <c r="J1044" i="74"/>
  <c r="D1044" i="74"/>
  <c r="J1030" i="74"/>
  <c r="D1030" i="74"/>
  <c r="J1017" i="74"/>
  <c r="D1017" i="74"/>
  <c r="J1003" i="74"/>
  <c r="D1003" i="74"/>
  <c r="J989" i="74"/>
  <c r="D989" i="74"/>
  <c r="J976" i="74"/>
  <c r="C972" i="74"/>
  <c r="D976" i="74"/>
  <c r="J962" i="74"/>
  <c r="D962" i="74"/>
  <c r="J948" i="74"/>
  <c r="D948" i="74"/>
  <c r="J935" i="74"/>
  <c r="D935" i="74"/>
  <c r="J921" i="74"/>
  <c r="D921" i="74"/>
  <c r="J907" i="74"/>
  <c r="D907" i="74"/>
  <c r="J894" i="74"/>
  <c r="D894" i="74"/>
  <c r="J880" i="74"/>
  <c r="D880" i="74"/>
  <c r="J866" i="74"/>
  <c r="D866" i="74"/>
  <c r="J853" i="74"/>
  <c r="D853" i="74"/>
  <c r="J839" i="74"/>
  <c r="D839" i="74"/>
  <c r="J825" i="74"/>
  <c r="D825" i="74"/>
  <c r="J812" i="74"/>
  <c r="D812" i="74"/>
  <c r="J798" i="74"/>
  <c r="D798" i="74"/>
  <c r="J784" i="74"/>
  <c r="D784" i="74"/>
  <c r="J768" i="74"/>
  <c r="D768" i="74"/>
  <c r="J754" i="74"/>
  <c r="D754" i="74"/>
  <c r="J740" i="74"/>
  <c r="D740" i="74"/>
  <c r="J725" i="74"/>
  <c r="D725" i="74"/>
  <c r="J711" i="74"/>
  <c r="D711" i="74"/>
  <c r="J697" i="74"/>
  <c r="D697" i="74"/>
  <c r="J680" i="74"/>
  <c r="D680" i="74"/>
  <c r="J666" i="74"/>
  <c r="D666" i="74"/>
  <c r="J652" i="74"/>
  <c r="D652" i="74"/>
  <c r="J639" i="74"/>
  <c r="D639" i="74"/>
  <c r="J625" i="74"/>
  <c r="D625" i="74"/>
  <c r="J611" i="74"/>
  <c r="D611" i="74"/>
  <c r="J597" i="74"/>
  <c r="D597" i="74"/>
  <c r="J583" i="74"/>
  <c r="D583" i="74"/>
  <c r="J569" i="74"/>
  <c r="D569" i="74"/>
  <c r="J555" i="74"/>
  <c r="D555" i="74"/>
  <c r="H1121" i="74"/>
  <c r="J541" i="74"/>
  <c r="D541" i="74"/>
  <c r="J527" i="74"/>
  <c r="H468" i="74"/>
  <c r="D516" i="74"/>
  <c r="I514" i="74"/>
  <c r="C514" i="74"/>
  <c r="J513" i="74"/>
  <c r="D513" i="74"/>
  <c r="I512" i="74"/>
  <c r="C512" i="74"/>
  <c r="I510" i="74"/>
  <c r="C510" i="74"/>
  <c r="I509" i="74"/>
  <c r="J509" i="74" s="1"/>
  <c r="C509" i="74"/>
  <c r="D509" i="74" s="1"/>
  <c r="H508" i="74"/>
  <c r="B508" i="74"/>
  <c r="G507" i="74"/>
  <c r="A507" i="74"/>
  <c r="J500" i="74"/>
  <c r="I501" i="74"/>
  <c r="I499" i="74"/>
  <c r="I497" i="74"/>
  <c r="I496" i="74"/>
  <c r="J496" i="74" s="1"/>
  <c r="J487" i="74"/>
  <c r="I483" i="74"/>
  <c r="J483" i="74" s="1"/>
  <c r="H495" i="74"/>
  <c r="H482" i="74"/>
  <c r="I469" i="74"/>
  <c r="J469" i="74" s="1"/>
  <c r="I455" i="74"/>
  <c r="J455" i="74" s="1"/>
  <c r="D503" i="74"/>
  <c r="C501" i="74"/>
  <c r="D500" i="74"/>
  <c r="C497" i="74"/>
  <c r="C496" i="74"/>
  <c r="D496" i="74" s="1"/>
  <c r="B495" i="74"/>
  <c r="G494" i="74"/>
  <c r="A494" i="74"/>
  <c r="D490" i="74"/>
  <c r="C483" i="74"/>
  <c r="D483" i="74" s="1"/>
  <c r="B482" i="74"/>
  <c r="G481" i="74"/>
  <c r="A481" i="74"/>
  <c r="D476" i="74"/>
  <c r="C469" i="74"/>
  <c r="D469" i="74" s="1"/>
  <c r="B468" i="74"/>
  <c r="G467" i="74"/>
  <c r="A467" i="74"/>
  <c r="H454" i="74" l="1"/>
  <c r="G45" i="126"/>
  <c r="H13" i="122" l="1"/>
  <c r="W4" i="122"/>
  <c r="X4" i="122" s="1"/>
  <c r="Y4" i="122" s="1"/>
  <c r="AA14" i="94" l="1"/>
  <c r="AB14" i="94"/>
  <c r="AC14" i="94"/>
  <c r="T14" i="94"/>
  <c r="U14" i="94"/>
  <c r="V14" i="94"/>
  <c r="AK18" i="94"/>
  <c r="C30" i="126" l="1"/>
  <c r="E30" i="126" s="1"/>
  <c r="J13" i="28" l="1"/>
  <c r="C32" i="126" l="1"/>
  <c r="E32" i="126" s="1"/>
  <c r="E31" i="126" s="1"/>
  <c r="R125" i="121"/>
  <c r="R124" i="121"/>
  <c r="R123" i="121"/>
  <c r="I109" i="121"/>
  <c r="I106" i="121"/>
  <c r="G106" i="121"/>
  <c r="I105" i="121"/>
  <c r="G105" i="121"/>
  <c r="I104" i="121"/>
  <c r="G104" i="121"/>
  <c r="G102" i="121"/>
  <c r="I101" i="121"/>
  <c r="I100" i="121"/>
  <c r="I99" i="121"/>
  <c r="I98" i="121"/>
  <c r="I97" i="121"/>
  <c r="I96" i="121"/>
  <c r="I95" i="121"/>
  <c r="I94" i="121"/>
  <c r="M82" i="121"/>
  <c r="C82" i="121"/>
  <c r="Q29" i="121"/>
  <c r="P29" i="121"/>
  <c r="F29" i="121"/>
  <c r="G103" i="121" s="1"/>
  <c r="G117" i="121" l="1"/>
  <c r="I103" i="121"/>
  <c r="G107" i="121" s="1"/>
  <c r="K107" i="121" s="1"/>
  <c r="G29" i="121"/>
  <c r="I102" i="121"/>
  <c r="F22" i="102" l="1"/>
  <c r="D11" i="54" l="1"/>
  <c r="H46" i="8" l="1"/>
  <c r="G46" i="8"/>
  <c r="D517" i="74" l="1"/>
  <c r="AI153" i="108" l="1"/>
  <c r="AN154" i="108" s="1"/>
  <c r="AI90" i="108"/>
  <c r="H24" i="121" l="1"/>
  <c r="H20" i="121"/>
  <c r="H27" i="121"/>
  <c r="H25" i="121"/>
  <c r="H21" i="121"/>
  <c r="H28" i="121"/>
  <c r="H23" i="121"/>
  <c r="H19" i="121"/>
  <c r="H26" i="121"/>
  <c r="H22" i="121"/>
  <c r="H18" i="121"/>
  <c r="H29" i="121" l="1"/>
  <c r="C499" i="74" l="1"/>
  <c r="I486" i="74" l="1"/>
  <c r="C472" i="74"/>
  <c r="I472" i="74"/>
  <c r="C486" i="74"/>
  <c r="I458" i="74"/>
  <c r="M29" i="121"/>
  <c r="L29" i="121"/>
  <c r="N29" i="121"/>
  <c r="T21" i="121" l="1"/>
  <c r="T26" i="121"/>
  <c r="T27" i="121"/>
  <c r="T25" i="121"/>
  <c r="T22" i="121"/>
  <c r="T19" i="121"/>
  <c r="T23" i="121"/>
  <c r="T24" i="121"/>
  <c r="T18" i="121"/>
  <c r="T20" i="121"/>
  <c r="O29" i="121"/>
  <c r="T28" i="121"/>
  <c r="D504" i="74" l="1"/>
  <c r="T29" i="121"/>
  <c r="D462" i="74"/>
  <c r="C458" i="74"/>
  <c r="C455" i="74"/>
  <c r="D455" i="74" s="1"/>
  <c r="J448" i="74"/>
  <c r="I444" i="74"/>
  <c r="I441" i="74"/>
  <c r="J441" i="74" s="1"/>
  <c r="D448" i="74"/>
  <c r="C444" i="74"/>
  <c r="C441" i="74"/>
  <c r="D441" i="74" s="1"/>
  <c r="J434" i="74"/>
  <c r="I430" i="74"/>
  <c r="I427" i="74"/>
  <c r="J427" i="74" s="1"/>
  <c r="D434" i="74"/>
  <c r="C430" i="74"/>
  <c r="C427" i="74"/>
  <c r="D427" i="74" s="1"/>
  <c r="J422" i="74"/>
  <c r="I415" i="74"/>
  <c r="J415" i="74" s="1"/>
  <c r="D422" i="74"/>
  <c r="C415" i="74"/>
  <c r="D415" i="74" s="1"/>
  <c r="J408" i="74"/>
  <c r="I401" i="74"/>
  <c r="J401" i="74" s="1"/>
  <c r="D408" i="74"/>
  <c r="C401" i="74"/>
  <c r="D401" i="74" s="1"/>
  <c r="J394" i="74"/>
  <c r="I387" i="74"/>
  <c r="J387" i="74" s="1"/>
  <c r="D394" i="74"/>
  <c r="C387" i="74"/>
  <c r="D387" i="74" s="1"/>
  <c r="J382" i="74"/>
  <c r="I375" i="74"/>
  <c r="J375" i="74" s="1"/>
  <c r="D382" i="74"/>
  <c r="C375" i="74"/>
  <c r="D375" i="74" s="1"/>
  <c r="J368" i="74"/>
  <c r="I361" i="74"/>
  <c r="J361" i="74" s="1"/>
  <c r="D368" i="74"/>
  <c r="C361" i="74"/>
  <c r="D361" i="74" s="1"/>
  <c r="J354" i="74"/>
  <c r="I347" i="74"/>
  <c r="J347" i="74" s="1"/>
  <c r="D354" i="74"/>
  <c r="C347" i="74"/>
  <c r="D347" i="74" s="1"/>
  <c r="J341" i="74"/>
  <c r="I334" i="74"/>
  <c r="J334" i="74" s="1"/>
  <c r="D341" i="74"/>
  <c r="C334" i="74"/>
  <c r="D334" i="74" s="1"/>
  <c r="J327" i="74"/>
  <c r="I320" i="74"/>
  <c r="J320" i="74" s="1"/>
  <c r="D327" i="74"/>
  <c r="C320" i="74"/>
  <c r="D320" i="74" s="1"/>
  <c r="J313" i="74"/>
  <c r="I306" i="74"/>
  <c r="J306" i="74" s="1"/>
  <c r="D313" i="74"/>
  <c r="C306" i="74"/>
  <c r="D306" i="74" s="1"/>
  <c r="J300" i="74"/>
  <c r="I293" i="74"/>
  <c r="J293" i="74" s="1"/>
  <c r="D300" i="74"/>
  <c r="C293" i="74"/>
  <c r="D293" i="74" s="1"/>
  <c r="J286" i="74"/>
  <c r="I279" i="74"/>
  <c r="J279" i="74" s="1"/>
  <c r="D286" i="74"/>
  <c r="C279" i="74"/>
  <c r="D279" i="74" s="1"/>
  <c r="J273" i="74"/>
  <c r="I266" i="74"/>
  <c r="J266" i="74" s="1"/>
  <c r="D273" i="74"/>
  <c r="C266" i="74"/>
  <c r="D266" i="74" s="1"/>
  <c r="J261" i="74"/>
  <c r="I254" i="74"/>
  <c r="J254" i="74" s="1"/>
  <c r="D261" i="74" l="1"/>
  <c r="C254" i="74"/>
  <c r="D254" i="74" s="1"/>
  <c r="H253" i="74"/>
  <c r="B253" i="74"/>
  <c r="G252" i="74"/>
  <c r="A252" i="74"/>
  <c r="D1360" i="74"/>
  <c r="D1356" i="74"/>
  <c r="J1343" i="74"/>
  <c r="D1343" i="74"/>
  <c r="J1330" i="74"/>
  <c r="D1330" i="74"/>
  <c r="J1317" i="74"/>
  <c r="D1317" i="74"/>
  <c r="J1303" i="74"/>
  <c r="D1303" i="74"/>
  <c r="J1289" i="74"/>
  <c r="D1289" i="74"/>
  <c r="J1276" i="74"/>
  <c r="D1276" i="74"/>
  <c r="J1262" i="74"/>
  <c r="D1262" i="74"/>
  <c r="J1248" i="74"/>
  <c r="D1248" i="74"/>
  <c r="J1235" i="74"/>
  <c r="D1235" i="74"/>
  <c r="J1221" i="74"/>
  <c r="D1221" i="74"/>
  <c r="J1207" i="74"/>
  <c r="D1207" i="74"/>
  <c r="J1194" i="74"/>
  <c r="D1194" i="74"/>
  <c r="J1180" i="74"/>
  <c r="D1180" i="74"/>
  <c r="J1166" i="74"/>
  <c r="D1166" i="74"/>
  <c r="J1153" i="74"/>
  <c r="C1153" i="74"/>
  <c r="B1355" i="74"/>
  <c r="H1342" i="74"/>
  <c r="B1342" i="74"/>
  <c r="H1329" i="74"/>
  <c r="B1329" i="74"/>
  <c r="H1316" i="74"/>
  <c r="B1316" i="74"/>
  <c r="H1302" i="74"/>
  <c r="B1302" i="74"/>
  <c r="H1288" i="74"/>
  <c r="B1288" i="74"/>
  <c r="H1275" i="74"/>
  <c r="B1275" i="74"/>
  <c r="H1261" i="74"/>
  <c r="B1261" i="74"/>
  <c r="H1247" i="74"/>
  <c r="B1247" i="74"/>
  <c r="H1234" i="74"/>
  <c r="B1234" i="74"/>
  <c r="H1220" i="74"/>
  <c r="B1220" i="74"/>
  <c r="H1206" i="74"/>
  <c r="B1206" i="74"/>
  <c r="H1193" i="74"/>
  <c r="B1193" i="74"/>
  <c r="H1179" i="74"/>
  <c r="B1179" i="74"/>
  <c r="H1165" i="74"/>
  <c r="B1165" i="74"/>
  <c r="H1152" i="74"/>
  <c r="B1152" i="74"/>
  <c r="J1363" i="74"/>
  <c r="J1364" i="74" s="1"/>
  <c r="J1360" i="74"/>
  <c r="J1359" i="74"/>
  <c r="J1356" i="74"/>
  <c r="G1354" i="74"/>
  <c r="A1354" i="74"/>
  <c r="G1341" i="74"/>
  <c r="A1341" i="74"/>
  <c r="G1328" i="74"/>
  <c r="A1328" i="74"/>
  <c r="C1122" i="74"/>
  <c r="D1122" i="74" s="1"/>
  <c r="I1108" i="74"/>
  <c r="J1108" i="74" s="1"/>
  <c r="C1108" i="74"/>
  <c r="D1108" i="74" s="1"/>
  <c r="I1096" i="74"/>
  <c r="J1096" i="74" s="1"/>
  <c r="C1096" i="74"/>
  <c r="D1096" i="74" s="1"/>
  <c r="I1082" i="74"/>
  <c r="J1082" i="74" s="1"/>
  <c r="C1082" i="74"/>
  <c r="D1082" i="74" s="1"/>
  <c r="I1068" i="74"/>
  <c r="J1068" i="74" s="1"/>
  <c r="C1068" i="74"/>
  <c r="D1068" i="74" s="1"/>
  <c r="I1054" i="74"/>
  <c r="J1054" i="74" s="1"/>
  <c r="C1054" i="74"/>
  <c r="D1054" i="74" s="1"/>
  <c r="I1040" i="74"/>
  <c r="J1040" i="74" s="1"/>
  <c r="C1040" i="74"/>
  <c r="D1040" i="74" s="1"/>
  <c r="I1026" i="74"/>
  <c r="J1026" i="74" s="1"/>
  <c r="C1026" i="74"/>
  <c r="D1026" i="74" s="1"/>
  <c r="I1013" i="74"/>
  <c r="J1013" i="74" s="1"/>
  <c r="C1013" i="74"/>
  <c r="D1013" i="74" s="1"/>
  <c r="I999" i="74"/>
  <c r="J999" i="74" s="1"/>
  <c r="C999" i="74"/>
  <c r="D999" i="74" s="1"/>
  <c r="I985" i="74"/>
  <c r="J985" i="74" s="1"/>
  <c r="C985" i="74"/>
  <c r="D985" i="74" s="1"/>
  <c r="I972" i="74"/>
  <c r="J972" i="74" s="1"/>
  <c r="B1121" i="74"/>
  <c r="H1107" i="74"/>
  <c r="B1107" i="74"/>
  <c r="H1095" i="74"/>
  <c r="B1095" i="74"/>
  <c r="H1081" i="74"/>
  <c r="B1081" i="74"/>
  <c r="H1067" i="74"/>
  <c r="B1067" i="74"/>
  <c r="H1053" i="74"/>
  <c r="B1053" i="74"/>
  <c r="H1039" i="74"/>
  <c r="B1039" i="74"/>
  <c r="H1025" i="74"/>
  <c r="B1025" i="74"/>
  <c r="H1012" i="74"/>
  <c r="B1012" i="74"/>
  <c r="H998" i="74"/>
  <c r="B998" i="74"/>
  <c r="H984" i="74"/>
  <c r="B984" i="74"/>
  <c r="H971" i="74"/>
  <c r="B971" i="74"/>
  <c r="I958" i="74"/>
  <c r="C958" i="74"/>
  <c r="I944" i="74"/>
  <c r="C944" i="74"/>
  <c r="I931" i="74"/>
  <c r="C931" i="74"/>
  <c r="I917" i="74"/>
  <c r="C917" i="74"/>
  <c r="I903" i="74"/>
  <c r="C903" i="74"/>
  <c r="I876" i="74"/>
  <c r="C876" i="74"/>
  <c r="I862" i="74"/>
  <c r="C862" i="74"/>
  <c r="I849" i="74"/>
  <c r="C849" i="74"/>
  <c r="C835" i="74"/>
  <c r="I821" i="74"/>
  <c r="C821" i="74"/>
  <c r="I808" i="74"/>
  <c r="C808" i="74"/>
  <c r="I794" i="74"/>
  <c r="C794" i="74"/>
  <c r="I780" i="74"/>
  <c r="C780" i="74"/>
  <c r="I764" i="74"/>
  <c r="I750" i="74"/>
  <c r="C750" i="74"/>
  <c r="I736" i="74"/>
  <c r="C736" i="74"/>
  <c r="I721" i="74"/>
  <c r="C721" i="74"/>
  <c r="D721" i="74" s="1"/>
  <c r="I707" i="74"/>
  <c r="C707" i="74"/>
  <c r="I693" i="74"/>
  <c r="C693" i="74"/>
  <c r="I676" i="74"/>
  <c r="C676" i="74"/>
  <c r="I662" i="74"/>
  <c r="C662" i="74"/>
  <c r="I648" i="74"/>
  <c r="C648" i="74"/>
  <c r="I635" i="74"/>
  <c r="C635" i="74"/>
  <c r="I621" i="74"/>
  <c r="C621" i="74"/>
  <c r="I607" i="74"/>
  <c r="C607" i="74"/>
  <c r="I593" i="74"/>
  <c r="C593" i="74"/>
  <c r="I579" i="74"/>
  <c r="C579" i="74"/>
  <c r="I565" i="74"/>
  <c r="C565" i="74"/>
  <c r="H957" i="74"/>
  <c r="B957" i="74"/>
  <c r="H943" i="74"/>
  <c r="B943" i="74"/>
  <c r="H930" i="74"/>
  <c r="B930" i="74"/>
  <c r="H916" i="74"/>
  <c r="B916" i="74"/>
  <c r="H902" i="74"/>
  <c r="B902" i="74"/>
  <c r="H889" i="74"/>
  <c r="B889" i="74"/>
  <c r="H875" i="74"/>
  <c r="B875" i="74"/>
  <c r="H861" i="74"/>
  <c r="B861" i="74"/>
  <c r="H848" i="74"/>
  <c r="B848" i="74"/>
  <c r="H834" i="74"/>
  <c r="B834" i="74"/>
  <c r="H820" i="74"/>
  <c r="B820" i="74"/>
  <c r="H807" i="74"/>
  <c r="B807" i="74"/>
  <c r="H793" i="74"/>
  <c r="B793" i="74"/>
  <c r="H779" i="74"/>
  <c r="B779" i="74"/>
  <c r="H763" i="74"/>
  <c r="B763" i="74"/>
  <c r="H749" i="74"/>
  <c r="B749" i="74"/>
  <c r="H735" i="74"/>
  <c r="B735" i="74"/>
  <c r="H720" i="74"/>
  <c r="B720" i="74"/>
  <c r="H706" i="74"/>
  <c r="B706" i="74"/>
  <c r="H692" i="74"/>
  <c r="B692" i="74"/>
  <c r="H675" i="74"/>
  <c r="B675" i="74"/>
  <c r="H661" i="74"/>
  <c r="B661" i="74"/>
  <c r="H647" i="74"/>
  <c r="B647" i="74"/>
  <c r="H634" i="74"/>
  <c r="B634" i="74"/>
  <c r="H620" i="74"/>
  <c r="B620" i="74"/>
  <c r="H606" i="74"/>
  <c r="B606" i="74"/>
  <c r="H592" i="74"/>
  <c r="B592" i="74"/>
  <c r="H578" i="74"/>
  <c r="B578" i="74"/>
  <c r="H564" i="74"/>
  <c r="B564" i="74"/>
  <c r="H550" i="74"/>
  <c r="B550" i="74"/>
  <c r="H536" i="74"/>
  <c r="B536" i="74"/>
  <c r="H522" i="74"/>
  <c r="B522" i="74"/>
  <c r="D246" i="74"/>
  <c r="C238" i="74"/>
  <c r="I224" i="74"/>
  <c r="C224" i="74"/>
  <c r="I210" i="74"/>
  <c r="C210" i="74"/>
  <c r="I198" i="74"/>
  <c r="C198" i="74"/>
  <c r="I184" i="74"/>
  <c r="C184" i="74"/>
  <c r="I170" i="74"/>
  <c r="C170" i="74"/>
  <c r="I157" i="74"/>
  <c r="C157" i="74"/>
  <c r="I143" i="74"/>
  <c r="C143" i="74"/>
  <c r="I129" i="74"/>
  <c r="C129" i="74"/>
  <c r="I116" i="74"/>
  <c r="C116" i="74"/>
  <c r="I102" i="74"/>
  <c r="C102" i="74"/>
  <c r="I88" i="74"/>
  <c r="C88" i="74"/>
  <c r="I76" i="74"/>
  <c r="C76" i="74"/>
  <c r="I62" i="74"/>
  <c r="C62" i="74"/>
  <c r="I48" i="74"/>
  <c r="C48" i="74"/>
  <c r="I32" i="74"/>
  <c r="C32" i="74"/>
  <c r="I18" i="74"/>
  <c r="C18" i="74"/>
  <c r="I4" i="74"/>
  <c r="B454" i="74"/>
  <c r="H440" i="74"/>
  <c r="B440" i="74"/>
  <c r="H426" i="74"/>
  <c r="B426" i="74"/>
  <c r="H414" i="74"/>
  <c r="B414" i="74"/>
  <c r="H400" i="74"/>
  <c r="B400" i="74"/>
  <c r="H386" i="74"/>
  <c r="B386" i="74"/>
  <c r="H374" i="74"/>
  <c r="B374" i="74"/>
  <c r="H360" i="74"/>
  <c r="B360" i="74"/>
  <c r="H346" i="74"/>
  <c r="B346" i="74"/>
  <c r="H333" i="74"/>
  <c r="B333" i="74"/>
  <c r="H319" i="74"/>
  <c r="B319" i="74"/>
  <c r="H305" i="74"/>
  <c r="B305" i="74"/>
  <c r="H292" i="74"/>
  <c r="B292" i="74"/>
  <c r="H278" i="74"/>
  <c r="B278" i="74"/>
  <c r="H265" i="74"/>
  <c r="B265" i="74"/>
  <c r="B237" i="74"/>
  <c r="H223" i="74"/>
  <c r="B223" i="74"/>
  <c r="H209" i="74"/>
  <c r="B209" i="74"/>
  <c r="H197" i="74"/>
  <c r="B197" i="74"/>
  <c r="H183" i="74"/>
  <c r="B183" i="74"/>
  <c r="H169" i="74"/>
  <c r="B169" i="74"/>
  <c r="H156" i="74"/>
  <c r="B156" i="74"/>
  <c r="H142" i="74"/>
  <c r="B142" i="74"/>
  <c r="H128" i="74"/>
  <c r="B128" i="74"/>
  <c r="H115" i="74"/>
  <c r="B115" i="74"/>
  <c r="H101" i="74"/>
  <c r="B101" i="74"/>
  <c r="H87" i="74"/>
  <c r="B87" i="74"/>
  <c r="H75" i="74"/>
  <c r="B75" i="74"/>
  <c r="H61" i="74"/>
  <c r="B61" i="74"/>
  <c r="H47" i="74"/>
  <c r="B47" i="74"/>
  <c r="H31" i="74"/>
  <c r="B31" i="74"/>
  <c r="H17" i="74"/>
  <c r="B17" i="74"/>
  <c r="C4" i="74"/>
  <c r="H3" i="74"/>
  <c r="B3" i="74"/>
  <c r="G1315" i="74" l="1"/>
  <c r="A1315" i="74"/>
  <c r="G1301" i="74"/>
  <c r="A1301" i="74"/>
  <c r="G1287" i="74"/>
  <c r="A1287" i="74"/>
  <c r="G1274" i="74"/>
  <c r="A1274" i="74"/>
  <c r="G1260" i="74"/>
  <c r="A1260" i="74"/>
  <c r="G1246" i="74"/>
  <c r="A1246" i="74"/>
  <c r="G1233" i="74"/>
  <c r="A1233" i="74"/>
  <c r="G1219" i="74"/>
  <c r="A1219" i="74"/>
  <c r="G1205" i="74"/>
  <c r="A1205" i="74"/>
  <c r="G1192" i="74"/>
  <c r="A1192" i="74"/>
  <c r="G1178" i="74"/>
  <c r="A1178" i="74"/>
  <c r="G1164" i="74"/>
  <c r="A1164" i="74"/>
  <c r="D1153" i="74"/>
  <c r="G1151" i="74"/>
  <c r="A1151" i="74"/>
  <c r="J1129" i="74"/>
  <c r="J1130" i="74" s="1"/>
  <c r="J1126" i="74"/>
  <c r="J1122" i="74"/>
  <c r="G1120" i="74"/>
  <c r="A1120" i="74"/>
  <c r="G1106" i="74"/>
  <c r="A1106" i="74"/>
  <c r="G1094" i="74"/>
  <c r="A1094" i="74"/>
  <c r="G1080" i="74"/>
  <c r="A1080" i="74"/>
  <c r="G1066" i="74"/>
  <c r="A1066" i="74"/>
  <c r="G1052" i="74"/>
  <c r="A1052" i="74"/>
  <c r="G1038" i="74"/>
  <c r="A1038" i="74"/>
  <c r="G1024" i="74"/>
  <c r="A1024" i="74"/>
  <c r="G1011" i="74"/>
  <c r="A1011" i="74"/>
  <c r="G997" i="74"/>
  <c r="A997" i="74"/>
  <c r="G983" i="74"/>
  <c r="A983" i="74"/>
  <c r="D972" i="74"/>
  <c r="G970" i="74"/>
  <c r="A970" i="74"/>
  <c r="J958" i="74"/>
  <c r="D958" i="74"/>
  <c r="G956" i="74"/>
  <c r="A956" i="74"/>
  <c r="J944" i="74"/>
  <c r="D944" i="74"/>
  <c r="G942" i="74"/>
  <c r="A942" i="74"/>
  <c r="J931" i="74"/>
  <c r="D931" i="74"/>
  <c r="G929" i="74"/>
  <c r="A929" i="74"/>
  <c r="J917" i="74"/>
  <c r="D917" i="74"/>
  <c r="G915" i="74"/>
  <c r="A915" i="74"/>
  <c r="J903" i="74"/>
  <c r="D903" i="74"/>
  <c r="G901" i="74"/>
  <c r="A901" i="74"/>
  <c r="G888" i="74"/>
  <c r="A888" i="74"/>
  <c r="J876" i="74"/>
  <c r="D876" i="74"/>
  <c r="G874" i="74"/>
  <c r="A874" i="74"/>
  <c r="J862" i="74"/>
  <c r="D862" i="74"/>
  <c r="G860" i="74"/>
  <c r="A860" i="74"/>
  <c r="J849" i="74"/>
  <c r="D849" i="74"/>
  <c r="G847" i="74"/>
  <c r="A847" i="74"/>
  <c r="D835" i="74"/>
  <c r="G833" i="74"/>
  <c r="A833" i="74"/>
  <c r="J821" i="74"/>
  <c r="D821" i="74"/>
  <c r="G819" i="74"/>
  <c r="A819" i="74"/>
  <c r="J808" i="74"/>
  <c r="D808" i="74"/>
  <c r="G806" i="74"/>
  <c r="A806" i="74"/>
  <c r="J794" i="74"/>
  <c r="D794" i="74"/>
  <c r="G792" i="74"/>
  <c r="A792" i="74"/>
  <c r="J780" i="74"/>
  <c r="D780" i="74"/>
  <c r="G778" i="74"/>
  <c r="A778" i="74"/>
  <c r="J764" i="74"/>
  <c r="G762" i="74"/>
  <c r="A762" i="74"/>
  <c r="J750" i="74"/>
  <c r="D750" i="74"/>
  <c r="G748" i="74"/>
  <c r="A748" i="74"/>
  <c r="J736" i="74"/>
  <c r="D736" i="74"/>
  <c r="G734" i="74"/>
  <c r="A734" i="74"/>
  <c r="J721" i="74"/>
  <c r="G719" i="74"/>
  <c r="A719" i="74"/>
  <c r="J707" i="74"/>
  <c r="D707" i="74"/>
  <c r="G705" i="74"/>
  <c r="A705" i="74"/>
  <c r="J693" i="74"/>
  <c r="D693" i="74"/>
  <c r="G691" i="74"/>
  <c r="A691" i="74"/>
  <c r="J676" i="74"/>
  <c r="D676" i="74"/>
  <c r="G674" i="74"/>
  <c r="A674" i="74"/>
  <c r="J662" i="74"/>
  <c r="D662" i="74"/>
  <c r="G660" i="74"/>
  <c r="A660" i="74"/>
  <c r="J648" i="74"/>
  <c r="D648" i="74"/>
  <c r="G646" i="74"/>
  <c r="A646" i="74"/>
  <c r="J635" i="74"/>
  <c r="D635" i="74"/>
  <c r="G633" i="74"/>
  <c r="A633" i="74"/>
  <c r="J621" i="74"/>
  <c r="D621" i="74"/>
  <c r="G619" i="74"/>
  <c r="A619" i="74"/>
  <c r="J607" i="74"/>
  <c r="D607" i="74"/>
  <c r="G605" i="74"/>
  <c r="A605" i="74"/>
  <c r="J593" i="74"/>
  <c r="D593" i="74"/>
  <c r="G591" i="74"/>
  <c r="A591" i="74"/>
  <c r="J579" i="74"/>
  <c r="D579" i="74"/>
  <c r="G577" i="74"/>
  <c r="A577" i="74"/>
  <c r="J565" i="74"/>
  <c r="D565" i="74"/>
  <c r="G563" i="74"/>
  <c r="A563" i="74"/>
  <c r="G549" i="74"/>
  <c r="A549" i="74"/>
  <c r="G535" i="74"/>
  <c r="A535" i="74"/>
  <c r="G521" i="74"/>
  <c r="A521" i="74"/>
  <c r="G453" i="74"/>
  <c r="A453" i="74"/>
  <c r="G439" i="74"/>
  <c r="A439" i="74"/>
  <c r="G425" i="74"/>
  <c r="A425" i="74"/>
  <c r="G413" i="74"/>
  <c r="A413" i="74"/>
  <c r="G399" i="74"/>
  <c r="A399" i="74"/>
  <c r="G385" i="74"/>
  <c r="A385" i="74"/>
  <c r="G373" i="74"/>
  <c r="A373" i="74"/>
  <c r="G359" i="74"/>
  <c r="A359" i="74"/>
  <c r="G345" i="74"/>
  <c r="A345" i="74"/>
  <c r="G332" i="74"/>
  <c r="A332" i="74"/>
  <c r="G318" i="74"/>
  <c r="A318" i="74"/>
  <c r="G304" i="74"/>
  <c r="A304" i="74"/>
  <c r="G291" i="74"/>
  <c r="A291" i="74"/>
  <c r="G277" i="74"/>
  <c r="A277" i="74"/>
  <c r="G264" i="74"/>
  <c r="A264" i="74"/>
  <c r="D245" i="74"/>
  <c r="D238" i="74"/>
  <c r="G236" i="74"/>
  <c r="A236" i="74"/>
  <c r="J231" i="74"/>
  <c r="D231" i="74"/>
  <c r="J224" i="74"/>
  <c r="D224" i="74"/>
  <c r="G222" i="74"/>
  <c r="A222" i="74"/>
  <c r="J217" i="74"/>
  <c r="D217" i="74"/>
  <c r="J210" i="74"/>
  <c r="D210" i="74"/>
  <c r="G208" i="74"/>
  <c r="A208" i="74"/>
  <c r="J205" i="74"/>
  <c r="D205" i="74"/>
  <c r="J198" i="74"/>
  <c r="D198" i="74"/>
  <c r="G196" i="74"/>
  <c r="A196" i="74"/>
  <c r="J191" i="74"/>
  <c r="D191" i="74"/>
  <c r="J184" i="74"/>
  <c r="D184" i="74"/>
  <c r="G182" i="74"/>
  <c r="A182" i="74"/>
  <c r="J177" i="74"/>
  <c r="D177" i="74"/>
  <c r="J170" i="74"/>
  <c r="D170" i="74"/>
  <c r="G168" i="74"/>
  <c r="A168" i="74"/>
  <c r="J164" i="74"/>
  <c r="D164" i="74"/>
  <c r="J157" i="74"/>
  <c r="D157" i="74"/>
  <c r="G155" i="74"/>
  <c r="A155" i="74"/>
  <c r="J150" i="74"/>
  <c r="D150" i="74"/>
  <c r="J143" i="74"/>
  <c r="D143" i="74"/>
  <c r="G141" i="74"/>
  <c r="A141" i="74"/>
  <c r="J136" i="74"/>
  <c r="D136" i="74"/>
  <c r="J129" i="74"/>
  <c r="D129" i="74"/>
  <c r="G127" i="74"/>
  <c r="A127" i="74"/>
  <c r="J123" i="74"/>
  <c r="D123" i="74"/>
  <c r="J116" i="74"/>
  <c r="D116" i="74"/>
  <c r="G114" i="74"/>
  <c r="A114" i="74"/>
  <c r="J109" i="74"/>
  <c r="D109" i="74"/>
  <c r="J102" i="74"/>
  <c r="D102" i="74"/>
  <c r="G100" i="74"/>
  <c r="A100" i="74"/>
  <c r="J95" i="74"/>
  <c r="D95" i="74"/>
  <c r="J88" i="74"/>
  <c r="G86" i="74"/>
  <c r="A86" i="74"/>
  <c r="J83" i="74"/>
  <c r="D83" i="74"/>
  <c r="G74" i="74"/>
  <c r="A74" i="74"/>
  <c r="J69" i="74"/>
  <c r="G60" i="74"/>
  <c r="A60" i="74"/>
  <c r="J55" i="74"/>
  <c r="D55" i="74"/>
  <c r="G46" i="74"/>
  <c r="A46" i="74"/>
  <c r="J39" i="74"/>
  <c r="G30" i="74"/>
  <c r="A30" i="74"/>
  <c r="J25" i="74"/>
  <c r="G16" i="74"/>
  <c r="A16" i="74"/>
  <c r="J11" i="74"/>
  <c r="G2" i="74"/>
  <c r="E14" i="97" l="1"/>
  <c r="H14" i="97" s="1"/>
  <c r="D12" i="122" s="1"/>
  <c r="E12" i="122" s="1"/>
  <c r="F19" i="76"/>
  <c r="E15" i="97"/>
  <c r="AB16" i="89"/>
  <c r="J16" i="89" s="1"/>
  <c r="F20" i="76"/>
  <c r="G36" i="41"/>
  <c r="I18" i="96"/>
  <c r="H258" i="1" s="1"/>
  <c r="K258" i="1" s="1"/>
  <c r="E16" i="122" s="1"/>
  <c r="I17" i="96"/>
  <c r="L17" i="96"/>
  <c r="I16" i="96"/>
  <c r="L16" i="96" s="1"/>
  <c r="I16" i="8"/>
  <c r="K16" i="8" s="1"/>
  <c r="H18" i="1" s="1"/>
  <c r="I18" i="8"/>
  <c r="I20" i="8"/>
  <c r="I22" i="8"/>
  <c r="AA14" i="91"/>
  <c r="D18" i="74"/>
  <c r="J18" i="74"/>
  <c r="D32" i="74"/>
  <c r="J62" i="74"/>
  <c r="D76" i="74"/>
  <c r="AT46" i="108"/>
  <c r="C537" i="74"/>
  <c r="D537" i="74" s="1"/>
  <c r="C551" i="74"/>
  <c r="D551" i="74" s="1"/>
  <c r="I551" i="74"/>
  <c r="J551" i="74" s="1"/>
  <c r="I835" i="74"/>
  <c r="J835" i="74" s="1"/>
  <c r="I890" i="74"/>
  <c r="J890" i="74" s="1"/>
  <c r="D251" i="1"/>
  <c r="D252" i="1"/>
  <c r="M10" i="28"/>
  <c r="H252" i="1" s="1"/>
  <c r="D254" i="1"/>
  <c r="H257" i="1"/>
  <c r="K257" i="1" s="1"/>
  <c r="E15" i="122" s="1"/>
  <c r="H259" i="1"/>
  <c r="K259" i="1" s="1"/>
  <c r="E17" i="122" s="1"/>
  <c r="L20" i="96"/>
  <c r="L259" i="1" s="1"/>
  <c r="G17" i="89"/>
  <c r="G18" i="89"/>
  <c r="G19" i="89"/>
  <c r="G20" i="89"/>
  <c r="G21" i="89"/>
  <c r="G22" i="89"/>
  <c r="G23" i="89"/>
  <c r="G24" i="89"/>
  <c r="G25" i="89"/>
  <c r="G26" i="89"/>
  <c r="G27" i="89"/>
  <c r="G28" i="89"/>
  <c r="G29" i="89"/>
  <c r="G30" i="89"/>
  <c r="G31" i="89"/>
  <c r="G32" i="89"/>
  <c r="G33" i="89"/>
  <c r="G34" i="89"/>
  <c r="G35" i="89"/>
  <c r="G36" i="89"/>
  <c r="G37" i="89"/>
  <c r="G38" i="89"/>
  <c r="G39" i="89"/>
  <c r="G40" i="89"/>
  <c r="G41" i="89"/>
  <c r="G42" i="89"/>
  <c r="G43" i="89"/>
  <c r="G44" i="89"/>
  <c r="G45" i="89"/>
  <c r="G16" i="89"/>
  <c r="Z16" i="91"/>
  <c r="Y16" i="91"/>
  <c r="AA15" i="91"/>
  <c r="AR209" i="108"/>
  <c r="AT153" i="108"/>
  <c r="AT90" i="108"/>
  <c r="AT11" i="108"/>
  <c r="AK15" i="94"/>
  <c r="AC19" i="94"/>
  <c r="V19" i="94"/>
  <c r="O19" i="94"/>
  <c r="H19" i="94"/>
  <c r="O14" i="94"/>
  <c r="P250" i="1"/>
  <c r="Q250" i="1"/>
  <c r="S260" i="1"/>
  <c r="L23" i="111"/>
  <c r="L17" i="111"/>
  <c r="J17" i="113"/>
  <c r="J18" i="113"/>
  <c r="J19" i="113"/>
  <c r="J20" i="113"/>
  <c r="J21" i="113"/>
  <c r="J22" i="113"/>
  <c r="J23" i="113"/>
  <c r="J24" i="113"/>
  <c r="J25" i="113"/>
  <c r="J26" i="113"/>
  <c r="J27" i="113"/>
  <c r="J28" i="113"/>
  <c r="J29" i="113"/>
  <c r="J30" i="113"/>
  <c r="J31" i="113"/>
  <c r="J32" i="113"/>
  <c r="J33" i="113"/>
  <c r="J34" i="113"/>
  <c r="J35" i="113"/>
  <c r="J36" i="113"/>
  <c r="J37" i="113"/>
  <c r="J38" i="113"/>
  <c r="J39" i="113"/>
  <c r="J40" i="113"/>
  <c r="J41" i="113"/>
  <c r="J42" i="113"/>
  <c r="J16" i="113"/>
  <c r="AA15" i="112"/>
  <c r="Y14" i="113" s="1"/>
  <c r="L17" i="112"/>
  <c r="L18" i="112"/>
  <c r="L19" i="112"/>
  <c r="L20" i="112"/>
  <c r="L21" i="112"/>
  <c r="L22" i="112"/>
  <c r="L23" i="112"/>
  <c r="L24" i="112"/>
  <c r="L25" i="112"/>
  <c r="L26" i="112"/>
  <c r="L27" i="112"/>
  <c r="L28" i="112"/>
  <c r="L29" i="112"/>
  <c r="L30" i="112"/>
  <c r="L31" i="112"/>
  <c r="L32" i="112"/>
  <c r="L33" i="112"/>
  <c r="L34" i="112"/>
  <c r="L35" i="112"/>
  <c r="L36" i="112"/>
  <c r="L37" i="112"/>
  <c r="L38" i="112"/>
  <c r="L39" i="112"/>
  <c r="L40" i="112"/>
  <c r="L41" i="112"/>
  <c r="L42" i="112"/>
  <c r="L43" i="112"/>
  <c r="L44" i="112"/>
  <c r="L45" i="112"/>
  <c r="L46" i="112"/>
  <c r="L47" i="112"/>
  <c r="L48" i="112"/>
  <c r="L49" i="112"/>
  <c r="L50" i="112"/>
  <c r="L51" i="112"/>
  <c r="L52" i="112"/>
  <c r="L53" i="112"/>
  <c r="L54" i="112"/>
  <c r="L55" i="112"/>
  <c r="L56" i="112"/>
  <c r="L57" i="112"/>
  <c r="L58" i="112"/>
  <c r="L59" i="112"/>
  <c r="L60" i="112"/>
  <c r="L61" i="112"/>
  <c r="L62" i="112"/>
  <c r="L63" i="112"/>
  <c r="L64" i="112"/>
  <c r="L65" i="112"/>
  <c r="L66" i="112"/>
  <c r="L67" i="112"/>
  <c r="L68" i="112"/>
  <c r="L69" i="112"/>
  <c r="L70" i="112"/>
  <c r="L71" i="112"/>
  <c r="L72" i="112"/>
  <c r="L73" i="112"/>
  <c r="L74" i="112"/>
  <c r="L75" i="112"/>
  <c r="L76" i="112"/>
  <c r="L77" i="112"/>
  <c r="L78" i="112"/>
  <c r="L79" i="112"/>
  <c r="L80" i="112"/>
  <c r="L81" i="112"/>
  <c r="L82" i="112"/>
  <c r="L83" i="112"/>
  <c r="L84" i="112"/>
  <c r="L85" i="112"/>
  <c r="L86" i="112"/>
  <c r="L87" i="112"/>
  <c r="L88" i="112"/>
  <c r="L89" i="112"/>
  <c r="L90" i="112"/>
  <c r="L91" i="112"/>
  <c r="L92" i="112"/>
  <c r="L93" i="112"/>
  <c r="L94" i="112"/>
  <c r="L95" i="112"/>
  <c r="L96" i="112"/>
  <c r="L97" i="112"/>
  <c r="L16" i="112"/>
  <c r="L18" i="111"/>
  <c r="L19" i="111"/>
  <c r="L20" i="111"/>
  <c r="L21" i="111"/>
  <c r="L22" i="111"/>
  <c r="L24" i="111"/>
  <c r="L25" i="111"/>
  <c r="L26" i="111"/>
  <c r="L27" i="111"/>
  <c r="L28" i="111"/>
  <c r="L29" i="111"/>
  <c r="L30" i="111"/>
  <c r="L31" i="111"/>
  <c r="L32" i="111"/>
  <c r="L33" i="111"/>
  <c r="L34" i="111"/>
  <c r="L35" i="111"/>
  <c r="L36" i="111"/>
  <c r="L37" i="111"/>
  <c r="L38" i="111"/>
  <c r="L39" i="111"/>
  <c r="L40" i="111"/>
  <c r="L41" i="111"/>
  <c r="L42" i="111"/>
  <c r="L43" i="111"/>
  <c r="L44" i="111"/>
  <c r="L45" i="111"/>
  <c r="L46" i="111"/>
  <c r="L47" i="111"/>
  <c r="L48" i="111"/>
  <c r="L49" i="111"/>
  <c r="L50" i="111"/>
  <c r="L51" i="111"/>
  <c r="L52" i="111"/>
  <c r="L53" i="111"/>
  <c r="L54" i="111"/>
  <c r="L55" i="111"/>
  <c r="L56" i="111"/>
  <c r="L57" i="111"/>
  <c r="L58" i="111"/>
  <c r="L59" i="111"/>
  <c r="L60" i="111"/>
  <c r="L61" i="111"/>
  <c r="N17" i="111"/>
  <c r="N18" i="111"/>
  <c r="N20" i="111"/>
  <c r="N21" i="111"/>
  <c r="O21" i="111" s="1"/>
  <c r="T21" i="111" s="1"/>
  <c r="W21" i="111" s="1"/>
  <c r="N22" i="111"/>
  <c r="N24" i="111"/>
  <c r="O24" i="111" s="1"/>
  <c r="T24" i="111" s="1"/>
  <c r="W24" i="111" s="1"/>
  <c r="N25" i="111"/>
  <c r="N26" i="111"/>
  <c r="O26" i="111" s="1"/>
  <c r="T26" i="111" s="1"/>
  <c r="W26" i="111" s="1"/>
  <c r="N27" i="111"/>
  <c r="N28" i="111"/>
  <c r="O28" i="111" s="1"/>
  <c r="T28" i="111" s="1"/>
  <c r="W28" i="111" s="1"/>
  <c r="N29" i="111"/>
  <c r="N30" i="111"/>
  <c r="O30" i="111" s="1"/>
  <c r="T30" i="111" s="1"/>
  <c r="W30" i="111" s="1"/>
  <c r="N31" i="111"/>
  <c r="O31" i="111" s="1"/>
  <c r="T31" i="111" s="1"/>
  <c r="W31" i="111" s="1"/>
  <c r="N32" i="111"/>
  <c r="O32" i="111" s="1"/>
  <c r="T32" i="111" s="1"/>
  <c r="W32" i="111" s="1"/>
  <c r="N33" i="111"/>
  <c r="N34" i="111"/>
  <c r="O34" i="111" s="1"/>
  <c r="T34" i="111" s="1"/>
  <c r="W34" i="111" s="1"/>
  <c r="N35" i="111"/>
  <c r="N36" i="111"/>
  <c r="O36" i="111" s="1"/>
  <c r="T36" i="111" s="1"/>
  <c r="W36" i="111" s="1"/>
  <c r="N37" i="111"/>
  <c r="N38" i="111"/>
  <c r="O38" i="111" s="1"/>
  <c r="T38" i="111" s="1"/>
  <c r="W38" i="111" s="1"/>
  <c r="N39" i="111"/>
  <c r="O39" i="111" s="1"/>
  <c r="T39" i="111" s="1"/>
  <c r="W39" i="111" s="1"/>
  <c r="N40" i="111"/>
  <c r="N41" i="111"/>
  <c r="N42" i="111"/>
  <c r="O42" i="111" s="1"/>
  <c r="T42" i="111" s="1"/>
  <c r="W42" i="111" s="1"/>
  <c r="N43" i="111"/>
  <c r="O43" i="111" s="1"/>
  <c r="T43" i="111" s="1"/>
  <c r="W43" i="111" s="1"/>
  <c r="N44" i="111"/>
  <c r="O44" i="111" s="1"/>
  <c r="T44" i="111" s="1"/>
  <c r="W44" i="111" s="1"/>
  <c r="N45" i="111"/>
  <c r="N46" i="111"/>
  <c r="O46" i="111" s="1"/>
  <c r="T46" i="111" s="1"/>
  <c r="W46" i="111" s="1"/>
  <c r="N47" i="111"/>
  <c r="O47" i="111" s="1"/>
  <c r="T47" i="111" s="1"/>
  <c r="W47" i="111" s="1"/>
  <c r="N48" i="111"/>
  <c r="O48" i="111" s="1"/>
  <c r="T48" i="111" s="1"/>
  <c r="W48" i="111" s="1"/>
  <c r="N49" i="111"/>
  <c r="N50" i="111"/>
  <c r="O50" i="111" s="1"/>
  <c r="T50" i="111" s="1"/>
  <c r="W50" i="111" s="1"/>
  <c r="N51" i="111"/>
  <c r="N52" i="111"/>
  <c r="O52" i="111" s="1"/>
  <c r="T52" i="111" s="1"/>
  <c r="W52" i="111" s="1"/>
  <c r="N53" i="111"/>
  <c r="N54" i="111"/>
  <c r="O54" i="111" s="1"/>
  <c r="T54" i="111" s="1"/>
  <c r="W54" i="111" s="1"/>
  <c r="N55" i="111"/>
  <c r="O55" i="111" s="1"/>
  <c r="T55" i="111" s="1"/>
  <c r="W55" i="111" s="1"/>
  <c r="N56" i="111"/>
  <c r="O56" i="111" s="1"/>
  <c r="T56" i="111" s="1"/>
  <c r="W56" i="111" s="1"/>
  <c r="N57" i="111"/>
  <c r="N58" i="111"/>
  <c r="O58" i="111" s="1"/>
  <c r="T58" i="111" s="1"/>
  <c r="W58" i="111" s="1"/>
  <c r="N59" i="111"/>
  <c r="N60" i="111"/>
  <c r="O60" i="111" s="1"/>
  <c r="T60" i="111" s="1"/>
  <c r="W60" i="111" s="1"/>
  <c r="N61" i="111"/>
  <c r="O139" i="115"/>
  <c r="O138" i="115"/>
  <c r="O137" i="115"/>
  <c r="I123" i="115"/>
  <c r="I120" i="115"/>
  <c r="G120" i="115"/>
  <c r="I119" i="115"/>
  <c r="G119" i="115"/>
  <c r="I118" i="115"/>
  <c r="G118" i="115"/>
  <c r="G116" i="115"/>
  <c r="I115" i="115"/>
  <c r="I114" i="115"/>
  <c r="I113" i="115"/>
  <c r="I112" i="115"/>
  <c r="I111" i="115"/>
  <c r="I110" i="115"/>
  <c r="I109" i="115"/>
  <c r="I108" i="115"/>
  <c r="M96" i="115"/>
  <c r="C96" i="115"/>
  <c r="V43" i="115"/>
  <c r="W43" i="115" s="1"/>
  <c r="Q43" i="115"/>
  <c r="O43" i="115"/>
  <c r="M43" i="115"/>
  <c r="L43" i="115"/>
  <c r="J42" i="115"/>
  <c r="H42" i="115"/>
  <c r="I42" i="115" s="1"/>
  <c r="G42" i="115"/>
  <c r="F42" i="115"/>
  <c r="D42" i="115"/>
  <c r="J41" i="115"/>
  <c r="H41" i="115"/>
  <c r="I41" i="115" s="1"/>
  <c r="G41" i="115"/>
  <c r="F41" i="115"/>
  <c r="D41" i="115"/>
  <c r="J40" i="115"/>
  <c r="H40" i="115"/>
  <c r="I40" i="115" s="1"/>
  <c r="G40" i="115"/>
  <c r="F40" i="115"/>
  <c r="D40" i="115"/>
  <c r="J39" i="115"/>
  <c r="H39" i="115"/>
  <c r="I39" i="115" s="1"/>
  <c r="G39" i="115"/>
  <c r="F39" i="115"/>
  <c r="D39" i="115"/>
  <c r="J38" i="115"/>
  <c r="H38" i="115"/>
  <c r="I38" i="115" s="1"/>
  <c r="G38" i="115"/>
  <c r="F38" i="115"/>
  <c r="D38" i="115"/>
  <c r="J37" i="115"/>
  <c r="H37" i="115"/>
  <c r="I37" i="115" s="1"/>
  <c r="G37" i="115"/>
  <c r="F37" i="115"/>
  <c r="D37" i="115"/>
  <c r="J36" i="115"/>
  <c r="H36" i="115"/>
  <c r="I36" i="115" s="1"/>
  <c r="G36" i="115"/>
  <c r="F36" i="115"/>
  <c r="D36" i="115"/>
  <c r="J35" i="115"/>
  <c r="H35" i="115"/>
  <c r="I35" i="115" s="1"/>
  <c r="G35" i="115"/>
  <c r="F35" i="115"/>
  <c r="D35" i="115"/>
  <c r="J34" i="115"/>
  <c r="H34" i="115"/>
  <c r="I34" i="115" s="1"/>
  <c r="G34" i="115"/>
  <c r="F34" i="115"/>
  <c r="D34" i="115"/>
  <c r="J33" i="115"/>
  <c r="H33" i="115"/>
  <c r="I33" i="115" s="1"/>
  <c r="G33" i="115"/>
  <c r="F33" i="115"/>
  <c r="D33" i="115"/>
  <c r="J32" i="115"/>
  <c r="H32" i="115"/>
  <c r="I32" i="115" s="1"/>
  <c r="G32" i="115"/>
  <c r="F32" i="115"/>
  <c r="D32" i="115"/>
  <c r="J31" i="115"/>
  <c r="H31" i="115"/>
  <c r="I31" i="115" s="1"/>
  <c r="G31" i="115"/>
  <c r="F31" i="115"/>
  <c r="D31" i="115"/>
  <c r="J30" i="115"/>
  <c r="H30" i="115"/>
  <c r="I30" i="115" s="1"/>
  <c r="G30" i="115"/>
  <c r="F30" i="115"/>
  <c r="D30" i="115"/>
  <c r="J29" i="115"/>
  <c r="H29" i="115"/>
  <c r="I29" i="115" s="1"/>
  <c r="G29" i="115"/>
  <c r="F29" i="115"/>
  <c r="D29" i="115"/>
  <c r="J28" i="115"/>
  <c r="H28" i="115"/>
  <c r="I28" i="115" s="1"/>
  <c r="G28" i="115"/>
  <c r="F28" i="115"/>
  <c r="D28" i="115"/>
  <c r="J27" i="115"/>
  <c r="H27" i="115"/>
  <c r="I27" i="115" s="1"/>
  <c r="G27" i="115"/>
  <c r="F27" i="115"/>
  <c r="D27" i="115"/>
  <c r="J26" i="115"/>
  <c r="H26" i="115"/>
  <c r="I26" i="115" s="1"/>
  <c r="G26" i="115"/>
  <c r="F26" i="115"/>
  <c r="D26" i="115"/>
  <c r="J25" i="115"/>
  <c r="H25" i="115"/>
  <c r="I25" i="115" s="1"/>
  <c r="G25" i="115"/>
  <c r="F25" i="115"/>
  <c r="D25" i="115"/>
  <c r="J24" i="115"/>
  <c r="H24" i="115"/>
  <c r="I24" i="115" s="1"/>
  <c r="G24" i="115"/>
  <c r="F24" i="115"/>
  <c r="D24" i="115"/>
  <c r="J23" i="115"/>
  <c r="H23" i="115"/>
  <c r="I23" i="115" s="1"/>
  <c r="G23" i="115"/>
  <c r="F23" i="115"/>
  <c r="D23" i="115"/>
  <c r="J22" i="115"/>
  <c r="H22" i="115"/>
  <c r="I22" i="115" s="1"/>
  <c r="G22" i="115"/>
  <c r="F22" i="115"/>
  <c r="D22" i="115"/>
  <c r="J21" i="115"/>
  <c r="H21" i="115"/>
  <c r="I21" i="115" s="1"/>
  <c r="G21" i="115"/>
  <c r="F21" i="115"/>
  <c r="D21" i="115"/>
  <c r="J20" i="115"/>
  <c r="H20" i="115"/>
  <c r="I20" i="115" s="1"/>
  <c r="G20" i="115"/>
  <c r="F20" i="115"/>
  <c r="D20" i="115"/>
  <c r="J19" i="115"/>
  <c r="H19" i="115"/>
  <c r="I19" i="115" s="1"/>
  <c r="G19" i="115"/>
  <c r="F19" i="115"/>
  <c r="D19" i="115"/>
  <c r="J18" i="115"/>
  <c r="H18" i="115"/>
  <c r="G18" i="115"/>
  <c r="F18" i="115"/>
  <c r="D18" i="115"/>
  <c r="J17" i="115"/>
  <c r="H17" i="115"/>
  <c r="I17" i="115" s="1"/>
  <c r="G17" i="115"/>
  <c r="F17" i="115"/>
  <c r="D17" i="115"/>
  <c r="J16" i="115"/>
  <c r="H16" i="115"/>
  <c r="I16" i="115" s="1"/>
  <c r="G16" i="115"/>
  <c r="F16" i="115"/>
  <c r="D16" i="115"/>
  <c r="V11" i="115"/>
  <c r="D11" i="115"/>
  <c r="S98" i="116"/>
  <c r="Q98" i="116"/>
  <c r="P98" i="116"/>
  <c r="O98" i="116"/>
  <c r="N98" i="116"/>
  <c r="L97" i="116"/>
  <c r="I97" i="116"/>
  <c r="K97" i="116" s="1"/>
  <c r="H97" i="116"/>
  <c r="J97" i="116" s="1"/>
  <c r="G97" i="116"/>
  <c r="F97" i="116"/>
  <c r="D97" i="116"/>
  <c r="L96" i="116"/>
  <c r="I96" i="116"/>
  <c r="K96" i="116" s="1"/>
  <c r="H96" i="116"/>
  <c r="J96" i="116" s="1"/>
  <c r="G96" i="116"/>
  <c r="F96" i="116"/>
  <c r="D96" i="116"/>
  <c r="L95" i="116"/>
  <c r="I95" i="116"/>
  <c r="K95" i="116" s="1"/>
  <c r="H95" i="116"/>
  <c r="J95" i="116" s="1"/>
  <c r="G95" i="116"/>
  <c r="F95" i="116"/>
  <c r="D95" i="116"/>
  <c r="L94" i="116"/>
  <c r="I94" i="116"/>
  <c r="K94" i="116" s="1"/>
  <c r="H94" i="116"/>
  <c r="J94" i="116" s="1"/>
  <c r="G94" i="116"/>
  <c r="F94" i="116"/>
  <c r="D94" i="116"/>
  <c r="L93" i="116"/>
  <c r="I93" i="116"/>
  <c r="K93" i="116" s="1"/>
  <c r="H93" i="116"/>
  <c r="J93" i="116" s="1"/>
  <c r="G93" i="116"/>
  <c r="F93" i="116"/>
  <c r="D93" i="116"/>
  <c r="L92" i="116"/>
  <c r="I92" i="116"/>
  <c r="K92" i="116" s="1"/>
  <c r="H92" i="116"/>
  <c r="J92" i="116" s="1"/>
  <c r="G92" i="116"/>
  <c r="F92" i="116"/>
  <c r="D92" i="116"/>
  <c r="L91" i="116"/>
  <c r="I91" i="116"/>
  <c r="K91" i="116" s="1"/>
  <c r="H91" i="116"/>
  <c r="J91" i="116" s="1"/>
  <c r="G91" i="116"/>
  <c r="F91" i="116"/>
  <c r="D91" i="116"/>
  <c r="L90" i="116"/>
  <c r="I90" i="116"/>
  <c r="K90" i="116" s="1"/>
  <c r="H90" i="116"/>
  <c r="J90" i="116" s="1"/>
  <c r="G90" i="116"/>
  <c r="F90" i="116"/>
  <c r="D90" i="116"/>
  <c r="L89" i="116"/>
  <c r="I89" i="116"/>
  <c r="K89" i="116" s="1"/>
  <c r="H89" i="116"/>
  <c r="J89" i="116" s="1"/>
  <c r="G89" i="116"/>
  <c r="F89" i="116"/>
  <c r="D89" i="116"/>
  <c r="L88" i="116"/>
  <c r="I88" i="116"/>
  <c r="K88" i="116" s="1"/>
  <c r="H88" i="116"/>
  <c r="J88" i="116" s="1"/>
  <c r="G88" i="116"/>
  <c r="F88" i="116"/>
  <c r="D88" i="116"/>
  <c r="B88" i="116"/>
  <c r="L87" i="116"/>
  <c r="I87" i="116"/>
  <c r="K87" i="116" s="1"/>
  <c r="H87" i="116"/>
  <c r="J87" i="116" s="1"/>
  <c r="G87" i="116"/>
  <c r="F87" i="116"/>
  <c r="D87" i="116"/>
  <c r="L86" i="116"/>
  <c r="I86" i="116"/>
  <c r="K86" i="116" s="1"/>
  <c r="H86" i="116"/>
  <c r="J86" i="116" s="1"/>
  <c r="G86" i="116"/>
  <c r="F86" i="116"/>
  <c r="D86" i="116"/>
  <c r="L85" i="116"/>
  <c r="I85" i="116"/>
  <c r="K85" i="116" s="1"/>
  <c r="H85" i="116"/>
  <c r="J85" i="116" s="1"/>
  <c r="G85" i="116"/>
  <c r="F85" i="116"/>
  <c r="D85" i="116"/>
  <c r="L84" i="116"/>
  <c r="I84" i="116"/>
  <c r="K84" i="116" s="1"/>
  <c r="H84" i="116"/>
  <c r="J84" i="116" s="1"/>
  <c r="G84" i="116"/>
  <c r="F84" i="116"/>
  <c r="D84" i="116"/>
  <c r="L83" i="116"/>
  <c r="I83" i="116"/>
  <c r="K83" i="116" s="1"/>
  <c r="H83" i="116"/>
  <c r="J83" i="116" s="1"/>
  <c r="G83" i="116"/>
  <c r="F83" i="116"/>
  <c r="D83" i="116"/>
  <c r="L82" i="116"/>
  <c r="I82" i="116"/>
  <c r="K82" i="116" s="1"/>
  <c r="H82" i="116"/>
  <c r="J82" i="116" s="1"/>
  <c r="G82" i="116"/>
  <c r="F82" i="116"/>
  <c r="D82" i="116"/>
  <c r="L81" i="116"/>
  <c r="I81" i="116"/>
  <c r="K81" i="116" s="1"/>
  <c r="H81" i="116"/>
  <c r="J81" i="116" s="1"/>
  <c r="G81" i="116"/>
  <c r="F81" i="116"/>
  <c r="L80" i="116"/>
  <c r="I80" i="116"/>
  <c r="K80" i="116" s="1"/>
  <c r="H80" i="116"/>
  <c r="J80" i="116" s="1"/>
  <c r="G80" i="116"/>
  <c r="F80" i="116"/>
  <c r="L79" i="116"/>
  <c r="I79" i="116"/>
  <c r="K79" i="116" s="1"/>
  <c r="H79" i="116"/>
  <c r="J79" i="116" s="1"/>
  <c r="G79" i="116"/>
  <c r="F79" i="116"/>
  <c r="L78" i="116"/>
  <c r="I78" i="116"/>
  <c r="K78" i="116" s="1"/>
  <c r="H78" i="116"/>
  <c r="J78" i="116" s="1"/>
  <c r="G78" i="116"/>
  <c r="F78" i="116"/>
  <c r="L77" i="116"/>
  <c r="I77" i="116"/>
  <c r="K77" i="116" s="1"/>
  <c r="H77" i="116"/>
  <c r="J77" i="116" s="1"/>
  <c r="G77" i="116"/>
  <c r="F77" i="116"/>
  <c r="B77" i="116"/>
  <c r="L76" i="116"/>
  <c r="I76" i="116"/>
  <c r="K76" i="116" s="1"/>
  <c r="H76" i="116"/>
  <c r="J76" i="116" s="1"/>
  <c r="G76" i="116"/>
  <c r="F76" i="116"/>
  <c r="L75" i="116"/>
  <c r="I75" i="116"/>
  <c r="K75" i="116" s="1"/>
  <c r="H75" i="116"/>
  <c r="J75" i="116" s="1"/>
  <c r="G75" i="116"/>
  <c r="F75" i="116"/>
  <c r="D75" i="116"/>
  <c r="B75" i="116"/>
  <c r="L74" i="116"/>
  <c r="I74" i="116"/>
  <c r="K74" i="116" s="1"/>
  <c r="H74" i="116"/>
  <c r="J74" i="116" s="1"/>
  <c r="G74" i="116"/>
  <c r="F74" i="116"/>
  <c r="D74" i="116"/>
  <c r="B74" i="116"/>
  <c r="L73" i="116"/>
  <c r="I73" i="116"/>
  <c r="K73" i="116" s="1"/>
  <c r="H73" i="116"/>
  <c r="J73" i="116" s="1"/>
  <c r="G73" i="116"/>
  <c r="F73" i="116"/>
  <c r="D73" i="116"/>
  <c r="B73" i="116"/>
  <c r="L72" i="116"/>
  <c r="I72" i="116"/>
  <c r="K72" i="116" s="1"/>
  <c r="H72" i="116"/>
  <c r="J72" i="116" s="1"/>
  <c r="G72" i="116"/>
  <c r="F72" i="116"/>
  <c r="D72" i="116"/>
  <c r="L71" i="116"/>
  <c r="I71" i="116"/>
  <c r="K71" i="116" s="1"/>
  <c r="H71" i="116"/>
  <c r="J71" i="116" s="1"/>
  <c r="G71" i="116"/>
  <c r="F71" i="116"/>
  <c r="D71" i="116"/>
  <c r="L70" i="116"/>
  <c r="I70" i="116"/>
  <c r="K70" i="116" s="1"/>
  <c r="H70" i="116"/>
  <c r="J70" i="116" s="1"/>
  <c r="G70" i="116"/>
  <c r="F70" i="116"/>
  <c r="D70" i="116"/>
  <c r="B70" i="116"/>
  <c r="L69" i="116"/>
  <c r="I69" i="116"/>
  <c r="K69" i="116" s="1"/>
  <c r="H69" i="116"/>
  <c r="J69" i="116" s="1"/>
  <c r="G69" i="116"/>
  <c r="F69" i="116"/>
  <c r="D69" i="116"/>
  <c r="L68" i="116"/>
  <c r="I68" i="116"/>
  <c r="K68" i="116" s="1"/>
  <c r="H68" i="116"/>
  <c r="J68" i="116" s="1"/>
  <c r="G68" i="116"/>
  <c r="F68" i="116"/>
  <c r="D68" i="116"/>
  <c r="L67" i="116"/>
  <c r="I67" i="116"/>
  <c r="K67" i="116" s="1"/>
  <c r="H67" i="116"/>
  <c r="J67" i="116" s="1"/>
  <c r="G67" i="116"/>
  <c r="F67" i="116"/>
  <c r="D67" i="116"/>
  <c r="B67" i="116"/>
  <c r="L66" i="116"/>
  <c r="I66" i="116"/>
  <c r="K66" i="116" s="1"/>
  <c r="H66" i="116"/>
  <c r="J66" i="116" s="1"/>
  <c r="G66" i="116"/>
  <c r="F66" i="116"/>
  <c r="D66" i="116"/>
  <c r="L65" i="116"/>
  <c r="I65" i="116"/>
  <c r="K65" i="116" s="1"/>
  <c r="H65" i="116"/>
  <c r="J65" i="116" s="1"/>
  <c r="G65" i="116"/>
  <c r="F65" i="116"/>
  <c r="D65" i="116"/>
  <c r="L64" i="116"/>
  <c r="I64" i="116"/>
  <c r="K64" i="116" s="1"/>
  <c r="H64" i="116"/>
  <c r="J64" i="116" s="1"/>
  <c r="G64" i="116"/>
  <c r="F64" i="116"/>
  <c r="D64" i="116"/>
  <c r="L63" i="116"/>
  <c r="I63" i="116"/>
  <c r="K63" i="116" s="1"/>
  <c r="H63" i="116"/>
  <c r="J63" i="116" s="1"/>
  <c r="G63" i="116"/>
  <c r="F63" i="116"/>
  <c r="D63" i="116"/>
  <c r="L62" i="116"/>
  <c r="I62" i="116"/>
  <c r="K62" i="116" s="1"/>
  <c r="H62" i="116"/>
  <c r="J62" i="116" s="1"/>
  <c r="G62" i="116"/>
  <c r="F62" i="116"/>
  <c r="D62" i="116"/>
  <c r="L61" i="116"/>
  <c r="I61" i="116"/>
  <c r="K61" i="116" s="1"/>
  <c r="H61" i="116"/>
  <c r="J61" i="116" s="1"/>
  <c r="G61" i="116"/>
  <c r="F61" i="116"/>
  <c r="D61" i="116"/>
  <c r="L60" i="116"/>
  <c r="I60" i="116"/>
  <c r="K60" i="116" s="1"/>
  <c r="H60" i="116"/>
  <c r="J60" i="116" s="1"/>
  <c r="G60" i="116"/>
  <c r="F60" i="116"/>
  <c r="D60" i="116"/>
  <c r="L59" i="116"/>
  <c r="I59" i="116"/>
  <c r="K59" i="116" s="1"/>
  <c r="H59" i="116"/>
  <c r="J59" i="116" s="1"/>
  <c r="G59" i="116"/>
  <c r="F59" i="116"/>
  <c r="D59" i="116"/>
  <c r="L58" i="116"/>
  <c r="I58" i="116"/>
  <c r="K58" i="116" s="1"/>
  <c r="H58" i="116"/>
  <c r="J58" i="116" s="1"/>
  <c r="G58" i="116"/>
  <c r="F58" i="116"/>
  <c r="D58" i="116"/>
  <c r="L57" i="116"/>
  <c r="I57" i="116"/>
  <c r="K57" i="116" s="1"/>
  <c r="H57" i="116"/>
  <c r="J57" i="116" s="1"/>
  <c r="G57" i="116"/>
  <c r="F57" i="116"/>
  <c r="D57" i="116"/>
  <c r="L56" i="116"/>
  <c r="I56" i="116"/>
  <c r="K56" i="116" s="1"/>
  <c r="H56" i="116"/>
  <c r="J56" i="116" s="1"/>
  <c r="G56" i="116"/>
  <c r="F56" i="116"/>
  <c r="D56" i="116"/>
  <c r="L55" i="116"/>
  <c r="I55" i="116"/>
  <c r="K55" i="116" s="1"/>
  <c r="H55" i="116"/>
  <c r="J55" i="116" s="1"/>
  <c r="G55" i="116"/>
  <c r="F55" i="116"/>
  <c r="D55" i="116"/>
  <c r="L54" i="116"/>
  <c r="I54" i="116"/>
  <c r="K54" i="116" s="1"/>
  <c r="H54" i="116"/>
  <c r="J54" i="116" s="1"/>
  <c r="G54" i="116"/>
  <c r="F54" i="116"/>
  <c r="D54" i="116"/>
  <c r="L53" i="116"/>
  <c r="I53" i="116"/>
  <c r="K53" i="116" s="1"/>
  <c r="H53" i="116"/>
  <c r="J53" i="116" s="1"/>
  <c r="G53" i="116"/>
  <c r="F53" i="116"/>
  <c r="D53" i="116"/>
  <c r="L52" i="116"/>
  <c r="I52" i="116"/>
  <c r="K52" i="116" s="1"/>
  <c r="H52" i="116"/>
  <c r="J52" i="116" s="1"/>
  <c r="G52" i="116"/>
  <c r="F52" i="116"/>
  <c r="D52" i="116"/>
  <c r="L51" i="116"/>
  <c r="I51" i="116"/>
  <c r="K51" i="116" s="1"/>
  <c r="H51" i="116"/>
  <c r="J51" i="116" s="1"/>
  <c r="G51" i="116"/>
  <c r="F51" i="116"/>
  <c r="D51" i="116"/>
  <c r="L50" i="116"/>
  <c r="I50" i="116"/>
  <c r="K50" i="116" s="1"/>
  <c r="H50" i="116"/>
  <c r="J50" i="116" s="1"/>
  <c r="G50" i="116"/>
  <c r="F50" i="116"/>
  <c r="D50" i="116"/>
  <c r="L49" i="116"/>
  <c r="I49" i="116"/>
  <c r="K49" i="116" s="1"/>
  <c r="H49" i="116"/>
  <c r="J49" i="116" s="1"/>
  <c r="G49" i="116"/>
  <c r="F49" i="116"/>
  <c r="D49" i="116"/>
  <c r="L48" i="116"/>
  <c r="I48" i="116"/>
  <c r="K48" i="116" s="1"/>
  <c r="H48" i="116"/>
  <c r="J48" i="116" s="1"/>
  <c r="G48" i="116"/>
  <c r="F48" i="116"/>
  <c r="D48" i="116"/>
  <c r="L47" i="116"/>
  <c r="I47" i="116"/>
  <c r="K47" i="116" s="1"/>
  <c r="H47" i="116"/>
  <c r="J47" i="116" s="1"/>
  <c r="G47" i="116"/>
  <c r="F47" i="116"/>
  <c r="D47" i="116"/>
  <c r="L46" i="116"/>
  <c r="I46" i="116"/>
  <c r="K46" i="116" s="1"/>
  <c r="H46" i="116"/>
  <c r="J46" i="116" s="1"/>
  <c r="G46" i="116"/>
  <c r="F46" i="116"/>
  <c r="D46" i="116"/>
  <c r="L45" i="116"/>
  <c r="I45" i="116"/>
  <c r="K45" i="116" s="1"/>
  <c r="H45" i="116"/>
  <c r="J45" i="116" s="1"/>
  <c r="G45" i="116"/>
  <c r="F45" i="116"/>
  <c r="D45" i="116"/>
  <c r="L44" i="116"/>
  <c r="I44" i="116"/>
  <c r="K44" i="116" s="1"/>
  <c r="H44" i="116"/>
  <c r="J44" i="116" s="1"/>
  <c r="G44" i="116"/>
  <c r="F44" i="116"/>
  <c r="D44" i="116"/>
  <c r="L43" i="116"/>
  <c r="I43" i="116"/>
  <c r="K43" i="116" s="1"/>
  <c r="H43" i="116"/>
  <c r="J43" i="116" s="1"/>
  <c r="G43" i="116"/>
  <c r="F43" i="116"/>
  <c r="D43" i="116"/>
  <c r="L42" i="116"/>
  <c r="I42" i="116"/>
  <c r="K42" i="116" s="1"/>
  <c r="H42" i="116"/>
  <c r="J42" i="116" s="1"/>
  <c r="G42" i="116"/>
  <c r="F42" i="116"/>
  <c r="D42" i="116"/>
  <c r="L41" i="116"/>
  <c r="I41" i="116"/>
  <c r="K41" i="116" s="1"/>
  <c r="H41" i="116"/>
  <c r="J41" i="116" s="1"/>
  <c r="G41" i="116"/>
  <c r="F41" i="116"/>
  <c r="D41" i="116"/>
  <c r="L40" i="116"/>
  <c r="I40" i="116"/>
  <c r="K40" i="116" s="1"/>
  <c r="H40" i="116"/>
  <c r="J40" i="116" s="1"/>
  <c r="G40" i="116"/>
  <c r="F40" i="116"/>
  <c r="D40" i="116"/>
  <c r="L39" i="116"/>
  <c r="I39" i="116"/>
  <c r="K39" i="116" s="1"/>
  <c r="H39" i="116"/>
  <c r="J39" i="116" s="1"/>
  <c r="G39" i="116"/>
  <c r="F39" i="116"/>
  <c r="D39" i="116"/>
  <c r="L38" i="116"/>
  <c r="I38" i="116"/>
  <c r="K38" i="116" s="1"/>
  <c r="H38" i="116"/>
  <c r="J38" i="116" s="1"/>
  <c r="G38" i="116"/>
  <c r="F38" i="116"/>
  <c r="D38" i="116"/>
  <c r="L37" i="116"/>
  <c r="I37" i="116"/>
  <c r="K37" i="116" s="1"/>
  <c r="H37" i="116"/>
  <c r="J37" i="116" s="1"/>
  <c r="G37" i="116"/>
  <c r="F37" i="116"/>
  <c r="D37" i="116"/>
  <c r="L36" i="116"/>
  <c r="I36" i="116"/>
  <c r="K36" i="116" s="1"/>
  <c r="H36" i="116"/>
  <c r="J36" i="116" s="1"/>
  <c r="G36" i="116"/>
  <c r="F36" i="116"/>
  <c r="D36" i="116"/>
  <c r="L35" i="116"/>
  <c r="I35" i="116"/>
  <c r="K35" i="116" s="1"/>
  <c r="H35" i="116"/>
  <c r="J35" i="116" s="1"/>
  <c r="G35" i="116"/>
  <c r="F35" i="116"/>
  <c r="D35" i="116"/>
  <c r="L34" i="116"/>
  <c r="I34" i="116"/>
  <c r="K34" i="116" s="1"/>
  <c r="H34" i="116"/>
  <c r="J34" i="116" s="1"/>
  <c r="G34" i="116"/>
  <c r="F34" i="116"/>
  <c r="D34" i="116"/>
  <c r="L33" i="116"/>
  <c r="I33" i="116"/>
  <c r="K33" i="116" s="1"/>
  <c r="H33" i="116"/>
  <c r="J33" i="116" s="1"/>
  <c r="G33" i="116"/>
  <c r="F33" i="116"/>
  <c r="D33" i="116"/>
  <c r="B33" i="116"/>
  <c r="L32" i="116"/>
  <c r="I32" i="116"/>
  <c r="K32" i="116" s="1"/>
  <c r="H32" i="116"/>
  <c r="J32" i="116" s="1"/>
  <c r="G32" i="116"/>
  <c r="F32" i="116"/>
  <c r="D32" i="116"/>
  <c r="L31" i="116"/>
  <c r="I31" i="116"/>
  <c r="K31" i="116" s="1"/>
  <c r="H31" i="116"/>
  <c r="J31" i="116" s="1"/>
  <c r="G31" i="116"/>
  <c r="F31" i="116"/>
  <c r="D31" i="116"/>
  <c r="L30" i="116"/>
  <c r="I30" i="116"/>
  <c r="K30" i="116" s="1"/>
  <c r="H30" i="116"/>
  <c r="J30" i="116" s="1"/>
  <c r="G30" i="116"/>
  <c r="F30" i="116"/>
  <c r="D30" i="116"/>
  <c r="L29" i="116"/>
  <c r="I29" i="116"/>
  <c r="K29" i="116" s="1"/>
  <c r="H29" i="116"/>
  <c r="J29" i="116" s="1"/>
  <c r="G29" i="116"/>
  <c r="F29" i="116"/>
  <c r="D29" i="116"/>
  <c r="L28" i="116"/>
  <c r="I28" i="116"/>
  <c r="K28" i="116" s="1"/>
  <c r="H28" i="116"/>
  <c r="J28" i="116" s="1"/>
  <c r="G28" i="116"/>
  <c r="F28" i="116"/>
  <c r="D28" i="116"/>
  <c r="L27" i="116"/>
  <c r="I27" i="116"/>
  <c r="K27" i="116" s="1"/>
  <c r="H27" i="116"/>
  <c r="J27" i="116" s="1"/>
  <c r="G27" i="116"/>
  <c r="F27" i="116"/>
  <c r="D27" i="116"/>
  <c r="L26" i="116"/>
  <c r="I26" i="116"/>
  <c r="K26" i="116" s="1"/>
  <c r="H26" i="116"/>
  <c r="J26" i="116" s="1"/>
  <c r="G26" i="116"/>
  <c r="F26" i="116"/>
  <c r="D26" i="116"/>
  <c r="L25" i="116"/>
  <c r="I25" i="116"/>
  <c r="K25" i="116" s="1"/>
  <c r="H25" i="116"/>
  <c r="J25" i="116" s="1"/>
  <c r="G25" i="116"/>
  <c r="F25" i="116"/>
  <c r="D25" i="116"/>
  <c r="L24" i="116"/>
  <c r="I24" i="116"/>
  <c r="K24" i="116" s="1"/>
  <c r="H24" i="116"/>
  <c r="J24" i="116" s="1"/>
  <c r="G24" i="116"/>
  <c r="F24" i="116"/>
  <c r="D24" i="116"/>
  <c r="L23" i="116"/>
  <c r="I23" i="116"/>
  <c r="K23" i="116" s="1"/>
  <c r="H23" i="116"/>
  <c r="J23" i="116" s="1"/>
  <c r="G23" i="116"/>
  <c r="F23" i="116"/>
  <c r="D23" i="116"/>
  <c r="L22" i="116"/>
  <c r="I22" i="116"/>
  <c r="K22" i="116" s="1"/>
  <c r="H22" i="116"/>
  <c r="J22" i="116" s="1"/>
  <c r="G22" i="116"/>
  <c r="F22" i="116"/>
  <c r="D22" i="116"/>
  <c r="L21" i="116"/>
  <c r="I21" i="116"/>
  <c r="K21" i="116" s="1"/>
  <c r="H21" i="116"/>
  <c r="J21" i="116" s="1"/>
  <c r="G21" i="116"/>
  <c r="F21" i="116"/>
  <c r="D21" i="116"/>
  <c r="L20" i="116"/>
  <c r="I20" i="116"/>
  <c r="K20" i="116" s="1"/>
  <c r="H20" i="116"/>
  <c r="J20" i="116" s="1"/>
  <c r="G20" i="116"/>
  <c r="F20" i="116"/>
  <c r="D20" i="116"/>
  <c r="B20" i="116"/>
  <c r="L19" i="116"/>
  <c r="I19" i="116"/>
  <c r="K19" i="116" s="1"/>
  <c r="H19" i="116"/>
  <c r="J19" i="116" s="1"/>
  <c r="G19" i="116"/>
  <c r="F19" i="116"/>
  <c r="D19" i="116"/>
  <c r="L18" i="116"/>
  <c r="I18" i="116"/>
  <c r="K18" i="116" s="1"/>
  <c r="H18" i="116"/>
  <c r="J18" i="116" s="1"/>
  <c r="G18" i="116"/>
  <c r="F18" i="116"/>
  <c r="D18" i="116"/>
  <c r="B18" i="116"/>
  <c r="L17" i="116"/>
  <c r="I17" i="116"/>
  <c r="K17" i="116" s="1"/>
  <c r="H17" i="116"/>
  <c r="J17" i="116" s="1"/>
  <c r="G17" i="116"/>
  <c r="F17" i="116"/>
  <c r="D17" i="116"/>
  <c r="L16" i="116"/>
  <c r="I16" i="116"/>
  <c r="K16" i="116" s="1"/>
  <c r="H16" i="116"/>
  <c r="J16" i="116" s="1"/>
  <c r="G16" i="116"/>
  <c r="F16" i="116"/>
  <c r="D16" i="116"/>
  <c r="D11" i="116"/>
  <c r="Q158" i="110"/>
  <c r="Q157" i="110"/>
  <c r="Q156" i="110"/>
  <c r="J142" i="110"/>
  <c r="J139" i="110"/>
  <c r="G139" i="110"/>
  <c r="J138" i="110"/>
  <c r="G138" i="110"/>
  <c r="J137" i="110"/>
  <c r="G137" i="110"/>
  <c r="F62" i="110"/>
  <c r="G136" i="110" s="1"/>
  <c r="G135" i="110"/>
  <c r="J134" i="110"/>
  <c r="J133" i="110"/>
  <c r="J132" i="110"/>
  <c r="J131" i="110"/>
  <c r="J130" i="110"/>
  <c r="J129" i="110"/>
  <c r="J128" i="110"/>
  <c r="J127" i="110"/>
  <c r="O115" i="110"/>
  <c r="C115" i="110"/>
  <c r="W62" i="110"/>
  <c r="T62" i="110"/>
  <c r="S62" i="110"/>
  <c r="Q62" i="110"/>
  <c r="P62" i="110"/>
  <c r="O62" i="110"/>
  <c r="N62" i="110"/>
  <c r="G61" i="110"/>
  <c r="R61" i="110" s="1"/>
  <c r="U61" i="110" s="1"/>
  <c r="D61" i="110"/>
  <c r="G60" i="110"/>
  <c r="R60" i="110" s="1"/>
  <c r="U60" i="110" s="1"/>
  <c r="D60" i="110"/>
  <c r="B60" i="110"/>
  <c r="G59" i="110"/>
  <c r="R59" i="110" s="1"/>
  <c r="U59" i="110" s="1"/>
  <c r="D59" i="110"/>
  <c r="G58" i="110"/>
  <c r="R58" i="110" s="1"/>
  <c r="U58" i="110" s="1"/>
  <c r="D58" i="110"/>
  <c r="G57" i="110"/>
  <c r="R57" i="110" s="1"/>
  <c r="U57" i="110" s="1"/>
  <c r="D57" i="110"/>
  <c r="B57" i="110"/>
  <c r="G56" i="110"/>
  <c r="R56" i="110" s="1"/>
  <c r="U56" i="110" s="1"/>
  <c r="D56" i="110"/>
  <c r="B56" i="110"/>
  <c r="G55" i="110"/>
  <c r="R55" i="110" s="1"/>
  <c r="U55" i="110" s="1"/>
  <c r="D55" i="110"/>
  <c r="G54" i="110"/>
  <c r="R54" i="110" s="1"/>
  <c r="U54" i="110" s="1"/>
  <c r="D54" i="110"/>
  <c r="G53" i="110"/>
  <c r="R53" i="110" s="1"/>
  <c r="U53" i="110" s="1"/>
  <c r="D53" i="110"/>
  <c r="B53" i="110"/>
  <c r="G52" i="110"/>
  <c r="R52" i="110" s="1"/>
  <c r="U52" i="110" s="1"/>
  <c r="D52" i="110"/>
  <c r="G51" i="110"/>
  <c r="D51" i="110"/>
  <c r="G50" i="110"/>
  <c r="D50" i="110"/>
  <c r="G49" i="110"/>
  <c r="R49" i="110" s="1"/>
  <c r="U49" i="110" s="1"/>
  <c r="D49" i="110"/>
  <c r="G48" i="110"/>
  <c r="D48" i="110"/>
  <c r="G47" i="110"/>
  <c r="R47" i="110"/>
  <c r="U47" i="110" s="1"/>
  <c r="D47" i="110"/>
  <c r="B47" i="110"/>
  <c r="G46" i="110"/>
  <c r="R46" i="110" s="1"/>
  <c r="U46" i="110" s="1"/>
  <c r="D46" i="110"/>
  <c r="G45" i="110"/>
  <c r="R45" i="110" s="1"/>
  <c r="U45" i="110" s="1"/>
  <c r="D45" i="110"/>
  <c r="G44" i="110"/>
  <c r="R44" i="110" s="1"/>
  <c r="U44" i="110" s="1"/>
  <c r="D44" i="110"/>
  <c r="G43" i="110"/>
  <c r="R43" i="110" s="1"/>
  <c r="U43" i="110" s="1"/>
  <c r="D43" i="110"/>
  <c r="G42" i="110"/>
  <c r="R42" i="110" s="1"/>
  <c r="U42" i="110" s="1"/>
  <c r="D42" i="110"/>
  <c r="G41" i="110"/>
  <c r="R41" i="110" s="1"/>
  <c r="U41" i="110" s="1"/>
  <c r="D41" i="110"/>
  <c r="G40" i="110"/>
  <c r="R40" i="110" s="1"/>
  <c r="U40" i="110" s="1"/>
  <c r="D40" i="110"/>
  <c r="G39" i="110"/>
  <c r="R39" i="110" s="1"/>
  <c r="U39" i="110" s="1"/>
  <c r="D39" i="110"/>
  <c r="G38" i="110"/>
  <c r="R38" i="110" s="1"/>
  <c r="U38" i="110" s="1"/>
  <c r="D38" i="110"/>
  <c r="G37" i="110"/>
  <c r="R37" i="110" s="1"/>
  <c r="U37" i="110" s="1"/>
  <c r="D37" i="110"/>
  <c r="G36" i="110"/>
  <c r="R36" i="110" s="1"/>
  <c r="U36" i="110" s="1"/>
  <c r="D36" i="110"/>
  <c r="B36" i="110"/>
  <c r="G35" i="110"/>
  <c r="R35" i="110" s="1"/>
  <c r="U35" i="110" s="1"/>
  <c r="D35" i="110"/>
  <c r="B35" i="110"/>
  <c r="G34" i="110"/>
  <c r="R34" i="110" s="1"/>
  <c r="U34" i="110" s="1"/>
  <c r="D34" i="110"/>
  <c r="G33" i="110"/>
  <c r="R33" i="110" s="1"/>
  <c r="U33" i="110" s="1"/>
  <c r="D33" i="110"/>
  <c r="B33" i="110"/>
  <c r="G32" i="110"/>
  <c r="R32" i="110" s="1"/>
  <c r="U32" i="110" s="1"/>
  <c r="D32" i="110"/>
  <c r="B32" i="110"/>
  <c r="G31" i="110"/>
  <c r="R31" i="110" s="1"/>
  <c r="U31" i="110"/>
  <c r="D31" i="110"/>
  <c r="G30" i="110"/>
  <c r="R30" i="110" s="1"/>
  <c r="U30" i="110" s="1"/>
  <c r="D30" i="110"/>
  <c r="G29" i="110"/>
  <c r="R29" i="110" s="1"/>
  <c r="U29" i="110" s="1"/>
  <c r="D29" i="110"/>
  <c r="G28" i="110"/>
  <c r="R28" i="110" s="1"/>
  <c r="U28" i="110"/>
  <c r="D28" i="110"/>
  <c r="G27" i="110"/>
  <c r="R27" i="110" s="1"/>
  <c r="U27" i="110" s="1"/>
  <c r="D27" i="110"/>
  <c r="B27" i="110"/>
  <c r="G26" i="110"/>
  <c r="R26" i="110" s="1"/>
  <c r="U26" i="110" s="1"/>
  <c r="D26" i="110"/>
  <c r="G25" i="110"/>
  <c r="R25" i="110"/>
  <c r="U25" i="110" s="1"/>
  <c r="D25" i="110"/>
  <c r="G24" i="110"/>
  <c r="R24" i="110" s="1"/>
  <c r="U24" i="110" s="1"/>
  <c r="D24" i="110"/>
  <c r="G23" i="110"/>
  <c r="D23" i="110"/>
  <c r="B23" i="110"/>
  <c r="G22" i="110"/>
  <c r="R22" i="110" s="1"/>
  <c r="U22" i="110" s="1"/>
  <c r="D22" i="110"/>
  <c r="G21" i="110"/>
  <c r="R21" i="110" s="1"/>
  <c r="U21" i="110"/>
  <c r="D21" i="110"/>
  <c r="G20" i="110"/>
  <c r="R20" i="110" s="1"/>
  <c r="U20" i="110" s="1"/>
  <c r="D20" i="110"/>
  <c r="G19" i="110"/>
  <c r="R19" i="110" s="1"/>
  <c r="U19" i="110" s="1"/>
  <c r="D19" i="110"/>
  <c r="G18" i="110"/>
  <c r="R18" i="110" s="1"/>
  <c r="U18" i="110"/>
  <c r="D18" i="110"/>
  <c r="B18" i="110"/>
  <c r="G17" i="110"/>
  <c r="D17" i="110"/>
  <c r="W11" i="110"/>
  <c r="I116" i="115"/>
  <c r="G118" i="110"/>
  <c r="J118" i="110" s="1"/>
  <c r="R23" i="110"/>
  <c r="U23" i="110" s="1"/>
  <c r="G117" i="110"/>
  <c r="J117" i="110" s="1"/>
  <c r="N19" i="111"/>
  <c r="O19" i="111" s="1"/>
  <c r="T19" i="111" s="1"/>
  <c r="W19" i="111" s="1"/>
  <c r="R50" i="110"/>
  <c r="U50" i="110" s="1"/>
  <c r="J62" i="110"/>
  <c r="M62" i="110"/>
  <c r="M91" i="110" s="1"/>
  <c r="R48" i="110"/>
  <c r="U48" i="110" s="1"/>
  <c r="R51" i="110"/>
  <c r="U51" i="110" s="1"/>
  <c r="H62" i="110"/>
  <c r="G116" i="110"/>
  <c r="J116" i="110" s="1"/>
  <c r="G115" i="110"/>
  <c r="G125" i="110" s="1"/>
  <c r="N23" i="111"/>
  <c r="O23" i="111" s="1"/>
  <c r="T23" i="111" s="1"/>
  <c r="W23" i="111" s="1"/>
  <c r="J115" i="110"/>
  <c r="J125" i="110" s="1"/>
  <c r="R17" i="110"/>
  <c r="U17" i="110"/>
  <c r="AM41" i="107"/>
  <c r="AM58" i="107"/>
  <c r="AM119" i="107"/>
  <c r="AM142" i="107"/>
  <c r="AK42" i="107"/>
  <c r="AK43" i="107"/>
  <c r="AK44" i="107"/>
  <c r="AK45" i="107"/>
  <c r="AK46" i="107"/>
  <c r="AK47" i="107"/>
  <c r="AK48" i="107"/>
  <c r="AK49" i="107"/>
  <c r="AK50" i="107"/>
  <c r="AK51" i="107"/>
  <c r="AK52" i="107"/>
  <c r="AK53" i="107"/>
  <c r="AK54" i="107"/>
  <c r="AK55" i="107"/>
  <c r="AK56" i="107"/>
  <c r="AK57" i="107"/>
  <c r="AK12" i="107"/>
  <c r="AK13" i="107"/>
  <c r="W175" i="107" s="1"/>
  <c r="AK14" i="107"/>
  <c r="AK15" i="107"/>
  <c r="AK16" i="107"/>
  <c r="AK17" i="107"/>
  <c r="AK18" i="107"/>
  <c r="AK19" i="107"/>
  <c r="AK20" i="107"/>
  <c r="AK21" i="107"/>
  <c r="AK22" i="107"/>
  <c r="AK23" i="107"/>
  <c r="AK24" i="107"/>
  <c r="AK25" i="107"/>
  <c r="AK26" i="107"/>
  <c r="AK27" i="107"/>
  <c r="AK28" i="107"/>
  <c r="AK29" i="107"/>
  <c r="AK30" i="107"/>
  <c r="AK31" i="107"/>
  <c r="AK32" i="107"/>
  <c r="AK33" i="107"/>
  <c r="AK34" i="107"/>
  <c r="AK35" i="107"/>
  <c r="AK36" i="107"/>
  <c r="AK37" i="107"/>
  <c r="AK38" i="107"/>
  <c r="AK39" i="107"/>
  <c r="AK40" i="107"/>
  <c r="AK144" i="107"/>
  <c r="AK59" i="107"/>
  <c r="AK60" i="107"/>
  <c r="AK61" i="107"/>
  <c r="AK62" i="107"/>
  <c r="AK63" i="107"/>
  <c r="AK64" i="107"/>
  <c r="AK65" i="107"/>
  <c r="AK66" i="107"/>
  <c r="AK67" i="107"/>
  <c r="AK68" i="107"/>
  <c r="AK69" i="107"/>
  <c r="AK70" i="107"/>
  <c r="AK71" i="107"/>
  <c r="AK72" i="107"/>
  <c r="AK73" i="107"/>
  <c r="AK74" i="107"/>
  <c r="AK75" i="107"/>
  <c r="AK76" i="107"/>
  <c r="AK77" i="107"/>
  <c r="AK78" i="107"/>
  <c r="AK79" i="107"/>
  <c r="AK80" i="107"/>
  <c r="AK81" i="107"/>
  <c r="AK82" i="107"/>
  <c r="AK83" i="107"/>
  <c r="AK84" i="107"/>
  <c r="AK85" i="107"/>
  <c r="AK86" i="107"/>
  <c r="AK87" i="107"/>
  <c r="AK88" i="107"/>
  <c r="AK89" i="107"/>
  <c r="AK90" i="107"/>
  <c r="AK91" i="107"/>
  <c r="AK92" i="107"/>
  <c r="AK93" i="107"/>
  <c r="AK94" i="107"/>
  <c r="AK95" i="107"/>
  <c r="AK96" i="107"/>
  <c r="AK97" i="107"/>
  <c r="AK98" i="107"/>
  <c r="AK99" i="107"/>
  <c r="AK100" i="107"/>
  <c r="AK101" i="107"/>
  <c r="AK102" i="107"/>
  <c r="AK103" i="107"/>
  <c r="AI104" i="107"/>
  <c r="AK104" i="107" s="1"/>
  <c r="W174" i="107" s="1"/>
  <c r="AI105" i="107"/>
  <c r="AK105" i="107" s="1"/>
  <c r="H62" i="112" s="1"/>
  <c r="J62" i="112" s="1"/>
  <c r="AK106" i="107"/>
  <c r="AK107" i="107"/>
  <c r="AK108" i="107"/>
  <c r="AK109" i="107"/>
  <c r="AK110" i="107"/>
  <c r="AK111" i="107"/>
  <c r="AK112" i="107"/>
  <c r="AK113" i="107"/>
  <c r="AK114" i="107"/>
  <c r="AK115" i="107"/>
  <c r="AK116" i="107"/>
  <c r="AK117" i="107"/>
  <c r="AK118" i="107"/>
  <c r="AK120" i="107"/>
  <c r="AK121" i="107"/>
  <c r="AK122" i="107"/>
  <c r="AK123" i="107"/>
  <c r="AK124" i="107"/>
  <c r="AK125" i="107"/>
  <c r="AK126" i="107"/>
  <c r="AK127" i="107"/>
  <c r="AK128" i="107"/>
  <c r="AK129" i="107"/>
  <c r="AK130" i="107"/>
  <c r="AK131" i="107"/>
  <c r="AK132" i="107"/>
  <c r="AK133" i="107"/>
  <c r="AK134" i="107"/>
  <c r="AK135" i="107"/>
  <c r="AK136" i="107"/>
  <c r="AK137" i="107"/>
  <c r="AK138" i="107"/>
  <c r="AK139" i="107"/>
  <c r="AK140" i="107"/>
  <c r="AK141" i="107"/>
  <c r="AK143" i="107"/>
  <c r="AK145" i="107"/>
  <c r="AK146" i="107"/>
  <c r="AK147" i="107"/>
  <c r="AK148" i="107"/>
  <c r="AK149" i="107"/>
  <c r="AK150" i="107"/>
  <c r="AK151" i="107"/>
  <c r="AK152" i="107"/>
  <c r="AK153" i="107"/>
  <c r="AK154" i="107"/>
  <c r="AK155" i="107"/>
  <c r="AK156" i="107"/>
  <c r="AK157" i="107"/>
  <c r="AK158" i="107"/>
  <c r="AK159" i="107"/>
  <c r="AK160" i="107"/>
  <c r="AK161" i="107"/>
  <c r="AK162" i="107"/>
  <c r="AK163" i="107"/>
  <c r="AK164" i="107"/>
  <c r="AK165" i="107"/>
  <c r="AK166" i="107"/>
  <c r="AK167" i="107"/>
  <c r="AK168" i="107"/>
  <c r="AK169" i="107"/>
  <c r="AO169" i="107"/>
  <c r="AP169" i="107" s="1"/>
  <c r="AO168" i="107"/>
  <c r="AP168" i="107" s="1"/>
  <c r="AO167" i="107"/>
  <c r="AP167" i="107" s="1"/>
  <c r="AO166" i="107"/>
  <c r="AO165" i="107"/>
  <c r="AP165" i="107" s="1"/>
  <c r="AO153" i="107"/>
  <c r="AP153" i="107" s="1"/>
  <c r="AO152" i="107"/>
  <c r="AP152" i="107" s="1"/>
  <c r="AO151" i="107"/>
  <c r="AP151" i="107" s="1"/>
  <c r="AO150" i="107"/>
  <c r="AP150" i="107" s="1"/>
  <c r="AO149" i="107"/>
  <c r="AP149" i="107" s="1"/>
  <c r="AO148" i="107"/>
  <c r="AP148" i="107" s="1"/>
  <c r="AO147" i="107"/>
  <c r="AP147" i="107" s="1"/>
  <c r="AO146" i="107"/>
  <c r="AP146" i="107" s="1"/>
  <c r="AO145" i="107"/>
  <c r="AP145" i="107" s="1"/>
  <c r="AO144" i="107"/>
  <c r="AP144" i="107" s="1"/>
  <c r="AO143" i="107"/>
  <c r="AJ142" i="107"/>
  <c r="AI142" i="107"/>
  <c r="AH142" i="107"/>
  <c r="AG142" i="107"/>
  <c r="AF142" i="107"/>
  <c r="AE142" i="107"/>
  <c r="AD142" i="107"/>
  <c r="AC142" i="107"/>
  <c r="AB142" i="107"/>
  <c r="AA142" i="107"/>
  <c r="Z142" i="107"/>
  <c r="Y142" i="107"/>
  <c r="X142" i="107"/>
  <c r="W142" i="107"/>
  <c r="V142" i="107"/>
  <c r="U142" i="107"/>
  <c r="T142" i="107"/>
  <c r="S142" i="107"/>
  <c r="R142" i="107"/>
  <c r="Q142" i="107"/>
  <c r="P142" i="107"/>
  <c r="O142" i="107"/>
  <c r="N142" i="107"/>
  <c r="M142" i="107"/>
  <c r="L142" i="107"/>
  <c r="K142" i="107"/>
  <c r="J142" i="107"/>
  <c r="I142" i="107"/>
  <c r="H142" i="107"/>
  <c r="G142" i="107"/>
  <c r="F142" i="107"/>
  <c r="AQ133" i="107"/>
  <c r="AO124" i="107"/>
  <c r="AO121" i="107"/>
  <c r="AJ119" i="107"/>
  <c r="AI119" i="107"/>
  <c r="AH119" i="107"/>
  <c r="AG119" i="107"/>
  <c r="AF119" i="107"/>
  <c r="AE119" i="107"/>
  <c r="AD119" i="107"/>
  <c r="AC119" i="107"/>
  <c r="AB119" i="107"/>
  <c r="AA119" i="107"/>
  <c r="Z119" i="107"/>
  <c r="Y119" i="107"/>
  <c r="X119" i="107"/>
  <c r="W119" i="107"/>
  <c r="V119" i="107"/>
  <c r="U119" i="107"/>
  <c r="T119" i="107"/>
  <c r="S119" i="107"/>
  <c r="R119" i="107"/>
  <c r="Q119" i="107"/>
  <c r="P119" i="107"/>
  <c r="O119" i="107"/>
  <c r="N119" i="107"/>
  <c r="M119" i="107"/>
  <c r="L119" i="107"/>
  <c r="K119" i="107"/>
  <c r="J119" i="107"/>
  <c r="I119" i="107"/>
  <c r="H119" i="107"/>
  <c r="G119" i="107"/>
  <c r="F119" i="107"/>
  <c r="AQ94" i="107"/>
  <c r="AJ58" i="107"/>
  <c r="AH58" i="107"/>
  <c r="AG58" i="107"/>
  <c r="AF58" i="107"/>
  <c r="AE58" i="107"/>
  <c r="AD58" i="107"/>
  <c r="AC58" i="107"/>
  <c r="AB58" i="107"/>
  <c r="AA58" i="107"/>
  <c r="Z58" i="107"/>
  <c r="Y58" i="107"/>
  <c r="X58" i="107"/>
  <c r="W58" i="107"/>
  <c r="V58" i="107"/>
  <c r="U58" i="107"/>
  <c r="T58" i="107"/>
  <c r="S58" i="107"/>
  <c r="R58" i="107"/>
  <c r="Q58" i="107"/>
  <c r="P58" i="107"/>
  <c r="O58" i="107"/>
  <c r="N58" i="107"/>
  <c r="M58" i="107"/>
  <c r="L58" i="107"/>
  <c r="K58" i="107"/>
  <c r="J58" i="107"/>
  <c r="I58" i="107"/>
  <c r="H58" i="107"/>
  <c r="G58" i="107"/>
  <c r="F58" i="107"/>
  <c r="AO42" i="107"/>
  <c r="AJ41" i="107"/>
  <c r="AI41" i="107"/>
  <c r="AH41" i="107"/>
  <c r="AG41" i="107"/>
  <c r="AG170" i="107" s="1"/>
  <c r="AF41" i="107"/>
  <c r="AE41" i="107"/>
  <c r="AD41" i="107"/>
  <c r="AC41" i="107"/>
  <c r="AB41" i="107"/>
  <c r="AA41" i="107"/>
  <c r="AA170" i="107" s="1"/>
  <c r="Z41" i="107"/>
  <c r="Y41" i="107"/>
  <c r="X41" i="107"/>
  <c r="W41" i="107"/>
  <c r="W170" i="107" s="1"/>
  <c r="V41" i="107"/>
  <c r="U41" i="107"/>
  <c r="U170" i="107" s="1"/>
  <c r="T41" i="107"/>
  <c r="S41" i="107"/>
  <c r="R41" i="107"/>
  <c r="Q41" i="107"/>
  <c r="P41" i="107"/>
  <c r="O41" i="107"/>
  <c r="N41" i="107"/>
  <c r="M41" i="107"/>
  <c r="M170" i="107" s="1"/>
  <c r="L41" i="107"/>
  <c r="K41" i="107"/>
  <c r="J41" i="107"/>
  <c r="I41" i="107"/>
  <c r="I170" i="107" s="1"/>
  <c r="H41" i="107"/>
  <c r="G41" i="107"/>
  <c r="F41" i="107"/>
  <c r="AQ34" i="107"/>
  <c r="AO18" i="107"/>
  <c r="AP18" i="107" s="1"/>
  <c r="AO14" i="107"/>
  <c r="AP14" i="107" s="1"/>
  <c r="AO13" i="107"/>
  <c r="AP13" i="107" s="1"/>
  <c r="AO12" i="107"/>
  <c r="AP12" i="107" s="1"/>
  <c r="AM11" i="107"/>
  <c r="AJ11" i="107"/>
  <c r="AI11" i="107"/>
  <c r="AI170" i="107" s="1"/>
  <c r="AH11" i="107"/>
  <c r="AH170" i="107" s="1"/>
  <c r="AG11" i="107"/>
  <c r="AF11" i="107"/>
  <c r="AF170" i="107" s="1"/>
  <c r="AE11" i="107"/>
  <c r="AD11" i="107"/>
  <c r="AD170" i="107" s="1"/>
  <c r="AC11" i="107"/>
  <c r="AB11" i="107"/>
  <c r="AA11" i="107"/>
  <c r="Z11" i="107"/>
  <c r="Z170" i="107" s="1"/>
  <c r="Y11" i="107"/>
  <c r="X11" i="107"/>
  <c r="X170" i="107" s="1"/>
  <c r="W11" i="107"/>
  <c r="V11" i="107"/>
  <c r="V170" i="107" s="1"/>
  <c r="U11" i="107"/>
  <c r="T11" i="107"/>
  <c r="S11" i="107"/>
  <c r="R11" i="107"/>
  <c r="R170" i="107" s="1"/>
  <c r="Q11" i="107"/>
  <c r="P11" i="107"/>
  <c r="P170" i="107" s="1"/>
  <c r="O11" i="107"/>
  <c r="N11" i="107"/>
  <c r="N170" i="107" s="1"/>
  <c r="M11" i="107"/>
  <c r="L11" i="107"/>
  <c r="K11" i="107"/>
  <c r="K170" i="107" s="1"/>
  <c r="J11" i="107"/>
  <c r="J170" i="107" s="1"/>
  <c r="I11" i="107"/>
  <c r="H11" i="107"/>
  <c r="H170" i="107" s="1"/>
  <c r="G11" i="107"/>
  <c r="G170" i="107" s="1"/>
  <c r="F11" i="107"/>
  <c r="F170" i="107" s="1"/>
  <c r="Q170" i="107"/>
  <c r="O170" i="107"/>
  <c r="AE170" i="107"/>
  <c r="S170" i="107"/>
  <c r="AI58" i="107"/>
  <c r="H177" i="107"/>
  <c r="L170" i="107"/>
  <c r="T170" i="107"/>
  <c r="AB170" i="107"/>
  <c r="AJ170" i="107"/>
  <c r="AD177" i="107"/>
  <c r="I11" i="41"/>
  <c r="AA11" i="91"/>
  <c r="Q139" i="113"/>
  <c r="Q138" i="113"/>
  <c r="Q137" i="113"/>
  <c r="I123" i="113"/>
  <c r="I120" i="113"/>
  <c r="G120" i="113"/>
  <c r="I119" i="113"/>
  <c r="G119" i="113"/>
  <c r="I118" i="113"/>
  <c r="G118" i="113"/>
  <c r="G116" i="113"/>
  <c r="I115" i="113"/>
  <c r="I114" i="113"/>
  <c r="I113" i="113"/>
  <c r="I112" i="113"/>
  <c r="I111" i="113"/>
  <c r="I110" i="113"/>
  <c r="I109" i="113"/>
  <c r="I108" i="113"/>
  <c r="I116" i="113" s="1"/>
  <c r="O96" i="113"/>
  <c r="C96" i="113"/>
  <c r="S43" i="113"/>
  <c r="Q43" i="113"/>
  <c r="O43" i="113"/>
  <c r="N43" i="113"/>
  <c r="D42" i="113"/>
  <c r="D41" i="113"/>
  <c r="D40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X11" i="113"/>
  <c r="D11" i="113"/>
  <c r="S194" i="112"/>
  <c r="S193" i="112"/>
  <c r="S192" i="112"/>
  <c r="J178" i="112"/>
  <c r="J175" i="112"/>
  <c r="G175" i="112"/>
  <c r="J174" i="112"/>
  <c r="G174" i="112"/>
  <c r="J173" i="112"/>
  <c r="G173" i="112"/>
  <c r="G171" i="112"/>
  <c r="J170" i="112"/>
  <c r="J169" i="112"/>
  <c r="J168" i="112"/>
  <c r="J167" i="112"/>
  <c r="J166" i="112"/>
  <c r="J165" i="112"/>
  <c r="J164" i="112"/>
  <c r="J163" i="112"/>
  <c r="Q151" i="112"/>
  <c r="C151" i="112"/>
  <c r="U98" i="112"/>
  <c r="D97" i="112"/>
  <c r="D96" i="112"/>
  <c r="D95" i="112"/>
  <c r="D94" i="112"/>
  <c r="D93" i="112"/>
  <c r="D92" i="112"/>
  <c r="D91" i="112"/>
  <c r="D90" i="112"/>
  <c r="D89" i="112"/>
  <c r="D88" i="112"/>
  <c r="B88" i="112"/>
  <c r="D87" i="112"/>
  <c r="D86" i="112"/>
  <c r="D85" i="112"/>
  <c r="D84" i="112"/>
  <c r="D83" i="112"/>
  <c r="D82" i="112"/>
  <c r="B77" i="112"/>
  <c r="D75" i="112"/>
  <c r="B75" i="112"/>
  <c r="D74" i="112"/>
  <c r="B74" i="112"/>
  <c r="D73" i="112"/>
  <c r="B73" i="112"/>
  <c r="D72" i="112"/>
  <c r="D71" i="112"/>
  <c r="D70" i="112"/>
  <c r="B70" i="112"/>
  <c r="D69" i="112"/>
  <c r="D68" i="112"/>
  <c r="D67" i="112"/>
  <c r="B67" i="112"/>
  <c r="D66" i="112"/>
  <c r="D65" i="112"/>
  <c r="D64" i="112"/>
  <c r="D63" i="112"/>
  <c r="D62" i="112"/>
  <c r="D61" i="112"/>
  <c r="D60" i="112"/>
  <c r="D59" i="112"/>
  <c r="D58" i="112"/>
  <c r="D57" i="112"/>
  <c r="D56" i="112"/>
  <c r="D55" i="112"/>
  <c r="D54" i="112"/>
  <c r="D53" i="112"/>
  <c r="D52" i="112"/>
  <c r="D51" i="112"/>
  <c r="D50" i="112"/>
  <c r="D49" i="112"/>
  <c r="D48" i="112"/>
  <c r="D47" i="112"/>
  <c r="D46" i="112"/>
  <c r="D45" i="112"/>
  <c r="D44" i="112"/>
  <c r="D43" i="112"/>
  <c r="D42" i="112"/>
  <c r="D41" i="112"/>
  <c r="D40" i="112"/>
  <c r="D39" i="112"/>
  <c r="D38" i="112"/>
  <c r="D37" i="112"/>
  <c r="D36" i="112"/>
  <c r="D35" i="112"/>
  <c r="D34" i="112"/>
  <c r="D33" i="112"/>
  <c r="B33" i="112"/>
  <c r="D32" i="112"/>
  <c r="D31" i="112"/>
  <c r="D30" i="112"/>
  <c r="D29" i="112"/>
  <c r="D28" i="112"/>
  <c r="D27" i="112"/>
  <c r="D26" i="112"/>
  <c r="D25" i="112"/>
  <c r="D24" i="112"/>
  <c r="D23" i="112"/>
  <c r="D22" i="112"/>
  <c r="D21" i="112"/>
  <c r="D20" i="112"/>
  <c r="B20" i="112"/>
  <c r="D19" i="112"/>
  <c r="D18" i="112"/>
  <c r="B18" i="112"/>
  <c r="D17" i="112"/>
  <c r="S98" i="112"/>
  <c r="R98" i="112"/>
  <c r="Q98" i="112"/>
  <c r="P98" i="112"/>
  <c r="D16" i="112"/>
  <c r="Y11" i="112"/>
  <c r="G19" i="111"/>
  <c r="G20" i="111"/>
  <c r="G21" i="111"/>
  <c r="G22" i="111"/>
  <c r="G23" i="111"/>
  <c r="G24" i="111"/>
  <c r="G25" i="111"/>
  <c r="G26" i="111"/>
  <c r="G27" i="111"/>
  <c r="G28" i="111"/>
  <c r="G29" i="111"/>
  <c r="G30" i="111"/>
  <c r="G31" i="111"/>
  <c r="G32" i="111"/>
  <c r="G33" i="111"/>
  <c r="G34" i="111"/>
  <c r="G35" i="111"/>
  <c r="G36" i="111"/>
  <c r="G37" i="111"/>
  <c r="G38" i="111"/>
  <c r="G39" i="111"/>
  <c r="G40" i="111"/>
  <c r="G41" i="111"/>
  <c r="G42" i="111"/>
  <c r="G43" i="111"/>
  <c r="G44" i="111"/>
  <c r="G45" i="111"/>
  <c r="G46" i="111"/>
  <c r="G47" i="111"/>
  <c r="G48" i="111"/>
  <c r="G49" i="111"/>
  <c r="G50" i="111"/>
  <c r="G51" i="111"/>
  <c r="G52" i="111"/>
  <c r="G53" i="111"/>
  <c r="G54" i="111"/>
  <c r="G55" i="111"/>
  <c r="G56" i="111"/>
  <c r="G57" i="111"/>
  <c r="G58" i="111"/>
  <c r="G59" i="111"/>
  <c r="G60" i="111"/>
  <c r="G61" i="111"/>
  <c r="G18" i="111"/>
  <c r="G17" i="111"/>
  <c r="S158" i="111"/>
  <c r="S157" i="111"/>
  <c r="S156" i="111"/>
  <c r="J142" i="111"/>
  <c r="J139" i="111"/>
  <c r="G139" i="111"/>
  <c r="J138" i="111"/>
  <c r="G138" i="111"/>
  <c r="J137" i="111"/>
  <c r="G137" i="111"/>
  <c r="G135" i="111"/>
  <c r="J134" i="111"/>
  <c r="J133" i="111"/>
  <c r="J132" i="111"/>
  <c r="J131" i="111"/>
  <c r="J130" i="111"/>
  <c r="J129" i="111"/>
  <c r="J128" i="111"/>
  <c r="J127" i="111"/>
  <c r="J135" i="111" s="1"/>
  <c r="Q115" i="111"/>
  <c r="C115" i="111"/>
  <c r="U62" i="111"/>
  <c r="D61" i="111"/>
  <c r="D60" i="111"/>
  <c r="B60" i="111"/>
  <c r="D59" i="111"/>
  <c r="D58" i="111"/>
  <c r="D57" i="111"/>
  <c r="B57" i="111"/>
  <c r="D56" i="111"/>
  <c r="B56" i="111"/>
  <c r="D55" i="111"/>
  <c r="D54" i="111"/>
  <c r="D53" i="111"/>
  <c r="B53" i="111"/>
  <c r="D52" i="111"/>
  <c r="D51" i="111"/>
  <c r="D50" i="111"/>
  <c r="D49" i="111"/>
  <c r="D48" i="111"/>
  <c r="D47" i="111"/>
  <c r="B47" i="111"/>
  <c r="D46" i="111"/>
  <c r="D45" i="111"/>
  <c r="D44" i="111"/>
  <c r="D43" i="111"/>
  <c r="D42" i="111"/>
  <c r="D41" i="111"/>
  <c r="D40" i="111"/>
  <c r="D39" i="111"/>
  <c r="D38" i="111"/>
  <c r="D37" i="111"/>
  <c r="D36" i="111"/>
  <c r="B36" i="111"/>
  <c r="D35" i="111"/>
  <c r="B35" i="111"/>
  <c r="D34" i="111"/>
  <c r="D33" i="111"/>
  <c r="B33" i="111"/>
  <c r="D32" i="111"/>
  <c r="B32" i="111"/>
  <c r="D31" i="111"/>
  <c r="D30" i="111"/>
  <c r="D29" i="111"/>
  <c r="D28" i="111"/>
  <c r="D27" i="111"/>
  <c r="B27" i="111"/>
  <c r="D26" i="111"/>
  <c r="D25" i="111"/>
  <c r="D24" i="111"/>
  <c r="D23" i="111"/>
  <c r="B23" i="111"/>
  <c r="D22" i="111"/>
  <c r="D21" i="111"/>
  <c r="D20" i="111"/>
  <c r="D19" i="111"/>
  <c r="D18" i="111"/>
  <c r="B18" i="111"/>
  <c r="R62" i="111"/>
  <c r="Q62" i="111"/>
  <c r="P62" i="111"/>
  <c r="F62" i="111"/>
  <c r="G136" i="111"/>
  <c r="G150" i="111" s="1"/>
  <c r="D17" i="111"/>
  <c r="Y11" i="111"/>
  <c r="V62" i="111"/>
  <c r="J136" i="111"/>
  <c r="G140" i="111" s="1"/>
  <c r="M140" i="111" s="1"/>
  <c r="V200" i="109"/>
  <c r="AQ191" i="109"/>
  <c r="AL191" i="109"/>
  <c r="AI191" i="109"/>
  <c r="AH191" i="109"/>
  <c r="AG191" i="109"/>
  <c r="AF191" i="109"/>
  <c r="AE191" i="109"/>
  <c r="AD191" i="109"/>
  <c r="AC191" i="109"/>
  <c r="AB191" i="109"/>
  <c r="AA191" i="109"/>
  <c r="Z191" i="109"/>
  <c r="Y191" i="109"/>
  <c r="X191" i="109"/>
  <c r="W191" i="109"/>
  <c r="V191" i="109"/>
  <c r="U191" i="109"/>
  <c r="T191" i="109"/>
  <c r="S191" i="109"/>
  <c r="R191" i="109"/>
  <c r="Q191" i="109"/>
  <c r="P191" i="109"/>
  <c r="O191" i="109"/>
  <c r="N191" i="109"/>
  <c r="M191" i="109"/>
  <c r="L191" i="109"/>
  <c r="K191" i="109"/>
  <c r="J191" i="109"/>
  <c r="I191" i="109"/>
  <c r="H191" i="109"/>
  <c r="G191" i="109"/>
  <c r="F191" i="109"/>
  <c r="E191" i="109"/>
  <c r="AN190" i="109"/>
  <c r="AO190" i="109" s="1"/>
  <c r="AJ190" i="109"/>
  <c r="AN189" i="109"/>
  <c r="AJ189" i="109"/>
  <c r="AN188" i="109"/>
  <c r="AJ188" i="109"/>
  <c r="AN187" i="109"/>
  <c r="AJ187" i="109"/>
  <c r="AN186" i="109"/>
  <c r="AJ186" i="109"/>
  <c r="AJ185" i="109"/>
  <c r="AJ184" i="109"/>
  <c r="AJ183" i="109"/>
  <c r="AQ182" i="109"/>
  <c r="AJ182" i="109"/>
  <c r="AJ181" i="109"/>
  <c r="AJ180" i="109"/>
  <c r="AJ179" i="109"/>
  <c r="AJ178" i="109"/>
  <c r="AJ177" i="109"/>
  <c r="AJ176" i="109"/>
  <c r="AJ175" i="109"/>
  <c r="AJ174" i="109"/>
  <c r="AJ173" i="109"/>
  <c r="AN172" i="109"/>
  <c r="AJ172" i="109"/>
  <c r="AN171" i="109"/>
  <c r="AJ171" i="109"/>
  <c r="AN170" i="109"/>
  <c r="AJ170" i="109"/>
  <c r="AN169" i="109"/>
  <c r="AJ169" i="109"/>
  <c r="AN168" i="109"/>
  <c r="AO168" i="109" s="1"/>
  <c r="AJ168" i="109"/>
  <c r="AN167" i="109"/>
  <c r="AO167" i="109" s="1"/>
  <c r="AJ167" i="109"/>
  <c r="AN166" i="109"/>
  <c r="AJ166" i="109"/>
  <c r="AN165" i="109"/>
  <c r="AJ165" i="109"/>
  <c r="AN164" i="109"/>
  <c r="AJ164" i="109"/>
  <c r="AN163" i="109"/>
  <c r="AJ163" i="109"/>
  <c r="AN162" i="109"/>
  <c r="AO162" i="109" s="1"/>
  <c r="AJ162" i="109"/>
  <c r="AN161" i="109"/>
  <c r="AJ161" i="109"/>
  <c r="AJ191" i="109" s="1"/>
  <c r="AL160" i="109"/>
  <c r="AI160" i="109"/>
  <c r="AH160" i="109"/>
  <c r="AG160" i="109"/>
  <c r="AF160" i="109"/>
  <c r="AE160" i="109"/>
  <c r="AD160" i="109"/>
  <c r="AC160" i="109"/>
  <c r="AB160" i="109"/>
  <c r="AA160" i="109"/>
  <c r="Z160" i="109"/>
  <c r="Y160" i="109"/>
  <c r="X160" i="109"/>
  <c r="W160" i="109"/>
  <c r="V160" i="109"/>
  <c r="U160" i="109"/>
  <c r="T160" i="109"/>
  <c r="S160" i="109"/>
  <c r="R160" i="109"/>
  <c r="Q160" i="109"/>
  <c r="P160" i="109"/>
  <c r="O160" i="109"/>
  <c r="N160" i="109"/>
  <c r="M160" i="109"/>
  <c r="L160" i="109"/>
  <c r="K160" i="109"/>
  <c r="J160" i="109"/>
  <c r="I160" i="109"/>
  <c r="H160" i="109"/>
  <c r="G160" i="109"/>
  <c r="F160" i="109"/>
  <c r="E160" i="109"/>
  <c r="AJ159" i="109"/>
  <c r="AJ158" i="109"/>
  <c r="AJ157" i="109"/>
  <c r="AJ156" i="109"/>
  <c r="AJ155" i="109"/>
  <c r="AJ154" i="109"/>
  <c r="AJ153" i="109"/>
  <c r="AJ152" i="109"/>
  <c r="AJ151" i="109"/>
  <c r="AP150" i="109"/>
  <c r="AJ150" i="109"/>
  <c r="AJ149" i="109"/>
  <c r="AJ148" i="109"/>
  <c r="AJ147" i="109"/>
  <c r="AJ146" i="109"/>
  <c r="AJ145" i="109"/>
  <c r="AJ144" i="109"/>
  <c r="AJ143" i="109"/>
  <c r="AJ142" i="109"/>
  <c r="AN141" i="109"/>
  <c r="AJ141" i="109"/>
  <c r="AJ140" i="109"/>
  <c r="AJ139" i="109"/>
  <c r="AN138" i="109"/>
  <c r="AJ138" i="109"/>
  <c r="AJ137" i="109"/>
  <c r="AO136" i="109"/>
  <c r="AL136" i="109"/>
  <c r="AI136" i="109"/>
  <c r="AH136" i="109"/>
  <c r="AG136" i="109"/>
  <c r="AF136" i="109"/>
  <c r="AE136" i="109"/>
  <c r="AD136" i="109"/>
  <c r="AC136" i="109"/>
  <c r="AB136" i="109"/>
  <c r="AA136" i="109"/>
  <c r="Z136" i="109"/>
  <c r="Y136" i="109"/>
  <c r="X136" i="109"/>
  <c r="W136" i="109"/>
  <c r="V136" i="109"/>
  <c r="U136" i="109"/>
  <c r="T136" i="109"/>
  <c r="S136" i="109"/>
  <c r="R136" i="109"/>
  <c r="Q136" i="109"/>
  <c r="P136" i="109"/>
  <c r="O136" i="109"/>
  <c r="N136" i="109"/>
  <c r="M136" i="109"/>
  <c r="L136" i="109"/>
  <c r="K136" i="109"/>
  <c r="J136" i="109"/>
  <c r="I136" i="109"/>
  <c r="H136" i="109"/>
  <c r="G136" i="109"/>
  <c r="F136" i="109"/>
  <c r="E136" i="109"/>
  <c r="AJ135" i="109"/>
  <c r="AJ134" i="109"/>
  <c r="AJ133" i="109"/>
  <c r="AJ132" i="109"/>
  <c r="AJ131" i="109"/>
  <c r="AJ130" i="109"/>
  <c r="AJ129" i="109"/>
  <c r="AJ128" i="109"/>
  <c r="AJ127" i="109"/>
  <c r="AJ126" i="109"/>
  <c r="AJ125" i="109"/>
  <c r="AJ124" i="109"/>
  <c r="AJ123" i="109"/>
  <c r="AJ122" i="109"/>
  <c r="AJ121" i="109"/>
  <c r="AJ120" i="109"/>
  <c r="AJ119" i="109"/>
  <c r="AJ118" i="109"/>
  <c r="AJ117" i="109"/>
  <c r="AJ116" i="109"/>
  <c r="AJ115" i="109"/>
  <c r="AJ114" i="109"/>
  <c r="AJ113" i="109"/>
  <c r="AJ112" i="109"/>
  <c r="AP111" i="109"/>
  <c r="AJ111" i="109"/>
  <c r="AJ110" i="109"/>
  <c r="AJ109" i="109"/>
  <c r="AJ108" i="109"/>
  <c r="AJ107" i="109"/>
  <c r="AJ106" i="109"/>
  <c r="AJ105" i="109"/>
  <c r="AJ104" i="109"/>
  <c r="AJ103" i="109"/>
  <c r="AJ102" i="109"/>
  <c r="AJ101" i="109"/>
  <c r="AJ100" i="109"/>
  <c r="AJ99" i="109"/>
  <c r="AJ98" i="109"/>
  <c r="AJ97" i="109"/>
  <c r="AJ96" i="109"/>
  <c r="AJ95" i="109"/>
  <c r="AJ94" i="109"/>
  <c r="AJ93" i="109"/>
  <c r="AJ92" i="109"/>
  <c r="AJ91" i="109"/>
  <c r="AJ90" i="109"/>
  <c r="AJ89" i="109"/>
  <c r="AJ88" i="109"/>
  <c r="AJ87" i="109"/>
  <c r="AJ86" i="109"/>
  <c r="AJ85" i="109"/>
  <c r="AJ84" i="109"/>
  <c r="AJ83" i="109"/>
  <c r="AJ82" i="109"/>
  <c r="AJ81" i="109"/>
  <c r="AJ80" i="109"/>
  <c r="AJ79" i="109"/>
  <c r="AJ78" i="109"/>
  <c r="AJ77" i="109"/>
  <c r="AJ76" i="109"/>
  <c r="AJ75" i="109"/>
  <c r="AJ74" i="109"/>
  <c r="AL73" i="109"/>
  <c r="AI73" i="109"/>
  <c r="AI192" i="109" s="1"/>
  <c r="AH73" i="109"/>
  <c r="AG73" i="109"/>
  <c r="AF73" i="109"/>
  <c r="AE73" i="109"/>
  <c r="AD73" i="109"/>
  <c r="AC73" i="109"/>
  <c r="AB73" i="109"/>
  <c r="AA73" i="109"/>
  <c r="Z73" i="109"/>
  <c r="Y73" i="109"/>
  <c r="X73" i="109"/>
  <c r="W73" i="109"/>
  <c r="V73" i="109"/>
  <c r="U73" i="109"/>
  <c r="U192" i="109" s="1"/>
  <c r="T73" i="109"/>
  <c r="S73" i="109"/>
  <c r="R73" i="109"/>
  <c r="Q73" i="109"/>
  <c r="P73" i="109"/>
  <c r="O73" i="109"/>
  <c r="N73" i="109"/>
  <c r="M73" i="109"/>
  <c r="M192" i="109" s="1"/>
  <c r="L73" i="109"/>
  <c r="K73" i="109"/>
  <c r="J73" i="109"/>
  <c r="I73" i="109"/>
  <c r="H73" i="109"/>
  <c r="G73" i="109"/>
  <c r="F73" i="109"/>
  <c r="E73" i="109"/>
  <c r="AN72" i="109"/>
  <c r="AJ72" i="109"/>
  <c r="AJ71" i="109"/>
  <c r="AJ70" i="109"/>
  <c r="AJ69" i="109"/>
  <c r="AJ68" i="109"/>
  <c r="AJ67" i="109"/>
  <c r="AJ66" i="109"/>
  <c r="AO65" i="109"/>
  <c r="AJ65" i="109"/>
  <c r="AJ64" i="109"/>
  <c r="AJ63" i="109"/>
  <c r="AJ62" i="109"/>
  <c r="AJ61" i="109"/>
  <c r="AJ60" i="109"/>
  <c r="AJ59" i="109"/>
  <c r="AJ58" i="109"/>
  <c r="AJ57" i="109"/>
  <c r="AJ56" i="109"/>
  <c r="AJ55" i="109"/>
  <c r="AJ54" i="109"/>
  <c r="AJ53" i="109"/>
  <c r="AJ52" i="109"/>
  <c r="AJ51" i="109"/>
  <c r="AJ50" i="109"/>
  <c r="AJ49" i="109"/>
  <c r="AJ48" i="109"/>
  <c r="AJ47" i="109"/>
  <c r="AN46" i="109"/>
  <c r="AJ46" i="109"/>
  <c r="AQ45" i="109"/>
  <c r="AO45" i="109"/>
  <c r="AL45" i="109"/>
  <c r="AC199" i="109"/>
  <c r="AI45" i="109"/>
  <c r="AH45" i="109"/>
  <c r="AH192" i="109" s="1"/>
  <c r="AG45" i="109"/>
  <c r="AG192" i="109" s="1"/>
  <c r="AF45" i="109"/>
  <c r="AE45" i="109"/>
  <c r="AD45" i="109"/>
  <c r="AD192" i="109"/>
  <c r="AC45" i="109"/>
  <c r="AB45" i="109"/>
  <c r="AB192" i="109" s="1"/>
  <c r="AA45" i="109"/>
  <c r="AA192" i="109" s="1"/>
  <c r="Z45" i="109"/>
  <c r="Y45" i="109"/>
  <c r="Y192" i="109" s="1"/>
  <c r="X45" i="109"/>
  <c r="W45" i="109"/>
  <c r="V45" i="109"/>
  <c r="V192" i="109"/>
  <c r="U45" i="109"/>
  <c r="T45" i="109"/>
  <c r="T192" i="109" s="1"/>
  <c r="S45" i="109"/>
  <c r="S192" i="109" s="1"/>
  <c r="R45" i="109"/>
  <c r="Q45" i="109"/>
  <c r="P45" i="109"/>
  <c r="O45" i="109"/>
  <c r="N45" i="109"/>
  <c r="N192" i="109"/>
  <c r="M45" i="109"/>
  <c r="L45" i="109"/>
  <c r="L192" i="109" s="1"/>
  <c r="K45" i="109"/>
  <c r="K192" i="109" s="1"/>
  <c r="J45" i="109"/>
  <c r="I45" i="109"/>
  <c r="I192" i="109" s="1"/>
  <c r="H45" i="109"/>
  <c r="G45" i="109"/>
  <c r="F45" i="109"/>
  <c r="F192" i="109"/>
  <c r="E45" i="109"/>
  <c r="AJ44" i="109"/>
  <c r="AJ43" i="109"/>
  <c r="AJ42" i="109"/>
  <c r="AJ41" i="109"/>
  <c r="AJ40" i="109"/>
  <c r="AJ39" i="109"/>
  <c r="AJ38" i="109"/>
  <c r="AP37" i="109"/>
  <c r="AJ37" i="109"/>
  <c r="AJ36" i="109"/>
  <c r="AJ35" i="109"/>
  <c r="AJ34" i="109"/>
  <c r="AJ33" i="109"/>
  <c r="AJ32" i="109"/>
  <c r="AJ31" i="109"/>
  <c r="AJ30" i="109"/>
  <c r="AJ29" i="109"/>
  <c r="AJ28" i="109"/>
  <c r="AJ27" i="109"/>
  <c r="AJ26" i="109"/>
  <c r="AJ25" i="109"/>
  <c r="AJ24" i="109"/>
  <c r="AJ23" i="109"/>
  <c r="AJ22" i="109"/>
  <c r="AJ21" i="109"/>
  <c r="AJ20" i="109"/>
  <c r="AJ19" i="109"/>
  <c r="AJ18" i="109"/>
  <c r="AN17" i="109"/>
  <c r="AO17" i="109" s="1"/>
  <c r="AJ17" i="109"/>
  <c r="AJ16" i="109"/>
  <c r="AJ15" i="109"/>
  <c r="AJ14" i="109"/>
  <c r="AN13" i="109"/>
  <c r="AO13" i="109" s="1"/>
  <c r="AJ13" i="109"/>
  <c r="AN12" i="109"/>
  <c r="AO12" i="109" s="1"/>
  <c r="AJ12" i="109"/>
  <c r="V197" i="109" s="1"/>
  <c r="AN11" i="109"/>
  <c r="AO11" i="109" s="1"/>
  <c r="AJ11" i="109"/>
  <c r="G216" i="108"/>
  <c r="E209" i="108"/>
  <c r="H18" i="111"/>
  <c r="J18" i="111" s="1"/>
  <c r="E192" i="109"/>
  <c r="Q192" i="109"/>
  <c r="AC192" i="109"/>
  <c r="AJ160" i="109"/>
  <c r="AC216" i="108"/>
  <c r="O192" i="109"/>
  <c r="AE192" i="109"/>
  <c r="AP136" i="109"/>
  <c r="AR45" i="109"/>
  <c r="V216" i="108"/>
  <c r="H20" i="111"/>
  <c r="J20" i="111" s="1"/>
  <c r="H26" i="111"/>
  <c r="J26" i="111" s="1"/>
  <c r="H35" i="111"/>
  <c r="J35" i="111" s="1"/>
  <c r="J52" i="111"/>
  <c r="H18" i="112"/>
  <c r="J18" i="112" s="1"/>
  <c r="H28" i="112"/>
  <c r="J28" i="112"/>
  <c r="H44" i="112"/>
  <c r="J44" i="112" s="1"/>
  <c r="H63" i="112"/>
  <c r="J63" i="112" s="1"/>
  <c r="H81" i="112"/>
  <c r="J81" i="112" s="1"/>
  <c r="M81" i="112" s="1"/>
  <c r="H23" i="111"/>
  <c r="J23" i="111" s="1"/>
  <c r="H25" i="111"/>
  <c r="J25" i="111" s="1"/>
  <c r="H29" i="111"/>
  <c r="J29" i="111" s="1"/>
  <c r="H32" i="111"/>
  <c r="J32" i="111"/>
  <c r="H34" i="111"/>
  <c r="J34" i="111" s="1"/>
  <c r="H38" i="111"/>
  <c r="J38" i="111" s="1"/>
  <c r="H41" i="111"/>
  <c r="J41" i="111" s="1"/>
  <c r="H45" i="111"/>
  <c r="J45" i="111"/>
  <c r="H48" i="111"/>
  <c r="J48" i="111" s="1"/>
  <c r="H51" i="111"/>
  <c r="J51" i="111" s="1"/>
  <c r="H55" i="111"/>
  <c r="J55" i="111" s="1"/>
  <c r="H60" i="111"/>
  <c r="J60" i="111"/>
  <c r="H61" i="111"/>
  <c r="J61" i="111" s="1"/>
  <c r="H17" i="112"/>
  <c r="J17" i="112" s="1"/>
  <c r="H21" i="112"/>
  <c r="J21" i="112" s="1"/>
  <c r="H25" i="112"/>
  <c r="J25" i="112"/>
  <c r="H27" i="112"/>
  <c r="J27" i="112" s="1"/>
  <c r="H31" i="112"/>
  <c r="J31" i="112" s="1"/>
  <c r="H35" i="112"/>
  <c r="J35" i="112" s="1"/>
  <c r="H39" i="112"/>
  <c r="J39" i="112"/>
  <c r="H43" i="112"/>
  <c r="J43" i="112" s="1"/>
  <c r="H47" i="112"/>
  <c r="J47" i="112" s="1"/>
  <c r="H51" i="112"/>
  <c r="J51" i="112" s="1"/>
  <c r="H54" i="112"/>
  <c r="J54" i="112" s="1"/>
  <c r="H58" i="112"/>
  <c r="J58" i="112" s="1"/>
  <c r="H66" i="112"/>
  <c r="J66" i="112" s="1"/>
  <c r="H70" i="112"/>
  <c r="J70" i="112" s="1"/>
  <c r="H74" i="112"/>
  <c r="J74" i="112" s="1"/>
  <c r="H84" i="112"/>
  <c r="J84" i="112" s="1"/>
  <c r="H88" i="112"/>
  <c r="J88" i="112" s="1"/>
  <c r="H91" i="112"/>
  <c r="J91" i="112" s="1"/>
  <c r="H95" i="112"/>
  <c r="J95" i="112" s="1"/>
  <c r="M95" i="112" s="1"/>
  <c r="H16" i="113"/>
  <c r="I16" i="113" s="1"/>
  <c r="H19" i="113"/>
  <c r="I19" i="113" s="1"/>
  <c r="H21" i="113"/>
  <c r="I21" i="113" s="1"/>
  <c r="H23" i="113"/>
  <c r="I23" i="113" s="1"/>
  <c r="H25" i="113"/>
  <c r="I25" i="113" s="1"/>
  <c r="H27" i="113"/>
  <c r="I27" i="113" s="1"/>
  <c r="H30" i="113"/>
  <c r="I30" i="113" s="1"/>
  <c r="H34" i="113"/>
  <c r="I34" i="113" s="1"/>
  <c r="H36" i="113"/>
  <c r="I36" i="113" s="1"/>
  <c r="H39" i="113"/>
  <c r="I39" i="113" s="1"/>
  <c r="H41" i="113"/>
  <c r="I41" i="113" s="1"/>
  <c r="K41" i="113" s="1"/>
  <c r="G196" i="109"/>
  <c r="G199" i="109"/>
  <c r="H42" i="111"/>
  <c r="J42" i="111" s="1"/>
  <c r="H56" i="111"/>
  <c r="J56" i="111" s="1"/>
  <c r="AK68" i="109"/>
  <c r="H40" i="112"/>
  <c r="J40" i="112"/>
  <c r="H59" i="112"/>
  <c r="J59" i="112" s="1"/>
  <c r="H31" i="113"/>
  <c r="I31" i="113" s="1"/>
  <c r="H37" i="113"/>
  <c r="I37" i="113" s="1"/>
  <c r="K37" i="113" s="1"/>
  <c r="V199" i="109"/>
  <c r="H67" i="112"/>
  <c r="J67" i="112" s="1"/>
  <c r="H75" i="112"/>
  <c r="J75" i="112"/>
  <c r="H78" i="112"/>
  <c r="J78" i="112" s="1"/>
  <c r="M78" i="112" s="1"/>
  <c r="H89" i="112"/>
  <c r="J89" i="112" s="1"/>
  <c r="M89" i="112" s="1"/>
  <c r="H96" i="112"/>
  <c r="J96" i="112" s="1"/>
  <c r="H21" i="111"/>
  <c r="J21" i="111" s="1"/>
  <c r="H24" i="111"/>
  <c r="J24" i="111"/>
  <c r="H27" i="111"/>
  <c r="J27" i="111" s="1"/>
  <c r="H30" i="111"/>
  <c r="J30" i="111" s="1"/>
  <c r="H33" i="111"/>
  <c r="J33" i="111" s="1"/>
  <c r="H36" i="111"/>
  <c r="J36" i="111"/>
  <c r="H43" i="111"/>
  <c r="J43" i="111" s="1"/>
  <c r="H53" i="111"/>
  <c r="J53" i="111" s="1"/>
  <c r="H19" i="112"/>
  <c r="J19" i="112" s="1"/>
  <c r="H23" i="112"/>
  <c r="J23" i="112"/>
  <c r="H29" i="112"/>
  <c r="J29" i="112" s="1"/>
  <c r="H33" i="112"/>
  <c r="J33" i="112" s="1"/>
  <c r="H37" i="112"/>
  <c r="J37" i="112" s="1"/>
  <c r="H41" i="112"/>
  <c r="J41" i="112" s="1"/>
  <c r="H45" i="112"/>
  <c r="J45" i="112" s="1"/>
  <c r="H49" i="112"/>
  <c r="J49" i="112" s="1"/>
  <c r="H52" i="112"/>
  <c r="J52" i="112" s="1"/>
  <c r="H56" i="112"/>
  <c r="J56" i="112" s="1"/>
  <c r="H60" i="112"/>
  <c r="J60" i="112"/>
  <c r="H64" i="112"/>
  <c r="J64" i="112" s="1"/>
  <c r="H68" i="112"/>
  <c r="J68" i="112" s="1"/>
  <c r="H72" i="112"/>
  <c r="J72" i="112" s="1"/>
  <c r="H76" i="112"/>
  <c r="J76" i="112" s="1"/>
  <c r="M76" i="112" s="1"/>
  <c r="H79" i="112"/>
  <c r="J79" i="112" s="1"/>
  <c r="H82" i="112"/>
  <c r="J82" i="112" s="1"/>
  <c r="H86" i="112"/>
  <c r="J86" i="112" s="1"/>
  <c r="H93" i="112"/>
  <c r="J93" i="112" s="1"/>
  <c r="H17" i="113"/>
  <c r="I17" i="113" s="1"/>
  <c r="H18" i="113"/>
  <c r="I18" i="113" s="1"/>
  <c r="H20" i="113"/>
  <c r="I20" i="113" s="1"/>
  <c r="K20" i="113" s="1"/>
  <c r="H22" i="113"/>
  <c r="I22" i="113" s="1"/>
  <c r="H24" i="113"/>
  <c r="I24" i="113" s="1"/>
  <c r="K24" i="113" s="1"/>
  <c r="H26" i="113"/>
  <c r="I26" i="113" s="1"/>
  <c r="H28" i="113"/>
  <c r="I28" i="113" s="1"/>
  <c r="H32" i="113"/>
  <c r="I32" i="113" s="1"/>
  <c r="H38" i="113"/>
  <c r="I38" i="113" s="1"/>
  <c r="K38" i="113" s="1"/>
  <c r="H40" i="113"/>
  <c r="I40" i="113" s="1"/>
  <c r="K40" i="113" s="1"/>
  <c r="H42" i="113"/>
  <c r="I42" i="113" s="1"/>
  <c r="K42" i="113" s="1"/>
  <c r="AF192" i="109"/>
  <c r="G197" i="109"/>
  <c r="AK25" i="109"/>
  <c r="H39" i="111"/>
  <c r="J39" i="111" s="1"/>
  <c r="H46" i="111"/>
  <c r="J46" i="111" s="1"/>
  <c r="H49" i="111"/>
  <c r="J49" i="111" s="1"/>
  <c r="H58" i="111"/>
  <c r="J58" i="111" s="1"/>
  <c r="H22" i="112"/>
  <c r="J22" i="112" s="1"/>
  <c r="H32" i="112"/>
  <c r="J32" i="112" s="1"/>
  <c r="H36" i="112"/>
  <c r="J36" i="112" s="1"/>
  <c r="H48" i="112"/>
  <c r="J48" i="112" s="1"/>
  <c r="H55" i="112"/>
  <c r="J55" i="112" s="1"/>
  <c r="H71" i="112"/>
  <c r="J71" i="112" s="1"/>
  <c r="H85" i="112"/>
  <c r="J85" i="112" s="1"/>
  <c r="H92" i="112"/>
  <c r="J92" i="112" s="1"/>
  <c r="H17" i="111"/>
  <c r="J17" i="111" s="1"/>
  <c r="M17" i="111" s="1"/>
  <c r="O17" i="111" s="1"/>
  <c r="H19" i="111"/>
  <c r="J19" i="111" s="1"/>
  <c r="H22" i="111"/>
  <c r="J22" i="111" s="1"/>
  <c r="H28" i="111"/>
  <c r="J28" i="111" s="1"/>
  <c r="H31" i="111"/>
  <c r="J31" i="111" s="1"/>
  <c r="H37" i="111"/>
  <c r="J37" i="111" s="1"/>
  <c r="H40" i="111"/>
  <c r="J40" i="111" s="1"/>
  <c r="H44" i="111"/>
  <c r="J44" i="111" s="1"/>
  <c r="H47" i="111"/>
  <c r="J47" i="111" s="1"/>
  <c r="H50" i="111"/>
  <c r="J50" i="111" s="1"/>
  <c r="H54" i="111"/>
  <c r="J54" i="111" s="1"/>
  <c r="H57" i="111"/>
  <c r="J57" i="111" s="1"/>
  <c r="H59" i="111"/>
  <c r="J59" i="111" s="1"/>
  <c r="H16" i="112"/>
  <c r="J16" i="112"/>
  <c r="H20" i="112"/>
  <c r="J20" i="112" s="1"/>
  <c r="H24" i="112"/>
  <c r="J24" i="112" s="1"/>
  <c r="H26" i="112"/>
  <c r="J26" i="112"/>
  <c r="H30" i="112"/>
  <c r="J30" i="112" s="1"/>
  <c r="H34" i="112"/>
  <c r="J34" i="112" s="1"/>
  <c r="H38" i="112"/>
  <c r="J38" i="112" s="1"/>
  <c r="H42" i="112"/>
  <c r="J42" i="112" s="1"/>
  <c r="H46" i="112"/>
  <c r="J46" i="112" s="1"/>
  <c r="H50" i="112"/>
  <c r="J50" i="112" s="1"/>
  <c r="H53" i="112"/>
  <c r="J53" i="112" s="1"/>
  <c r="H57" i="112"/>
  <c r="J57" i="112" s="1"/>
  <c r="H61" i="112"/>
  <c r="J61" i="112" s="1"/>
  <c r="H65" i="112"/>
  <c r="J65" i="112" s="1"/>
  <c r="H69" i="112"/>
  <c r="J69" i="112" s="1"/>
  <c r="H73" i="112"/>
  <c r="J73" i="112" s="1"/>
  <c r="H77" i="112"/>
  <c r="J77" i="112" s="1"/>
  <c r="H80" i="112"/>
  <c r="J80" i="112" s="1"/>
  <c r="H83" i="112"/>
  <c r="J83" i="112" s="1"/>
  <c r="H87" i="112"/>
  <c r="J87" i="112" s="1"/>
  <c r="H90" i="112"/>
  <c r="J90" i="112" s="1"/>
  <c r="H94" i="112"/>
  <c r="J94" i="112" s="1"/>
  <c r="M94" i="112" s="1"/>
  <c r="H97" i="112"/>
  <c r="J97" i="112" s="1"/>
  <c r="H29" i="113"/>
  <c r="I29" i="113" s="1"/>
  <c r="H33" i="113"/>
  <c r="I33" i="113" s="1"/>
  <c r="H35" i="113"/>
  <c r="I35" i="113" s="1"/>
  <c r="AQ191" i="104"/>
  <c r="AK19" i="109"/>
  <c r="AK72" i="109"/>
  <c r="AK66" i="109"/>
  <c r="AK31" i="109"/>
  <c r="AK70" i="109"/>
  <c r="AK71" i="109"/>
  <c r="G203" i="109"/>
  <c r="AK50" i="109"/>
  <c r="AK60" i="109"/>
  <c r="AK58" i="109"/>
  <c r="AK29" i="109"/>
  <c r="AK65" i="109"/>
  <c r="V200" i="104"/>
  <c r="AL191" i="104"/>
  <c r="AI191" i="104"/>
  <c r="AH191" i="104"/>
  <c r="AG191" i="104"/>
  <c r="AF191" i="104"/>
  <c r="AE191" i="104"/>
  <c r="AD191" i="104"/>
  <c r="AC191" i="104"/>
  <c r="AB191" i="104"/>
  <c r="AA191" i="104"/>
  <c r="Z191" i="104"/>
  <c r="Y191" i="104"/>
  <c r="X191" i="104"/>
  <c r="W191" i="104"/>
  <c r="V191" i="104"/>
  <c r="U191" i="104"/>
  <c r="T191" i="104"/>
  <c r="S191" i="104"/>
  <c r="R191" i="104"/>
  <c r="Q191" i="104"/>
  <c r="P191" i="104"/>
  <c r="O191" i="104"/>
  <c r="N191" i="104"/>
  <c r="M191" i="104"/>
  <c r="L191" i="104"/>
  <c r="K191" i="104"/>
  <c r="J191" i="104"/>
  <c r="I191" i="104"/>
  <c r="H191" i="104"/>
  <c r="G191" i="104"/>
  <c r="F191" i="104"/>
  <c r="E191" i="104"/>
  <c r="AN190" i="104"/>
  <c r="AJ190" i="104"/>
  <c r="AK190" i="104" s="1"/>
  <c r="AN189" i="104"/>
  <c r="AO189" i="104" s="1"/>
  <c r="AJ189" i="104"/>
  <c r="AK189" i="104" s="1"/>
  <c r="AN188" i="104"/>
  <c r="AJ188" i="104"/>
  <c r="AK188" i="104" s="1"/>
  <c r="AN187" i="104"/>
  <c r="AO187" i="104" s="1"/>
  <c r="AJ187" i="104"/>
  <c r="AK187" i="104" s="1"/>
  <c r="AN186" i="104"/>
  <c r="AJ186" i="104"/>
  <c r="AK186" i="104" s="1"/>
  <c r="AJ185" i="104"/>
  <c r="AK185" i="104" s="1"/>
  <c r="AJ184" i="104"/>
  <c r="AJ183" i="104"/>
  <c r="AQ182" i="104"/>
  <c r="AJ182" i="104"/>
  <c r="AJ181" i="104"/>
  <c r="AJ180" i="104"/>
  <c r="AJ179" i="104"/>
  <c r="AK179" i="104" s="1"/>
  <c r="AJ178" i="104"/>
  <c r="AK178" i="104" s="1"/>
  <c r="AJ177" i="104"/>
  <c r="AJ176" i="104"/>
  <c r="AJ175" i="104"/>
  <c r="AJ174" i="104"/>
  <c r="AK174" i="104" s="1"/>
  <c r="AJ173" i="104"/>
  <c r="AN172" i="104"/>
  <c r="AJ172" i="104"/>
  <c r="AN171" i="104"/>
  <c r="AO171" i="104" s="1"/>
  <c r="AJ171" i="104"/>
  <c r="AN170" i="104"/>
  <c r="AJ170" i="104"/>
  <c r="AK170" i="104" s="1"/>
  <c r="AN169" i="104"/>
  <c r="AO169" i="104" s="1"/>
  <c r="AJ169" i="104"/>
  <c r="AN168" i="104"/>
  <c r="AJ168" i="104"/>
  <c r="AK168" i="104" s="1"/>
  <c r="AN167" i="104"/>
  <c r="AO167" i="104" s="1"/>
  <c r="AJ167" i="104"/>
  <c r="AN166" i="104"/>
  <c r="AJ166" i="104"/>
  <c r="AK166" i="104" s="1"/>
  <c r="AN165" i="104"/>
  <c r="AO165" i="104" s="1"/>
  <c r="AJ165" i="104"/>
  <c r="AN164" i="104"/>
  <c r="AO164" i="104" s="1"/>
  <c r="AJ164" i="104"/>
  <c r="AK164" i="104" s="1"/>
  <c r="AN163" i="104"/>
  <c r="AO163" i="104" s="1"/>
  <c r="AJ163" i="104"/>
  <c r="AN162" i="104"/>
  <c r="AJ162" i="104"/>
  <c r="AK162" i="104" s="1"/>
  <c r="AN161" i="104"/>
  <c r="AO161" i="104" s="1"/>
  <c r="AJ161" i="104"/>
  <c r="AL160" i="104"/>
  <c r="AI160" i="104"/>
  <c r="AH160" i="104"/>
  <c r="AG160" i="104"/>
  <c r="AF160" i="104"/>
  <c r="AE160" i="104"/>
  <c r="AE192" i="104" s="1"/>
  <c r="AD160" i="104"/>
  <c r="AC160" i="104"/>
  <c r="AB160" i="104"/>
  <c r="AA160" i="104"/>
  <c r="AA192" i="104" s="1"/>
  <c r="Z160" i="104"/>
  <c r="Y160" i="104"/>
  <c r="X160" i="104"/>
  <c r="W160" i="104"/>
  <c r="V160" i="104"/>
  <c r="U160" i="104"/>
  <c r="T160" i="104"/>
  <c r="S160" i="104"/>
  <c r="R160" i="104"/>
  <c r="Q160" i="104"/>
  <c r="P160" i="104"/>
  <c r="O160" i="104"/>
  <c r="O192" i="104" s="1"/>
  <c r="N160" i="104"/>
  <c r="M160" i="104"/>
  <c r="L160" i="104"/>
  <c r="K160" i="104"/>
  <c r="K192" i="104" s="1"/>
  <c r="J160" i="104"/>
  <c r="I160" i="104"/>
  <c r="H160" i="104"/>
  <c r="G160" i="104"/>
  <c r="G192" i="104" s="1"/>
  <c r="F160" i="104"/>
  <c r="E160" i="104"/>
  <c r="AJ159" i="104"/>
  <c r="AJ158" i="104"/>
  <c r="AK158" i="104" s="1"/>
  <c r="AJ157" i="104"/>
  <c r="AK157" i="104" s="1"/>
  <c r="AJ156" i="104"/>
  <c r="AJ155" i="104"/>
  <c r="AJ154" i="104"/>
  <c r="AK154" i="104" s="1"/>
  <c r="AJ153" i="104"/>
  <c r="AK153" i="104" s="1"/>
  <c r="AJ152" i="104"/>
  <c r="AJ151" i="104"/>
  <c r="AP150" i="104"/>
  <c r="AJ150" i="104"/>
  <c r="AK150" i="104" s="1"/>
  <c r="AJ149" i="104"/>
  <c r="AJ148" i="104"/>
  <c r="AJ147" i="104"/>
  <c r="AJ146" i="104"/>
  <c r="AK146" i="104" s="1"/>
  <c r="AJ145" i="104"/>
  <c r="AJ144" i="104"/>
  <c r="AJ143" i="104"/>
  <c r="AK143" i="104" s="1"/>
  <c r="AJ142" i="104"/>
  <c r="AN141" i="104"/>
  <c r="AJ141" i="104"/>
  <c r="AJ140" i="104"/>
  <c r="AK140" i="104" s="1"/>
  <c r="AJ139" i="104"/>
  <c r="AK139" i="104" s="1"/>
  <c r="AN138" i="104"/>
  <c r="AJ138" i="104"/>
  <c r="AJ137" i="104"/>
  <c r="AJ160" i="104" s="1"/>
  <c r="AO136" i="104"/>
  <c r="AL136" i="104"/>
  <c r="AI136" i="104"/>
  <c r="AH136" i="104"/>
  <c r="AH192" i="104" s="1"/>
  <c r="AG136" i="104"/>
  <c r="AF136" i="104"/>
  <c r="AE136" i="104"/>
  <c r="AD136" i="104"/>
  <c r="AD192" i="104" s="1"/>
  <c r="AC136" i="104"/>
  <c r="AB136" i="104"/>
  <c r="AA136" i="104"/>
  <c r="Z136" i="104"/>
  <c r="Y136" i="104"/>
  <c r="X136" i="104"/>
  <c r="W136" i="104"/>
  <c r="V136" i="104"/>
  <c r="V192" i="104" s="1"/>
  <c r="U136" i="104"/>
  <c r="T136" i="104"/>
  <c r="S136" i="104"/>
  <c r="R136" i="104"/>
  <c r="R192" i="104" s="1"/>
  <c r="Q136" i="104"/>
  <c r="P136" i="104"/>
  <c r="O136" i="104"/>
  <c r="N136" i="104"/>
  <c r="N192" i="104" s="1"/>
  <c r="M136" i="104"/>
  <c r="L136" i="104"/>
  <c r="K136" i="104"/>
  <c r="J136" i="104"/>
  <c r="I136" i="104"/>
  <c r="H136" i="104"/>
  <c r="G136" i="104"/>
  <c r="F136" i="104"/>
  <c r="F192" i="104" s="1"/>
  <c r="E136" i="104"/>
  <c r="AJ135" i="104"/>
  <c r="AJ134" i="104"/>
  <c r="AJ133" i="104"/>
  <c r="AJ132" i="104"/>
  <c r="AK132" i="104" s="1"/>
  <c r="AJ131" i="104"/>
  <c r="AJ130" i="104"/>
  <c r="AJ129" i="104"/>
  <c r="AK129" i="104" s="1"/>
  <c r="AJ128" i="104"/>
  <c r="AJ127" i="104"/>
  <c r="AJ126" i="104"/>
  <c r="AJ125" i="104"/>
  <c r="AK125" i="104" s="1"/>
  <c r="AJ124" i="104"/>
  <c r="AK124" i="104" s="1"/>
  <c r="AJ123" i="104"/>
  <c r="AJ122" i="104"/>
  <c r="AJ121" i="104"/>
  <c r="AK121" i="104" s="1"/>
  <c r="AJ120" i="104"/>
  <c r="AK120" i="104" s="1"/>
  <c r="AJ119" i="104"/>
  <c r="AJ118" i="104"/>
  <c r="AJ117" i="104"/>
  <c r="AK117" i="104" s="1"/>
  <c r="AJ116" i="104"/>
  <c r="AK116" i="104" s="1"/>
  <c r="AJ115" i="104"/>
  <c r="AJ114" i="104"/>
  <c r="AJ113" i="104"/>
  <c r="AK113" i="104" s="1"/>
  <c r="AJ112" i="104"/>
  <c r="AK112" i="104" s="1"/>
  <c r="AP111" i="104"/>
  <c r="AJ111" i="104"/>
  <c r="AJ110" i="104"/>
  <c r="AK110" i="104" s="1"/>
  <c r="AJ109" i="104"/>
  <c r="AK109" i="104" s="1"/>
  <c r="AJ108" i="104"/>
  <c r="AJ107" i="104"/>
  <c r="AJ106" i="104"/>
  <c r="AK106" i="104" s="1"/>
  <c r="AJ105" i="104"/>
  <c r="AK105" i="104" s="1"/>
  <c r="AJ104" i="104"/>
  <c r="AJ103" i="104"/>
  <c r="AJ102" i="104"/>
  <c r="AK102" i="104" s="1"/>
  <c r="AJ101" i="104"/>
  <c r="AK101" i="104" s="1"/>
  <c r="AJ100" i="104"/>
  <c r="AJ99" i="104"/>
  <c r="AJ98" i="104"/>
  <c r="AK98" i="104" s="1"/>
  <c r="AJ97" i="104"/>
  <c r="AJ96" i="104"/>
  <c r="AJ95" i="104"/>
  <c r="AJ94" i="104"/>
  <c r="AJ93" i="104"/>
  <c r="AK93" i="104" s="1"/>
  <c r="AJ92" i="104"/>
  <c r="AJ91" i="104"/>
  <c r="AJ90" i="104"/>
  <c r="AK90" i="104" s="1"/>
  <c r="AJ89" i="104"/>
  <c r="AK89" i="104" s="1"/>
  <c r="AJ88" i="104"/>
  <c r="AJ87" i="104"/>
  <c r="AJ86" i="104"/>
  <c r="AK86" i="104" s="1"/>
  <c r="AJ85" i="104"/>
  <c r="AK85" i="104" s="1"/>
  <c r="AJ84" i="104"/>
  <c r="AJ83" i="104"/>
  <c r="AJ82" i="104"/>
  <c r="AK82" i="104" s="1"/>
  <c r="AJ81" i="104"/>
  <c r="AK81" i="104" s="1"/>
  <c r="AJ80" i="104"/>
  <c r="AJ79" i="104"/>
  <c r="AJ78" i="104"/>
  <c r="AK78" i="104" s="1"/>
  <c r="AJ77" i="104"/>
  <c r="AK77" i="104" s="1"/>
  <c r="AJ76" i="104"/>
  <c r="AJ75" i="104"/>
  <c r="AJ74" i="104"/>
  <c r="AJ136" i="104" s="1"/>
  <c r="AN136" i="104" s="1"/>
  <c r="AL73" i="104"/>
  <c r="AI73" i="104"/>
  <c r="AH73" i="104"/>
  <c r="AG73" i="104"/>
  <c r="AF73" i="104"/>
  <c r="AE73" i="104"/>
  <c r="AD73" i="104"/>
  <c r="AC73" i="104"/>
  <c r="AB73" i="104"/>
  <c r="AA73" i="104"/>
  <c r="Z73" i="104"/>
  <c r="Y73" i="104"/>
  <c r="X73" i="104"/>
  <c r="W73" i="104"/>
  <c r="V73" i="104"/>
  <c r="U73" i="104"/>
  <c r="T73" i="104"/>
  <c r="S73" i="104"/>
  <c r="R73" i="104"/>
  <c r="Q73" i="104"/>
  <c r="P73" i="104"/>
  <c r="O73" i="104"/>
  <c r="N73" i="104"/>
  <c r="M73" i="104"/>
  <c r="L73" i="104"/>
  <c r="K73" i="104"/>
  <c r="J73" i="104"/>
  <c r="I73" i="104"/>
  <c r="H73" i="104"/>
  <c r="G73" i="104"/>
  <c r="F73" i="104"/>
  <c r="E73" i="104"/>
  <c r="AN72" i="104"/>
  <c r="AJ72" i="104"/>
  <c r="AJ71" i="104"/>
  <c r="AJ70" i="104"/>
  <c r="AK70" i="104" s="1"/>
  <c r="AJ69" i="104"/>
  <c r="AK69" i="104" s="1"/>
  <c r="AJ68" i="104"/>
  <c r="AJ67" i="104"/>
  <c r="AJ66" i="104"/>
  <c r="AK66" i="104" s="1"/>
  <c r="AO65" i="104"/>
  <c r="AJ65" i="104"/>
  <c r="AJ64" i="104"/>
  <c r="AJ63" i="104"/>
  <c r="AK63" i="104" s="1"/>
  <c r="AJ62" i="104"/>
  <c r="AK62" i="104" s="1"/>
  <c r="AJ61" i="104"/>
  <c r="AJ60" i="104"/>
  <c r="AJ59" i="104"/>
  <c r="AK59" i="104" s="1"/>
  <c r="AJ58" i="104"/>
  <c r="AJ57" i="104"/>
  <c r="AJ56" i="104"/>
  <c r="AJ55" i="104"/>
  <c r="AK55" i="104" s="1"/>
  <c r="AJ54" i="104"/>
  <c r="AK54" i="104" s="1"/>
  <c r="AJ53" i="104"/>
  <c r="AJ52" i="104"/>
  <c r="AJ51" i="104"/>
  <c r="AK51" i="104" s="1"/>
  <c r="AJ50" i="104"/>
  <c r="AK50" i="104" s="1"/>
  <c r="AJ49" i="104"/>
  <c r="AJ48" i="104"/>
  <c r="AJ47" i="104"/>
  <c r="AJ73" i="104" s="1"/>
  <c r="AN46" i="104"/>
  <c r="AJ46" i="104"/>
  <c r="AQ45" i="104"/>
  <c r="AO45" i="104"/>
  <c r="AL45" i="104"/>
  <c r="AC199" i="104" s="1"/>
  <c r="AI45" i="104"/>
  <c r="AH45" i="104"/>
  <c r="AG45" i="104"/>
  <c r="AF45" i="104"/>
  <c r="AE45" i="104"/>
  <c r="AD45" i="104"/>
  <c r="AC45" i="104"/>
  <c r="AC192" i="104" s="1"/>
  <c r="AB45" i="104"/>
  <c r="AB192" i="104" s="1"/>
  <c r="AA45" i="104"/>
  <c r="Z45" i="104"/>
  <c r="Y45" i="104"/>
  <c r="Y192" i="104" s="1"/>
  <c r="X45" i="104"/>
  <c r="X192" i="104" s="1"/>
  <c r="W45" i="104"/>
  <c r="V45" i="104"/>
  <c r="U45" i="104"/>
  <c r="T45" i="104"/>
  <c r="S45" i="104"/>
  <c r="S192" i="104" s="1"/>
  <c r="R45" i="104"/>
  <c r="Q45" i="104"/>
  <c r="P45" i="104"/>
  <c r="P192" i="104" s="1"/>
  <c r="O45" i="104"/>
  <c r="N45" i="104"/>
  <c r="M45" i="104"/>
  <c r="M192" i="104" s="1"/>
  <c r="L45" i="104"/>
  <c r="L192" i="104" s="1"/>
  <c r="K45" i="104"/>
  <c r="J45" i="104"/>
  <c r="I45" i="104"/>
  <c r="I192" i="104" s="1"/>
  <c r="H45" i="104"/>
  <c r="H192" i="104" s="1"/>
  <c r="G45" i="104"/>
  <c r="F45" i="104"/>
  <c r="E45" i="104"/>
  <c r="E192" i="104" s="1"/>
  <c r="AJ44" i="104"/>
  <c r="AK44" i="104" s="1"/>
  <c r="AJ43" i="104"/>
  <c r="AJ42" i="104"/>
  <c r="AJ41" i="104"/>
  <c r="AK41" i="104" s="1"/>
  <c r="AJ40" i="104"/>
  <c r="AK40" i="104" s="1"/>
  <c r="AJ39" i="104"/>
  <c r="AJ38" i="104"/>
  <c r="AP37" i="104"/>
  <c r="AJ37" i="104"/>
  <c r="AK37" i="104" s="1"/>
  <c r="AJ36" i="104"/>
  <c r="AJ35" i="104"/>
  <c r="AJ34" i="104"/>
  <c r="AK34" i="104" s="1"/>
  <c r="AJ33" i="104"/>
  <c r="AK33" i="104" s="1"/>
  <c r="AJ32" i="104"/>
  <c r="AJ31" i="104"/>
  <c r="AJ30" i="104"/>
  <c r="AK30" i="104" s="1"/>
  <c r="AJ29" i="104"/>
  <c r="AK29" i="104" s="1"/>
  <c r="AJ28" i="104"/>
  <c r="AJ27" i="104"/>
  <c r="AJ26" i="104"/>
  <c r="AK26" i="104" s="1"/>
  <c r="AJ25" i="104"/>
  <c r="AJ24" i="104"/>
  <c r="AK24" i="104" s="1"/>
  <c r="AJ23" i="104"/>
  <c r="AJ22" i="104"/>
  <c r="AK22" i="104" s="1"/>
  <c r="AJ21" i="104"/>
  <c r="AJ20" i="104"/>
  <c r="AJ19" i="104"/>
  <c r="AJ18" i="104"/>
  <c r="AK18" i="104" s="1"/>
  <c r="AN17" i="104"/>
  <c r="AO17" i="104" s="1"/>
  <c r="AJ17" i="104"/>
  <c r="AJ16" i="104"/>
  <c r="AJ15" i="104"/>
  <c r="V196" i="104" s="1"/>
  <c r="AJ14" i="104"/>
  <c r="AN13" i="104"/>
  <c r="AO13" i="104" s="1"/>
  <c r="AJ13" i="104"/>
  <c r="AK13" i="104" s="1"/>
  <c r="AN12" i="104"/>
  <c r="AO12" i="104" s="1"/>
  <c r="AJ12" i="104"/>
  <c r="AN11" i="104"/>
  <c r="AO11" i="104" s="1"/>
  <c r="AJ11" i="104"/>
  <c r="AK11" i="104" s="1"/>
  <c r="AK97" i="104"/>
  <c r="AK142" i="104"/>
  <c r="AK14" i="104"/>
  <c r="AK16" i="104"/>
  <c r="AK17" i="104"/>
  <c r="AK19" i="104"/>
  <c r="AK20" i="104"/>
  <c r="AK21" i="104"/>
  <c r="AK23" i="104"/>
  <c r="AK25" i="104"/>
  <c r="AK27" i="104"/>
  <c r="AK28" i="104"/>
  <c r="AK31" i="104"/>
  <c r="AK32" i="104"/>
  <c r="AK35" i="104"/>
  <c r="AK36" i="104"/>
  <c r="AK38" i="104"/>
  <c r="AK39" i="104"/>
  <c r="AK42" i="104"/>
  <c r="AK43" i="104"/>
  <c r="AK58" i="104"/>
  <c r="U192" i="104"/>
  <c r="AK74" i="104"/>
  <c r="AK75" i="104"/>
  <c r="AK76" i="104"/>
  <c r="AK79" i="104"/>
  <c r="AK80" i="104"/>
  <c r="AK83" i="104"/>
  <c r="AK84" i="104"/>
  <c r="AK87" i="104"/>
  <c r="AK88" i="104"/>
  <c r="AK91" i="104"/>
  <c r="AK92" i="104"/>
  <c r="AK94" i="104"/>
  <c r="AK95" i="104"/>
  <c r="AK96" i="104"/>
  <c r="AK99" i="104"/>
  <c r="AK100" i="104"/>
  <c r="AK103" i="104"/>
  <c r="AK104" i="104"/>
  <c r="AK107" i="104"/>
  <c r="AK108" i="104"/>
  <c r="AK111" i="104"/>
  <c r="AK114" i="104"/>
  <c r="AK115" i="104"/>
  <c r="AK118" i="104"/>
  <c r="AK119" i="104"/>
  <c r="AK122" i="104"/>
  <c r="AK123" i="104"/>
  <c r="AK126" i="104"/>
  <c r="AK127" i="104"/>
  <c r="AK128" i="104"/>
  <c r="AK130" i="104"/>
  <c r="AK131" i="104"/>
  <c r="AK133" i="104"/>
  <c r="AK134" i="104"/>
  <c r="AK135" i="104"/>
  <c r="AK147" i="104"/>
  <c r="AK172" i="104"/>
  <c r="AK175" i="104"/>
  <c r="AK48" i="104"/>
  <c r="AK56" i="104"/>
  <c r="AK64" i="104"/>
  <c r="AK138" i="104"/>
  <c r="AK144" i="104"/>
  <c r="AK151" i="104"/>
  <c r="AK159" i="104"/>
  <c r="AK176" i="104"/>
  <c r="AK180" i="104"/>
  <c r="AK183" i="104"/>
  <c r="AK182" i="104"/>
  <c r="AK52" i="104"/>
  <c r="AK60" i="104"/>
  <c r="AK67" i="104"/>
  <c r="AK71" i="104"/>
  <c r="AK141" i="104"/>
  <c r="AK148" i="104"/>
  <c r="AK155" i="104"/>
  <c r="W192" i="104"/>
  <c r="AI192" i="104"/>
  <c r="AK46" i="104"/>
  <c r="AK49" i="104"/>
  <c r="AK53" i="104"/>
  <c r="AK57" i="104"/>
  <c r="AK61" i="104"/>
  <c r="AK65" i="104"/>
  <c r="AK68" i="104"/>
  <c r="AK72" i="104"/>
  <c r="AP136" i="104"/>
  <c r="AK145" i="104"/>
  <c r="AK149" i="104"/>
  <c r="AK152" i="104"/>
  <c r="AK156" i="104"/>
  <c r="AK161" i="104"/>
  <c r="AK163" i="104"/>
  <c r="AK165" i="104"/>
  <c r="AK167" i="104"/>
  <c r="AK169" i="104"/>
  <c r="AK171" i="104"/>
  <c r="AK173" i="104"/>
  <c r="AK177" i="104"/>
  <c r="AK181" i="104"/>
  <c r="AK184" i="104"/>
  <c r="AO166" i="104"/>
  <c r="T192" i="104"/>
  <c r="AF192" i="104"/>
  <c r="V199" i="104"/>
  <c r="L250" i="1"/>
  <c r="M250" i="1"/>
  <c r="N250" i="1"/>
  <c r="M255" i="1"/>
  <c r="N255" i="1"/>
  <c r="F11" i="1"/>
  <c r="O16" i="96"/>
  <c r="M61" i="111"/>
  <c r="O61" i="111" s="1"/>
  <c r="T61" i="111" s="1"/>
  <c r="W61" i="111" s="1"/>
  <c r="S19" i="94"/>
  <c r="T19" i="94"/>
  <c r="U19" i="94"/>
  <c r="W19" i="94"/>
  <c r="X19" i="94"/>
  <c r="Z19" i="94"/>
  <c r="AA19" i="94"/>
  <c r="AB19" i="94"/>
  <c r="AD19" i="94"/>
  <c r="AE19" i="94"/>
  <c r="P19" i="94"/>
  <c r="L19" i="94"/>
  <c r="R19" i="94"/>
  <c r="Q19" i="94"/>
  <c r="N19" i="94"/>
  <c r="M19" i="94"/>
  <c r="K19" i="94"/>
  <c r="J19" i="94"/>
  <c r="I19" i="94"/>
  <c r="G19" i="94"/>
  <c r="F19" i="94"/>
  <c r="E19" i="94"/>
  <c r="AF11" i="94"/>
  <c r="AE11" i="94"/>
  <c r="AD11" i="94"/>
  <c r="AC11" i="94"/>
  <c r="AB11" i="94"/>
  <c r="AA11" i="94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H11" i="94"/>
  <c r="G11" i="94"/>
  <c r="F11" i="94"/>
  <c r="E11" i="94"/>
  <c r="D11" i="74"/>
  <c r="Y19" i="94"/>
  <c r="AF19" i="94"/>
  <c r="AK13" i="94"/>
  <c r="AJ16" i="94"/>
  <c r="AK12" i="94"/>
  <c r="AK16" i="94"/>
  <c r="AJ18" i="94"/>
  <c r="AJ17" i="94"/>
  <c r="AK17" i="94"/>
  <c r="A2" i="74"/>
  <c r="K18" i="82"/>
  <c r="O17" i="82"/>
  <c r="N16" i="82"/>
  <c r="M16" i="82"/>
  <c r="L16" i="82"/>
  <c r="J16" i="82"/>
  <c r="I16" i="82"/>
  <c r="H16" i="82"/>
  <c r="G16" i="82"/>
  <c r="F16" i="82"/>
  <c r="E16" i="82"/>
  <c r="L15" i="82"/>
  <c r="O15" i="82" s="1"/>
  <c r="G15" i="82"/>
  <c r="N14" i="82"/>
  <c r="M14" i="82"/>
  <c r="L14" i="82"/>
  <c r="J14" i="82"/>
  <c r="J11" i="82" s="1"/>
  <c r="G14" i="82"/>
  <c r="N13" i="82"/>
  <c r="M13" i="82"/>
  <c r="L13" i="82"/>
  <c r="K13" i="82"/>
  <c r="J13" i="82"/>
  <c r="G13" i="82"/>
  <c r="N12" i="82"/>
  <c r="M12" i="82"/>
  <c r="K12" i="82"/>
  <c r="J12" i="82"/>
  <c r="G12" i="82"/>
  <c r="I11" i="82"/>
  <c r="H11" i="82"/>
  <c r="E11" i="82"/>
  <c r="AF17" i="92"/>
  <c r="AE17" i="92"/>
  <c r="R17" i="92"/>
  <c r="N17" i="92"/>
  <c r="G17" i="92"/>
  <c r="F17" i="92"/>
  <c r="E17" i="92"/>
  <c r="D17" i="92"/>
  <c r="T16" i="92"/>
  <c r="S16" i="92"/>
  <c r="Q16" i="92"/>
  <c r="P16" i="92"/>
  <c r="O16" i="92"/>
  <c r="M16" i="92"/>
  <c r="L16" i="92"/>
  <c r="K16" i="92"/>
  <c r="J16" i="92"/>
  <c r="I16" i="92"/>
  <c r="H16" i="92"/>
  <c r="T15" i="92"/>
  <c r="S15" i="92"/>
  <c r="Q15" i="92"/>
  <c r="P15" i="92"/>
  <c r="O15" i="92"/>
  <c r="M15" i="92"/>
  <c r="L15" i="92"/>
  <c r="K15" i="92"/>
  <c r="J15" i="92"/>
  <c r="I15" i="92"/>
  <c r="H15" i="92"/>
  <c r="AG14" i="92"/>
  <c r="T14" i="92"/>
  <c r="S14" i="92"/>
  <c r="Q14" i="92"/>
  <c r="P14" i="92"/>
  <c r="O14" i="92"/>
  <c r="M14" i="92"/>
  <c r="L14" i="92"/>
  <c r="K14" i="92"/>
  <c r="J14" i="92"/>
  <c r="I14" i="92"/>
  <c r="H14" i="92"/>
  <c r="T13" i="92"/>
  <c r="S13" i="92"/>
  <c r="Q13" i="92"/>
  <c r="P13" i="92"/>
  <c r="O13" i="92"/>
  <c r="M13" i="92"/>
  <c r="L13" i="92"/>
  <c r="K13" i="92"/>
  <c r="J13" i="92"/>
  <c r="I13" i="92"/>
  <c r="H13" i="92"/>
  <c r="T12" i="92"/>
  <c r="S12" i="92"/>
  <c r="Q12" i="92"/>
  <c r="P12" i="92"/>
  <c r="O12" i="92"/>
  <c r="M12" i="92"/>
  <c r="L12" i="92"/>
  <c r="K12" i="92"/>
  <c r="J12" i="92"/>
  <c r="I12" i="92"/>
  <c r="H12" i="92"/>
  <c r="AG11" i="92"/>
  <c r="AG12" i="92" s="1"/>
  <c r="T11" i="92"/>
  <c r="S11" i="92"/>
  <c r="Q11" i="92"/>
  <c r="P11" i="92"/>
  <c r="O11" i="92"/>
  <c r="M11" i="92"/>
  <c r="L11" i="92"/>
  <c r="K11" i="92"/>
  <c r="J11" i="92"/>
  <c r="I11" i="92"/>
  <c r="H11" i="92"/>
  <c r="T10" i="92"/>
  <c r="S10" i="92"/>
  <c r="Q10" i="92"/>
  <c r="P10" i="92"/>
  <c r="O10" i="92"/>
  <c r="M10" i="92"/>
  <c r="L10" i="92"/>
  <c r="K10" i="92"/>
  <c r="J10" i="92"/>
  <c r="I10" i="92"/>
  <c r="H10" i="92"/>
  <c r="C10" i="92"/>
  <c r="AG9" i="92"/>
  <c r="AG10" i="92" s="1"/>
  <c r="AG16" i="92" s="1"/>
  <c r="T9" i="92"/>
  <c r="S9" i="92"/>
  <c r="Q9" i="92"/>
  <c r="P9" i="92"/>
  <c r="O9" i="92"/>
  <c r="M9" i="92"/>
  <c r="L9" i="92"/>
  <c r="K9" i="92"/>
  <c r="J9" i="92"/>
  <c r="I9" i="92"/>
  <c r="H9" i="92"/>
  <c r="AE8" i="92"/>
  <c r="AD8" i="92"/>
  <c r="AC8" i="92"/>
  <c r="AB8" i="92"/>
  <c r="AA8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H8" i="92"/>
  <c r="G8" i="92"/>
  <c r="F8" i="92"/>
  <c r="E8" i="92"/>
  <c r="D8" i="92"/>
  <c r="AG7" i="92"/>
  <c r="AG8" i="92" s="1"/>
  <c r="AF7" i="92"/>
  <c r="AF8" i="92" s="1"/>
  <c r="D5" i="92"/>
  <c r="D16" i="93"/>
  <c r="F15" i="93"/>
  <c r="E14" i="93"/>
  <c r="F14" i="93" s="1"/>
  <c r="F13" i="93"/>
  <c r="F12" i="93"/>
  <c r="F11" i="93"/>
  <c r="F10" i="93"/>
  <c r="G28" i="2"/>
  <c r="G34" i="2" s="1"/>
  <c r="F29" i="2"/>
  <c r="G27" i="2"/>
  <c r="G26" i="2"/>
  <c r="J25" i="2"/>
  <c r="G25" i="2"/>
  <c r="G24" i="2"/>
  <c r="G23" i="2"/>
  <c r="I23" i="2" s="1"/>
  <c r="G22" i="2"/>
  <c r="G21" i="2"/>
  <c r="G20" i="2"/>
  <c r="I20" i="2" s="1"/>
  <c r="H19" i="2"/>
  <c r="I19" i="2" s="1"/>
  <c r="G19" i="2"/>
  <c r="H18" i="2"/>
  <c r="I18" i="2" s="1"/>
  <c r="G18" i="2"/>
  <c r="G17" i="2"/>
  <c r="I17" i="2"/>
  <c r="H16" i="2"/>
  <c r="G16" i="2"/>
  <c r="G15" i="2"/>
  <c r="I15" i="2" s="1"/>
  <c r="H14" i="2"/>
  <c r="G14" i="2"/>
  <c r="H13" i="2"/>
  <c r="I13" i="2" s="1"/>
  <c r="G13" i="2"/>
  <c r="H12" i="2"/>
  <c r="I12" i="2" s="1"/>
  <c r="G12" i="2"/>
  <c r="H11" i="2"/>
  <c r="I11" i="2" s="1"/>
  <c r="G11" i="2"/>
  <c r="M10" i="2"/>
  <c r="G10" i="2"/>
  <c r="I10" i="2" s="1"/>
  <c r="G9" i="2"/>
  <c r="H8" i="2"/>
  <c r="G8" i="2"/>
  <c r="J9" i="2" s="1"/>
  <c r="G7" i="2"/>
  <c r="B7" i="2"/>
  <c r="H7" i="2" s="1"/>
  <c r="I7" i="2" s="1"/>
  <c r="F204" i="70"/>
  <c r="F193" i="70"/>
  <c r="F170" i="70"/>
  <c r="K137" i="70"/>
  <c r="K136" i="70"/>
  <c r="K135" i="70"/>
  <c r="K134" i="70"/>
  <c r="K133" i="70"/>
  <c r="K132" i="70"/>
  <c r="K131" i="70"/>
  <c r="K130" i="70"/>
  <c r="K129" i="70"/>
  <c r="K128" i="70"/>
  <c r="K127" i="70"/>
  <c r="K126" i="70"/>
  <c r="K125" i="70"/>
  <c r="K124" i="70"/>
  <c r="K123" i="70"/>
  <c r="K122" i="70"/>
  <c r="K121" i="70"/>
  <c r="K120" i="70"/>
  <c r="K119" i="70"/>
  <c r="K118" i="70"/>
  <c r="K117" i="70"/>
  <c r="K116" i="70"/>
  <c r="K115" i="70"/>
  <c r="K114" i="70"/>
  <c r="K113" i="70"/>
  <c r="K112" i="70"/>
  <c r="K111" i="70"/>
  <c r="K110" i="70"/>
  <c r="K109" i="70"/>
  <c r="K108" i="70"/>
  <c r="K107" i="70"/>
  <c r="K106" i="70"/>
  <c r="K105" i="70"/>
  <c r="K104" i="70"/>
  <c r="K103" i="70"/>
  <c r="K102" i="70"/>
  <c r="K101" i="70"/>
  <c r="K100" i="70"/>
  <c r="K99" i="70"/>
  <c r="K98" i="70"/>
  <c r="K97" i="70"/>
  <c r="K96" i="70"/>
  <c r="F96" i="70"/>
  <c r="K95" i="70"/>
  <c r="K94" i="70"/>
  <c r="K93" i="70"/>
  <c r="K92" i="70"/>
  <c r="K91" i="70"/>
  <c r="K90" i="70"/>
  <c r="K89" i="70"/>
  <c r="K88" i="70"/>
  <c r="K87" i="70"/>
  <c r="K86" i="70"/>
  <c r="K85" i="70"/>
  <c r="K84" i="70"/>
  <c r="K83" i="70"/>
  <c r="K82" i="70"/>
  <c r="K81" i="70"/>
  <c r="K80" i="70"/>
  <c r="K79" i="70"/>
  <c r="K62" i="70"/>
  <c r="K61" i="70"/>
  <c r="K46" i="70"/>
  <c r="K45" i="70"/>
  <c r="K44" i="70"/>
  <c r="K43" i="70"/>
  <c r="K42" i="70"/>
  <c r="K41" i="70"/>
  <c r="K40" i="70"/>
  <c r="F40" i="70"/>
  <c r="K39" i="70"/>
  <c r="K38" i="70"/>
  <c r="K37" i="70"/>
  <c r="K36" i="70"/>
  <c r="K35" i="70"/>
  <c r="K34" i="70"/>
  <c r="K33" i="70"/>
  <c r="K32" i="70"/>
  <c r="K31" i="70"/>
  <c r="K30" i="70"/>
  <c r="K29" i="70"/>
  <c r="F29" i="70"/>
  <c r="K28" i="70"/>
  <c r="K27" i="70"/>
  <c r="K26" i="70"/>
  <c r="K25" i="70"/>
  <c r="K24" i="70"/>
  <c r="K23" i="70"/>
  <c r="K22" i="70"/>
  <c r="K21" i="70"/>
  <c r="K20" i="70"/>
  <c r="K19" i="70"/>
  <c r="K18" i="70"/>
  <c r="K17" i="70"/>
  <c r="K16" i="70"/>
  <c r="K15" i="70"/>
  <c r="K14" i="70"/>
  <c r="J14" i="70"/>
  <c r="E20" i="69"/>
  <c r="E19" i="69"/>
  <c r="D18" i="69"/>
  <c r="E17" i="69"/>
  <c r="E16" i="69"/>
  <c r="E15" i="69"/>
  <c r="E14" i="69"/>
  <c r="E13" i="69"/>
  <c r="D12" i="69"/>
  <c r="Q33" i="68"/>
  <c r="Q32" i="68" s="1"/>
  <c r="P33" i="68"/>
  <c r="P32" i="68" s="1"/>
  <c r="O32" i="68"/>
  <c r="N32" i="68"/>
  <c r="M32" i="68"/>
  <c r="L32" i="68"/>
  <c r="K32" i="68"/>
  <c r="J32" i="68"/>
  <c r="I32" i="68"/>
  <c r="H32" i="68"/>
  <c r="G32" i="68"/>
  <c r="F32" i="68"/>
  <c r="E32" i="68"/>
  <c r="D32" i="68"/>
  <c r="O31" i="68"/>
  <c r="N31" i="68"/>
  <c r="M31" i="68"/>
  <c r="L31" i="68"/>
  <c r="K31" i="68"/>
  <c r="J31" i="68"/>
  <c r="I31" i="68"/>
  <c r="H31" i="68"/>
  <c r="G31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O27" i="68"/>
  <c r="O26" i="68" s="1"/>
  <c r="N27" i="68"/>
  <c r="M27" i="68"/>
  <c r="L27" i="68"/>
  <c r="K27" i="68"/>
  <c r="J27" i="68"/>
  <c r="I27" i="68"/>
  <c r="H27" i="68"/>
  <c r="G27" i="68"/>
  <c r="F27" i="68"/>
  <c r="F26" i="68" s="1"/>
  <c r="E27" i="68"/>
  <c r="E26" i="68" s="1"/>
  <c r="D27" i="68"/>
  <c r="O25" i="68"/>
  <c r="N25" i="68"/>
  <c r="O24" i="68"/>
  <c r="N24" i="68"/>
  <c r="M24" i="68"/>
  <c r="L24" i="68"/>
  <c r="J24" i="68"/>
  <c r="I24" i="68"/>
  <c r="N23" i="68"/>
  <c r="M23" i="68"/>
  <c r="L23" i="68"/>
  <c r="K23" i="68"/>
  <c r="J23" i="68"/>
  <c r="I23" i="68"/>
  <c r="H23" i="68"/>
  <c r="G23" i="68"/>
  <c r="F23" i="68"/>
  <c r="E23" i="68"/>
  <c r="D23" i="68"/>
  <c r="N22" i="68"/>
  <c r="M22" i="68"/>
  <c r="L22" i="68"/>
  <c r="K22" i="68"/>
  <c r="J22" i="68"/>
  <c r="I22" i="68"/>
  <c r="H22" i="68"/>
  <c r="G22" i="68"/>
  <c r="F22" i="68"/>
  <c r="E22" i="68"/>
  <c r="D22" i="68"/>
  <c r="N21" i="68"/>
  <c r="M21" i="68"/>
  <c r="L21" i="68"/>
  <c r="K21" i="68"/>
  <c r="J21" i="68"/>
  <c r="I21" i="68"/>
  <c r="H21" i="68"/>
  <c r="G21" i="68"/>
  <c r="F21" i="68"/>
  <c r="E21" i="68"/>
  <c r="D21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N18" i="68"/>
  <c r="M18" i="68"/>
  <c r="L18" i="68"/>
  <c r="K18" i="68"/>
  <c r="J18" i="68"/>
  <c r="I18" i="68"/>
  <c r="H18" i="68"/>
  <c r="G18" i="68"/>
  <c r="F18" i="68"/>
  <c r="E18" i="68"/>
  <c r="D18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N14" i="68"/>
  <c r="M14" i="68"/>
  <c r="L14" i="68"/>
  <c r="K14" i="68"/>
  <c r="J14" i="68"/>
  <c r="I14" i="68"/>
  <c r="H14" i="68"/>
  <c r="G14" i="68"/>
  <c r="F14" i="68"/>
  <c r="E14" i="68"/>
  <c r="D14" i="68"/>
  <c r="N13" i="68"/>
  <c r="M13" i="68"/>
  <c r="L13" i="68"/>
  <c r="K13" i="68"/>
  <c r="J13" i="68"/>
  <c r="I13" i="68"/>
  <c r="H13" i="68"/>
  <c r="G13" i="68"/>
  <c r="F13" i="68"/>
  <c r="E13" i="68"/>
  <c r="D13" i="68"/>
  <c r="Q33" i="66"/>
  <c r="Q32" i="66"/>
  <c r="P33" i="66"/>
  <c r="P32" i="66" s="1"/>
  <c r="O32" i="66"/>
  <c r="N32" i="66"/>
  <c r="M32" i="66"/>
  <c r="L32" i="66"/>
  <c r="K32" i="66"/>
  <c r="J32" i="66"/>
  <c r="I32" i="66"/>
  <c r="H32" i="66"/>
  <c r="G32" i="66"/>
  <c r="F32" i="66"/>
  <c r="E32" i="66"/>
  <c r="D32" i="66"/>
  <c r="O31" i="66"/>
  <c r="N31" i="66"/>
  <c r="M31" i="66"/>
  <c r="L31" i="66"/>
  <c r="K31" i="66"/>
  <c r="J31" i="66"/>
  <c r="I31" i="66"/>
  <c r="H31" i="66"/>
  <c r="G31" i="66"/>
  <c r="O30" i="66"/>
  <c r="N30" i="66"/>
  <c r="M30" i="66"/>
  <c r="L30" i="66"/>
  <c r="K30" i="66"/>
  <c r="J30" i="66"/>
  <c r="I30" i="66"/>
  <c r="H30" i="66"/>
  <c r="G30" i="66"/>
  <c r="F30" i="66"/>
  <c r="E30" i="66"/>
  <c r="D30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O27" i="66"/>
  <c r="O26" i="66" s="1"/>
  <c r="N27" i="66"/>
  <c r="M27" i="66"/>
  <c r="L27" i="66"/>
  <c r="K27" i="66"/>
  <c r="J27" i="66"/>
  <c r="I27" i="66"/>
  <c r="H27" i="66"/>
  <c r="G27" i="66"/>
  <c r="F27" i="66"/>
  <c r="E27" i="66"/>
  <c r="E26" i="66" s="1"/>
  <c r="D27" i="66"/>
  <c r="D26" i="66" s="1"/>
  <c r="O25" i="66"/>
  <c r="N25" i="66"/>
  <c r="O24" i="66"/>
  <c r="N24" i="66"/>
  <c r="M24" i="66"/>
  <c r="L24" i="66"/>
  <c r="J24" i="66"/>
  <c r="I24" i="66"/>
  <c r="N23" i="66"/>
  <c r="M23" i="66"/>
  <c r="L23" i="66"/>
  <c r="K23" i="66"/>
  <c r="J23" i="66"/>
  <c r="I23" i="66"/>
  <c r="N22" i="66"/>
  <c r="M22" i="66"/>
  <c r="L22" i="66"/>
  <c r="K22" i="66"/>
  <c r="J22" i="66"/>
  <c r="I22" i="66"/>
  <c r="N21" i="66"/>
  <c r="M21" i="66"/>
  <c r="L21" i="66"/>
  <c r="K21" i="66"/>
  <c r="J21" i="66"/>
  <c r="I21" i="66"/>
  <c r="H21" i="66"/>
  <c r="G21" i="66"/>
  <c r="F21" i="66"/>
  <c r="E21" i="66"/>
  <c r="D21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N18" i="66"/>
  <c r="M18" i="66"/>
  <c r="L18" i="66"/>
  <c r="K18" i="66"/>
  <c r="J18" i="66"/>
  <c r="I18" i="66"/>
  <c r="H18" i="66"/>
  <c r="G18" i="66"/>
  <c r="F18" i="66"/>
  <c r="E18" i="66"/>
  <c r="D18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O16" i="66"/>
  <c r="N16" i="66"/>
  <c r="M16" i="66"/>
  <c r="L16" i="66"/>
  <c r="K16" i="66"/>
  <c r="J16" i="66"/>
  <c r="I16" i="66"/>
  <c r="H16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N14" i="66"/>
  <c r="M14" i="66"/>
  <c r="L14" i="66"/>
  <c r="K14" i="66"/>
  <c r="J14" i="66"/>
  <c r="I14" i="66"/>
  <c r="H14" i="66"/>
  <c r="G14" i="66"/>
  <c r="F14" i="66"/>
  <c r="E14" i="66"/>
  <c r="D14" i="66"/>
  <c r="N13" i="66"/>
  <c r="M13" i="66"/>
  <c r="L13" i="66"/>
  <c r="K13" i="66"/>
  <c r="J13" i="66"/>
  <c r="I13" i="66"/>
  <c r="H13" i="66"/>
  <c r="G13" i="66"/>
  <c r="F13" i="66"/>
  <c r="E13" i="66"/>
  <c r="D13" i="66"/>
  <c r="L115" i="63"/>
  <c r="C115" i="63"/>
  <c r="D115" i="63" s="1"/>
  <c r="C114" i="63"/>
  <c r="D114" i="63" s="1"/>
  <c r="C113" i="63"/>
  <c r="D113" i="63" s="1"/>
  <c r="C112" i="63"/>
  <c r="D112" i="63" s="1"/>
  <c r="S108" i="63"/>
  <c r="J108" i="63"/>
  <c r="M108" i="63" s="1"/>
  <c r="N108" i="63" s="1"/>
  <c r="O108" i="63" s="1"/>
  <c r="I108" i="63"/>
  <c r="S107" i="63"/>
  <c r="J107" i="63"/>
  <c r="M107" i="63" s="1"/>
  <c r="R107" i="63" s="1"/>
  <c r="T107" i="63" s="1"/>
  <c r="U107" i="63" s="1"/>
  <c r="I107" i="63"/>
  <c r="S106" i="63"/>
  <c r="J106" i="63"/>
  <c r="M106" i="63" s="1"/>
  <c r="I106" i="63"/>
  <c r="S105" i="63"/>
  <c r="J105" i="63"/>
  <c r="M105" i="63" s="1"/>
  <c r="N105" i="63" s="1"/>
  <c r="O105" i="63" s="1"/>
  <c r="P105" i="63" s="1"/>
  <c r="I105" i="63"/>
  <c r="S104" i="63"/>
  <c r="J104" i="63"/>
  <c r="M104" i="63" s="1"/>
  <c r="R104" i="63" s="1"/>
  <c r="T104" i="63" s="1"/>
  <c r="U104" i="63" s="1"/>
  <c r="I104" i="63"/>
  <c r="S103" i="63"/>
  <c r="J103" i="63"/>
  <c r="M103" i="63" s="1"/>
  <c r="N103" i="63" s="1"/>
  <c r="O103" i="63" s="1"/>
  <c r="P103" i="63" s="1"/>
  <c r="I103" i="63"/>
  <c r="S102" i="63"/>
  <c r="J102" i="63"/>
  <c r="M102" i="63" s="1"/>
  <c r="R102" i="63" s="1"/>
  <c r="T102" i="63" s="1"/>
  <c r="U102" i="63" s="1"/>
  <c r="I102" i="63"/>
  <c r="S101" i="63"/>
  <c r="J101" i="63"/>
  <c r="M101" i="63" s="1"/>
  <c r="R101" i="63" s="1"/>
  <c r="T101" i="63" s="1"/>
  <c r="U101" i="63" s="1"/>
  <c r="I101" i="63"/>
  <c r="S100" i="63"/>
  <c r="J100" i="63"/>
  <c r="M100" i="63" s="1"/>
  <c r="I100" i="63"/>
  <c r="S99" i="63"/>
  <c r="J99" i="63"/>
  <c r="M99" i="63" s="1"/>
  <c r="N99" i="63" s="1"/>
  <c r="O99" i="63" s="1"/>
  <c r="P99" i="63" s="1"/>
  <c r="I99" i="63"/>
  <c r="S98" i="63"/>
  <c r="J98" i="63"/>
  <c r="M98" i="63" s="1"/>
  <c r="I98" i="63"/>
  <c r="S97" i="63"/>
  <c r="J97" i="63"/>
  <c r="M97" i="63" s="1"/>
  <c r="I97" i="63"/>
  <c r="S96" i="63"/>
  <c r="J96" i="63"/>
  <c r="M96" i="63" s="1"/>
  <c r="R96" i="63" s="1"/>
  <c r="T96" i="63" s="1"/>
  <c r="U96" i="63" s="1"/>
  <c r="I96" i="63"/>
  <c r="S95" i="63"/>
  <c r="J95" i="63"/>
  <c r="M95" i="63" s="1"/>
  <c r="N95" i="63" s="1"/>
  <c r="O95" i="63" s="1"/>
  <c r="P95" i="63" s="1"/>
  <c r="I95" i="63"/>
  <c r="S94" i="63"/>
  <c r="J94" i="63"/>
  <c r="M94" i="63" s="1"/>
  <c r="N94" i="63" s="1"/>
  <c r="O94" i="63" s="1"/>
  <c r="P94" i="63" s="1"/>
  <c r="I94" i="63"/>
  <c r="S93" i="63"/>
  <c r="J93" i="63"/>
  <c r="M93" i="63" s="1"/>
  <c r="N93" i="63" s="1"/>
  <c r="O93" i="63" s="1"/>
  <c r="P93" i="63" s="1"/>
  <c r="I93" i="63"/>
  <c r="S92" i="63"/>
  <c r="J92" i="63"/>
  <c r="M92" i="63" s="1"/>
  <c r="R92" i="63" s="1"/>
  <c r="T92" i="63" s="1"/>
  <c r="U92" i="63" s="1"/>
  <c r="I92" i="63"/>
  <c r="S91" i="63"/>
  <c r="J91" i="63"/>
  <c r="M91" i="63" s="1"/>
  <c r="N91" i="63" s="1"/>
  <c r="O91" i="63" s="1"/>
  <c r="P91" i="63" s="1"/>
  <c r="I91" i="63"/>
  <c r="S90" i="63"/>
  <c r="J90" i="63"/>
  <c r="M90" i="63" s="1"/>
  <c r="N90" i="63" s="1"/>
  <c r="I90" i="63"/>
  <c r="S89" i="63"/>
  <c r="J89" i="63"/>
  <c r="M89" i="63" s="1"/>
  <c r="R89" i="63" s="1"/>
  <c r="I89" i="63"/>
  <c r="S88" i="63"/>
  <c r="J88" i="63"/>
  <c r="M88" i="63" s="1"/>
  <c r="R88" i="63" s="1"/>
  <c r="T88" i="63" s="1"/>
  <c r="U88" i="63" s="1"/>
  <c r="I88" i="63"/>
  <c r="S87" i="63"/>
  <c r="J87" i="63"/>
  <c r="M87" i="63" s="1"/>
  <c r="N87" i="63" s="1"/>
  <c r="O87" i="63" s="1"/>
  <c r="P87" i="63" s="1"/>
  <c r="I87" i="63"/>
  <c r="S86" i="63"/>
  <c r="J86" i="63"/>
  <c r="M86" i="63" s="1"/>
  <c r="R86" i="63" s="1"/>
  <c r="T86" i="63" s="1"/>
  <c r="U86" i="63" s="1"/>
  <c r="I86" i="63"/>
  <c r="S85" i="63"/>
  <c r="J85" i="63"/>
  <c r="M85" i="63" s="1"/>
  <c r="I85" i="63"/>
  <c r="S84" i="63"/>
  <c r="J84" i="63"/>
  <c r="M84" i="63" s="1"/>
  <c r="R84" i="63" s="1"/>
  <c r="T84" i="63" s="1"/>
  <c r="U84" i="63" s="1"/>
  <c r="I84" i="63"/>
  <c r="S83" i="63"/>
  <c r="J83" i="63"/>
  <c r="M83" i="63" s="1"/>
  <c r="I83" i="63"/>
  <c r="S82" i="63"/>
  <c r="J82" i="63"/>
  <c r="M82" i="63" s="1"/>
  <c r="N82" i="63" s="1"/>
  <c r="O82" i="63" s="1"/>
  <c r="P82" i="63" s="1"/>
  <c r="I82" i="63"/>
  <c r="S81" i="63"/>
  <c r="J81" i="63"/>
  <c r="M81" i="63" s="1"/>
  <c r="I81" i="63"/>
  <c r="S80" i="63"/>
  <c r="J80" i="63"/>
  <c r="M80" i="63" s="1"/>
  <c r="I80" i="63"/>
  <c r="S79" i="63"/>
  <c r="J79" i="63"/>
  <c r="M79" i="63" s="1"/>
  <c r="N79" i="63" s="1"/>
  <c r="O79" i="63" s="1"/>
  <c r="P79" i="63" s="1"/>
  <c r="I79" i="63"/>
  <c r="S78" i="63"/>
  <c r="J78" i="63"/>
  <c r="M78" i="63" s="1"/>
  <c r="N78" i="63" s="1"/>
  <c r="O78" i="63" s="1"/>
  <c r="P78" i="63" s="1"/>
  <c r="I78" i="63"/>
  <c r="S77" i="63"/>
  <c r="J77" i="63"/>
  <c r="M77" i="63" s="1"/>
  <c r="R77" i="63" s="1"/>
  <c r="T77" i="63" s="1"/>
  <c r="U77" i="63" s="1"/>
  <c r="I77" i="63"/>
  <c r="S76" i="63"/>
  <c r="J76" i="63"/>
  <c r="M76" i="63" s="1"/>
  <c r="I76" i="63"/>
  <c r="S75" i="63"/>
  <c r="J75" i="63"/>
  <c r="M75" i="63" s="1"/>
  <c r="I75" i="63"/>
  <c r="S74" i="63"/>
  <c r="J74" i="63"/>
  <c r="M74" i="63" s="1"/>
  <c r="N74" i="63" s="1"/>
  <c r="O74" i="63" s="1"/>
  <c r="P74" i="63" s="1"/>
  <c r="I74" i="63"/>
  <c r="S73" i="63"/>
  <c r="J73" i="63"/>
  <c r="M73" i="63" s="1"/>
  <c r="R73" i="63" s="1"/>
  <c r="I73" i="63"/>
  <c r="S72" i="63"/>
  <c r="J72" i="63"/>
  <c r="M72" i="63" s="1"/>
  <c r="R72" i="63" s="1"/>
  <c r="T72" i="63" s="1"/>
  <c r="U72" i="63" s="1"/>
  <c r="I72" i="63"/>
  <c r="S71" i="63"/>
  <c r="J71" i="63"/>
  <c r="M71" i="63" s="1"/>
  <c r="I71" i="63"/>
  <c r="S70" i="63"/>
  <c r="J70" i="63"/>
  <c r="M70" i="63" s="1"/>
  <c r="N70" i="63" s="1"/>
  <c r="O70" i="63" s="1"/>
  <c r="P70" i="63" s="1"/>
  <c r="I70" i="63"/>
  <c r="S69" i="63"/>
  <c r="J69" i="63"/>
  <c r="M69" i="63" s="1"/>
  <c r="R69" i="63" s="1"/>
  <c r="I69" i="63"/>
  <c r="S68" i="63"/>
  <c r="J68" i="63"/>
  <c r="M68" i="63" s="1"/>
  <c r="R68" i="63" s="1"/>
  <c r="T68" i="63" s="1"/>
  <c r="U68" i="63" s="1"/>
  <c r="I68" i="63"/>
  <c r="S67" i="63"/>
  <c r="J67" i="63"/>
  <c r="M67" i="63" s="1"/>
  <c r="I67" i="63"/>
  <c r="S66" i="63"/>
  <c r="J66" i="63"/>
  <c r="M66" i="63" s="1"/>
  <c r="N66" i="63" s="1"/>
  <c r="O66" i="63" s="1"/>
  <c r="P66" i="63" s="1"/>
  <c r="I66" i="63"/>
  <c r="S65" i="63"/>
  <c r="J65" i="63"/>
  <c r="M65" i="63" s="1"/>
  <c r="R65" i="63" s="1"/>
  <c r="I65" i="63"/>
  <c r="S64" i="63"/>
  <c r="J64" i="63"/>
  <c r="M64" i="63" s="1"/>
  <c r="I64" i="63"/>
  <c r="S63" i="63"/>
  <c r="J63" i="63"/>
  <c r="M63" i="63" s="1"/>
  <c r="N63" i="63" s="1"/>
  <c r="O63" i="63" s="1"/>
  <c r="P63" i="63" s="1"/>
  <c r="I63" i="63"/>
  <c r="S62" i="63"/>
  <c r="J62" i="63"/>
  <c r="M62" i="63" s="1"/>
  <c r="R62" i="63" s="1"/>
  <c r="T62" i="63" s="1"/>
  <c r="U62" i="63" s="1"/>
  <c r="I62" i="63"/>
  <c r="S61" i="63"/>
  <c r="J61" i="63"/>
  <c r="M61" i="63" s="1"/>
  <c r="N61" i="63" s="1"/>
  <c r="O61" i="63" s="1"/>
  <c r="P61" i="63" s="1"/>
  <c r="I61" i="63"/>
  <c r="S60" i="63"/>
  <c r="J60" i="63"/>
  <c r="M60" i="63" s="1"/>
  <c r="R60" i="63" s="1"/>
  <c r="T60" i="63" s="1"/>
  <c r="U60" i="63" s="1"/>
  <c r="I60" i="63"/>
  <c r="S59" i="63"/>
  <c r="J59" i="63"/>
  <c r="M59" i="63" s="1"/>
  <c r="I59" i="63"/>
  <c r="S58" i="63"/>
  <c r="J58" i="63"/>
  <c r="M58" i="63" s="1"/>
  <c r="R58" i="63" s="1"/>
  <c r="T58" i="63" s="1"/>
  <c r="U58" i="63" s="1"/>
  <c r="I58" i="63"/>
  <c r="S57" i="63"/>
  <c r="J57" i="63"/>
  <c r="M57" i="63" s="1"/>
  <c r="N57" i="63" s="1"/>
  <c r="O57" i="63" s="1"/>
  <c r="P57" i="63" s="1"/>
  <c r="I57" i="63"/>
  <c r="S56" i="63"/>
  <c r="J56" i="63"/>
  <c r="M56" i="63" s="1"/>
  <c r="I56" i="63"/>
  <c r="S55" i="63"/>
  <c r="J55" i="63"/>
  <c r="M55" i="63" s="1"/>
  <c r="N55" i="63" s="1"/>
  <c r="O55" i="63" s="1"/>
  <c r="P55" i="63" s="1"/>
  <c r="I55" i="63"/>
  <c r="S54" i="63"/>
  <c r="J54" i="63"/>
  <c r="M54" i="63" s="1"/>
  <c r="R54" i="63" s="1"/>
  <c r="T54" i="63" s="1"/>
  <c r="U54" i="63" s="1"/>
  <c r="I54" i="63"/>
  <c r="S53" i="63"/>
  <c r="J53" i="63"/>
  <c r="M53" i="63" s="1"/>
  <c r="R53" i="63" s="1"/>
  <c r="T53" i="63" s="1"/>
  <c r="U53" i="63" s="1"/>
  <c r="I53" i="63"/>
  <c r="S52" i="63"/>
  <c r="J52" i="63"/>
  <c r="M52" i="63" s="1"/>
  <c r="R52" i="63" s="1"/>
  <c r="T52" i="63" s="1"/>
  <c r="U52" i="63" s="1"/>
  <c r="I52" i="63"/>
  <c r="S51" i="63"/>
  <c r="J51" i="63"/>
  <c r="M51" i="63" s="1"/>
  <c r="N51" i="63" s="1"/>
  <c r="O51" i="63" s="1"/>
  <c r="P51" i="63" s="1"/>
  <c r="I51" i="63"/>
  <c r="S50" i="63"/>
  <c r="J50" i="63"/>
  <c r="M50" i="63" s="1"/>
  <c r="N50" i="63" s="1"/>
  <c r="O50" i="63" s="1"/>
  <c r="P50" i="63" s="1"/>
  <c r="I50" i="63"/>
  <c r="S49" i="63"/>
  <c r="J49" i="63"/>
  <c r="M49" i="63" s="1"/>
  <c r="R49" i="63" s="1"/>
  <c r="I49" i="63"/>
  <c r="S48" i="63"/>
  <c r="J48" i="63"/>
  <c r="M48" i="63" s="1"/>
  <c r="R48" i="63" s="1"/>
  <c r="T48" i="63" s="1"/>
  <c r="U48" i="63" s="1"/>
  <c r="I48" i="63"/>
  <c r="S47" i="63"/>
  <c r="J47" i="63"/>
  <c r="M47" i="63" s="1"/>
  <c r="N47" i="63" s="1"/>
  <c r="O47" i="63" s="1"/>
  <c r="P47" i="63" s="1"/>
  <c r="I47" i="63"/>
  <c r="S46" i="63"/>
  <c r="J46" i="63"/>
  <c r="M46" i="63" s="1"/>
  <c r="R46" i="63" s="1"/>
  <c r="T46" i="63" s="1"/>
  <c r="U46" i="63" s="1"/>
  <c r="I46" i="63"/>
  <c r="S45" i="63"/>
  <c r="J45" i="63"/>
  <c r="M45" i="63" s="1"/>
  <c r="R45" i="63" s="1"/>
  <c r="T45" i="63" s="1"/>
  <c r="U45" i="63" s="1"/>
  <c r="I45" i="63"/>
  <c r="S44" i="63"/>
  <c r="J44" i="63"/>
  <c r="M44" i="63" s="1"/>
  <c r="R44" i="63" s="1"/>
  <c r="T44" i="63" s="1"/>
  <c r="U44" i="63" s="1"/>
  <c r="I44" i="63"/>
  <c r="S43" i="63"/>
  <c r="J43" i="63"/>
  <c r="M43" i="63" s="1"/>
  <c r="N43" i="63" s="1"/>
  <c r="O43" i="63" s="1"/>
  <c r="P43" i="63" s="1"/>
  <c r="I43" i="63"/>
  <c r="S42" i="63"/>
  <c r="J42" i="63"/>
  <c r="M42" i="63" s="1"/>
  <c r="R42" i="63" s="1"/>
  <c r="T42" i="63" s="1"/>
  <c r="U42" i="63" s="1"/>
  <c r="I42" i="63"/>
  <c r="S41" i="63"/>
  <c r="J41" i="63"/>
  <c r="M41" i="63" s="1"/>
  <c r="I41" i="63"/>
  <c r="S40" i="63"/>
  <c r="J40" i="63"/>
  <c r="M40" i="63" s="1"/>
  <c r="R40" i="63" s="1"/>
  <c r="T40" i="63" s="1"/>
  <c r="U40" i="63" s="1"/>
  <c r="I40" i="63"/>
  <c r="S39" i="63"/>
  <c r="J39" i="63"/>
  <c r="M39" i="63" s="1"/>
  <c r="I39" i="63"/>
  <c r="S38" i="63"/>
  <c r="J38" i="63"/>
  <c r="M38" i="63" s="1"/>
  <c r="R38" i="63" s="1"/>
  <c r="T38" i="63" s="1"/>
  <c r="U38" i="63" s="1"/>
  <c r="I38" i="63"/>
  <c r="S37" i="63"/>
  <c r="J37" i="63"/>
  <c r="M37" i="63" s="1"/>
  <c r="R37" i="63" s="1"/>
  <c r="I37" i="63"/>
  <c r="S36" i="63"/>
  <c r="J36" i="63"/>
  <c r="M36" i="63" s="1"/>
  <c r="I36" i="63"/>
  <c r="S35" i="63"/>
  <c r="J35" i="63"/>
  <c r="M35" i="63" s="1"/>
  <c r="I35" i="63"/>
  <c r="S34" i="63"/>
  <c r="J34" i="63"/>
  <c r="M34" i="63" s="1"/>
  <c r="N34" i="63" s="1"/>
  <c r="O34" i="63" s="1"/>
  <c r="P34" i="63" s="1"/>
  <c r="I34" i="63"/>
  <c r="S33" i="63"/>
  <c r="J33" i="63"/>
  <c r="M33" i="63" s="1"/>
  <c r="R33" i="63" s="1"/>
  <c r="I33" i="63"/>
  <c r="S32" i="63"/>
  <c r="J32" i="63"/>
  <c r="M32" i="63" s="1"/>
  <c r="I32" i="63"/>
  <c r="S31" i="63"/>
  <c r="J31" i="63"/>
  <c r="M31" i="63" s="1"/>
  <c r="N31" i="63" s="1"/>
  <c r="O31" i="63" s="1"/>
  <c r="P31" i="63" s="1"/>
  <c r="I31" i="63"/>
  <c r="S30" i="63"/>
  <c r="J30" i="63"/>
  <c r="M30" i="63" s="1"/>
  <c r="R30" i="63" s="1"/>
  <c r="T30" i="63" s="1"/>
  <c r="U30" i="63" s="1"/>
  <c r="I30" i="63"/>
  <c r="S29" i="63"/>
  <c r="J29" i="63"/>
  <c r="M29" i="63" s="1"/>
  <c r="R29" i="63" s="1"/>
  <c r="I29" i="63"/>
  <c r="S28" i="63"/>
  <c r="J28" i="63"/>
  <c r="M28" i="63" s="1"/>
  <c r="R28" i="63" s="1"/>
  <c r="T28" i="63" s="1"/>
  <c r="U28" i="63" s="1"/>
  <c r="I28" i="63"/>
  <c r="S27" i="63"/>
  <c r="J27" i="63"/>
  <c r="M27" i="63" s="1"/>
  <c r="I27" i="63"/>
  <c r="S26" i="63"/>
  <c r="J26" i="63"/>
  <c r="M26" i="63" s="1"/>
  <c r="R26" i="63" s="1"/>
  <c r="T26" i="63" s="1"/>
  <c r="U26" i="63" s="1"/>
  <c r="I26" i="63"/>
  <c r="S25" i="63"/>
  <c r="J25" i="63"/>
  <c r="M25" i="63" s="1"/>
  <c r="R25" i="63" s="1"/>
  <c r="I25" i="63"/>
  <c r="S24" i="63"/>
  <c r="J24" i="63"/>
  <c r="M24" i="63" s="1"/>
  <c r="R24" i="63" s="1"/>
  <c r="T24" i="63" s="1"/>
  <c r="U24" i="63" s="1"/>
  <c r="I24" i="63"/>
  <c r="S23" i="63"/>
  <c r="J23" i="63"/>
  <c r="M23" i="63" s="1"/>
  <c r="N23" i="63" s="1"/>
  <c r="O23" i="63" s="1"/>
  <c r="P23" i="63" s="1"/>
  <c r="I23" i="63"/>
  <c r="S22" i="63"/>
  <c r="J22" i="63"/>
  <c r="M22" i="63" s="1"/>
  <c r="R22" i="63" s="1"/>
  <c r="T22" i="63" s="1"/>
  <c r="U22" i="63" s="1"/>
  <c r="I22" i="63"/>
  <c r="S21" i="63"/>
  <c r="J21" i="63"/>
  <c r="M21" i="63" s="1"/>
  <c r="R21" i="63" s="1"/>
  <c r="I21" i="63"/>
  <c r="S20" i="63"/>
  <c r="J20" i="63"/>
  <c r="M20" i="63" s="1"/>
  <c r="R20" i="63" s="1"/>
  <c r="T20" i="63" s="1"/>
  <c r="U20" i="63" s="1"/>
  <c r="I20" i="63"/>
  <c r="S19" i="63"/>
  <c r="J19" i="63"/>
  <c r="M19" i="63" s="1"/>
  <c r="N19" i="63" s="1"/>
  <c r="O19" i="63" s="1"/>
  <c r="P19" i="63" s="1"/>
  <c r="I19" i="63"/>
  <c r="S18" i="63"/>
  <c r="J18" i="63"/>
  <c r="M18" i="63" s="1"/>
  <c r="N18" i="63" s="1"/>
  <c r="O18" i="63" s="1"/>
  <c r="P18" i="63" s="1"/>
  <c r="I18" i="63"/>
  <c r="S17" i="63"/>
  <c r="J17" i="63"/>
  <c r="M17" i="63" s="1"/>
  <c r="R17" i="63" s="1"/>
  <c r="I17" i="63"/>
  <c r="S16" i="63"/>
  <c r="J16" i="63"/>
  <c r="M16" i="63" s="1"/>
  <c r="I16" i="63"/>
  <c r="S15" i="63"/>
  <c r="J15" i="63"/>
  <c r="M15" i="63" s="1"/>
  <c r="N15" i="63" s="1"/>
  <c r="O15" i="63" s="1"/>
  <c r="P15" i="63" s="1"/>
  <c r="I15" i="63"/>
  <c r="S14" i="63"/>
  <c r="J14" i="63"/>
  <c r="M14" i="63" s="1"/>
  <c r="R14" i="63" s="1"/>
  <c r="T14" i="63" s="1"/>
  <c r="U14" i="63" s="1"/>
  <c r="I14" i="63"/>
  <c r="S13" i="63"/>
  <c r="J13" i="63"/>
  <c r="M13" i="63" s="1"/>
  <c r="I13" i="63"/>
  <c r="S12" i="63"/>
  <c r="J12" i="63"/>
  <c r="M12" i="63" s="1"/>
  <c r="I12" i="63"/>
  <c r="S11" i="63"/>
  <c r="J11" i="63"/>
  <c r="M11" i="63" s="1"/>
  <c r="N11" i="63" s="1"/>
  <c r="O11" i="63" s="1"/>
  <c r="P11" i="63" s="1"/>
  <c r="I11" i="63"/>
  <c r="S10" i="63"/>
  <c r="J10" i="63"/>
  <c r="M10" i="63" s="1"/>
  <c r="R10" i="63" s="1"/>
  <c r="T10" i="63" s="1"/>
  <c r="U10" i="63" s="1"/>
  <c r="I10" i="63"/>
  <c r="S9" i="63"/>
  <c r="J9" i="63"/>
  <c r="M9" i="63" s="1"/>
  <c r="R9" i="63" s="1"/>
  <c r="T9" i="63" s="1"/>
  <c r="U9" i="63" s="1"/>
  <c r="I9" i="63"/>
  <c r="S8" i="63"/>
  <c r="J8" i="63"/>
  <c r="M8" i="63" s="1"/>
  <c r="R8" i="63" s="1"/>
  <c r="T8" i="63" s="1"/>
  <c r="U8" i="63" s="1"/>
  <c r="K90" i="5"/>
  <c r="E89" i="5"/>
  <c r="C89" i="5"/>
  <c r="A89" i="5"/>
  <c r="E88" i="5"/>
  <c r="C88" i="5"/>
  <c r="A88" i="5"/>
  <c r="E86" i="5"/>
  <c r="C86" i="5"/>
  <c r="C90" i="5" s="1"/>
  <c r="A86" i="5"/>
  <c r="E85" i="5"/>
  <c r="A85" i="5"/>
  <c r="E84" i="5"/>
  <c r="A84" i="5"/>
  <c r="E83" i="5"/>
  <c r="A83" i="5"/>
  <c r="E82" i="5"/>
  <c r="A82" i="5"/>
  <c r="E81" i="5"/>
  <c r="A81" i="5"/>
  <c r="K77" i="5"/>
  <c r="I76" i="5"/>
  <c r="E76" i="5"/>
  <c r="C76" i="5"/>
  <c r="A76" i="5"/>
  <c r="I75" i="5"/>
  <c r="E75" i="5"/>
  <c r="C75" i="5"/>
  <c r="A75" i="5"/>
  <c r="E74" i="5"/>
  <c r="I73" i="5"/>
  <c r="E73" i="5"/>
  <c r="C73" i="5"/>
  <c r="A73" i="5"/>
  <c r="I72" i="5"/>
  <c r="E72" i="5"/>
  <c r="C72" i="5"/>
  <c r="A72" i="5"/>
  <c r="I71" i="5"/>
  <c r="E71" i="5"/>
  <c r="C71" i="5"/>
  <c r="A71" i="5"/>
  <c r="I70" i="5"/>
  <c r="E70" i="5"/>
  <c r="C70" i="5"/>
  <c r="C77" i="5" s="1"/>
  <c r="A70" i="5"/>
  <c r="I69" i="5"/>
  <c r="E69" i="5"/>
  <c r="A69" i="5"/>
  <c r="I68" i="5"/>
  <c r="E68" i="5"/>
  <c r="A68" i="5"/>
  <c r="K63" i="5"/>
  <c r="I63" i="5"/>
  <c r="G63" i="5"/>
  <c r="E63" i="5"/>
  <c r="C63" i="5"/>
  <c r="A63" i="5"/>
  <c r="K62" i="5"/>
  <c r="I62" i="5"/>
  <c r="G62" i="5"/>
  <c r="E62" i="5"/>
  <c r="C62" i="5"/>
  <c r="A62" i="5"/>
  <c r="K60" i="5"/>
  <c r="I60" i="5"/>
  <c r="G60" i="5"/>
  <c r="E60" i="5"/>
  <c r="C60" i="5"/>
  <c r="A60" i="5"/>
  <c r="K59" i="5"/>
  <c r="I59" i="5"/>
  <c r="G59" i="5"/>
  <c r="E59" i="5"/>
  <c r="C59" i="5"/>
  <c r="A59" i="5"/>
  <c r="I58" i="5"/>
  <c r="G58" i="5"/>
  <c r="E58" i="5"/>
  <c r="A58" i="5"/>
  <c r="K57" i="5"/>
  <c r="I57" i="5"/>
  <c r="E57" i="5"/>
  <c r="C57" i="5"/>
  <c r="A57" i="5"/>
  <c r="K56" i="5"/>
  <c r="K64" i="5"/>
  <c r="I56" i="5"/>
  <c r="G56" i="5"/>
  <c r="G64" i="5"/>
  <c r="E56" i="5"/>
  <c r="C56" i="5"/>
  <c r="C64" i="5" s="1"/>
  <c r="A56" i="5"/>
  <c r="I55" i="5"/>
  <c r="E55" i="5"/>
  <c r="A55" i="5"/>
  <c r="Q54" i="5"/>
  <c r="Q56" i="5"/>
  <c r="Q59" i="5" s="1"/>
  <c r="K50" i="5"/>
  <c r="I50" i="5"/>
  <c r="G50" i="5"/>
  <c r="E50" i="5"/>
  <c r="C50" i="5"/>
  <c r="A50" i="5"/>
  <c r="K49" i="5"/>
  <c r="I49" i="5"/>
  <c r="G49" i="5"/>
  <c r="E49" i="5"/>
  <c r="C49" i="5"/>
  <c r="A49" i="5"/>
  <c r="K47" i="5"/>
  <c r="I47" i="5"/>
  <c r="G47" i="5"/>
  <c r="G51" i="5" s="1"/>
  <c r="E47" i="5"/>
  <c r="C47" i="5"/>
  <c r="A47" i="5"/>
  <c r="K46" i="5"/>
  <c r="I46" i="5"/>
  <c r="E46" i="5"/>
  <c r="C46" i="5"/>
  <c r="A46" i="5"/>
  <c r="I45" i="5"/>
  <c r="E45" i="5"/>
  <c r="C45" i="5"/>
  <c r="A45" i="5"/>
  <c r="K44" i="5"/>
  <c r="I44" i="5"/>
  <c r="E44" i="5"/>
  <c r="C44" i="5"/>
  <c r="A44" i="5"/>
  <c r="K43" i="5"/>
  <c r="K51" i="5" s="1"/>
  <c r="I43" i="5"/>
  <c r="E43" i="5"/>
  <c r="C43" i="5"/>
  <c r="C51" i="5" s="1"/>
  <c r="A43" i="5"/>
  <c r="I42" i="5"/>
  <c r="E42" i="5"/>
  <c r="A42" i="5"/>
  <c r="K37" i="5"/>
  <c r="I37" i="5"/>
  <c r="G37" i="5"/>
  <c r="E37" i="5"/>
  <c r="C37" i="5"/>
  <c r="A37" i="5"/>
  <c r="K36" i="5"/>
  <c r="I36" i="5"/>
  <c r="G36" i="5"/>
  <c r="E36" i="5"/>
  <c r="C36" i="5"/>
  <c r="A36" i="5"/>
  <c r="K34" i="5"/>
  <c r="I34" i="5"/>
  <c r="G34" i="5"/>
  <c r="E34" i="5"/>
  <c r="C34" i="5"/>
  <c r="A34" i="5"/>
  <c r="K33" i="5"/>
  <c r="I33" i="5"/>
  <c r="G33" i="5"/>
  <c r="G38" i="5" s="1"/>
  <c r="E33" i="5"/>
  <c r="C33" i="5"/>
  <c r="A33" i="5"/>
  <c r="K32" i="5"/>
  <c r="I32" i="5"/>
  <c r="E32" i="5"/>
  <c r="C32" i="5"/>
  <c r="C38" i="5" s="1"/>
  <c r="A32" i="5"/>
  <c r="K31" i="5"/>
  <c r="I31" i="5"/>
  <c r="E31" i="5"/>
  <c r="A31" i="5"/>
  <c r="K30" i="5"/>
  <c r="K38" i="5" s="1"/>
  <c r="I30" i="5"/>
  <c r="E30" i="5"/>
  <c r="A30" i="5"/>
  <c r="I29" i="5"/>
  <c r="E29" i="5"/>
  <c r="A29" i="5"/>
  <c r="C25" i="5"/>
  <c r="K24" i="5"/>
  <c r="I24" i="5"/>
  <c r="G24" i="5"/>
  <c r="E24" i="5"/>
  <c r="A24" i="5"/>
  <c r="K23" i="5"/>
  <c r="I23" i="5"/>
  <c r="G23" i="5"/>
  <c r="E23" i="5"/>
  <c r="A23" i="5"/>
  <c r="K21" i="5"/>
  <c r="I21" i="5"/>
  <c r="G21" i="5"/>
  <c r="G25" i="5" s="1"/>
  <c r="E21" i="5"/>
  <c r="A21" i="5"/>
  <c r="K20" i="5"/>
  <c r="K25" i="5" s="1"/>
  <c r="I20" i="5"/>
  <c r="E20" i="5"/>
  <c r="A20" i="5"/>
  <c r="I19" i="5"/>
  <c r="E19" i="5"/>
  <c r="A19" i="5"/>
  <c r="I18" i="5"/>
  <c r="E18" i="5"/>
  <c r="A18" i="5"/>
  <c r="I17" i="5"/>
  <c r="E17" i="5"/>
  <c r="A17" i="5"/>
  <c r="I16" i="5"/>
  <c r="E16" i="5"/>
  <c r="A16" i="5"/>
  <c r="C12" i="5"/>
  <c r="I11" i="5"/>
  <c r="E11" i="5"/>
  <c r="A11" i="5"/>
  <c r="I10" i="5"/>
  <c r="E10" i="5"/>
  <c r="A10" i="5"/>
  <c r="I8" i="5"/>
  <c r="G8" i="5"/>
  <c r="E8" i="5"/>
  <c r="A8" i="5"/>
  <c r="I7" i="5"/>
  <c r="E7" i="5"/>
  <c r="A7" i="5"/>
  <c r="I6" i="5"/>
  <c r="E6" i="5"/>
  <c r="A6" i="5"/>
  <c r="I5" i="5"/>
  <c r="E5" i="5"/>
  <c r="A5" i="5"/>
  <c r="I4" i="5"/>
  <c r="E4" i="5"/>
  <c r="A4" i="5"/>
  <c r="K3" i="5"/>
  <c r="K12" i="5" s="1"/>
  <c r="I3" i="5"/>
  <c r="G3" i="5"/>
  <c r="E3" i="5"/>
  <c r="A3" i="5"/>
  <c r="E26" i="21"/>
  <c r="E39" i="126" s="1"/>
  <c r="D26" i="21"/>
  <c r="AG93" i="42"/>
  <c r="AF93" i="42"/>
  <c r="AE93" i="42"/>
  <c r="AD93" i="42"/>
  <c r="AC93" i="42"/>
  <c r="AB93" i="42"/>
  <c r="AA93" i="42"/>
  <c r="Z93" i="42"/>
  <c r="Y93" i="42"/>
  <c r="X93" i="42"/>
  <c r="W93" i="42"/>
  <c r="V93" i="42"/>
  <c r="U93" i="42"/>
  <c r="T93" i="42"/>
  <c r="S93" i="42"/>
  <c r="R93" i="42"/>
  <c r="Q93" i="42"/>
  <c r="P93" i="42"/>
  <c r="O93" i="42"/>
  <c r="N93" i="42"/>
  <c r="M93" i="42"/>
  <c r="L93" i="42"/>
  <c r="K93" i="42"/>
  <c r="J93" i="42"/>
  <c r="I93" i="42"/>
  <c r="H93" i="42"/>
  <c r="G93" i="42"/>
  <c r="F93" i="42"/>
  <c r="E93" i="42"/>
  <c r="D93" i="42"/>
  <c r="AG92" i="42"/>
  <c r="AF92" i="42"/>
  <c r="AE92" i="42"/>
  <c r="AD92" i="42"/>
  <c r="AC92" i="42"/>
  <c r="AB92" i="42"/>
  <c r="AA92" i="42"/>
  <c r="Z92" i="42"/>
  <c r="Y92" i="42"/>
  <c r="X92" i="42"/>
  <c r="W92" i="42"/>
  <c r="V92" i="42"/>
  <c r="U92" i="42"/>
  <c r="T92" i="42"/>
  <c r="S92" i="42"/>
  <c r="R92" i="42"/>
  <c r="Q92" i="42"/>
  <c r="P92" i="42"/>
  <c r="O92" i="42"/>
  <c r="N92" i="42"/>
  <c r="M92" i="42"/>
  <c r="L92" i="42"/>
  <c r="K92" i="42"/>
  <c r="J92" i="42"/>
  <c r="I92" i="42"/>
  <c r="H92" i="42"/>
  <c r="G92" i="42"/>
  <c r="F92" i="42"/>
  <c r="E92" i="42"/>
  <c r="D92" i="42"/>
  <c r="AG91" i="42"/>
  <c r="AF91" i="42"/>
  <c r="AE91" i="42"/>
  <c r="AD91" i="42"/>
  <c r="AC91" i="42"/>
  <c r="AB91" i="42"/>
  <c r="AA91" i="42"/>
  <c r="Z91" i="42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AG90" i="42"/>
  <c r="AF90" i="42"/>
  <c r="AE90" i="42"/>
  <c r="AD90" i="42"/>
  <c r="AC90" i="42"/>
  <c r="AB90" i="42"/>
  <c r="AA90" i="42"/>
  <c r="Z90" i="42"/>
  <c r="Y90" i="42"/>
  <c r="X90" i="42"/>
  <c r="W90" i="42"/>
  <c r="V90" i="42"/>
  <c r="U90" i="42"/>
  <c r="T90" i="42"/>
  <c r="S90" i="42"/>
  <c r="R90" i="42"/>
  <c r="Q90" i="42"/>
  <c r="P90" i="42"/>
  <c r="O90" i="42"/>
  <c r="N90" i="42"/>
  <c r="M90" i="42"/>
  <c r="L90" i="42"/>
  <c r="K90" i="42"/>
  <c r="J90" i="42"/>
  <c r="I90" i="42"/>
  <c r="H90" i="42"/>
  <c r="G90" i="42"/>
  <c r="F90" i="42"/>
  <c r="E90" i="42"/>
  <c r="D90" i="42"/>
  <c r="AG89" i="42"/>
  <c r="AF89" i="42"/>
  <c r="AE89" i="42"/>
  <c r="AD89" i="42"/>
  <c r="AC89" i="42"/>
  <c r="AB89" i="42"/>
  <c r="AA89" i="42"/>
  <c r="Z89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AG88" i="42"/>
  <c r="AF88" i="42"/>
  <c r="AE88" i="42"/>
  <c r="AD88" i="42"/>
  <c r="AC88" i="42"/>
  <c r="AB88" i="42"/>
  <c r="AA88" i="42"/>
  <c r="Z88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AG87" i="42"/>
  <c r="AF87" i="42"/>
  <c r="AE87" i="42"/>
  <c r="AD87" i="42"/>
  <c r="AC87" i="42"/>
  <c r="AB87" i="42"/>
  <c r="AA87" i="42"/>
  <c r="Z87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AG86" i="42"/>
  <c r="AF86" i="42"/>
  <c r="AE86" i="42"/>
  <c r="AD86" i="42"/>
  <c r="AC86" i="42"/>
  <c r="AB86" i="42"/>
  <c r="AA86" i="42"/>
  <c r="Z86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AG85" i="42"/>
  <c r="AF85" i="42"/>
  <c r="AE85" i="42"/>
  <c r="AD85" i="42"/>
  <c r="AC85" i="42"/>
  <c r="AB85" i="42"/>
  <c r="AA85" i="42"/>
  <c r="Z85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AG84" i="42"/>
  <c r="AF84" i="42"/>
  <c r="AE84" i="42"/>
  <c r="AD84" i="42"/>
  <c r="AC84" i="42"/>
  <c r="AB84" i="42"/>
  <c r="AA84" i="42"/>
  <c r="Z84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AI84" i="42" s="1"/>
  <c r="AG83" i="42"/>
  <c r="AF83" i="42"/>
  <c r="AE83" i="42"/>
  <c r="AD83" i="42"/>
  <c r="AC83" i="42"/>
  <c r="AB83" i="42"/>
  <c r="AA83" i="42"/>
  <c r="Z83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AG82" i="42"/>
  <c r="AF82" i="42"/>
  <c r="AE82" i="42"/>
  <c r="AD82" i="42"/>
  <c r="AC82" i="42"/>
  <c r="AB82" i="42"/>
  <c r="AA82" i="42"/>
  <c r="Z82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AG81" i="42"/>
  <c r="AF81" i="42"/>
  <c r="AE81" i="42"/>
  <c r="AD81" i="42"/>
  <c r="AC81" i="42"/>
  <c r="AB81" i="42"/>
  <c r="AA81" i="42"/>
  <c r="Z81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AG80" i="42"/>
  <c r="AF80" i="42"/>
  <c r="AE80" i="42"/>
  <c r="AD80" i="42"/>
  <c r="AC80" i="42"/>
  <c r="AB80" i="42"/>
  <c r="AA80" i="42"/>
  <c r="Z80" i="42"/>
  <c r="Y80" i="42"/>
  <c r="X80" i="42"/>
  <c r="W80" i="42"/>
  <c r="V80" i="42"/>
  <c r="U80" i="42"/>
  <c r="T80" i="42"/>
  <c r="S80" i="42"/>
  <c r="R80" i="42"/>
  <c r="Q80" i="42"/>
  <c r="P80" i="42"/>
  <c r="O80" i="42"/>
  <c r="N80" i="42"/>
  <c r="M80" i="42"/>
  <c r="L80" i="42"/>
  <c r="K80" i="42"/>
  <c r="J80" i="42"/>
  <c r="I80" i="42"/>
  <c r="H80" i="42"/>
  <c r="G80" i="42"/>
  <c r="F80" i="42"/>
  <c r="E80" i="42"/>
  <c r="D80" i="42"/>
  <c r="AG79" i="42"/>
  <c r="AF79" i="42"/>
  <c r="AE79" i="42"/>
  <c r="AD79" i="42"/>
  <c r="AC79" i="42"/>
  <c r="AB79" i="42"/>
  <c r="AA79" i="42"/>
  <c r="Z79" i="42"/>
  <c r="Y79" i="42"/>
  <c r="X79" i="42"/>
  <c r="W79" i="42"/>
  <c r="V79" i="42"/>
  <c r="U79" i="42"/>
  <c r="T79" i="42"/>
  <c r="S79" i="42"/>
  <c r="R79" i="42"/>
  <c r="Q79" i="42"/>
  <c r="P79" i="42"/>
  <c r="O79" i="42"/>
  <c r="N79" i="42"/>
  <c r="M79" i="42"/>
  <c r="L79" i="42"/>
  <c r="K79" i="42"/>
  <c r="J79" i="42"/>
  <c r="I79" i="42"/>
  <c r="H79" i="42"/>
  <c r="G79" i="42"/>
  <c r="F79" i="42"/>
  <c r="E79" i="42"/>
  <c r="D79" i="42"/>
  <c r="AG78" i="42"/>
  <c r="AG77" i="42" s="1"/>
  <c r="AF78" i="42"/>
  <c r="AF77" i="42" s="1"/>
  <c r="AE78" i="42"/>
  <c r="AD78" i="42"/>
  <c r="AD77" i="42" s="1"/>
  <c r="AC78" i="42"/>
  <c r="AC77" i="42" s="1"/>
  <c r="AB78" i="42"/>
  <c r="AB77" i="42" s="1"/>
  <c r="AA78" i="42"/>
  <c r="AA77" i="42" s="1"/>
  <c r="Z78" i="42"/>
  <c r="Z77" i="42" s="1"/>
  <c r="Y78" i="42"/>
  <c r="Y77" i="42" s="1"/>
  <c r="X78" i="42"/>
  <c r="X77" i="42" s="1"/>
  <c r="W78" i="42"/>
  <c r="V78" i="42"/>
  <c r="V77" i="42" s="1"/>
  <c r="U78" i="42"/>
  <c r="U77" i="42" s="1"/>
  <c r="T78" i="42"/>
  <c r="T77" i="42" s="1"/>
  <c r="S78" i="42"/>
  <c r="R78" i="42"/>
  <c r="R77" i="42" s="1"/>
  <c r="R94" i="42" s="1"/>
  <c r="Q78" i="42"/>
  <c r="Q77" i="42" s="1"/>
  <c r="P78" i="42"/>
  <c r="P77" i="42" s="1"/>
  <c r="O78" i="42"/>
  <c r="O77" i="42" s="1"/>
  <c r="N78" i="42"/>
  <c r="M78" i="42"/>
  <c r="L78" i="42"/>
  <c r="L77" i="42" s="1"/>
  <c r="K78" i="42"/>
  <c r="K77" i="42" s="1"/>
  <c r="J78" i="42"/>
  <c r="J77" i="42" s="1"/>
  <c r="I78" i="42"/>
  <c r="I77" i="42" s="1"/>
  <c r="H78" i="42"/>
  <c r="H77" i="42" s="1"/>
  <c r="G78" i="42"/>
  <c r="G77" i="42" s="1"/>
  <c r="F78" i="42"/>
  <c r="F77" i="42" s="1"/>
  <c r="E78" i="42"/>
  <c r="D78" i="42"/>
  <c r="AH77" i="42"/>
  <c r="AE77" i="42"/>
  <c r="W77" i="42"/>
  <c r="S77" i="42"/>
  <c r="N77" i="42"/>
  <c r="M77" i="42"/>
  <c r="E77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AG73" i="42"/>
  <c r="AF73" i="42"/>
  <c r="AE73" i="42"/>
  <c r="AD73" i="42"/>
  <c r="AC73" i="42"/>
  <c r="AB73" i="42"/>
  <c r="AA73" i="42"/>
  <c r="Z73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AG72" i="42"/>
  <c r="AF72" i="42"/>
  <c r="AE72" i="42"/>
  <c r="AD72" i="42"/>
  <c r="AC72" i="42"/>
  <c r="AB72" i="42"/>
  <c r="AA72" i="42"/>
  <c r="Z72" i="42"/>
  <c r="Y72" i="42"/>
  <c r="X72" i="42"/>
  <c r="W72" i="42"/>
  <c r="V72" i="42"/>
  <c r="U72" i="42"/>
  <c r="T72" i="42"/>
  <c r="S72" i="42"/>
  <c r="R72" i="42"/>
  <c r="Q72" i="42"/>
  <c r="P72" i="42"/>
  <c r="O72" i="42"/>
  <c r="N72" i="42"/>
  <c r="M72" i="42"/>
  <c r="L72" i="42"/>
  <c r="K72" i="42"/>
  <c r="J72" i="42"/>
  <c r="I72" i="42"/>
  <c r="H72" i="42"/>
  <c r="G72" i="42"/>
  <c r="F72" i="42"/>
  <c r="E72" i="42"/>
  <c r="D72" i="42"/>
  <c r="AG71" i="42"/>
  <c r="AF71" i="42"/>
  <c r="AE71" i="42"/>
  <c r="AD71" i="42"/>
  <c r="AC71" i="42"/>
  <c r="AB71" i="42"/>
  <c r="AA71" i="42"/>
  <c r="Z71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AG70" i="42"/>
  <c r="AF70" i="42"/>
  <c r="AE70" i="42"/>
  <c r="AD70" i="42"/>
  <c r="AC70" i="42"/>
  <c r="AB70" i="42"/>
  <c r="AA70" i="42"/>
  <c r="Z70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AG69" i="42"/>
  <c r="AF69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AG68" i="42"/>
  <c r="AF68" i="42"/>
  <c r="AE68" i="42"/>
  <c r="AD68" i="42"/>
  <c r="AC68" i="42"/>
  <c r="AB68" i="42"/>
  <c r="AA68" i="42"/>
  <c r="Z68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AG67" i="42"/>
  <c r="AF67" i="42"/>
  <c r="AE67" i="42"/>
  <c r="AD67" i="42"/>
  <c r="AC67" i="42"/>
  <c r="AB67" i="42"/>
  <c r="AA67" i="42"/>
  <c r="Z67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AG66" i="42"/>
  <c r="AF66" i="42"/>
  <c r="AE66" i="42"/>
  <c r="AD66" i="42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AG65" i="42"/>
  <c r="AF65" i="42"/>
  <c r="AE65" i="42"/>
  <c r="AD65" i="42"/>
  <c r="AC65" i="42"/>
  <c r="AB65" i="42"/>
  <c r="AA65" i="42"/>
  <c r="Z65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AG64" i="42"/>
  <c r="AF64" i="42"/>
  <c r="AE64" i="42"/>
  <c r="AD64" i="42"/>
  <c r="AC64" i="42"/>
  <c r="AB64" i="42"/>
  <c r="AA64" i="42"/>
  <c r="Z64" i="42"/>
  <c r="Y64" i="42"/>
  <c r="X64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AG63" i="42"/>
  <c r="AF63" i="42"/>
  <c r="AE63" i="42"/>
  <c r="AD63" i="42"/>
  <c r="AC63" i="42"/>
  <c r="AB63" i="42"/>
  <c r="AA63" i="42"/>
  <c r="Z63" i="42"/>
  <c r="Y63" i="42"/>
  <c r="X63" i="42"/>
  <c r="W63" i="42"/>
  <c r="V63" i="42"/>
  <c r="U63" i="42"/>
  <c r="T63" i="42"/>
  <c r="S63" i="42"/>
  <c r="R63" i="42"/>
  <c r="Q63" i="42"/>
  <c r="P63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AG62" i="42"/>
  <c r="AF62" i="42"/>
  <c r="AE62" i="42"/>
  <c r="AD62" i="42"/>
  <c r="AC62" i="42"/>
  <c r="AB62" i="42"/>
  <c r="AA62" i="42"/>
  <c r="Z62" i="42"/>
  <c r="Y62" i="42"/>
  <c r="X62" i="42"/>
  <c r="W62" i="42"/>
  <c r="V62" i="42"/>
  <c r="U62" i="42"/>
  <c r="T62" i="42"/>
  <c r="S62" i="42"/>
  <c r="R62" i="42"/>
  <c r="Q62" i="42"/>
  <c r="P62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AG61" i="42"/>
  <c r="AF61" i="42"/>
  <c r="AE61" i="42"/>
  <c r="AD61" i="42"/>
  <c r="AC61" i="42"/>
  <c r="AB61" i="42"/>
  <c r="AA61" i="42"/>
  <c r="Z61" i="42"/>
  <c r="Y61" i="42"/>
  <c r="X61" i="42"/>
  <c r="W61" i="42"/>
  <c r="V61" i="42"/>
  <c r="U61" i="42"/>
  <c r="T61" i="42"/>
  <c r="S61" i="42"/>
  <c r="R61" i="42"/>
  <c r="Q61" i="42"/>
  <c r="P61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AG60" i="42"/>
  <c r="AF60" i="42"/>
  <c r="AE60" i="42"/>
  <c r="AD60" i="42"/>
  <c r="AC60" i="42"/>
  <c r="AB60" i="42"/>
  <c r="AA60" i="42"/>
  <c r="Z60" i="42"/>
  <c r="Y60" i="42"/>
  <c r="X60" i="42"/>
  <c r="W60" i="42"/>
  <c r="V60" i="42"/>
  <c r="U60" i="42"/>
  <c r="T60" i="42"/>
  <c r="S60" i="42"/>
  <c r="R60" i="42"/>
  <c r="Q60" i="42"/>
  <c r="P60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AG59" i="42"/>
  <c r="AF59" i="42"/>
  <c r="AE59" i="42"/>
  <c r="AD59" i="42"/>
  <c r="AC59" i="42"/>
  <c r="AB59" i="42"/>
  <c r="AA59" i="42"/>
  <c r="Z59" i="42"/>
  <c r="Y59" i="42"/>
  <c r="X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AG58" i="42"/>
  <c r="AF58" i="42"/>
  <c r="AE58" i="42"/>
  <c r="AD58" i="42"/>
  <c r="AC58" i="42"/>
  <c r="AB58" i="42"/>
  <c r="AA58" i="42"/>
  <c r="Z58" i="42"/>
  <c r="Y58" i="42"/>
  <c r="X58" i="42"/>
  <c r="W58" i="42"/>
  <c r="V58" i="42"/>
  <c r="U58" i="42"/>
  <c r="T58" i="42"/>
  <c r="S58" i="42"/>
  <c r="R58" i="42"/>
  <c r="Q58" i="42"/>
  <c r="P58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AG57" i="42"/>
  <c r="AF57" i="42"/>
  <c r="AE57" i="42"/>
  <c r="AD57" i="42"/>
  <c r="AC57" i="42"/>
  <c r="AB57" i="42"/>
  <c r="AA57" i="42"/>
  <c r="Z57" i="42"/>
  <c r="Y57" i="42"/>
  <c r="X57" i="42"/>
  <c r="W57" i="42"/>
  <c r="V57" i="42"/>
  <c r="U57" i="42"/>
  <c r="T57" i="42"/>
  <c r="S57" i="42"/>
  <c r="R57" i="42"/>
  <c r="Q57" i="42"/>
  <c r="P57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AG56" i="42"/>
  <c r="AF56" i="42"/>
  <c r="AE56" i="42"/>
  <c r="AD56" i="42"/>
  <c r="AC56" i="42"/>
  <c r="AB56" i="42"/>
  <c r="AA56" i="42"/>
  <c r="Z56" i="42"/>
  <c r="Y56" i="42"/>
  <c r="X56" i="42"/>
  <c r="W56" i="42"/>
  <c r="V56" i="42"/>
  <c r="U56" i="42"/>
  <c r="T56" i="42"/>
  <c r="S56" i="42"/>
  <c r="R56" i="42"/>
  <c r="Q56" i="42"/>
  <c r="P56" i="42"/>
  <c r="O56" i="42"/>
  <c r="N56" i="42"/>
  <c r="M56" i="42"/>
  <c r="L56" i="42"/>
  <c r="K56" i="42"/>
  <c r="J56" i="42"/>
  <c r="I56" i="42"/>
  <c r="H56" i="42"/>
  <c r="G56" i="42"/>
  <c r="F56" i="42"/>
  <c r="E56" i="42"/>
  <c r="D56" i="42"/>
  <c r="AG55" i="42"/>
  <c r="AF55" i="42"/>
  <c r="AE55" i="42"/>
  <c r="AD55" i="42"/>
  <c r="AC55" i="42"/>
  <c r="AB55" i="42"/>
  <c r="AA55" i="42"/>
  <c r="Z55" i="42"/>
  <c r="Y55" i="42"/>
  <c r="X55" i="42"/>
  <c r="W55" i="42"/>
  <c r="V55" i="42"/>
  <c r="U55" i="42"/>
  <c r="T55" i="42"/>
  <c r="S55" i="42"/>
  <c r="R55" i="42"/>
  <c r="Q55" i="42"/>
  <c r="P55" i="42"/>
  <c r="O55" i="42"/>
  <c r="N55" i="42"/>
  <c r="M55" i="42"/>
  <c r="L55" i="42"/>
  <c r="K55" i="42"/>
  <c r="J55" i="42"/>
  <c r="I55" i="42"/>
  <c r="H55" i="42"/>
  <c r="G55" i="42"/>
  <c r="F55" i="42"/>
  <c r="E55" i="42"/>
  <c r="D55" i="42"/>
  <c r="AG54" i="42"/>
  <c r="AF54" i="42"/>
  <c r="AE54" i="42"/>
  <c r="AD54" i="42"/>
  <c r="AC54" i="42"/>
  <c r="AB54" i="42"/>
  <c r="AA54" i="42"/>
  <c r="Z54" i="42"/>
  <c r="Y54" i="42"/>
  <c r="X54" i="42"/>
  <c r="W54" i="42"/>
  <c r="V54" i="42"/>
  <c r="U54" i="42"/>
  <c r="T54" i="42"/>
  <c r="S54" i="42"/>
  <c r="R54" i="42"/>
  <c r="Q54" i="42"/>
  <c r="P54" i="42"/>
  <c r="O54" i="42"/>
  <c r="N54" i="42"/>
  <c r="M54" i="42"/>
  <c r="L54" i="42"/>
  <c r="K54" i="42"/>
  <c r="J54" i="42"/>
  <c r="I54" i="42"/>
  <c r="H54" i="42"/>
  <c r="G54" i="42"/>
  <c r="F54" i="42"/>
  <c r="E54" i="42"/>
  <c r="D54" i="42"/>
  <c r="AG53" i="42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AG52" i="42"/>
  <c r="AF52" i="42"/>
  <c r="AE52" i="42"/>
  <c r="AD52" i="42"/>
  <c r="AC52" i="42"/>
  <c r="AB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G52" i="42"/>
  <c r="F52" i="42"/>
  <c r="E52" i="42"/>
  <c r="D52" i="42"/>
  <c r="AG51" i="42"/>
  <c r="AF51" i="42"/>
  <c r="AE51" i="42"/>
  <c r="AD51" i="42"/>
  <c r="AC51" i="42"/>
  <c r="AB51" i="42"/>
  <c r="AA51" i="42"/>
  <c r="Z51" i="42"/>
  <c r="Y51" i="42"/>
  <c r="X51" i="42"/>
  <c r="W51" i="42"/>
  <c r="V51" i="42"/>
  <c r="U51" i="42"/>
  <c r="T51" i="42"/>
  <c r="S51" i="42"/>
  <c r="R51" i="42"/>
  <c r="Q51" i="42"/>
  <c r="P51" i="42"/>
  <c r="O51" i="42"/>
  <c r="N51" i="42"/>
  <c r="M51" i="42"/>
  <c r="L51" i="42"/>
  <c r="K51" i="42"/>
  <c r="J51" i="42"/>
  <c r="I51" i="42"/>
  <c r="H51" i="42"/>
  <c r="G51" i="42"/>
  <c r="F51" i="42"/>
  <c r="E51" i="42"/>
  <c r="D51" i="42"/>
  <c r="AG50" i="42"/>
  <c r="AF50" i="42"/>
  <c r="AE50" i="42"/>
  <c r="AD50" i="42"/>
  <c r="AC50" i="42"/>
  <c r="AB50" i="42"/>
  <c r="AA50" i="42"/>
  <c r="Z50" i="42"/>
  <c r="Y50" i="42"/>
  <c r="X50" i="42"/>
  <c r="W50" i="42"/>
  <c r="V50" i="42"/>
  <c r="U50" i="42"/>
  <c r="T50" i="42"/>
  <c r="S50" i="42"/>
  <c r="R50" i="42"/>
  <c r="Q50" i="42"/>
  <c r="P50" i="42"/>
  <c r="O50" i="42"/>
  <c r="N50" i="42"/>
  <c r="M50" i="42"/>
  <c r="L50" i="42"/>
  <c r="K50" i="42"/>
  <c r="J50" i="42"/>
  <c r="I50" i="42"/>
  <c r="H50" i="42"/>
  <c r="G50" i="42"/>
  <c r="F50" i="42"/>
  <c r="E50" i="42"/>
  <c r="D50" i="42"/>
  <c r="AG49" i="42"/>
  <c r="AF49" i="42"/>
  <c r="AE49" i="42"/>
  <c r="AD49" i="42"/>
  <c r="AC49" i="42"/>
  <c r="AB49" i="42"/>
  <c r="AA49" i="42"/>
  <c r="Z49" i="42"/>
  <c r="Y49" i="42"/>
  <c r="X49" i="42"/>
  <c r="W49" i="42"/>
  <c r="V49" i="42"/>
  <c r="U49" i="42"/>
  <c r="T49" i="42"/>
  <c r="S49" i="42"/>
  <c r="R49" i="42"/>
  <c r="Q49" i="42"/>
  <c r="P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AG48" i="42"/>
  <c r="AF48" i="42"/>
  <c r="AE48" i="42"/>
  <c r="AD48" i="42"/>
  <c r="AC48" i="42"/>
  <c r="AB48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AG47" i="42"/>
  <c r="AF47" i="42"/>
  <c r="AE47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AG46" i="42"/>
  <c r="AF46" i="42"/>
  <c r="AE46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AG45" i="42"/>
  <c r="AF45" i="42"/>
  <c r="AE45" i="42"/>
  <c r="AD45" i="42"/>
  <c r="AC45" i="42"/>
  <c r="AB45" i="42"/>
  <c r="AA45" i="42"/>
  <c r="Z45" i="42"/>
  <c r="Y45" i="42"/>
  <c r="X45" i="42"/>
  <c r="W45" i="42"/>
  <c r="V45" i="42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E45" i="42"/>
  <c r="D45" i="42"/>
  <c r="AG44" i="42"/>
  <c r="AF44" i="42"/>
  <c r="AE44" i="42"/>
  <c r="AD44" i="42"/>
  <c r="AC44" i="42"/>
  <c r="AB44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AG43" i="42"/>
  <c r="AF43" i="42"/>
  <c r="AE43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AG40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AG38" i="42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AG37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AG36" i="42"/>
  <c r="AF36" i="42"/>
  <c r="AE36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AG35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AG34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AG33" i="42"/>
  <c r="AG32" i="42" s="1"/>
  <c r="AF33" i="42"/>
  <c r="AF32" i="42"/>
  <c r="AE33" i="42"/>
  <c r="AE32" i="42" s="1"/>
  <c r="AD33" i="42"/>
  <c r="AD32" i="42" s="1"/>
  <c r="AC33" i="42"/>
  <c r="AC32" i="42" s="1"/>
  <c r="AB33" i="42"/>
  <c r="AB32" i="42" s="1"/>
  <c r="AA33" i="42"/>
  <c r="AA32" i="42"/>
  <c r="Z33" i="42"/>
  <c r="Y33" i="42"/>
  <c r="X33" i="42"/>
  <c r="X32" i="42" s="1"/>
  <c r="W33" i="42"/>
  <c r="W32" i="42" s="1"/>
  <c r="V33" i="42"/>
  <c r="V32" i="42" s="1"/>
  <c r="U33" i="42"/>
  <c r="U32" i="42" s="1"/>
  <c r="T33" i="42"/>
  <c r="S33" i="42"/>
  <c r="S32" i="42" s="1"/>
  <c r="R33" i="42"/>
  <c r="R32" i="42" s="1"/>
  <c r="Q33" i="42"/>
  <c r="Q32" i="42" s="1"/>
  <c r="P33" i="42"/>
  <c r="P32" i="42" s="1"/>
  <c r="O33" i="42"/>
  <c r="O32" i="42" s="1"/>
  <c r="N33" i="42"/>
  <c r="N32" i="42" s="1"/>
  <c r="M33" i="42"/>
  <c r="M32" i="42" s="1"/>
  <c r="L33" i="42"/>
  <c r="L32" i="42" s="1"/>
  <c r="K33" i="42"/>
  <c r="K32" i="42" s="1"/>
  <c r="J33" i="42"/>
  <c r="J32" i="42" s="1"/>
  <c r="I33" i="42"/>
  <c r="I32" i="42" s="1"/>
  <c r="H33" i="42"/>
  <c r="H32" i="42" s="1"/>
  <c r="G33" i="42"/>
  <c r="G32" i="42" s="1"/>
  <c r="F33" i="42"/>
  <c r="E33" i="42"/>
  <c r="E32" i="42" s="1"/>
  <c r="D33" i="42"/>
  <c r="D32" i="42" s="1"/>
  <c r="AH32" i="42"/>
  <c r="Z32" i="42"/>
  <c r="Y32" i="42"/>
  <c r="T32" i="42"/>
  <c r="F32" i="42"/>
  <c r="AG31" i="42"/>
  <c r="AF31" i="42"/>
  <c r="AE31" i="42"/>
  <c r="AD31" i="42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AG30" i="42"/>
  <c r="AF30" i="42"/>
  <c r="AE30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AI29" i="42" s="1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D28" i="42"/>
  <c r="AI28" i="42" s="1"/>
  <c r="E28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AG26" i="42"/>
  <c r="AF26" i="42"/>
  <c r="AE26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AI25" i="42" s="1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D24" i="42"/>
  <c r="E24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AG21" i="42"/>
  <c r="AF21" i="42"/>
  <c r="AE21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AG20" i="42"/>
  <c r="AF20" i="42"/>
  <c r="AE20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D20" i="42"/>
  <c r="E20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AG17" i="42"/>
  <c r="AF17" i="42"/>
  <c r="AE17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D16" i="42"/>
  <c r="E16" i="42"/>
  <c r="AI16" i="42" s="1"/>
  <c r="AG15" i="42"/>
  <c r="AF15" i="42"/>
  <c r="AE15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AG14" i="42"/>
  <c r="AF14" i="42"/>
  <c r="AE14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AG13" i="42"/>
  <c r="AF13" i="42"/>
  <c r="AE13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D12" i="42"/>
  <c r="E12" i="42"/>
  <c r="AG11" i="42"/>
  <c r="AF11" i="42"/>
  <c r="AE11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AI11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AG9" i="42"/>
  <c r="AG8" i="42" s="1"/>
  <c r="AF9" i="42"/>
  <c r="AF8" i="42" s="1"/>
  <c r="AE9" i="42"/>
  <c r="AD9" i="42"/>
  <c r="AD8" i="42" s="1"/>
  <c r="AC9" i="42"/>
  <c r="AB9" i="42"/>
  <c r="AB8" i="42" s="1"/>
  <c r="AA9" i="42"/>
  <c r="Z9" i="42"/>
  <c r="Z8" i="42" s="1"/>
  <c r="Y9" i="42"/>
  <c r="Y8" i="42" s="1"/>
  <c r="X9" i="42"/>
  <c r="X8" i="42" s="1"/>
  <c r="W9" i="42"/>
  <c r="V9" i="42"/>
  <c r="V8" i="42"/>
  <c r="U9" i="42"/>
  <c r="T9" i="42"/>
  <c r="T8" i="42" s="1"/>
  <c r="S9" i="42"/>
  <c r="S8" i="42" s="1"/>
  <c r="R9" i="42"/>
  <c r="R8" i="42" s="1"/>
  <c r="Q9" i="42"/>
  <c r="Q8" i="42" s="1"/>
  <c r="P9" i="42"/>
  <c r="P8" i="42" s="1"/>
  <c r="O9" i="42"/>
  <c r="O8" i="42" s="1"/>
  <c r="N9" i="42"/>
  <c r="N8" i="42" s="1"/>
  <c r="M9" i="42"/>
  <c r="L9" i="42"/>
  <c r="L8" i="42"/>
  <c r="K9" i="42"/>
  <c r="K8" i="42" s="1"/>
  <c r="J9" i="42"/>
  <c r="J8" i="42" s="1"/>
  <c r="I9" i="42"/>
  <c r="I8" i="42" s="1"/>
  <c r="H9" i="42"/>
  <c r="H8" i="42" s="1"/>
  <c r="G9" i="42"/>
  <c r="F9" i="42"/>
  <c r="F8" i="42" s="1"/>
  <c r="E9" i="42"/>
  <c r="E8" i="42" s="1"/>
  <c r="D9" i="42"/>
  <c r="AI9" i="42" s="1"/>
  <c r="AH8" i="42"/>
  <c r="AE8" i="42"/>
  <c r="AC8" i="42"/>
  <c r="AA8" i="42"/>
  <c r="W8" i="42"/>
  <c r="U8" i="42"/>
  <c r="M8" i="42"/>
  <c r="G8" i="42"/>
  <c r="M52" i="112"/>
  <c r="M48" i="112"/>
  <c r="M43" i="112"/>
  <c r="M27" i="112"/>
  <c r="M60" i="111"/>
  <c r="M58" i="111"/>
  <c r="M55" i="111"/>
  <c r="M48" i="111"/>
  <c r="M38" i="111"/>
  <c r="M34" i="111"/>
  <c r="M23" i="111"/>
  <c r="G19" i="44"/>
  <c r="I18" i="44"/>
  <c r="I17" i="44"/>
  <c r="I16" i="44"/>
  <c r="I15" i="44"/>
  <c r="I14" i="44"/>
  <c r="I11" i="44"/>
  <c r="K250" i="103"/>
  <c r="K249" i="103"/>
  <c r="E218" i="103"/>
  <c r="F217" i="103"/>
  <c r="F216" i="103"/>
  <c r="F215" i="103"/>
  <c r="F214" i="103"/>
  <c r="F213" i="103"/>
  <c r="F212" i="103"/>
  <c r="F211" i="103"/>
  <c r="F210" i="103"/>
  <c r="F209" i="103"/>
  <c r="F208" i="103"/>
  <c r="F207" i="103"/>
  <c r="F206" i="103"/>
  <c r="F205" i="103"/>
  <c r="F204" i="103"/>
  <c r="F203" i="103"/>
  <c r="F202" i="103"/>
  <c r="F201" i="103"/>
  <c r="F200" i="103"/>
  <c r="F199" i="103"/>
  <c r="F198" i="103"/>
  <c r="F197" i="103"/>
  <c r="F196" i="103"/>
  <c r="F195" i="103"/>
  <c r="F194" i="103"/>
  <c r="G193" i="103"/>
  <c r="D193" i="103"/>
  <c r="D218" i="103" s="1"/>
  <c r="L220" i="103" s="1"/>
  <c r="F98" i="103"/>
  <c r="F14" i="103"/>
  <c r="F13" i="103"/>
  <c r="F12" i="103"/>
  <c r="D11" i="103"/>
  <c r="L56" i="102"/>
  <c r="L55" i="102"/>
  <c r="O12" i="61"/>
  <c r="N12" i="61"/>
  <c r="L12" i="61"/>
  <c r="G12" i="61"/>
  <c r="J11" i="61"/>
  <c r="J12" i="61" s="1"/>
  <c r="F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U14" i="27"/>
  <c r="O12" i="27"/>
  <c r="N12" i="27"/>
  <c r="L12" i="27"/>
  <c r="G11" i="27"/>
  <c r="G12" i="27"/>
  <c r="C11" i="27"/>
  <c r="N15" i="43"/>
  <c r="O13" i="43"/>
  <c r="N13" i="43"/>
  <c r="L13" i="43"/>
  <c r="I13" i="43"/>
  <c r="G12" i="43"/>
  <c r="G13" i="43" s="1"/>
  <c r="J11" i="43"/>
  <c r="C11" i="43"/>
  <c r="AN77" i="3"/>
  <c r="AM77" i="3"/>
  <c r="AL77" i="3"/>
  <c r="AK77" i="3"/>
  <c r="AJ77" i="3"/>
  <c r="B73" i="3"/>
  <c r="B72" i="3"/>
  <c r="B71" i="3"/>
  <c r="B70" i="3"/>
  <c r="B69" i="3"/>
  <c r="B68" i="3"/>
  <c r="B67" i="3"/>
  <c r="B66" i="3"/>
  <c r="B65" i="3"/>
  <c r="B64" i="3"/>
  <c r="AM50" i="3"/>
  <c r="AL50" i="3"/>
  <c r="AK50" i="3"/>
  <c r="AJ50" i="3"/>
  <c r="AM49" i="3"/>
  <c r="AL49" i="3"/>
  <c r="AK49" i="3"/>
  <c r="AJ49" i="3"/>
  <c r="AN28" i="3"/>
  <c r="AI27" i="3"/>
  <c r="AI26" i="3"/>
  <c r="AM25" i="3"/>
  <c r="AL25" i="3"/>
  <c r="AK25" i="3"/>
  <c r="AI25" i="3"/>
  <c r="AQ24" i="3"/>
  <c r="AP24" i="3"/>
  <c r="AM24" i="3"/>
  <c r="AL24" i="3"/>
  <c r="AK24" i="3"/>
  <c r="AJ24" i="3"/>
  <c r="AI24" i="3"/>
  <c r="AQ23" i="3"/>
  <c r="AP23" i="3"/>
  <c r="AM23" i="3"/>
  <c r="AL23" i="3"/>
  <c r="AK23" i="3"/>
  <c r="AJ23" i="3"/>
  <c r="AI23" i="3"/>
  <c r="AQ22" i="3"/>
  <c r="AP22" i="3"/>
  <c r="AM22" i="3"/>
  <c r="AL22" i="3"/>
  <c r="AK22" i="3"/>
  <c r="AJ22" i="3"/>
  <c r="AI22" i="3"/>
  <c r="AQ21" i="3"/>
  <c r="AP21" i="3"/>
  <c r="AM21" i="3"/>
  <c r="AL21" i="3"/>
  <c r="AK21" i="3"/>
  <c r="AJ21" i="3"/>
  <c r="AI21" i="3"/>
  <c r="AK20" i="3"/>
  <c r="AI20" i="3"/>
  <c r="AQ19" i="3"/>
  <c r="AP19" i="3"/>
  <c r="AM19" i="3"/>
  <c r="AL19" i="3"/>
  <c r="AK19" i="3"/>
  <c r="AJ19" i="3"/>
  <c r="AI19" i="3"/>
  <c r="AQ18" i="3"/>
  <c r="AP18" i="3"/>
  <c r="AM18" i="3"/>
  <c r="AL18" i="3"/>
  <c r="AK18" i="3"/>
  <c r="AJ18" i="3"/>
  <c r="AI18" i="3"/>
  <c r="B18" i="3"/>
  <c r="AQ17" i="3"/>
  <c r="AP17" i="3"/>
  <c r="AM17" i="3"/>
  <c r="AL17" i="3"/>
  <c r="AK17" i="3"/>
  <c r="AJ17" i="3"/>
  <c r="AI17" i="3"/>
  <c r="AQ16" i="3"/>
  <c r="AP16" i="3"/>
  <c r="AM16" i="3"/>
  <c r="AL16" i="3"/>
  <c r="AK16" i="3"/>
  <c r="AJ16" i="3"/>
  <c r="AI16" i="3"/>
  <c r="AK15" i="3"/>
  <c r="AI15" i="3"/>
  <c r="B15" i="3"/>
  <c r="AQ14" i="3"/>
  <c r="AP14" i="3"/>
  <c r="AM14" i="3"/>
  <c r="AL14" i="3"/>
  <c r="AK14" i="3"/>
  <c r="AJ14" i="3"/>
  <c r="AI14" i="3"/>
  <c r="B14" i="3"/>
  <c r="AQ13" i="3"/>
  <c r="AP13" i="3"/>
  <c r="AM13" i="3"/>
  <c r="AL13" i="3"/>
  <c r="AK13" i="3"/>
  <c r="AJ13" i="3"/>
  <c r="AI13" i="3"/>
  <c r="AQ12" i="3"/>
  <c r="AP12" i="3"/>
  <c r="AK12" i="3"/>
  <c r="AI12" i="3"/>
  <c r="AQ11" i="3"/>
  <c r="AP11" i="3"/>
  <c r="AM11" i="3"/>
  <c r="AL11" i="3"/>
  <c r="AK11" i="3"/>
  <c r="AJ11" i="3"/>
  <c r="AI11" i="3"/>
  <c r="AK10" i="3"/>
  <c r="AI10" i="3"/>
  <c r="B10" i="3"/>
  <c r="AQ9" i="3"/>
  <c r="AP9" i="3"/>
  <c r="AM9" i="3"/>
  <c r="AL9" i="3"/>
  <c r="AK9" i="3"/>
  <c r="AJ9" i="3"/>
  <c r="AI9" i="3"/>
  <c r="B9" i="3"/>
  <c r="AQ8" i="3"/>
  <c r="AP8" i="3"/>
  <c r="AM8" i="3"/>
  <c r="AL8" i="3"/>
  <c r="AK8" i="3"/>
  <c r="AJ8" i="3"/>
  <c r="AI8" i="3"/>
  <c r="AQ7" i="3"/>
  <c r="AP7" i="3"/>
  <c r="AM7" i="3"/>
  <c r="AL7" i="3"/>
  <c r="AK7" i="3"/>
  <c r="AJ7" i="3"/>
  <c r="AI7" i="3"/>
  <c r="B7" i="3"/>
  <c r="L211" i="32"/>
  <c r="E211" i="32"/>
  <c r="K208" i="32"/>
  <c r="D208" i="32"/>
  <c r="L207" i="32"/>
  <c r="K207" i="32"/>
  <c r="E207" i="32"/>
  <c r="D207" i="32"/>
  <c r="K206" i="32"/>
  <c r="L206" i="32" s="1"/>
  <c r="D206" i="32"/>
  <c r="E206" i="32" s="1"/>
  <c r="K205" i="32"/>
  <c r="L205" i="32" s="1"/>
  <c r="D205" i="32"/>
  <c r="E205" i="32" s="1"/>
  <c r="R198" i="32"/>
  <c r="L198" i="32"/>
  <c r="E198" i="32"/>
  <c r="Q195" i="32"/>
  <c r="K195" i="32"/>
  <c r="D195" i="32"/>
  <c r="R194" i="32"/>
  <c r="Q194" i="32"/>
  <c r="L194" i="32"/>
  <c r="K194" i="32"/>
  <c r="E194" i="32"/>
  <c r="D194" i="32"/>
  <c r="Q193" i="32"/>
  <c r="R193" i="32"/>
  <c r="K193" i="32"/>
  <c r="L193" i="32" s="1"/>
  <c r="K192" i="32"/>
  <c r="L192" i="32"/>
  <c r="L199" i="32"/>
  <c r="D193" i="32"/>
  <c r="E193" i="32" s="1"/>
  <c r="Q192" i="32"/>
  <c r="R192" i="32" s="1"/>
  <c r="D192" i="32"/>
  <c r="E192" i="32" s="1"/>
  <c r="R185" i="32"/>
  <c r="L185" i="32"/>
  <c r="E185" i="32"/>
  <c r="Q182" i="32"/>
  <c r="K182" i="32"/>
  <c r="D182" i="32"/>
  <c r="R181" i="32"/>
  <c r="Q181" i="32"/>
  <c r="L181" i="32"/>
  <c r="K181" i="32"/>
  <c r="E181" i="32"/>
  <c r="D181" i="32"/>
  <c r="Q180" i="32"/>
  <c r="R180" i="32" s="1"/>
  <c r="K180" i="32"/>
  <c r="L180" i="32" s="1"/>
  <c r="D180" i="32"/>
  <c r="E180" i="32"/>
  <c r="E186" i="32" s="1"/>
  <c r="D179" i="32"/>
  <c r="E179" i="32" s="1"/>
  <c r="Q179" i="32"/>
  <c r="R179" i="32" s="1"/>
  <c r="K179" i="32"/>
  <c r="L179" i="32" s="1"/>
  <c r="R172" i="32"/>
  <c r="L172" i="32"/>
  <c r="E172" i="32"/>
  <c r="Q169" i="32"/>
  <c r="K169" i="32"/>
  <c r="D169" i="32"/>
  <c r="R168" i="32"/>
  <c r="Q168" i="32"/>
  <c r="L168" i="32"/>
  <c r="K168" i="32"/>
  <c r="E168" i="32"/>
  <c r="D168" i="32"/>
  <c r="Q167" i="32"/>
  <c r="R167" i="32" s="1"/>
  <c r="K167" i="32"/>
  <c r="L167" i="32" s="1"/>
  <c r="L173" i="32" s="1"/>
  <c r="D167" i="32"/>
  <c r="E167" i="32" s="1"/>
  <c r="Q166" i="32"/>
  <c r="R166" i="32"/>
  <c r="K166" i="32"/>
  <c r="L166" i="32" s="1"/>
  <c r="D166" i="32"/>
  <c r="E166" i="32" s="1"/>
  <c r="R159" i="32"/>
  <c r="L159" i="32"/>
  <c r="E159" i="32"/>
  <c r="Q156" i="32"/>
  <c r="K156" i="32"/>
  <c r="D156" i="32"/>
  <c r="R155" i="32"/>
  <c r="Q155" i="32"/>
  <c r="L155" i="32"/>
  <c r="K155" i="32"/>
  <c r="E155" i="32"/>
  <c r="D155" i="32"/>
  <c r="Q154" i="32"/>
  <c r="R154" i="32" s="1"/>
  <c r="K154" i="32"/>
  <c r="L154" i="32" s="1"/>
  <c r="D154" i="32"/>
  <c r="E154" i="32" s="1"/>
  <c r="Q153" i="32"/>
  <c r="R153" i="32"/>
  <c r="K153" i="32"/>
  <c r="L153" i="32" s="1"/>
  <c r="D153" i="32"/>
  <c r="E153" i="32"/>
  <c r="R146" i="32"/>
  <c r="L146" i="32"/>
  <c r="E146" i="32"/>
  <c r="Q143" i="32"/>
  <c r="K143" i="32"/>
  <c r="D143" i="32"/>
  <c r="R142" i="32"/>
  <c r="Q142" i="32"/>
  <c r="L142" i="32"/>
  <c r="K142" i="32"/>
  <c r="E142" i="32"/>
  <c r="D142" i="32"/>
  <c r="Q141" i="32"/>
  <c r="R141" i="32" s="1"/>
  <c r="K141" i="32"/>
  <c r="L141" i="32" s="1"/>
  <c r="D141" i="32"/>
  <c r="E141" i="32" s="1"/>
  <c r="Q140" i="32"/>
  <c r="R140" i="32" s="1"/>
  <c r="K140" i="32"/>
  <c r="L140" i="32" s="1"/>
  <c r="D140" i="32"/>
  <c r="E140" i="32" s="1"/>
  <c r="R133" i="32"/>
  <c r="L133" i="32"/>
  <c r="E133" i="32"/>
  <c r="Q130" i="32"/>
  <c r="K130" i="32"/>
  <c r="D130" i="32"/>
  <c r="R129" i="32"/>
  <c r="Q129" i="32"/>
  <c r="L129" i="32"/>
  <c r="K129" i="32"/>
  <c r="E129" i="32"/>
  <c r="D129" i="32"/>
  <c r="Q128" i="32"/>
  <c r="R128" i="32" s="1"/>
  <c r="K128" i="32"/>
  <c r="L128" i="32"/>
  <c r="D128" i="32"/>
  <c r="E128" i="32" s="1"/>
  <c r="Q127" i="32"/>
  <c r="R127" i="32" s="1"/>
  <c r="K127" i="32"/>
  <c r="L127" i="32" s="1"/>
  <c r="D127" i="32"/>
  <c r="E127" i="32" s="1"/>
  <c r="R120" i="32"/>
  <c r="L120" i="32"/>
  <c r="E120" i="32"/>
  <c r="Q117" i="32"/>
  <c r="K117" i="32"/>
  <c r="D117" i="32"/>
  <c r="R116" i="32"/>
  <c r="Q116" i="32"/>
  <c r="L116" i="32"/>
  <c r="K116" i="32"/>
  <c r="E116" i="32"/>
  <c r="D116" i="32"/>
  <c r="Q115" i="32"/>
  <c r="R115" i="32" s="1"/>
  <c r="K115" i="32"/>
  <c r="L115" i="32"/>
  <c r="D115" i="32"/>
  <c r="E115" i="32" s="1"/>
  <c r="Q114" i="32"/>
  <c r="R114" i="32"/>
  <c r="K114" i="32"/>
  <c r="L114" i="32" s="1"/>
  <c r="D114" i="32"/>
  <c r="E114" i="32" s="1"/>
  <c r="G113" i="32"/>
  <c r="E113" i="32"/>
  <c r="I109" i="32"/>
  <c r="B109" i="32"/>
  <c r="L103" i="32"/>
  <c r="E103" i="32"/>
  <c r="K100" i="32"/>
  <c r="D100" i="32"/>
  <c r="L99" i="32"/>
  <c r="K99" i="32"/>
  <c r="E99" i="32"/>
  <c r="D99" i="32"/>
  <c r="K98" i="32"/>
  <c r="L98" i="32" s="1"/>
  <c r="D98" i="32"/>
  <c r="E98" i="32" s="1"/>
  <c r="K97" i="32"/>
  <c r="L97" i="32" s="1"/>
  <c r="D97" i="32"/>
  <c r="E97" i="32" s="1"/>
  <c r="E104" i="32" s="1"/>
  <c r="R90" i="32"/>
  <c r="L90" i="32"/>
  <c r="E90" i="32"/>
  <c r="Q87" i="32"/>
  <c r="K87" i="32"/>
  <c r="D87" i="32"/>
  <c r="R86" i="32"/>
  <c r="Q86" i="32"/>
  <c r="L86" i="32"/>
  <c r="K86" i="32"/>
  <c r="E86" i="32"/>
  <c r="D86" i="32"/>
  <c r="Q85" i="32"/>
  <c r="R85" i="32" s="1"/>
  <c r="K85" i="32"/>
  <c r="L85" i="32"/>
  <c r="D85" i="32"/>
  <c r="E85" i="32" s="1"/>
  <c r="Q84" i="32"/>
  <c r="R84" i="32" s="1"/>
  <c r="K84" i="32"/>
  <c r="L84" i="32" s="1"/>
  <c r="D84" i="32"/>
  <c r="E84" i="32" s="1"/>
  <c r="R77" i="32"/>
  <c r="L77" i="32"/>
  <c r="E77" i="32"/>
  <c r="Q74" i="32"/>
  <c r="K74" i="32"/>
  <c r="D74" i="32"/>
  <c r="R73" i="32"/>
  <c r="Q73" i="32"/>
  <c r="L73" i="32"/>
  <c r="K73" i="32"/>
  <c r="E73" i="32"/>
  <c r="D73" i="32"/>
  <c r="Q72" i="32"/>
  <c r="R72" i="32" s="1"/>
  <c r="K72" i="32"/>
  <c r="L72" i="32"/>
  <c r="D72" i="32"/>
  <c r="E72" i="32" s="1"/>
  <c r="Q71" i="32"/>
  <c r="R71" i="32"/>
  <c r="K71" i="32"/>
  <c r="L71" i="32" s="1"/>
  <c r="D71" i="32"/>
  <c r="E71" i="32" s="1"/>
  <c r="R64" i="32"/>
  <c r="L64" i="32"/>
  <c r="E64" i="32"/>
  <c r="Q61" i="32"/>
  <c r="K61" i="32"/>
  <c r="D61" i="32"/>
  <c r="R60" i="32"/>
  <c r="Q60" i="32"/>
  <c r="L60" i="32"/>
  <c r="K60" i="32"/>
  <c r="E60" i="32"/>
  <c r="D60" i="32"/>
  <c r="Q59" i="32"/>
  <c r="R59" i="32" s="1"/>
  <c r="K59" i="32"/>
  <c r="L59" i="32" s="1"/>
  <c r="D59" i="32"/>
  <c r="E59" i="32" s="1"/>
  <c r="Q58" i="32"/>
  <c r="R58" i="32" s="1"/>
  <c r="K58" i="32"/>
  <c r="L58" i="32" s="1"/>
  <c r="D58" i="32"/>
  <c r="E58" i="32"/>
  <c r="R51" i="32"/>
  <c r="L51" i="32"/>
  <c r="E51" i="32"/>
  <c r="Q48" i="32"/>
  <c r="K48" i="32"/>
  <c r="D48" i="32"/>
  <c r="R47" i="32"/>
  <c r="Q47" i="32"/>
  <c r="L47" i="32"/>
  <c r="K47" i="32"/>
  <c r="E47" i="32"/>
  <c r="D47" i="32"/>
  <c r="Q46" i="32"/>
  <c r="R46" i="32" s="1"/>
  <c r="K46" i="32"/>
  <c r="L46" i="32" s="1"/>
  <c r="D46" i="32"/>
  <c r="E46" i="32" s="1"/>
  <c r="Q45" i="32"/>
  <c r="R45" i="32" s="1"/>
  <c r="K45" i="32"/>
  <c r="L45" i="32" s="1"/>
  <c r="D45" i="32"/>
  <c r="E45" i="32"/>
  <c r="R38" i="32"/>
  <c r="L38" i="32"/>
  <c r="E38" i="32"/>
  <c r="Q35" i="32"/>
  <c r="K35" i="32"/>
  <c r="D35" i="32"/>
  <c r="R34" i="32"/>
  <c r="Q34" i="32"/>
  <c r="L34" i="32"/>
  <c r="K34" i="32"/>
  <c r="E34" i="32"/>
  <c r="D34" i="32"/>
  <c r="Q33" i="32"/>
  <c r="R33" i="32" s="1"/>
  <c r="K33" i="32"/>
  <c r="L33" i="32"/>
  <c r="K32" i="32"/>
  <c r="L32" i="32" s="1"/>
  <c r="D33" i="32"/>
  <c r="E33" i="32" s="1"/>
  <c r="Q32" i="32"/>
  <c r="R32" i="32"/>
  <c r="D32" i="32"/>
  <c r="E32" i="32" s="1"/>
  <c r="R25" i="32"/>
  <c r="L25" i="32"/>
  <c r="E25" i="32"/>
  <c r="Q22" i="32"/>
  <c r="K22" i="32"/>
  <c r="D22" i="32"/>
  <c r="R21" i="32"/>
  <c r="Q21" i="32"/>
  <c r="L21" i="32"/>
  <c r="K21" i="32"/>
  <c r="E21" i="32"/>
  <c r="D21" i="32"/>
  <c r="Q20" i="32"/>
  <c r="R20" i="32" s="1"/>
  <c r="K20" i="32"/>
  <c r="L20" i="32" s="1"/>
  <c r="D20" i="32"/>
  <c r="E20" i="32" s="1"/>
  <c r="D19" i="32"/>
  <c r="E19" i="32" s="1"/>
  <c r="Q19" i="32"/>
  <c r="R19" i="32"/>
  <c r="K19" i="32"/>
  <c r="L19" i="32" s="1"/>
  <c r="R12" i="32"/>
  <c r="L12" i="32"/>
  <c r="E12" i="32"/>
  <c r="Q9" i="32"/>
  <c r="K9" i="32"/>
  <c r="D9" i="32"/>
  <c r="R8" i="32"/>
  <c r="Q8" i="32"/>
  <c r="L8" i="32"/>
  <c r="K8" i="32"/>
  <c r="E8" i="32"/>
  <c r="D8" i="32"/>
  <c r="Q7" i="32"/>
  <c r="R7" i="32"/>
  <c r="K7" i="32"/>
  <c r="L7" i="32" s="1"/>
  <c r="D7" i="32"/>
  <c r="E7" i="32" s="1"/>
  <c r="Q6" i="32"/>
  <c r="R6" i="32" s="1"/>
  <c r="K6" i="32"/>
  <c r="L6" i="32" s="1"/>
  <c r="D6" i="32"/>
  <c r="E6" i="32" s="1"/>
  <c r="G5" i="32"/>
  <c r="E5" i="32"/>
  <c r="G81" i="52"/>
  <c r="AB63" i="52"/>
  <c r="W61" i="52"/>
  <c r="V61" i="52"/>
  <c r="T61" i="52"/>
  <c r="S61" i="52"/>
  <c r="P60" i="52"/>
  <c r="O60" i="52"/>
  <c r="N60" i="52"/>
  <c r="G60" i="52"/>
  <c r="J60" i="52"/>
  <c r="K60" i="52" s="1"/>
  <c r="P59" i="52"/>
  <c r="O59" i="52"/>
  <c r="N59" i="52"/>
  <c r="G59" i="52"/>
  <c r="J59" i="52" s="1"/>
  <c r="P58" i="52"/>
  <c r="O58" i="52"/>
  <c r="N58" i="52"/>
  <c r="G58" i="52"/>
  <c r="J58" i="52" s="1"/>
  <c r="K58" i="52" s="1"/>
  <c r="P57" i="52"/>
  <c r="O57" i="52"/>
  <c r="M57" i="52"/>
  <c r="L57" i="52"/>
  <c r="G57" i="52"/>
  <c r="J57" i="52"/>
  <c r="K57" i="52" s="1"/>
  <c r="P56" i="52"/>
  <c r="O56" i="52"/>
  <c r="M56" i="52"/>
  <c r="L56" i="52"/>
  <c r="G56" i="52"/>
  <c r="J56" i="52" s="1"/>
  <c r="K56" i="52" s="1"/>
  <c r="P55" i="52"/>
  <c r="O55" i="52"/>
  <c r="M55" i="52"/>
  <c r="L55" i="52"/>
  <c r="G55" i="52"/>
  <c r="J55" i="52"/>
  <c r="K55" i="52" s="1"/>
  <c r="P54" i="52"/>
  <c r="O54" i="52"/>
  <c r="M54" i="52"/>
  <c r="L54" i="52"/>
  <c r="G54" i="52"/>
  <c r="J54" i="52" s="1"/>
  <c r="K54" i="52" s="1"/>
  <c r="P53" i="52"/>
  <c r="O53" i="52"/>
  <c r="M53" i="52"/>
  <c r="L53" i="52"/>
  <c r="G53" i="52"/>
  <c r="J53" i="52" s="1"/>
  <c r="K53" i="52" s="1"/>
  <c r="P52" i="52"/>
  <c r="O52" i="52"/>
  <c r="M52" i="52"/>
  <c r="L52" i="52"/>
  <c r="G52" i="52"/>
  <c r="J52" i="52" s="1"/>
  <c r="P51" i="52"/>
  <c r="O51" i="52"/>
  <c r="M51" i="52"/>
  <c r="L51" i="52"/>
  <c r="G51" i="52"/>
  <c r="J51" i="52" s="1"/>
  <c r="K51" i="52" s="1"/>
  <c r="P50" i="52"/>
  <c r="O50" i="52"/>
  <c r="M50" i="52"/>
  <c r="L50" i="52"/>
  <c r="G50" i="52"/>
  <c r="J50" i="52" s="1"/>
  <c r="P49" i="52"/>
  <c r="O49" i="52"/>
  <c r="M49" i="52"/>
  <c r="L49" i="52"/>
  <c r="G49" i="52"/>
  <c r="J49" i="52"/>
  <c r="K49" i="52" s="1"/>
  <c r="P48" i="52"/>
  <c r="O48" i="52"/>
  <c r="M48" i="52"/>
  <c r="L48" i="52"/>
  <c r="G48" i="52"/>
  <c r="J48" i="52" s="1"/>
  <c r="P47" i="52"/>
  <c r="O47" i="52"/>
  <c r="M47" i="52"/>
  <c r="L47" i="52"/>
  <c r="G47" i="52"/>
  <c r="J47" i="52" s="1"/>
  <c r="K47" i="52" s="1"/>
  <c r="P46" i="52"/>
  <c r="O46" i="52"/>
  <c r="M46" i="52"/>
  <c r="L46" i="52"/>
  <c r="G46" i="52"/>
  <c r="J46" i="52"/>
  <c r="K46" i="52" s="1"/>
  <c r="P45" i="52"/>
  <c r="O45" i="52"/>
  <c r="M45" i="52"/>
  <c r="L45" i="52"/>
  <c r="G45" i="52"/>
  <c r="J45" i="52"/>
  <c r="P44" i="52"/>
  <c r="O44" i="52"/>
  <c r="M44" i="52"/>
  <c r="L44" i="52"/>
  <c r="G44" i="52"/>
  <c r="J44" i="52" s="1"/>
  <c r="K44" i="52" s="1"/>
  <c r="P43" i="52"/>
  <c r="O43" i="52"/>
  <c r="M43" i="52"/>
  <c r="L43" i="52"/>
  <c r="G43" i="52"/>
  <c r="J43" i="52"/>
  <c r="K43" i="52"/>
  <c r="P42" i="52"/>
  <c r="O42" i="52"/>
  <c r="M42" i="52"/>
  <c r="L42" i="52"/>
  <c r="G42" i="52"/>
  <c r="J42" i="52" s="1"/>
  <c r="K42" i="52" s="1"/>
  <c r="P41" i="52"/>
  <c r="O41" i="52"/>
  <c r="M41" i="52"/>
  <c r="L41" i="52"/>
  <c r="G41" i="52"/>
  <c r="J41" i="52" s="1"/>
  <c r="P40" i="52"/>
  <c r="O40" i="52"/>
  <c r="M40" i="52"/>
  <c r="L40" i="52"/>
  <c r="G40" i="52"/>
  <c r="J40" i="52" s="1"/>
  <c r="K40" i="52" s="1"/>
  <c r="P39" i="52"/>
  <c r="O39" i="52"/>
  <c r="M39" i="52"/>
  <c r="L39" i="52"/>
  <c r="G39" i="52"/>
  <c r="J39" i="52" s="1"/>
  <c r="K39" i="52" s="1"/>
  <c r="P38" i="52"/>
  <c r="O38" i="52"/>
  <c r="M38" i="52"/>
  <c r="L38" i="52"/>
  <c r="G38" i="52"/>
  <c r="J38" i="52" s="1"/>
  <c r="K38" i="52" s="1"/>
  <c r="P37" i="52"/>
  <c r="O37" i="52"/>
  <c r="M37" i="52"/>
  <c r="L37" i="52"/>
  <c r="G37" i="52"/>
  <c r="J37" i="52"/>
  <c r="P36" i="52"/>
  <c r="O36" i="52"/>
  <c r="M36" i="52"/>
  <c r="L36" i="52"/>
  <c r="G36" i="52"/>
  <c r="J36" i="52"/>
  <c r="K36" i="52"/>
  <c r="P35" i="52"/>
  <c r="O35" i="52"/>
  <c r="M35" i="52"/>
  <c r="L35" i="52"/>
  <c r="G35" i="52"/>
  <c r="J35" i="52" s="1"/>
  <c r="K35" i="52" s="1"/>
  <c r="P34" i="52"/>
  <c r="O34" i="52"/>
  <c r="M34" i="52"/>
  <c r="L34" i="52"/>
  <c r="G34" i="52"/>
  <c r="J34" i="52"/>
  <c r="K34" i="52" s="1"/>
  <c r="P33" i="52"/>
  <c r="O33" i="52"/>
  <c r="M33" i="52"/>
  <c r="L33" i="52"/>
  <c r="G33" i="52"/>
  <c r="J33" i="52"/>
  <c r="P32" i="52"/>
  <c r="O32" i="52"/>
  <c r="M32" i="52"/>
  <c r="L32" i="52"/>
  <c r="G32" i="52"/>
  <c r="J32" i="52" s="1"/>
  <c r="K32" i="52" s="1"/>
  <c r="P31" i="52"/>
  <c r="O31" i="52"/>
  <c r="M31" i="52"/>
  <c r="L31" i="52"/>
  <c r="G31" i="52"/>
  <c r="J31" i="52"/>
  <c r="K31" i="52" s="1"/>
  <c r="P30" i="52"/>
  <c r="O30" i="52"/>
  <c r="M30" i="52"/>
  <c r="L30" i="52"/>
  <c r="G30" i="52"/>
  <c r="J30" i="52" s="1"/>
  <c r="K30" i="52" s="1"/>
  <c r="P29" i="52"/>
  <c r="O29" i="52"/>
  <c r="M29" i="52"/>
  <c r="L29" i="52"/>
  <c r="G29" i="52"/>
  <c r="J29" i="52" s="1"/>
  <c r="P28" i="52"/>
  <c r="O28" i="52"/>
  <c r="M28" i="52"/>
  <c r="L28" i="52"/>
  <c r="G28" i="52"/>
  <c r="J28" i="52" s="1"/>
  <c r="K28" i="52" s="1"/>
  <c r="P27" i="52"/>
  <c r="O27" i="52"/>
  <c r="M27" i="52"/>
  <c r="L27" i="52"/>
  <c r="G27" i="52"/>
  <c r="J27" i="52" s="1"/>
  <c r="K27" i="52" s="1"/>
  <c r="P26" i="52"/>
  <c r="O26" i="52"/>
  <c r="M26" i="52"/>
  <c r="L26" i="52"/>
  <c r="G26" i="52"/>
  <c r="J26" i="52" s="1"/>
  <c r="K26" i="52"/>
  <c r="P25" i="52"/>
  <c r="O25" i="52"/>
  <c r="M25" i="52"/>
  <c r="L25" i="52"/>
  <c r="G25" i="52"/>
  <c r="J25" i="52" s="1"/>
  <c r="P24" i="52"/>
  <c r="O24" i="52"/>
  <c r="M24" i="52"/>
  <c r="L24" i="52"/>
  <c r="G24" i="52"/>
  <c r="J24" i="52" s="1"/>
  <c r="K24" i="52" s="1"/>
  <c r="P23" i="52"/>
  <c r="O23" i="52"/>
  <c r="M23" i="52"/>
  <c r="L23" i="52"/>
  <c r="G23" i="52"/>
  <c r="J23" i="52" s="1"/>
  <c r="K23" i="52" s="1"/>
  <c r="P22" i="52"/>
  <c r="O22" i="52"/>
  <c r="M22" i="52"/>
  <c r="L22" i="52"/>
  <c r="G22" i="52"/>
  <c r="J22" i="52" s="1"/>
  <c r="K22" i="52" s="1"/>
  <c r="P21" i="52"/>
  <c r="O21" i="52"/>
  <c r="M21" i="52"/>
  <c r="L21" i="52"/>
  <c r="G21" i="52"/>
  <c r="J21" i="52" s="1"/>
  <c r="P20" i="52"/>
  <c r="O20" i="52"/>
  <c r="M20" i="52"/>
  <c r="L20" i="52"/>
  <c r="G20" i="52"/>
  <c r="J20" i="52"/>
  <c r="K20" i="52"/>
  <c r="P19" i="52"/>
  <c r="M19" i="52"/>
  <c r="L19" i="52"/>
  <c r="G19" i="52"/>
  <c r="J19" i="52" s="1"/>
  <c r="K19" i="52" s="1"/>
  <c r="P18" i="52"/>
  <c r="O18" i="52"/>
  <c r="M18" i="52"/>
  <c r="L18" i="52"/>
  <c r="G18" i="52"/>
  <c r="J18" i="52"/>
  <c r="K18" i="52" s="1"/>
  <c r="P17" i="52"/>
  <c r="P61" i="52" s="1"/>
  <c r="O17" i="52"/>
  <c r="O61" i="52" s="1"/>
  <c r="M17" i="52"/>
  <c r="M61" i="52" s="1"/>
  <c r="M13" i="52" s="1"/>
  <c r="L17" i="52"/>
  <c r="G17" i="52"/>
  <c r="G61" i="52" s="1"/>
  <c r="Q16" i="52"/>
  <c r="P16" i="52"/>
  <c r="O16" i="52"/>
  <c r="N16" i="52"/>
  <c r="M16" i="52"/>
  <c r="L16" i="52"/>
  <c r="I16" i="52"/>
  <c r="H16" i="52"/>
  <c r="H13" i="52"/>
  <c r="G15" i="52"/>
  <c r="G14" i="52"/>
  <c r="J14" i="52" s="1"/>
  <c r="D7" i="52"/>
  <c r="T15" i="52"/>
  <c r="T16" i="52" s="1"/>
  <c r="T13" i="52" s="1"/>
  <c r="D6" i="52"/>
  <c r="K15" i="52" s="1"/>
  <c r="R15" i="52"/>
  <c r="N14" i="11"/>
  <c r="Q12" i="11"/>
  <c r="O12" i="11"/>
  <c r="N12" i="11"/>
  <c r="L12" i="11"/>
  <c r="G12" i="11"/>
  <c r="J11" i="11"/>
  <c r="J12" i="11"/>
  <c r="C11" i="11"/>
  <c r="G81" i="51"/>
  <c r="AB63" i="51"/>
  <c r="W61" i="51"/>
  <c r="V61" i="51"/>
  <c r="T61" i="51"/>
  <c r="S61" i="51"/>
  <c r="P60" i="51"/>
  <c r="O60" i="51"/>
  <c r="N60" i="51"/>
  <c r="G60" i="51"/>
  <c r="J60" i="51"/>
  <c r="K60" i="51" s="1"/>
  <c r="P59" i="51"/>
  <c r="O59" i="51"/>
  <c r="N59" i="51"/>
  <c r="G59" i="51"/>
  <c r="J59" i="51" s="1"/>
  <c r="K59" i="51" s="1"/>
  <c r="P58" i="51"/>
  <c r="O58" i="51"/>
  <c r="N58" i="51"/>
  <c r="G58" i="51"/>
  <c r="J58" i="51" s="1"/>
  <c r="K58" i="51" s="1"/>
  <c r="P57" i="51"/>
  <c r="O57" i="51"/>
  <c r="M57" i="51"/>
  <c r="L57" i="51"/>
  <c r="G57" i="51"/>
  <c r="J57" i="51"/>
  <c r="P56" i="51"/>
  <c r="O56" i="51"/>
  <c r="M56" i="51"/>
  <c r="L56" i="51"/>
  <c r="G56" i="51"/>
  <c r="J56" i="51" s="1"/>
  <c r="K56" i="51" s="1"/>
  <c r="P55" i="51"/>
  <c r="O55" i="51"/>
  <c r="M55" i="51"/>
  <c r="L55" i="51"/>
  <c r="G55" i="51"/>
  <c r="J55" i="51" s="1"/>
  <c r="K55" i="51" s="1"/>
  <c r="P54" i="51"/>
  <c r="O54" i="51"/>
  <c r="M54" i="51"/>
  <c r="L54" i="51"/>
  <c r="G54" i="51"/>
  <c r="J54" i="51" s="1"/>
  <c r="K54" i="51" s="1"/>
  <c r="P53" i="51"/>
  <c r="O53" i="51"/>
  <c r="M53" i="51"/>
  <c r="L53" i="51"/>
  <c r="G53" i="51"/>
  <c r="J53" i="51" s="1"/>
  <c r="P52" i="51"/>
  <c r="O52" i="51"/>
  <c r="M52" i="51"/>
  <c r="L52" i="51"/>
  <c r="G52" i="51"/>
  <c r="J52" i="51" s="1"/>
  <c r="K52" i="51" s="1"/>
  <c r="P51" i="51"/>
  <c r="O51" i="51"/>
  <c r="M51" i="51"/>
  <c r="L51" i="51"/>
  <c r="G51" i="51"/>
  <c r="J51" i="51" s="1"/>
  <c r="K51" i="51" s="1"/>
  <c r="P50" i="51"/>
  <c r="O50" i="51"/>
  <c r="M50" i="51"/>
  <c r="L50" i="51"/>
  <c r="G50" i="51"/>
  <c r="J50" i="51" s="1"/>
  <c r="K50" i="51"/>
  <c r="P49" i="51"/>
  <c r="O49" i="51"/>
  <c r="M49" i="51"/>
  <c r="L49" i="51"/>
  <c r="G49" i="51"/>
  <c r="J49" i="51" s="1"/>
  <c r="P48" i="51"/>
  <c r="O48" i="51"/>
  <c r="M48" i="51"/>
  <c r="L48" i="51"/>
  <c r="G48" i="51"/>
  <c r="J48" i="51"/>
  <c r="K48" i="51"/>
  <c r="P47" i="51"/>
  <c r="O47" i="51"/>
  <c r="M47" i="51"/>
  <c r="L47" i="51"/>
  <c r="G47" i="51"/>
  <c r="J47" i="51" s="1"/>
  <c r="K47" i="51" s="1"/>
  <c r="P46" i="51"/>
  <c r="O46" i="51"/>
  <c r="M46" i="51"/>
  <c r="L46" i="51"/>
  <c r="G46" i="51"/>
  <c r="J46" i="51" s="1"/>
  <c r="K46" i="51" s="1"/>
  <c r="P45" i="51"/>
  <c r="O45" i="51"/>
  <c r="M45" i="51"/>
  <c r="L45" i="51"/>
  <c r="G45" i="51"/>
  <c r="J45" i="51" s="1"/>
  <c r="P44" i="51"/>
  <c r="O44" i="51"/>
  <c r="M44" i="51"/>
  <c r="L44" i="51"/>
  <c r="G44" i="51"/>
  <c r="J44" i="51" s="1"/>
  <c r="K44" i="51" s="1"/>
  <c r="P43" i="51"/>
  <c r="O43" i="51"/>
  <c r="M43" i="51"/>
  <c r="L43" i="51"/>
  <c r="G43" i="51"/>
  <c r="J43" i="51" s="1"/>
  <c r="P42" i="51"/>
  <c r="O42" i="51"/>
  <c r="M42" i="51"/>
  <c r="L42" i="51"/>
  <c r="G42" i="51"/>
  <c r="J42" i="51" s="1"/>
  <c r="K42" i="51" s="1"/>
  <c r="P41" i="51"/>
  <c r="O41" i="51"/>
  <c r="M41" i="51"/>
  <c r="L41" i="51"/>
  <c r="G41" i="51"/>
  <c r="J41" i="51" s="1"/>
  <c r="P40" i="51"/>
  <c r="O40" i="51"/>
  <c r="M40" i="51"/>
  <c r="L40" i="51"/>
  <c r="G40" i="51"/>
  <c r="J40" i="51" s="1"/>
  <c r="K40" i="51" s="1"/>
  <c r="P39" i="51"/>
  <c r="O39" i="51"/>
  <c r="M39" i="51"/>
  <c r="L39" i="51"/>
  <c r="G39" i="51"/>
  <c r="J39" i="51" s="1"/>
  <c r="P38" i="51"/>
  <c r="O38" i="51"/>
  <c r="M38" i="51"/>
  <c r="L38" i="51"/>
  <c r="G38" i="51"/>
  <c r="J38" i="51" s="1"/>
  <c r="K38" i="51" s="1"/>
  <c r="P37" i="51"/>
  <c r="O37" i="51"/>
  <c r="M37" i="51"/>
  <c r="L37" i="51"/>
  <c r="G37" i="51"/>
  <c r="J37" i="51" s="1"/>
  <c r="P36" i="51"/>
  <c r="O36" i="51"/>
  <c r="M36" i="51"/>
  <c r="L36" i="51"/>
  <c r="G36" i="51"/>
  <c r="J36" i="51" s="1"/>
  <c r="K36" i="51" s="1"/>
  <c r="P35" i="51"/>
  <c r="O35" i="51"/>
  <c r="M35" i="51"/>
  <c r="L35" i="51"/>
  <c r="G35" i="51"/>
  <c r="J35" i="51" s="1"/>
  <c r="P34" i="51"/>
  <c r="O34" i="51"/>
  <c r="M34" i="51"/>
  <c r="L34" i="51"/>
  <c r="G34" i="51"/>
  <c r="J34" i="51" s="1"/>
  <c r="K34" i="51" s="1"/>
  <c r="P33" i="51"/>
  <c r="O33" i="51"/>
  <c r="M33" i="51"/>
  <c r="L33" i="51"/>
  <c r="G33" i="51"/>
  <c r="J33" i="51" s="1"/>
  <c r="P32" i="51"/>
  <c r="O32" i="51"/>
  <c r="M32" i="51"/>
  <c r="L32" i="51"/>
  <c r="G32" i="51"/>
  <c r="J32" i="51" s="1"/>
  <c r="K32" i="51" s="1"/>
  <c r="P31" i="51"/>
  <c r="O31" i="51"/>
  <c r="M31" i="51"/>
  <c r="L31" i="51"/>
  <c r="G31" i="51"/>
  <c r="J31" i="51"/>
  <c r="K31" i="51" s="1"/>
  <c r="P30" i="51"/>
  <c r="O30" i="51"/>
  <c r="M30" i="51"/>
  <c r="L30" i="51"/>
  <c r="G30" i="51"/>
  <c r="J30" i="51" s="1"/>
  <c r="K30" i="51" s="1"/>
  <c r="P29" i="51"/>
  <c r="O29" i="51"/>
  <c r="M29" i="51"/>
  <c r="L29" i="51"/>
  <c r="G29" i="51"/>
  <c r="J29" i="51" s="1"/>
  <c r="K29" i="51" s="1"/>
  <c r="P28" i="51"/>
  <c r="O28" i="51"/>
  <c r="M28" i="51"/>
  <c r="L28" i="51"/>
  <c r="G28" i="51"/>
  <c r="J28" i="51" s="1"/>
  <c r="K28" i="51" s="1"/>
  <c r="P27" i="51"/>
  <c r="O27" i="51"/>
  <c r="M27" i="51"/>
  <c r="L27" i="51"/>
  <c r="G27" i="51"/>
  <c r="J27" i="51" s="1"/>
  <c r="K27" i="51" s="1"/>
  <c r="P26" i="51"/>
  <c r="O26" i="51"/>
  <c r="M26" i="51"/>
  <c r="L26" i="51"/>
  <c r="G26" i="51"/>
  <c r="J26" i="51" s="1"/>
  <c r="K26" i="51" s="1"/>
  <c r="P25" i="51"/>
  <c r="O25" i="51"/>
  <c r="M25" i="51"/>
  <c r="L25" i="51"/>
  <c r="G25" i="51"/>
  <c r="J25" i="51" s="1"/>
  <c r="K25" i="51" s="1"/>
  <c r="P24" i="51"/>
  <c r="O24" i="51"/>
  <c r="M24" i="51"/>
  <c r="L24" i="51"/>
  <c r="G24" i="51"/>
  <c r="J24" i="51"/>
  <c r="P23" i="51"/>
  <c r="O23" i="51"/>
  <c r="M23" i="51"/>
  <c r="L23" i="51"/>
  <c r="G23" i="51"/>
  <c r="J23" i="51" s="1"/>
  <c r="K23" i="51" s="1"/>
  <c r="P22" i="51"/>
  <c r="O22" i="51"/>
  <c r="M22" i="51"/>
  <c r="L22" i="51"/>
  <c r="G22" i="51"/>
  <c r="J22" i="51" s="1"/>
  <c r="K22" i="51" s="1"/>
  <c r="P21" i="51"/>
  <c r="O21" i="51"/>
  <c r="M21" i="51"/>
  <c r="L21" i="51"/>
  <c r="G21" i="51"/>
  <c r="J21" i="51" s="1"/>
  <c r="K21" i="51" s="1"/>
  <c r="P20" i="51"/>
  <c r="O20" i="51"/>
  <c r="M20" i="51"/>
  <c r="L20" i="51"/>
  <c r="G20" i="51"/>
  <c r="J20" i="51"/>
  <c r="K20" i="51" s="1"/>
  <c r="P19" i="51"/>
  <c r="M19" i="51"/>
  <c r="L19" i="51"/>
  <c r="G19" i="51"/>
  <c r="J19" i="51" s="1"/>
  <c r="K19" i="51" s="1"/>
  <c r="P18" i="51"/>
  <c r="O18" i="51"/>
  <c r="M18" i="51"/>
  <c r="L18" i="51"/>
  <c r="G18" i="51"/>
  <c r="J18" i="51" s="1"/>
  <c r="K18" i="51" s="1"/>
  <c r="P17" i="51"/>
  <c r="P61" i="51"/>
  <c r="O17" i="51"/>
  <c r="O61" i="51" s="1"/>
  <c r="O13" i="51" s="1"/>
  <c r="O16" i="51"/>
  <c r="M17" i="51"/>
  <c r="M61" i="51" s="1"/>
  <c r="L17" i="51"/>
  <c r="G17" i="51"/>
  <c r="Q16" i="51"/>
  <c r="P16" i="51"/>
  <c r="N16" i="51"/>
  <c r="M16" i="51"/>
  <c r="L16" i="51"/>
  <c r="I16" i="51"/>
  <c r="H16" i="51"/>
  <c r="H13" i="51" s="1"/>
  <c r="G15" i="51"/>
  <c r="J15" i="51" s="1"/>
  <c r="G14" i="51"/>
  <c r="D7" i="51"/>
  <c r="S14" i="51" s="1"/>
  <c r="S16" i="51" s="1"/>
  <c r="S13" i="51" s="1"/>
  <c r="D6" i="51"/>
  <c r="K15" i="51"/>
  <c r="R15" i="51" s="1"/>
  <c r="G57" i="50"/>
  <c r="AB39" i="50"/>
  <c r="Y37" i="50"/>
  <c r="W37" i="50"/>
  <c r="V37" i="50"/>
  <c r="S37" i="50"/>
  <c r="I37" i="50"/>
  <c r="G37" i="50"/>
  <c r="P36" i="50"/>
  <c r="O36" i="50"/>
  <c r="M36" i="50"/>
  <c r="L36" i="50"/>
  <c r="J36" i="50"/>
  <c r="K36" i="50"/>
  <c r="D36" i="50"/>
  <c r="P35" i="50"/>
  <c r="O35" i="50"/>
  <c r="M35" i="50"/>
  <c r="L35" i="50"/>
  <c r="J35" i="50"/>
  <c r="K35" i="50" s="1"/>
  <c r="D35" i="50"/>
  <c r="P34" i="50"/>
  <c r="O34" i="50"/>
  <c r="M34" i="50"/>
  <c r="L34" i="50"/>
  <c r="J34" i="50"/>
  <c r="K34" i="50"/>
  <c r="D34" i="50"/>
  <c r="P33" i="50"/>
  <c r="O33" i="50"/>
  <c r="M33" i="50"/>
  <c r="L33" i="50"/>
  <c r="J33" i="50"/>
  <c r="K33" i="50"/>
  <c r="D33" i="50"/>
  <c r="P32" i="50"/>
  <c r="O32" i="50"/>
  <c r="M32" i="50"/>
  <c r="L32" i="50"/>
  <c r="J32" i="50"/>
  <c r="K32" i="50" s="1"/>
  <c r="D32" i="50"/>
  <c r="P31" i="50"/>
  <c r="O31" i="50"/>
  <c r="M31" i="50"/>
  <c r="L31" i="50"/>
  <c r="J31" i="50"/>
  <c r="K31" i="50" s="1"/>
  <c r="D31" i="50"/>
  <c r="P30" i="50"/>
  <c r="O30" i="50"/>
  <c r="M30" i="50"/>
  <c r="L30" i="50"/>
  <c r="J30" i="50"/>
  <c r="K30" i="50"/>
  <c r="D30" i="50"/>
  <c r="P29" i="50"/>
  <c r="O29" i="50"/>
  <c r="M29" i="50"/>
  <c r="L29" i="50"/>
  <c r="J29" i="50"/>
  <c r="K29" i="50" s="1"/>
  <c r="D29" i="50"/>
  <c r="P28" i="50"/>
  <c r="O28" i="50"/>
  <c r="M28" i="50"/>
  <c r="L28" i="50"/>
  <c r="J28" i="50"/>
  <c r="K28" i="50"/>
  <c r="D28" i="50"/>
  <c r="P27" i="50"/>
  <c r="O27" i="50"/>
  <c r="M27" i="50"/>
  <c r="L27" i="50"/>
  <c r="J27" i="50"/>
  <c r="K27" i="50" s="1"/>
  <c r="D27" i="50"/>
  <c r="P26" i="50"/>
  <c r="O26" i="50"/>
  <c r="M26" i="50"/>
  <c r="L26" i="50"/>
  <c r="J26" i="50"/>
  <c r="K26" i="50" s="1"/>
  <c r="D26" i="50"/>
  <c r="P25" i="50"/>
  <c r="O25" i="50"/>
  <c r="M25" i="50"/>
  <c r="L25" i="50"/>
  <c r="J25" i="50"/>
  <c r="K25" i="50" s="1"/>
  <c r="D25" i="50"/>
  <c r="P24" i="50"/>
  <c r="O24" i="50"/>
  <c r="M24" i="50"/>
  <c r="L24" i="50"/>
  <c r="J24" i="50"/>
  <c r="K24" i="50" s="1"/>
  <c r="D24" i="50"/>
  <c r="P23" i="50"/>
  <c r="O23" i="50"/>
  <c r="M23" i="50"/>
  <c r="L23" i="50"/>
  <c r="J23" i="50"/>
  <c r="K23" i="50" s="1"/>
  <c r="D23" i="50"/>
  <c r="P22" i="50"/>
  <c r="O22" i="50"/>
  <c r="M22" i="50"/>
  <c r="L22" i="50"/>
  <c r="J22" i="50"/>
  <c r="K22" i="50" s="1"/>
  <c r="D22" i="50"/>
  <c r="P21" i="50"/>
  <c r="O21" i="50"/>
  <c r="M21" i="50"/>
  <c r="L21" i="50"/>
  <c r="J21" i="50"/>
  <c r="K21" i="50" s="1"/>
  <c r="D21" i="50"/>
  <c r="P20" i="50"/>
  <c r="O20" i="50"/>
  <c r="M20" i="50"/>
  <c r="L20" i="50"/>
  <c r="J20" i="50"/>
  <c r="K20" i="50"/>
  <c r="D20" i="50"/>
  <c r="P19" i="50"/>
  <c r="O19" i="50"/>
  <c r="M19" i="50"/>
  <c r="L19" i="50"/>
  <c r="J19" i="50"/>
  <c r="K19" i="50" s="1"/>
  <c r="D19" i="50"/>
  <c r="P18" i="50"/>
  <c r="O18" i="50"/>
  <c r="M18" i="50"/>
  <c r="L18" i="50"/>
  <c r="J18" i="50"/>
  <c r="K18" i="50" s="1"/>
  <c r="D18" i="50"/>
  <c r="P17" i="50"/>
  <c r="O17" i="50"/>
  <c r="M17" i="50"/>
  <c r="L17" i="50"/>
  <c r="J17" i="50"/>
  <c r="K17" i="50"/>
  <c r="D17" i="50"/>
  <c r="P16" i="50"/>
  <c r="O16" i="50"/>
  <c r="M16" i="50"/>
  <c r="L16" i="50"/>
  <c r="J16" i="50"/>
  <c r="K16" i="50" s="1"/>
  <c r="D16" i="50"/>
  <c r="P15" i="50"/>
  <c r="O15" i="50"/>
  <c r="M15" i="50"/>
  <c r="L15" i="50"/>
  <c r="J15" i="50"/>
  <c r="K15" i="50" s="1"/>
  <c r="D15" i="50"/>
  <c r="P14" i="50"/>
  <c r="P37" i="50"/>
  <c r="P13" i="50" s="1"/>
  <c r="O14" i="50"/>
  <c r="M14" i="50"/>
  <c r="M37" i="50" s="1"/>
  <c r="M13" i="50" s="1"/>
  <c r="L14" i="50"/>
  <c r="L37" i="50" s="1"/>
  <c r="L13" i="50" s="1"/>
  <c r="J14" i="50"/>
  <c r="D14" i="50"/>
  <c r="W13" i="50"/>
  <c r="V13" i="50"/>
  <c r="T13" i="50"/>
  <c r="S13" i="50"/>
  <c r="G13" i="50"/>
  <c r="D7" i="50"/>
  <c r="D6" i="50"/>
  <c r="G53" i="48"/>
  <c r="T33" i="48"/>
  <c r="W32" i="48"/>
  <c r="V32" i="48"/>
  <c r="S32" i="48"/>
  <c r="G32" i="48"/>
  <c r="P31" i="48"/>
  <c r="O31" i="48"/>
  <c r="M31" i="48"/>
  <c r="L31" i="48"/>
  <c r="J31" i="48"/>
  <c r="K31" i="48" s="1"/>
  <c r="D31" i="48"/>
  <c r="P30" i="48"/>
  <c r="O30" i="48"/>
  <c r="M30" i="48"/>
  <c r="L30" i="48"/>
  <c r="J30" i="48"/>
  <c r="K30" i="48" s="1"/>
  <c r="D30" i="48"/>
  <c r="P29" i="48"/>
  <c r="O29" i="48"/>
  <c r="M29" i="48"/>
  <c r="L29" i="48"/>
  <c r="J29" i="48"/>
  <c r="K29" i="48"/>
  <c r="D29" i="48"/>
  <c r="P28" i="48"/>
  <c r="O28" i="48"/>
  <c r="M28" i="48"/>
  <c r="L28" i="48"/>
  <c r="J28" i="48"/>
  <c r="K28" i="48" s="1"/>
  <c r="D28" i="48"/>
  <c r="P27" i="48"/>
  <c r="O27" i="48"/>
  <c r="M27" i="48"/>
  <c r="L27" i="48"/>
  <c r="J27" i="48"/>
  <c r="K27" i="48" s="1"/>
  <c r="D27" i="48"/>
  <c r="P26" i="48"/>
  <c r="O26" i="48"/>
  <c r="M26" i="48"/>
  <c r="L26" i="48"/>
  <c r="J26" i="48"/>
  <c r="K26" i="48" s="1"/>
  <c r="D26" i="48"/>
  <c r="P25" i="48"/>
  <c r="O25" i="48"/>
  <c r="M25" i="48"/>
  <c r="L25" i="48"/>
  <c r="J25" i="48"/>
  <c r="K25" i="48" s="1"/>
  <c r="D25" i="48"/>
  <c r="P24" i="48"/>
  <c r="O24" i="48"/>
  <c r="M24" i="48"/>
  <c r="L24" i="48"/>
  <c r="J24" i="48"/>
  <c r="K24" i="48" s="1"/>
  <c r="P23" i="48"/>
  <c r="O23" i="48"/>
  <c r="M23" i="48"/>
  <c r="L23" i="48"/>
  <c r="J23" i="48"/>
  <c r="K23" i="48" s="1"/>
  <c r="D23" i="48"/>
  <c r="P22" i="48"/>
  <c r="O22" i="48"/>
  <c r="M22" i="48"/>
  <c r="L22" i="48"/>
  <c r="J22" i="48"/>
  <c r="K22" i="48" s="1"/>
  <c r="D22" i="48"/>
  <c r="P21" i="48"/>
  <c r="O21" i="48"/>
  <c r="M21" i="48"/>
  <c r="L21" i="48"/>
  <c r="J21" i="48"/>
  <c r="K21" i="48" s="1"/>
  <c r="D21" i="48"/>
  <c r="P20" i="48"/>
  <c r="O20" i="48"/>
  <c r="M20" i="48"/>
  <c r="L20" i="48"/>
  <c r="J20" i="48"/>
  <c r="K20" i="48"/>
  <c r="D20" i="48"/>
  <c r="P19" i="48"/>
  <c r="M19" i="48"/>
  <c r="L19" i="48"/>
  <c r="J19" i="48"/>
  <c r="K19" i="48" s="1"/>
  <c r="D19" i="48"/>
  <c r="P18" i="48"/>
  <c r="M18" i="48"/>
  <c r="L18" i="48"/>
  <c r="J18" i="48"/>
  <c r="K18" i="48"/>
  <c r="D18" i="48"/>
  <c r="P17" i="48"/>
  <c r="O17" i="48"/>
  <c r="M17" i="48"/>
  <c r="L17" i="48"/>
  <c r="J17" i="48"/>
  <c r="K17" i="48" s="1"/>
  <c r="D17" i="48"/>
  <c r="P16" i="48"/>
  <c r="P32" i="48" s="1"/>
  <c r="O16" i="48"/>
  <c r="O32" i="48"/>
  <c r="M16" i="48"/>
  <c r="L16" i="48"/>
  <c r="J16" i="48"/>
  <c r="D16" i="48"/>
  <c r="W15" i="48"/>
  <c r="W13" i="48" s="1"/>
  <c r="W33" i="48" s="1"/>
  <c r="Q15" i="48"/>
  <c r="P15" i="48"/>
  <c r="O15" i="48"/>
  <c r="N15" i="48"/>
  <c r="M15" i="48"/>
  <c r="M13" i="48"/>
  <c r="M33" i="48"/>
  <c r="L15" i="48"/>
  <c r="I15" i="48"/>
  <c r="I13" i="48"/>
  <c r="H15" i="48"/>
  <c r="H13" i="48" s="1"/>
  <c r="G14" i="48"/>
  <c r="J14" i="48" s="1"/>
  <c r="K14" i="48" s="1"/>
  <c r="D7" i="48"/>
  <c r="S14" i="48" s="1"/>
  <c r="S15" i="48" s="1"/>
  <c r="D6" i="48"/>
  <c r="N19" i="96"/>
  <c r="K19" i="96"/>
  <c r="J19" i="96"/>
  <c r="I19" i="96"/>
  <c r="H19" i="96"/>
  <c r="G19" i="96"/>
  <c r="Q18" i="96"/>
  <c r="O18" i="96"/>
  <c r="P18" i="96" s="1"/>
  <c r="Q16" i="96"/>
  <c r="P16" i="96"/>
  <c r="J15" i="96"/>
  <c r="H15" i="96"/>
  <c r="G15" i="96"/>
  <c r="S14" i="96"/>
  <c r="Q14" i="96"/>
  <c r="Q12" i="96"/>
  <c r="N54" i="8"/>
  <c r="N52" i="8"/>
  <c r="AC16" i="84"/>
  <c r="G16" i="84"/>
  <c r="T143" i="89"/>
  <c r="T142" i="89"/>
  <c r="T141" i="89"/>
  <c r="J127" i="89"/>
  <c r="J124" i="89"/>
  <c r="G124" i="89"/>
  <c r="J123" i="89"/>
  <c r="G123" i="89"/>
  <c r="J122" i="89"/>
  <c r="G122" i="89"/>
  <c r="G120" i="89"/>
  <c r="J119" i="89"/>
  <c r="J118" i="89"/>
  <c r="J117" i="89"/>
  <c r="J116" i="89"/>
  <c r="J115" i="89"/>
  <c r="J114" i="89"/>
  <c r="J113" i="89"/>
  <c r="J112" i="89"/>
  <c r="P100" i="89"/>
  <c r="C100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AA11" i="89"/>
  <c r="S196" i="91"/>
  <c r="S195" i="91"/>
  <c r="S194" i="91"/>
  <c r="J180" i="91"/>
  <c r="J177" i="91"/>
  <c r="G177" i="91"/>
  <c r="J176" i="91"/>
  <c r="G176" i="91"/>
  <c r="J175" i="91"/>
  <c r="G175" i="91"/>
  <c r="G173" i="91"/>
  <c r="J172" i="91"/>
  <c r="J171" i="91"/>
  <c r="J170" i="91"/>
  <c r="J169" i="91"/>
  <c r="J168" i="91"/>
  <c r="J167" i="91"/>
  <c r="J166" i="91"/>
  <c r="J165" i="91"/>
  <c r="O153" i="91"/>
  <c r="C153" i="91"/>
  <c r="Y11" i="91"/>
  <c r="AD219" i="54"/>
  <c r="M55" i="112"/>
  <c r="M35" i="112"/>
  <c r="M56" i="111"/>
  <c r="K25" i="111"/>
  <c r="M22" i="111"/>
  <c r="W17" i="54"/>
  <c r="D16" i="97"/>
  <c r="N15" i="97"/>
  <c r="AC6" i="97"/>
  <c r="AD6" i="97" s="1"/>
  <c r="AE6" i="97" s="1"/>
  <c r="AA4" i="98"/>
  <c r="AB4" i="98" s="1"/>
  <c r="AC4" i="98" s="1"/>
  <c r="Q255" i="1"/>
  <c r="P255" i="1"/>
  <c r="J255" i="1"/>
  <c r="I255" i="1"/>
  <c r="J250" i="1"/>
  <c r="I250" i="1"/>
  <c r="J22" i="75"/>
  <c r="K22" i="75" s="1"/>
  <c r="F22" i="75"/>
  <c r="L22" i="75" s="1"/>
  <c r="D22" i="75"/>
  <c r="C22" i="75"/>
  <c r="J21" i="75"/>
  <c r="K21" i="75"/>
  <c r="F21" i="75"/>
  <c r="L21" i="75" s="1"/>
  <c r="L20" i="75" s="1"/>
  <c r="D21" i="75"/>
  <c r="C21" i="75"/>
  <c r="J20" i="75"/>
  <c r="H20" i="75"/>
  <c r="K19" i="75"/>
  <c r="J19" i="75"/>
  <c r="F19" i="75"/>
  <c r="L19" i="75" s="1"/>
  <c r="E19" i="75"/>
  <c r="D19" i="75"/>
  <c r="C19" i="75"/>
  <c r="K18" i="75"/>
  <c r="J18" i="75"/>
  <c r="G18" i="75"/>
  <c r="M18" i="75" s="1"/>
  <c r="F18" i="75"/>
  <c r="L18" i="75" s="1"/>
  <c r="E18" i="75"/>
  <c r="D18" i="75"/>
  <c r="C18" i="75"/>
  <c r="K17" i="75"/>
  <c r="J17" i="75"/>
  <c r="F17" i="75"/>
  <c r="L17" i="75" s="1"/>
  <c r="L16" i="75" s="1"/>
  <c r="E17" i="75"/>
  <c r="D17" i="75"/>
  <c r="C17" i="75"/>
  <c r="I16" i="75"/>
  <c r="H16" i="75"/>
  <c r="X30" i="84"/>
  <c r="P30" i="84"/>
  <c r="T30" i="84"/>
  <c r="W30" i="84"/>
  <c r="L30" i="84"/>
  <c r="G30" i="84"/>
  <c r="G28" i="84"/>
  <c r="X29" i="84"/>
  <c r="X28" i="84" s="1"/>
  <c r="L29" i="84"/>
  <c r="AC28" i="84"/>
  <c r="AA28" i="84"/>
  <c r="Y28" i="84"/>
  <c r="V28" i="84"/>
  <c r="U28" i="84"/>
  <c r="S28" i="84"/>
  <c r="R28" i="84"/>
  <c r="Q28" i="84"/>
  <c r="O28" i="84"/>
  <c r="N28" i="84"/>
  <c r="M28" i="84"/>
  <c r="K28" i="84"/>
  <c r="J28" i="84"/>
  <c r="I28" i="84"/>
  <c r="H28" i="84"/>
  <c r="F28" i="84"/>
  <c r="Y26" i="84"/>
  <c r="X26" i="84"/>
  <c r="V26" i="84"/>
  <c r="U26" i="84"/>
  <c r="S26" i="84"/>
  <c r="R26" i="84"/>
  <c r="Q26" i="84"/>
  <c r="O26" i="84"/>
  <c r="N26" i="84"/>
  <c r="M26" i="84"/>
  <c r="K26" i="84"/>
  <c r="J26" i="84"/>
  <c r="I26" i="84"/>
  <c r="H26" i="84"/>
  <c r="F26" i="84"/>
  <c r="S25" i="84"/>
  <c r="S23" i="84" s="1"/>
  <c r="R25" i="84"/>
  <c r="R23" i="84" s="1"/>
  <c r="P25" i="84"/>
  <c r="L25" i="84"/>
  <c r="G25" i="84"/>
  <c r="G23" i="84" s="1"/>
  <c r="X24" i="84"/>
  <c r="X23" i="84" s="1"/>
  <c r="N24" i="84"/>
  <c r="N23" i="84" s="1"/>
  <c r="L24" i="84"/>
  <c r="Y23" i="84"/>
  <c r="V23" i="84"/>
  <c r="U23" i="84"/>
  <c r="Q23" i="84"/>
  <c r="O23" i="84"/>
  <c r="M23" i="84"/>
  <c r="K23" i="84"/>
  <c r="K17" i="84" s="1"/>
  <c r="K31" i="84" s="1"/>
  <c r="J23" i="84"/>
  <c r="I23" i="84"/>
  <c r="H23" i="84"/>
  <c r="F23" i="84"/>
  <c r="F17" i="84" s="1"/>
  <c r="Y22" i="84"/>
  <c r="Y20" i="84" s="1"/>
  <c r="S22" i="84"/>
  <c r="S20" i="84" s="1"/>
  <c r="R22" i="84"/>
  <c r="R20" i="84" s="1"/>
  <c r="L22" i="84"/>
  <c r="P22" i="84" s="1"/>
  <c r="G22" i="84"/>
  <c r="G20" i="84" s="1"/>
  <c r="X21" i="84"/>
  <c r="X20" i="84" s="1"/>
  <c r="W21" i="84"/>
  <c r="W20" i="84" s="1"/>
  <c r="P21" i="84"/>
  <c r="T21" i="84" s="1"/>
  <c r="T20" i="84" s="1"/>
  <c r="N21" i="84"/>
  <c r="N20" i="84" s="1"/>
  <c r="L21" i="84"/>
  <c r="L20" i="84" s="1"/>
  <c r="V20" i="84"/>
  <c r="V17" i="84" s="1"/>
  <c r="U20" i="84"/>
  <c r="Q20" i="84"/>
  <c r="Q17" i="84" s="1"/>
  <c r="Q31" i="84" s="1"/>
  <c r="O20" i="84"/>
  <c r="O17" i="84"/>
  <c r="M20" i="84"/>
  <c r="M17" i="84" s="1"/>
  <c r="K20" i="84"/>
  <c r="J20" i="84"/>
  <c r="J17" i="84" s="1"/>
  <c r="J31" i="84" s="1"/>
  <c r="I20" i="84"/>
  <c r="I17" i="84"/>
  <c r="H20" i="84"/>
  <c r="H17" i="84" s="1"/>
  <c r="H31" i="84" s="1"/>
  <c r="F20" i="84"/>
  <c r="X19" i="84"/>
  <c r="V19" i="84"/>
  <c r="U19" i="84"/>
  <c r="Q19" i="84"/>
  <c r="O19" i="84"/>
  <c r="N19" i="84"/>
  <c r="M19" i="84"/>
  <c r="K19" i="84"/>
  <c r="J19" i="84"/>
  <c r="I19" i="84"/>
  <c r="H19" i="84"/>
  <c r="Y18" i="84"/>
  <c r="Y19" i="84" s="1"/>
  <c r="S18" i="84"/>
  <c r="S19" i="84" s="1"/>
  <c r="R18" i="84"/>
  <c r="R19" i="84" s="1"/>
  <c r="P18" i="84"/>
  <c r="P19" i="84" s="1"/>
  <c r="L18" i="84"/>
  <c r="L19" i="84" s="1"/>
  <c r="AC17" i="84"/>
  <c r="X16" i="84"/>
  <c r="L16" i="84"/>
  <c r="P16" i="84" s="1"/>
  <c r="T16" i="84" s="1"/>
  <c r="W16" i="84" s="1"/>
  <c r="Z16" i="84" s="1"/>
  <c r="E11" i="84"/>
  <c r="C11" i="84"/>
  <c r="D10" i="84"/>
  <c r="D9" i="84"/>
  <c r="I23" i="77"/>
  <c r="H23" i="77"/>
  <c r="I22" i="77"/>
  <c r="I21" i="77"/>
  <c r="H22" i="77"/>
  <c r="H21" i="77" s="1"/>
  <c r="G21" i="77"/>
  <c r="I20" i="77"/>
  <c r="H20" i="77"/>
  <c r="I19" i="77"/>
  <c r="H19" i="77"/>
  <c r="I18" i="77"/>
  <c r="H18" i="77"/>
  <c r="F18" i="77"/>
  <c r="J18" i="77" s="1"/>
  <c r="I17" i="77"/>
  <c r="I16" i="77" s="1"/>
  <c r="H17" i="77"/>
  <c r="G16" i="77"/>
  <c r="K18" i="76"/>
  <c r="I18" i="76"/>
  <c r="I14" i="76"/>
  <c r="S38" i="72"/>
  <c r="T30" i="72"/>
  <c r="I30" i="72"/>
  <c r="I29" i="72" s="1"/>
  <c r="I31" i="72" s="1"/>
  <c r="H30" i="72"/>
  <c r="H29" i="72"/>
  <c r="G30" i="72"/>
  <c r="F29" i="72"/>
  <c r="E29" i="72"/>
  <c r="D29" i="72"/>
  <c r="T28" i="72"/>
  <c r="H28" i="72"/>
  <c r="J28" i="72" s="1"/>
  <c r="G28" i="72"/>
  <c r="H27" i="72"/>
  <c r="J27" i="72" s="1"/>
  <c r="G27" i="72"/>
  <c r="K27" i="72" s="1"/>
  <c r="T26" i="72"/>
  <c r="H26" i="72"/>
  <c r="H25" i="72"/>
  <c r="J25" i="72" s="1"/>
  <c r="G26" i="72"/>
  <c r="G25" i="72"/>
  <c r="K25" i="72" s="1"/>
  <c r="I24" i="72"/>
  <c r="F24" i="72"/>
  <c r="E24" i="72"/>
  <c r="D24" i="72"/>
  <c r="T23" i="72"/>
  <c r="H23" i="72"/>
  <c r="J23" i="72" s="1"/>
  <c r="T22" i="72"/>
  <c r="H22" i="72"/>
  <c r="J22" i="72"/>
  <c r="G22" i="72"/>
  <c r="T21" i="72"/>
  <c r="H21" i="72"/>
  <c r="J21" i="72"/>
  <c r="G21" i="72"/>
  <c r="V20" i="72"/>
  <c r="T20" i="72"/>
  <c r="H20" i="72"/>
  <c r="G20" i="72"/>
  <c r="T19" i="72"/>
  <c r="S19" i="72"/>
  <c r="I18" i="72"/>
  <c r="H18" i="72"/>
  <c r="J18" i="72" s="1"/>
  <c r="G18" i="72"/>
  <c r="T17" i="72"/>
  <c r="I17" i="72"/>
  <c r="H17" i="72"/>
  <c r="G17" i="72"/>
  <c r="T16" i="72"/>
  <c r="H16" i="72"/>
  <c r="J16" i="72" s="1"/>
  <c r="G16" i="72"/>
  <c r="I15" i="72"/>
  <c r="H15" i="72"/>
  <c r="G15" i="72"/>
  <c r="H14" i="72"/>
  <c r="G14" i="72"/>
  <c r="T13" i="72"/>
  <c r="H13" i="72"/>
  <c r="G13" i="72"/>
  <c r="I12" i="72"/>
  <c r="F12" i="72"/>
  <c r="E12" i="72"/>
  <c r="Y40" i="59"/>
  <c r="N32" i="59"/>
  <c r="N31" i="59" s="1"/>
  <c r="M32" i="59"/>
  <c r="M31" i="59" s="1"/>
  <c r="L32" i="59"/>
  <c r="F32" i="59"/>
  <c r="G35" i="60" s="1"/>
  <c r="J32" i="59"/>
  <c r="E31" i="59"/>
  <c r="D31" i="59"/>
  <c r="O30" i="59"/>
  <c r="P30" i="59" s="1"/>
  <c r="K33" i="60" s="1"/>
  <c r="G30" i="59"/>
  <c r="F30" i="59" s="1"/>
  <c r="G33" i="60" s="1"/>
  <c r="J33" i="60" s="1"/>
  <c r="N29" i="59"/>
  <c r="M29" i="59"/>
  <c r="L29" i="59"/>
  <c r="G29" i="59"/>
  <c r="F29" i="59" s="1"/>
  <c r="J29" i="59" s="1"/>
  <c r="K29" i="59" s="1"/>
  <c r="N28" i="59"/>
  <c r="M28" i="59"/>
  <c r="L28" i="59"/>
  <c r="N27" i="59"/>
  <c r="N26" i="59" s="1"/>
  <c r="M27" i="59"/>
  <c r="M26" i="59" s="1"/>
  <c r="L27" i="59"/>
  <c r="L26" i="59"/>
  <c r="I26" i="59"/>
  <c r="H26" i="59"/>
  <c r="E26" i="59"/>
  <c r="D26" i="59"/>
  <c r="O25" i="59"/>
  <c r="P25" i="59" s="1"/>
  <c r="K28" i="60" s="1"/>
  <c r="F25" i="59"/>
  <c r="J25" i="59"/>
  <c r="K25" i="59" s="1"/>
  <c r="Q25" i="59" s="1"/>
  <c r="N24" i="59"/>
  <c r="M24" i="59"/>
  <c r="L24" i="59"/>
  <c r="J24" i="59"/>
  <c r="K24" i="59" s="1"/>
  <c r="P23" i="59"/>
  <c r="K26" i="60" s="1"/>
  <c r="J23" i="59"/>
  <c r="K23" i="59" s="1"/>
  <c r="Q23" i="59" s="1"/>
  <c r="N22" i="59"/>
  <c r="M22" i="59"/>
  <c r="L22" i="59"/>
  <c r="J22" i="59"/>
  <c r="K22" i="59"/>
  <c r="N21" i="59"/>
  <c r="M21" i="59"/>
  <c r="L21" i="59"/>
  <c r="F21" i="59"/>
  <c r="G24" i="60" s="1"/>
  <c r="F20" i="59"/>
  <c r="J20" i="59"/>
  <c r="K20" i="59"/>
  <c r="N19" i="59"/>
  <c r="M19" i="59"/>
  <c r="L19" i="59"/>
  <c r="J19" i="59"/>
  <c r="K19" i="59" s="1"/>
  <c r="N18" i="59"/>
  <c r="M18" i="59"/>
  <c r="L18" i="59"/>
  <c r="F18" i="59"/>
  <c r="J18" i="59" s="1"/>
  <c r="K18" i="59" s="1"/>
  <c r="N17" i="59"/>
  <c r="M17" i="59"/>
  <c r="M13" i="59" s="1"/>
  <c r="L17" i="59"/>
  <c r="J17" i="59"/>
  <c r="K17" i="59"/>
  <c r="L16" i="59"/>
  <c r="O16" i="59" s="1"/>
  <c r="P16" i="59" s="1"/>
  <c r="K19" i="60" s="1"/>
  <c r="M16" i="59"/>
  <c r="N16" i="59"/>
  <c r="F16" i="59"/>
  <c r="G19" i="60" s="1"/>
  <c r="J19" i="60" s="1"/>
  <c r="N15" i="59"/>
  <c r="M15" i="59"/>
  <c r="L15" i="59"/>
  <c r="F15" i="59"/>
  <c r="E15" i="59"/>
  <c r="D15" i="59"/>
  <c r="D13" i="59" s="1"/>
  <c r="N14" i="59"/>
  <c r="M14" i="59"/>
  <c r="L14" i="59"/>
  <c r="J14" i="59"/>
  <c r="K14" i="59"/>
  <c r="I13" i="59"/>
  <c r="H13" i="59"/>
  <c r="G13" i="59"/>
  <c r="E13" i="59"/>
  <c r="N37" i="60"/>
  <c r="N38" i="60" s="1"/>
  <c r="F35" i="60"/>
  <c r="F34" i="60"/>
  <c r="E35" i="60"/>
  <c r="E34" i="60" s="1"/>
  <c r="N34" i="60"/>
  <c r="D34" i="60"/>
  <c r="H33" i="60"/>
  <c r="H29" i="60" s="1"/>
  <c r="F33" i="60"/>
  <c r="E33" i="60"/>
  <c r="D33" i="60"/>
  <c r="C33" i="60"/>
  <c r="F32" i="60"/>
  <c r="E32" i="60"/>
  <c r="D32" i="60"/>
  <c r="G31" i="60"/>
  <c r="F31" i="60"/>
  <c r="E31" i="60"/>
  <c r="F30" i="60"/>
  <c r="E30" i="60"/>
  <c r="N29" i="60"/>
  <c r="N16" i="60" s="1"/>
  <c r="C28" i="60"/>
  <c r="B28" i="60"/>
  <c r="C27" i="60"/>
  <c r="B27" i="60"/>
  <c r="H27" i="60"/>
  <c r="J26" i="60"/>
  <c r="D26" i="60"/>
  <c r="H25" i="60"/>
  <c r="G25" i="60"/>
  <c r="F25" i="60"/>
  <c r="E25" i="60"/>
  <c r="H24" i="60"/>
  <c r="F24" i="60"/>
  <c r="E24" i="60"/>
  <c r="D24" i="60"/>
  <c r="P23" i="60"/>
  <c r="M23" i="60"/>
  <c r="K23" i="60"/>
  <c r="G23" i="60"/>
  <c r="J23" i="60" s="1"/>
  <c r="F23" i="60"/>
  <c r="E23" i="60"/>
  <c r="B22" i="60"/>
  <c r="H22" i="60" s="1"/>
  <c r="C22" i="60"/>
  <c r="H21" i="60"/>
  <c r="G21" i="60"/>
  <c r="J21" i="60" s="1"/>
  <c r="F21" i="60"/>
  <c r="E21" i="60"/>
  <c r="D21" i="60"/>
  <c r="H20" i="60"/>
  <c r="G20" i="60"/>
  <c r="J20" i="60" s="1"/>
  <c r="F20" i="60"/>
  <c r="E20" i="60"/>
  <c r="D20" i="60"/>
  <c r="H19" i="60"/>
  <c r="F19" i="60"/>
  <c r="E19" i="60"/>
  <c r="D19" i="60"/>
  <c r="H18" i="60"/>
  <c r="G18" i="60"/>
  <c r="F18" i="60"/>
  <c r="C18" i="60"/>
  <c r="B17" i="60"/>
  <c r="E17" i="60" s="1"/>
  <c r="C10" i="60"/>
  <c r="C9" i="60"/>
  <c r="M97" i="65"/>
  <c r="O97" i="65" s="1"/>
  <c r="O94" i="65" s="1"/>
  <c r="O93" i="65"/>
  <c r="O92" i="65"/>
  <c r="O91" i="65"/>
  <c r="O90" i="65"/>
  <c r="M87" i="65"/>
  <c r="D87" i="65"/>
  <c r="M83" i="65"/>
  <c r="D83" i="65"/>
  <c r="M80" i="65"/>
  <c r="D80" i="65"/>
  <c r="M74" i="65"/>
  <c r="D74" i="65"/>
  <c r="V72" i="65"/>
  <c r="M62" i="65"/>
  <c r="O62" i="65" s="1"/>
  <c r="V61" i="65"/>
  <c r="M54" i="65"/>
  <c r="D54" i="65"/>
  <c r="M46" i="65"/>
  <c r="O46" i="65" s="1"/>
  <c r="M43" i="65"/>
  <c r="D43" i="65"/>
  <c r="M38" i="65"/>
  <c r="O38" i="65" s="1"/>
  <c r="D38" i="65"/>
  <c r="O37" i="65"/>
  <c r="M33" i="65"/>
  <c r="O33" i="65" s="1"/>
  <c r="D33" i="65"/>
  <c r="O32" i="65"/>
  <c r="M29" i="65"/>
  <c r="D29" i="65"/>
  <c r="O29" i="65" s="1"/>
  <c r="O28" i="65"/>
  <c r="M25" i="65"/>
  <c r="O25" i="65" s="1"/>
  <c r="V25" i="65" s="1"/>
  <c r="D25" i="65"/>
  <c r="O24" i="65"/>
  <c r="O23" i="65"/>
  <c r="O22" i="65"/>
  <c r="O20" i="65"/>
  <c r="O19" i="65"/>
  <c r="O17" i="65"/>
  <c r="O16" i="65"/>
  <c r="AE31" i="62"/>
  <c r="AD31" i="62"/>
  <c r="AC31" i="62"/>
  <c r="AB31" i="62"/>
  <c r="AA31" i="62"/>
  <c r="Z31" i="62"/>
  <c r="Y31" i="62"/>
  <c r="X31" i="62"/>
  <c r="W31" i="62"/>
  <c r="V31" i="62"/>
  <c r="U31" i="62"/>
  <c r="T31" i="62"/>
  <c r="S31" i="62"/>
  <c r="R31" i="62"/>
  <c r="Q31" i="62"/>
  <c r="P31" i="62"/>
  <c r="O31" i="62"/>
  <c r="N31" i="62"/>
  <c r="M31" i="62"/>
  <c r="L31" i="62"/>
  <c r="K31" i="62"/>
  <c r="J31" i="62"/>
  <c r="I31" i="62"/>
  <c r="H31" i="62"/>
  <c r="G31" i="62"/>
  <c r="F31" i="62"/>
  <c r="E31" i="62"/>
  <c r="D31" i="62"/>
  <c r="AE30" i="62"/>
  <c r="AD30" i="62"/>
  <c r="AC30" i="62"/>
  <c r="AB30" i="62"/>
  <c r="AA30" i="62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AE29" i="62"/>
  <c r="AD29" i="62"/>
  <c r="AC29" i="62"/>
  <c r="AB29" i="62"/>
  <c r="AA29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AE28" i="62"/>
  <c r="AD28" i="62"/>
  <c r="AC28" i="62"/>
  <c r="AB28" i="62"/>
  <c r="AA28" i="62"/>
  <c r="Z28" i="62"/>
  <c r="Y28" i="62"/>
  <c r="X28" i="62"/>
  <c r="W28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AE27" i="62"/>
  <c r="AD27" i="62"/>
  <c r="AC27" i="62"/>
  <c r="AB27" i="62"/>
  <c r="AA27" i="62"/>
  <c r="Z27" i="62"/>
  <c r="Y27" i="62"/>
  <c r="X27" i="62"/>
  <c r="W27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AE26" i="62"/>
  <c r="AD26" i="62"/>
  <c r="AC26" i="62"/>
  <c r="AB26" i="62"/>
  <c r="AA26" i="62"/>
  <c r="Z26" i="62"/>
  <c r="Y26" i="62"/>
  <c r="X26" i="62"/>
  <c r="W26" i="62"/>
  <c r="V26" i="62"/>
  <c r="U26" i="62"/>
  <c r="T26" i="62"/>
  <c r="S26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AE24" i="62"/>
  <c r="AD24" i="62"/>
  <c r="AC24" i="62"/>
  <c r="AB24" i="62"/>
  <c r="AA24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AE23" i="62"/>
  <c r="AD23" i="62"/>
  <c r="AC23" i="62"/>
  <c r="AB23" i="62"/>
  <c r="AA23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AE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AE21" i="62"/>
  <c r="AD21" i="62"/>
  <c r="AC21" i="62"/>
  <c r="AB21" i="62"/>
  <c r="AA21" i="62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AE20" i="62"/>
  <c r="AD20" i="62"/>
  <c r="AC20" i="62"/>
  <c r="AB20" i="62"/>
  <c r="AA20" i="62"/>
  <c r="Z20" i="62"/>
  <c r="Y20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AE18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AE17" i="62"/>
  <c r="AD17" i="62"/>
  <c r="AC17" i="62"/>
  <c r="AB17" i="62"/>
  <c r="AA17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AE16" i="62"/>
  <c r="AD16" i="62"/>
  <c r="AC16" i="62"/>
  <c r="AB16" i="62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AE15" i="62"/>
  <c r="AD15" i="62"/>
  <c r="AC15" i="62"/>
  <c r="AB15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AE14" i="62"/>
  <c r="AD14" i="62"/>
  <c r="AC14" i="62"/>
  <c r="AB14" i="62"/>
  <c r="AA14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AE13" i="62"/>
  <c r="AD13" i="62"/>
  <c r="AC13" i="62"/>
  <c r="AB13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AE12" i="62"/>
  <c r="AD12" i="62"/>
  <c r="AC12" i="62"/>
  <c r="AB12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AE11" i="62"/>
  <c r="AD11" i="62"/>
  <c r="AC11" i="62"/>
  <c r="AB11" i="62"/>
  <c r="AA11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AE10" i="62"/>
  <c r="AD10" i="62"/>
  <c r="AC10" i="62"/>
  <c r="AB10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AE9" i="62"/>
  <c r="AD9" i="62"/>
  <c r="AC9" i="62"/>
  <c r="AB9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AE8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AH7" i="62"/>
  <c r="AH8" i="62" s="1"/>
  <c r="AH10" i="62" s="1"/>
  <c r="AH12" i="62" s="1"/>
  <c r="AG7" i="62"/>
  <c r="AG8" i="62" s="1"/>
  <c r="AG10" i="62" s="1"/>
  <c r="AG12" i="62" s="1"/>
  <c r="AG14" i="62" s="1"/>
  <c r="AG16" i="62" s="1"/>
  <c r="AG18" i="62" s="1"/>
  <c r="AG20" i="62" s="1"/>
  <c r="AF7" i="62"/>
  <c r="AF8" i="62" s="1"/>
  <c r="AF10" i="62" s="1"/>
  <c r="AF12" i="62" s="1"/>
  <c r="D5" i="62"/>
  <c r="F43" i="71"/>
  <c r="G43" i="71" s="1"/>
  <c r="B43" i="71"/>
  <c r="F42" i="71"/>
  <c r="G42" i="71" s="1"/>
  <c r="G41" i="71" s="1"/>
  <c r="B42" i="71"/>
  <c r="F40" i="71"/>
  <c r="G40" i="71" s="1"/>
  <c r="F39" i="71"/>
  <c r="G39" i="71"/>
  <c r="B39" i="71"/>
  <c r="F38" i="71"/>
  <c r="G38" i="71" s="1"/>
  <c r="F37" i="71"/>
  <c r="G37" i="71" s="1"/>
  <c r="F36" i="71"/>
  <c r="G36" i="71" s="1"/>
  <c r="F35" i="71"/>
  <c r="G35" i="71" s="1"/>
  <c r="F34" i="71"/>
  <c r="G34" i="71"/>
  <c r="F33" i="71"/>
  <c r="G33" i="71" s="1"/>
  <c r="F32" i="71"/>
  <c r="G32" i="71"/>
  <c r="B32" i="71"/>
  <c r="F31" i="71"/>
  <c r="G31" i="71" s="1"/>
  <c r="B31" i="71"/>
  <c r="F30" i="71"/>
  <c r="G30" i="71" s="1"/>
  <c r="F29" i="71"/>
  <c r="G29" i="71" s="1"/>
  <c r="B29" i="71"/>
  <c r="F28" i="71"/>
  <c r="G28" i="71" s="1"/>
  <c r="B28" i="71"/>
  <c r="F27" i="71"/>
  <c r="G27" i="71" s="1"/>
  <c r="B27" i="71"/>
  <c r="F26" i="71"/>
  <c r="G26" i="71" s="1"/>
  <c r="B26" i="71"/>
  <c r="F25" i="71"/>
  <c r="G25" i="71" s="1"/>
  <c r="F24" i="71"/>
  <c r="G24" i="71" s="1"/>
  <c r="G23" i="71" s="1"/>
  <c r="F22" i="71"/>
  <c r="G22" i="71"/>
  <c r="B22" i="71"/>
  <c r="F21" i="71"/>
  <c r="G21" i="71"/>
  <c r="B21" i="71"/>
  <c r="F20" i="71"/>
  <c r="G20" i="71" s="1"/>
  <c r="B20" i="71"/>
  <c r="F19" i="71"/>
  <c r="G19" i="71" s="1"/>
  <c r="B19" i="71"/>
  <c r="F18" i="71"/>
  <c r="G18" i="71"/>
  <c r="B18" i="71"/>
  <c r="F17" i="71"/>
  <c r="G17" i="71" s="1"/>
  <c r="B17" i="71"/>
  <c r="F16" i="71"/>
  <c r="G16" i="71" s="1"/>
  <c r="G15" i="71" s="1"/>
  <c r="G44" i="71" s="1"/>
  <c r="B16" i="71"/>
  <c r="D10" i="71"/>
  <c r="D9" i="71"/>
  <c r="S86" i="56"/>
  <c r="U86" i="56" s="1"/>
  <c r="I86" i="56"/>
  <c r="K86" i="56" s="1"/>
  <c r="R80" i="56"/>
  <c r="R78" i="56"/>
  <c r="P76" i="56"/>
  <c r="S75" i="56" s="1"/>
  <c r="U75" i="56" s="1"/>
  <c r="N75" i="56"/>
  <c r="S70" i="56"/>
  <c r="N70" i="56"/>
  <c r="I70" i="56"/>
  <c r="D70" i="56"/>
  <c r="S52" i="56"/>
  <c r="N52" i="56"/>
  <c r="U52" i="56" s="1"/>
  <c r="I52" i="56"/>
  <c r="D52" i="56"/>
  <c r="R50" i="56"/>
  <c r="S36" i="56" s="1"/>
  <c r="N36" i="56"/>
  <c r="D36" i="56"/>
  <c r="S29" i="56"/>
  <c r="N29" i="56"/>
  <c r="I29" i="56"/>
  <c r="D29" i="56"/>
  <c r="S15" i="56"/>
  <c r="N15" i="56"/>
  <c r="I15" i="56"/>
  <c r="D15" i="56"/>
  <c r="K15" i="56" s="1"/>
  <c r="S7" i="56"/>
  <c r="N7" i="56"/>
  <c r="I7" i="56"/>
  <c r="D7" i="56"/>
  <c r="I59" i="111"/>
  <c r="K59" i="111" s="1"/>
  <c r="I55" i="111"/>
  <c r="K55" i="111" s="1"/>
  <c r="I61" i="111"/>
  <c r="K61" i="111" s="1"/>
  <c r="I49" i="111"/>
  <c r="K49" i="111" s="1"/>
  <c r="I56" i="111"/>
  <c r="K56" i="111" s="1"/>
  <c r="I27" i="111"/>
  <c r="K27" i="111" s="1"/>
  <c r="I39" i="112"/>
  <c r="K39" i="112" s="1"/>
  <c r="I23" i="111"/>
  <c r="K23" i="111" s="1"/>
  <c r="I54" i="111"/>
  <c r="K54" i="111" s="1"/>
  <c r="I60" i="111"/>
  <c r="K60" i="111" s="1"/>
  <c r="I40" i="112"/>
  <c r="K40" i="112" s="1"/>
  <c r="I36" i="111"/>
  <c r="K36" i="111" s="1"/>
  <c r="I50" i="111"/>
  <c r="K50" i="111" s="1"/>
  <c r="I71" i="112"/>
  <c r="K71" i="112" s="1"/>
  <c r="I28" i="112"/>
  <c r="K28" i="112" s="1"/>
  <c r="I53" i="112"/>
  <c r="K53" i="112" s="1"/>
  <c r="I55" i="112"/>
  <c r="K55" i="112" s="1"/>
  <c r="I22" i="112"/>
  <c r="K22" i="112" s="1"/>
  <c r="I35" i="112"/>
  <c r="K35" i="112" s="1"/>
  <c r="I41" i="112"/>
  <c r="K41" i="112" s="1"/>
  <c r="I63" i="112"/>
  <c r="K63" i="112" s="1"/>
  <c r="I46" i="111"/>
  <c r="K46" i="111" s="1"/>
  <c r="I44" i="112"/>
  <c r="K44" i="112" s="1"/>
  <c r="I26" i="112"/>
  <c r="K26" i="112" s="1"/>
  <c r="I31" i="112"/>
  <c r="K31" i="112" s="1"/>
  <c r="I67" i="112"/>
  <c r="K67" i="112" s="1"/>
  <c r="O22" i="111"/>
  <c r="T22" i="111" s="1"/>
  <c r="W22" i="111" s="1"/>
  <c r="AI28" i="3"/>
  <c r="AM28" i="3"/>
  <c r="I42" i="111"/>
  <c r="K42" i="111" s="1"/>
  <c r="U7" i="56"/>
  <c r="U15" i="56"/>
  <c r="U29" i="56"/>
  <c r="K14" i="72"/>
  <c r="L14" i="72" s="1"/>
  <c r="K16" i="72"/>
  <c r="L16" i="72" s="1"/>
  <c r="M16" i="72" s="1"/>
  <c r="J17" i="72"/>
  <c r="O31" i="84"/>
  <c r="I38" i="111"/>
  <c r="K38" i="111" s="1"/>
  <c r="I53" i="111"/>
  <c r="K53" i="111" s="1"/>
  <c r="I58" i="111"/>
  <c r="K58" i="111" s="1"/>
  <c r="AI31" i="42"/>
  <c r="AI33" i="42"/>
  <c r="R33" i="66"/>
  <c r="S33" i="66" s="1"/>
  <c r="S32" i="66" s="1"/>
  <c r="K14" i="51"/>
  <c r="I34" i="111"/>
  <c r="K34" i="111" s="1"/>
  <c r="I52" i="111"/>
  <c r="K52" i="111" s="1"/>
  <c r="AI56" i="42"/>
  <c r="AI60" i="42"/>
  <c r="AI64" i="42"/>
  <c r="AI76" i="42"/>
  <c r="T25" i="63"/>
  <c r="U25" i="63" s="1"/>
  <c r="AF9" i="62"/>
  <c r="AF11" i="62" s="1"/>
  <c r="AF13" i="62" s="1"/>
  <c r="O54" i="65"/>
  <c r="O18" i="59"/>
  <c r="P18" i="59"/>
  <c r="K21" i="60" s="1"/>
  <c r="O19" i="59"/>
  <c r="P19" i="59" s="1"/>
  <c r="O24" i="59"/>
  <c r="P24" i="59" s="1"/>
  <c r="K27" i="60" s="1"/>
  <c r="J15" i="72"/>
  <c r="K20" i="72"/>
  <c r="E31" i="72"/>
  <c r="H16" i="77"/>
  <c r="Z30" i="84"/>
  <c r="J16" i="75"/>
  <c r="J32" i="48"/>
  <c r="P13" i="52"/>
  <c r="L91" i="32"/>
  <c r="L147" i="32"/>
  <c r="AL28" i="3"/>
  <c r="I30" i="111"/>
  <c r="K30" i="111" s="1"/>
  <c r="I44" i="111"/>
  <c r="K44" i="111" s="1"/>
  <c r="I48" i="111"/>
  <c r="K48" i="111" s="1"/>
  <c r="I51" i="111"/>
  <c r="K51" i="111" s="1"/>
  <c r="E18" i="69"/>
  <c r="G29" i="2"/>
  <c r="R32" i="66"/>
  <c r="J94" i="42"/>
  <c r="Z94" i="42"/>
  <c r="R57" i="63"/>
  <c r="T57" i="63" s="1"/>
  <c r="U57" i="63" s="1"/>
  <c r="O15" i="65"/>
  <c r="O15" i="59"/>
  <c r="P15" i="59" s="1"/>
  <c r="K18" i="60" s="1"/>
  <c r="O22" i="59"/>
  <c r="P22" i="59" s="1"/>
  <c r="K25" i="60" s="1"/>
  <c r="O32" i="59"/>
  <c r="O31" i="59" s="1"/>
  <c r="K26" i="72"/>
  <c r="K28" i="72"/>
  <c r="K30" i="72"/>
  <c r="K29" i="72" s="1"/>
  <c r="K14" i="50"/>
  <c r="K37" i="50" s="1"/>
  <c r="K13" i="50" s="1"/>
  <c r="L57" i="102"/>
  <c r="M57" i="102" s="1"/>
  <c r="N57" i="102" s="1"/>
  <c r="AI34" i="42"/>
  <c r="AI36" i="42"/>
  <c r="AI37" i="42"/>
  <c r="AI38" i="42"/>
  <c r="AI40" i="42"/>
  <c r="AI41" i="42"/>
  <c r="AI42" i="42"/>
  <c r="AI44" i="42"/>
  <c r="AI45" i="42"/>
  <c r="AI46" i="42"/>
  <c r="AI48" i="42"/>
  <c r="AI49" i="42"/>
  <c r="AI50" i="42"/>
  <c r="AI52" i="42"/>
  <c r="AI53" i="42"/>
  <c r="AI54" i="42"/>
  <c r="AI57" i="42"/>
  <c r="AI58" i="42"/>
  <c r="AI61" i="42"/>
  <c r="AI62" i="42"/>
  <c r="AI65" i="42"/>
  <c r="AI66" i="42"/>
  <c r="AI70" i="42"/>
  <c r="AI71" i="42"/>
  <c r="AI74" i="42"/>
  <c r="R15" i="63"/>
  <c r="T15" i="63" s="1"/>
  <c r="U15" i="63" s="1"/>
  <c r="J7" i="2"/>
  <c r="F16" i="93"/>
  <c r="U70" i="56"/>
  <c r="K22" i="60"/>
  <c r="O27" i="59"/>
  <c r="P27" i="59" s="1"/>
  <c r="E33" i="59"/>
  <c r="K20" i="75"/>
  <c r="G16" i="52"/>
  <c r="G13" i="52" s="1"/>
  <c r="R13" i="32"/>
  <c r="L65" i="32"/>
  <c r="E78" i="32"/>
  <c r="R78" i="32"/>
  <c r="L121" i="32"/>
  <c r="E134" i="32"/>
  <c r="R134" i="32"/>
  <c r="R173" i="32"/>
  <c r="E212" i="32"/>
  <c r="G29" i="37"/>
  <c r="AH94" i="42"/>
  <c r="H94" i="42"/>
  <c r="L94" i="42"/>
  <c r="P94" i="42"/>
  <c r="T94" i="42"/>
  <c r="AB94" i="42"/>
  <c r="AF94" i="42"/>
  <c r="R33" i="68"/>
  <c r="R32" i="68" s="1"/>
  <c r="F205" i="70"/>
  <c r="O43" i="65"/>
  <c r="O42" i="65"/>
  <c r="O83" i="65"/>
  <c r="O89" i="65"/>
  <c r="G22" i="60"/>
  <c r="F29" i="60"/>
  <c r="N13" i="59"/>
  <c r="F13" i="59"/>
  <c r="O28" i="59"/>
  <c r="O29" i="59"/>
  <c r="P29" i="59" s="1"/>
  <c r="K32" i="60" s="1"/>
  <c r="H12" i="72"/>
  <c r="J13" i="72"/>
  <c r="J14" i="72"/>
  <c r="K17" i="72"/>
  <c r="K18" i="72"/>
  <c r="J20" i="72"/>
  <c r="K21" i="72"/>
  <c r="S21" i="72" s="1"/>
  <c r="K22" i="72"/>
  <c r="J26" i="72"/>
  <c r="G29" i="72"/>
  <c r="U17" i="84"/>
  <c r="U31" i="84" s="1"/>
  <c r="K16" i="75"/>
  <c r="P13" i="48"/>
  <c r="P33" i="48" s="1"/>
  <c r="S15" i="52"/>
  <c r="R91" i="32"/>
  <c r="R147" i="32"/>
  <c r="AK28" i="3"/>
  <c r="D8" i="42"/>
  <c r="AI15" i="42"/>
  <c r="AI19" i="42"/>
  <c r="AI23" i="42"/>
  <c r="AI35" i="42"/>
  <c r="AI39" i="42"/>
  <c r="AI43" i="42"/>
  <c r="AI47" i="42"/>
  <c r="AI51" i="42"/>
  <c r="AI55" i="42"/>
  <c r="AI59" i="42"/>
  <c r="AI63" i="42"/>
  <c r="AI67" i="42"/>
  <c r="AI69" i="42"/>
  <c r="AI73" i="42"/>
  <c r="AI75" i="42"/>
  <c r="G11" i="82"/>
  <c r="O21" i="65"/>
  <c r="E29" i="60"/>
  <c r="N36" i="60"/>
  <c r="O21" i="59"/>
  <c r="P21" i="59" s="1"/>
  <c r="K24" i="60" s="1"/>
  <c r="R65" i="32"/>
  <c r="R121" i="32"/>
  <c r="AI10" i="42"/>
  <c r="AI14" i="42"/>
  <c r="AI18" i="42"/>
  <c r="AI22" i="42"/>
  <c r="AI26" i="42"/>
  <c r="AI30" i="42"/>
  <c r="V94" i="42"/>
  <c r="AI81" i="42"/>
  <c r="AI82" i="42"/>
  <c r="AI85" i="42"/>
  <c r="AI86" i="42"/>
  <c r="AI87" i="42"/>
  <c r="AI90" i="42"/>
  <c r="AI91" i="42"/>
  <c r="M18" i="111"/>
  <c r="M21" i="112"/>
  <c r="I23" i="112"/>
  <c r="K23" i="112" s="1"/>
  <c r="M26" i="112"/>
  <c r="M37" i="112"/>
  <c r="I51" i="112"/>
  <c r="K51" i="112" s="1"/>
  <c r="M60" i="112"/>
  <c r="M46" i="112"/>
  <c r="M59" i="112"/>
  <c r="M61" i="112"/>
  <c r="M62" i="112"/>
  <c r="M67" i="112"/>
  <c r="M19" i="112"/>
  <c r="M28" i="112"/>
  <c r="M51" i="112"/>
  <c r="M63" i="112"/>
  <c r="K31" i="113"/>
  <c r="M16" i="112"/>
  <c r="M17" i="112"/>
  <c r="M20" i="112"/>
  <c r="M22" i="112"/>
  <c r="M23" i="112"/>
  <c r="M25" i="112"/>
  <c r="M29" i="112"/>
  <c r="M30" i="112"/>
  <c r="M31" i="112"/>
  <c r="M40" i="112"/>
  <c r="M44" i="112"/>
  <c r="M47" i="112"/>
  <c r="M49" i="112"/>
  <c r="M50" i="112"/>
  <c r="M54" i="112"/>
  <c r="K16" i="113"/>
  <c r="M24" i="112"/>
  <c r="M39" i="112"/>
  <c r="M41" i="112"/>
  <c r="K17" i="113"/>
  <c r="K18" i="113"/>
  <c r="M18" i="112"/>
  <c r="M32" i="112"/>
  <c r="M33" i="112"/>
  <c r="M36" i="112"/>
  <c r="M38" i="112"/>
  <c r="M56" i="112"/>
  <c r="M57" i="112"/>
  <c r="M71" i="112"/>
  <c r="M34" i="112"/>
  <c r="M45" i="112"/>
  <c r="M53" i="112"/>
  <c r="M58" i="112"/>
  <c r="M64" i="112"/>
  <c r="M72" i="112"/>
  <c r="K32" i="113"/>
  <c r="M36" i="111"/>
  <c r="I39" i="111"/>
  <c r="K39" i="111" s="1"/>
  <c r="I45" i="111"/>
  <c r="K45" i="111" s="1"/>
  <c r="I47" i="111"/>
  <c r="K47" i="111" s="1"/>
  <c r="M59" i="111"/>
  <c r="M29" i="111"/>
  <c r="O29" i="111" s="1"/>
  <c r="T29" i="111" s="1"/>
  <c r="W29" i="111" s="1"/>
  <c r="M30" i="111"/>
  <c r="M42" i="111"/>
  <c r="M47" i="111"/>
  <c r="K26" i="111"/>
  <c r="M28" i="111"/>
  <c r="M39" i="111"/>
  <c r="M45" i="111"/>
  <c r="O45" i="111" s="1"/>
  <c r="T45" i="111" s="1"/>
  <c r="W45" i="111" s="1"/>
  <c r="M25" i="111"/>
  <c r="M44" i="111"/>
  <c r="M49" i="111"/>
  <c r="M52" i="111"/>
  <c r="I35" i="111"/>
  <c r="K35" i="111" s="1"/>
  <c r="M37" i="111"/>
  <c r="I57" i="111"/>
  <c r="K57" i="111" s="1"/>
  <c r="M26" i="111"/>
  <c r="M31" i="111"/>
  <c r="M32" i="111"/>
  <c r="M27" i="111"/>
  <c r="M33" i="111"/>
  <c r="O33" i="111" s="1"/>
  <c r="T33" i="111" s="1"/>
  <c r="W33" i="111" s="1"/>
  <c r="M35" i="111"/>
  <c r="M40" i="111"/>
  <c r="I41" i="111"/>
  <c r="K41" i="111" s="1"/>
  <c r="M51" i="111"/>
  <c r="M54" i="111"/>
  <c r="M57" i="111"/>
  <c r="I31" i="111"/>
  <c r="K31" i="111" s="1"/>
  <c r="M41" i="111"/>
  <c r="M43" i="111"/>
  <c r="I19" i="111"/>
  <c r="K19" i="111" s="1"/>
  <c r="M21" i="111"/>
  <c r="M20" i="111"/>
  <c r="O20" i="111" s="1"/>
  <c r="T20" i="111" s="1"/>
  <c r="W20" i="111" s="1"/>
  <c r="I21" i="111"/>
  <c r="K21" i="111" s="1"/>
  <c r="M24" i="111"/>
  <c r="I17" i="111"/>
  <c r="K17" i="111" s="1"/>
  <c r="R25" i="59"/>
  <c r="S25" i="59" s="1"/>
  <c r="M28" i="60" s="1"/>
  <c r="S17" i="72"/>
  <c r="L17" i="72"/>
  <c r="M17" i="72" s="1"/>
  <c r="L18" i="72"/>
  <c r="M18" i="72" s="1"/>
  <c r="L22" i="72"/>
  <c r="M22" i="72" s="1"/>
  <c r="S22" i="72"/>
  <c r="Q22" i="59"/>
  <c r="R23" i="59"/>
  <c r="S23" i="59" s="1"/>
  <c r="M26" i="60" s="1"/>
  <c r="K32" i="59"/>
  <c r="J31" i="59"/>
  <c r="S16" i="72"/>
  <c r="P32" i="59"/>
  <c r="L26" i="72"/>
  <c r="M26" i="72" s="1"/>
  <c r="S26" i="72"/>
  <c r="L28" i="72"/>
  <c r="M28" i="72" s="1"/>
  <c r="S28" i="72"/>
  <c r="L30" i="72"/>
  <c r="M14" i="72"/>
  <c r="G28" i="60"/>
  <c r="J28" i="60" s="1"/>
  <c r="K15" i="72"/>
  <c r="M31" i="84"/>
  <c r="AG9" i="62"/>
  <c r="AG11" i="62" s="1"/>
  <c r="AG13" i="62" s="1"/>
  <c r="AG15" i="62" s="1"/>
  <c r="AG17" i="62" s="1"/>
  <c r="AG19" i="62" s="1"/>
  <c r="AG21" i="62" s="1"/>
  <c r="AG23" i="62" s="1"/>
  <c r="AG25" i="62" s="1"/>
  <c r="AG27" i="62" s="1"/>
  <c r="AG29" i="62" s="1"/>
  <c r="O13" i="68"/>
  <c r="O13" i="66"/>
  <c r="G17" i="60"/>
  <c r="D22" i="60"/>
  <c r="E27" i="60"/>
  <c r="H28" i="60"/>
  <c r="L31" i="59"/>
  <c r="G24" i="72"/>
  <c r="L27" i="72"/>
  <c r="M27" i="72" s="1"/>
  <c r="I31" i="84"/>
  <c r="J15" i="48"/>
  <c r="E52" i="32"/>
  <c r="E65" i="32"/>
  <c r="L78" i="32"/>
  <c r="E91" i="32"/>
  <c r="E121" i="32"/>
  <c r="G112" i="32" s="1"/>
  <c r="L134" i="32"/>
  <c r="E147" i="32"/>
  <c r="R160" i="32"/>
  <c r="L160" i="32"/>
  <c r="L212" i="32"/>
  <c r="AH9" i="62"/>
  <c r="AH11" i="62" s="1"/>
  <c r="AH13" i="62" s="1"/>
  <c r="F27" i="60"/>
  <c r="D23" i="72"/>
  <c r="E28" i="60"/>
  <c r="F31" i="59"/>
  <c r="F31" i="72"/>
  <c r="J30" i="72"/>
  <c r="J29" i="72" s="1"/>
  <c r="F31" i="84"/>
  <c r="L13" i="32"/>
  <c r="R26" i="32"/>
  <c r="R186" i="32"/>
  <c r="O22" i="66"/>
  <c r="O22" i="68"/>
  <c r="O14" i="68"/>
  <c r="O14" i="66"/>
  <c r="F22" i="60"/>
  <c r="O23" i="66"/>
  <c r="O23" i="68"/>
  <c r="O21" i="68"/>
  <c r="O18" i="68"/>
  <c r="O21" i="66"/>
  <c r="O18" i="66"/>
  <c r="G27" i="60"/>
  <c r="J27" i="60" s="1"/>
  <c r="F28" i="60"/>
  <c r="L13" i="59"/>
  <c r="V31" i="84"/>
  <c r="P29" i="84"/>
  <c r="L28" i="84"/>
  <c r="U15" i="52"/>
  <c r="E13" i="32"/>
  <c r="L26" i="32"/>
  <c r="E39" i="32"/>
  <c r="R39" i="32"/>
  <c r="R52" i="32"/>
  <c r="L52" i="32"/>
  <c r="L104" i="32"/>
  <c r="E160" i="32"/>
  <c r="E173" i="32"/>
  <c r="L186" i="32"/>
  <c r="E199" i="32"/>
  <c r="R199" i="32"/>
  <c r="K16" i="48"/>
  <c r="K32" i="48" s="1"/>
  <c r="J14" i="51"/>
  <c r="J16" i="51" s="1"/>
  <c r="S15" i="51"/>
  <c r="P13" i="51"/>
  <c r="K11" i="11"/>
  <c r="S14" i="52"/>
  <c r="S16" i="52" s="1"/>
  <c r="S13" i="52" s="1"/>
  <c r="O13" i="52"/>
  <c r="K11" i="43"/>
  <c r="J12" i="43"/>
  <c r="K12" i="43" s="1"/>
  <c r="M12" i="43" s="1"/>
  <c r="J11" i="27"/>
  <c r="K11" i="61"/>
  <c r="AI68" i="42"/>
  <c r="AI79" i="42"/>
  <c r="AI93" i="42"/>
  <c r="G15" i="48"/>
  <c r="G13" i="48" s="1"/>
  <c r="G33" i="48" s="1"/>
  <c r="T15" i="51"/>
  <c r="T16" i="51" s="1"/>
  <c r="T13" i="51" s="1"/>
  <c r="G94" i="42"/>
  <c r="K94" i="42"/>
  <c r="O94" i="42"/>
  <c r="W94" i="42"/>
  <c r="AA94" i="42"/>
  <c r="AE94" i="42"/>
  <c r="M13" i="51"/>
  <c r="K14" i="52"/>
  <c r="J15" i="52"/>
  <c r="J16" i="52" s="1"/>
  <c r="AI72" i="42"/>
  <c r="D77" i="42"/>
  <c r="D94" i="42" s="1"/>
  <c r="AI83" i="42"/>
  <c r="O13" i="48"/>
  <c r="O33" i="48" s="1"/>
  <c r="E94" i="42"/>
  <c r="I94" i="42"/>
  <c r="M94" i="42"/>
  <c r="Q94" i="42"/>
  <c r="U94" i="42"/>
  <c r="Y94" i="42"/>
  <c r="AC94" i="42"/>
  <c r="AG94" i="42"/>
  <c r="AI89" i="42"/>
  <c r="N21" i="63"/>
  <c r="O21" i="63" s="1"/>
  <c r="P21" i="63" s="1"/>
  <c r="N69" i="63"/>
  <c r="O69" i="63" s="1"/>
  <c r="P69" i="63" s="1"/>
  <c r="C111" i="63"/>
  <c r="S33" i="68"/>
  <c r="S32" i="68" s="1"/>
  <c r="F11" i="82"/>
  <c r="E16" i="93"/>
  <c r="N33" i="51"/>
  <c r="N52" i="52"/>
  <c r="O19" i="48"/>
  <c r="Q19" i="48" s="1"/>
  <c r="R19" i="48" s="1"/>
  <c r="U19" i="48" s="1"/>
  <c r="X19" i="48" s="1"/>
  <c r="Q39" i="51"/>
  <c r="M42" i="112"/>
  <c r="N38" i="51"/>
  <c r="M19" i="111"/>
  <c r="I29" i="112"/>
  <c r="K29" i="112" s="1"/>
  <c r="I18" i="112"/>
  <c r="K18" i="112" s="1"/>
  <c r="I56" i="112"/>
  <c r="K56" i="112" s="1"/>
  <c r="Q17" i="48"/>
  <c r="N18" i="50"/>
  <c r="N22" i="50"/>
  <c r="N26" i="50"/>
  <c r="N54" i="51"/>
  <c r="N24" i="52"/>
  <c r="N48" i="52"/>
  <c r="Q50" i="52"/>
  <c r="N51" i="52"/>
  <c r="Q53" i="52"/>
  <c r="Q58" i="52"/>
  <c r="R58" i="52"/>
  <c r="U58" i="52" s="1"/>
  <c r="X58" i="52" s="1"/>
  <c r="Q59" i="52"/>
  <c r="R59" i="52"/>
  <c r="U59" i="52" s="1"/>
  <c r="X59" i="52" s="1"/>
  <c r="Q16" i="50"/>
  <c r="Q20" i="50"/>
  <c r="Q24" i="50"/>
  <c r="I27" i="112"/>
  <c r="K27" i="112" s="1"/>
  <c r="I30" i="112"/>
  <c r="K30" i="112" s="1"/>
  <c r="I50" i="112"/>
  <c r="K50" i="112" s="1"/>
  <c r="I54" i="112"/>
  <c r="K54" i="112" s="1"/>
  <c r="I38" i="112"/>
  <c r="K38" i="112" s="1"/>
  <c r="I42" i="112"/>
  <c r="K42" i="112" s="1"/>
  <c r="I32" i="112"/>
  <c r="K32" i="112" s="1"/>
  <c r="I36" i="112"/>
  <c r="K36" i="112" s="1"/>
  <c r="I48" i="112"/>
  <c r="K48" i="112" s="1"/>
  <c r="N17" i="48"/>
  <c r="N20" i="48"/>
  <c r="Q22" i="48"/>
  <c r="Q25" i="48"/>
  <c r="N22" i="51"/>
  <c r="Q32" i="51"/>
  <c r="N27" i="50"/>
  <c r="Q33" i="50"/>
  <c r="N35" i="50"/>
  <c r="N19" i="51"/>
  <c r="N49" i="51"/>
  <c r="N22" i="52"/>
  <c r="I21" i="112"/>
  <c r="K21" i="112" s="1"/>
  <c r="N27" i="48"/>
  <c r="Q29" i="48"/>
  <c r="N31" i="48"/>
  <c r="Q26" i="50"/>
  <c r="N28" i="50"/>
  <c r="N32" i="50"/>
  <c r="N36" i="50"/>
  <c r="N18" i="51"/>
  <c r="Q20" i="51"/>
  <c r="N21" i="51"/>
  <c r="N25" i="51"/>
  <c r="Q33" i="51"/>
  <c r="N34" i="51"/>
  <c r="N48" i="51"/>
  <c r="N52" i="51"/>
  <c r="N56" i="51"/>
  <c r="N23" i="52"/>
  <c r="N27" i="52"/>
  <c r="N43" i="52"/>
  <c r="N54" i="52"/>
  <c r="N29" i="50"/>
  <c r="N33" i="50"/>
  <c r="Q22" i="51"/>
  <c r="N24" i="51"/>
  <c r="Q26" i="51"/>
  <c r="N28" i="51"/>
  <c r="N32" i="51"/>
  <c r="N37" i="51"/>
  <c r="Q38" i="51"/>
  <c r="N20" i="52"/>
  <c r="N26" i="52"/>
  <c r="I57" i="112"/>
  <c r="K57" i="112" s="1"/>
  <c r="N45" i="51"/>
  <c r="N40" i="52"/>
  <c r="N27" i="51"/>
  <c r="Q29" i="51"/>
  <c r="Q34" i="51"/>
  <c r="N36" i="51"/>
  <c r="N39" i="51"/>
  <c r="N42" i="51"/>
  <c r="N29" i="52"/>
  <c r="Q31" i="52"/>
  <c r="N33" i="52"/>
  <c r="N37" i="52"/>
  <c r="N18" i="48"/>
  <c r="N21" i="48"/>
  <c r="Q23" i="48"/>
  <c r="N24" i="48"/>
  <c r="Q26" i="48"/>
  <c r="N28" i="48"/>
  <c r="Q30" i="48"/>
  <c r="Q15" i="50"/>
  <c r="N17" i="50"/>
  <c r="Q19" i="50"/>
  <c r="N21" i="50"/>
  <c r="Q23" i="50"/>
  <c r="N25" i="50"/>
  <c r="Q32" i="50"/>
  <c r="Q18" i="51"/>
  <c r="Q27" i="51"/>
  <c r="N30" i="51"/>
  <c r="Q42" i="51"/>
  <c r="N44" i="51"/>
  <c r="Q45" i="51"/>
  <c r="N51" i="51"/>
  <c r="N19" i="52"/>
  <c r="Q21" i="52"/>
  <c r="N32" i="52"/>
  <c r="N36" i="52"/>
  <c r="N39" i="52"/>
  <c r="N42" i="52"/>
  <c r="N46" i="52"/>
  <c r="Q48" i="52"/>
  <c r="N53" i="52"/>
  <c r="Q54" i="52"/>
  <c r="N56" i="52"/>
  <c r="Q60" i="52"/>
  <c r="R60" i="52" s="1"/>
  <c r="U60" i="52" s="1"/>
  <c r="X60" i="52" s="1"/>
  <c r="Q44" i="51"/>
  <c r="N53" i="51"/>
  <c r="N21" i="52"/>
  <c r="Q36" i="52"/>
  <c r="Q39" i="52"/>
  <c r="Q42" i="52"/>
  <c r="I19" i="112"/>
  <c r="K19" i="112" s="1"/>
  <c r="I24" i="112"/>
  <c r="K24" i="112" s="1"/>
  <c r="I43" i="112"/>
  <c r="K43" i="112" s="1"/>
  <c r="I49" i="112"/>
  <c r="K49" i="112" s="1"/>
  <c r="I17" i="112"/>
  <c r="K17" i="112" s="1"/>
  <c r="L32" i="48"/>
  <c r="L13" i="48" s="1"/>
  <c r="L33" i="48"/>
  <c r="N16" i="48"/>
  <c r="N32" i="48" s="1"/>
  <c r="N13" i="48" s="1"/>
  <c r="N33" i="48" s="1"/>
  <c r="N19" i="48"/>
  <c r="N30" i="50"/>
  <c r="Q52" i="51"/>
  <c r="J17" i="52"/>
  <c r="J61" i="52" s="1"/>
  <c r="I72" i="112"/>
  <c r="K72" i="112" s="1"/>
  <c r="N22" i="48"/>
  <c r="N25" i="48"/>
  <c r="N29" i="48"/>
  <c r="N15" i="50"/>
  <c r="N19" i="50"/>
  <c r="N23" i="50"/>
  <c r="Q27" i="50"/>
  <c r="Q28" i="50"/>
  <c r="Q29" i="50"/>
  <c r="Q30" i="50"/>
  <c r="N23" i="51"/>
  <c r="Q25" i="51"/>
  <c r="Q28" i="51"/>
  <c r="Q37" i="51"/>
  <c r="N41" i="51"/>
  <c r="Q27" i="52"/>
  <c r="N55" i="52"/>
  <c r="N23" i="48"/>
  <c r="N26" i="48"/>
  <c r="N30" i="48"/>
  <c r="N16" i="50"/>
  <c r="N20" i="50"/>
  <c r="N24" i="50"/>
  <c r="N34" i="50"/>
  <c r="N29" i="51"/>
  <c r="N43" i="51"/>
  <c r="N46" i="51"/>
  <c r="N55" i="51"/>
  <c r="N31" i="52"/>
  <c r="N35" i="52"/>
  <c r="N38" i="52"/>
  <c r="N41" i="52"/>
  <c r="N45" i="52"/>
  <c r="Q49" i="52"/>
  <c r="Q52" i="52"/>
  <c r="Q31" i="51"/>
  <c r="Q35" i="51"/>
  <c r="Q40" i="51"/>
  <c r="Q47" i="51"/>
  <c r="Q50" i="51"/>
  <c r="Q44" i="52"/>
  <c r="Q57" i="52"/>
  <c r="N31" i="50"/>
  <c r="Q34" i="50"/>
  <c r="Q35" i="50"/>
  <c r="Q36" i="50"/>
  <c r="N17" i="51"/>
  <c r="N61" i="51" s="1"/>
  <c r="N13" i="51" s="1"/>
  <c r="N20" i="51"/>
  <c r="Q24" i="51"/>
  <c r="N26" i="51"/>
  <c r="R26" i="51" s="1"/>
  <c r="U26" i="51" s="1"/>
  <c r="X26" i="51" s="1"/>
  <c r="Q30" i="51"/>
  <c r="N31" i="51"/>
  <c r="N35" i="51"/>
  <c r="Q36" i="51"/>
  <c r="R36" i="51" s="1"/>
  <c r="U36" i="51" s="1"/>
  <c r="X36" i="51" s="1"/>
  <c r="N40" i="51"/>
  <c r="Q41" i="51"/>
  <c r="Q43" i="51"/>
  <c r="Q46" i="51"/>
  <c r="N47" i="51"/>
  <c r="N50" i="51"/>
  <c r="Q55" i="51"/>
  <c r="N57" i="51"/>
  <c r="N18" i="52"/>
  <c r="N25" i="52"/>
  <c r="N28" i="52"/>
  <c r="N30" i="52"/>
  <c r="R30" i="52" s="1"/>
  <c r="U30" i="52" s="1"/>
  <c r="X30" i="52" s="1"/>
  <c r="N34" i="52"/>
  <c r="Q41" i="52"/>
  <c r="N44" i="52"/>
  <c r="N47" i="52"/>
  <c r="N50" i="52"/>
  <c r="Q56" i="52"/>
  <c r="N57" i="52"/>
  <c r="R57" i="52"/>
  <c r="U57" i="52" s="1"/>
  <c r="X57" i="52" s="1"/>
  <c r="Q21" i="48"/>
  <c r="L61" i="51"/>
  <c r="L13" i="51" s="1"/>
  <c r="Q34" i="52"/>
  <c r="Q49" i="51"/>
  <c r="R49" i="51" s="1"/>
  <c r="U49" i="51" s="1"/>
  <c r="X49" i="51" s="1"/>
  <c r="L61" i="52"/>
  <c r="L13" i="52" s="1"/>
  <c r="N17" i="52"/>
  <c r="N61" i="52"/>
  <c r="N13" i="52" s="1"/>
  <c r="I64" i="112"/>
  <c r="K64" i="112" s="1"/>
  <c r="Q27" i="48"/>
  <c r="Q31" i="48"/>
  <c r="Q17" i="50"/>
  <c r="Q21" i="50"/>
  <c r="Q25" i="50"/>
  <c r="K24" i="51"/>
  <c r="Q57" i="51"/>
  <c r="Q29" i="52"/>
  <c r="Q48" i="51"/>
  <c r="Q51" i="51"/>
  <c r="Q54" i="51"/>
  <c r="Q56" i="51"/>
  <c r="Q35" i="52"/>
  <c r="Q37" i="52"/>
  <c r="Q40" i="52"/>
  <c r="Q43" i="52"/>
  <c r="Q45" i="52"/>
  <c r="Q20" i="48"/>
  <c r="Q24" i="48"/>
  <c r="Q28" i="48"/>
  <c r="Q18" i="50"/>
  <c r="Q22" i="50"/>
  <c r="Q31" i="50"/>
  <c r="Q21" i="51"/>
  <c r="R21" i="51" s="1"/>
  <c r="U21" i="51" s="1"/>
  <c r="X21" i="51" s="1"/>
  <c r="Q23" i="51"/>
  <c r="Q53" i="51"/>
  <c r="Q59" i="51"/>
  <c r="R59" i="51"/>
  <c r="U59" i="51" s="1"/>
  <c r="X59" i="51" s="1"/>
  <c r="Q23" i="52"/>
  <c r="Q55" i="52"/>
  <c r="Q25" i="52"/>
  <c r="Q33" i="52"/>
  <c r="R33" i="52" s="1"/>
  <c r="U33" i="52" s="1"/>
  <c r="X33" i="52" s="1"/>
  <c r="Q38" i="52"/>
  <c r="Q46" i="52"/>
  <c r="K43" i="51"/>
  <c r="K49" i="51"/>
  <c r="K53" i="51"/>
  <c r="K57" i="51"/>
  <c r="K45" i="52"/>
  <c r="K37" i="52"/>
  <c r="K41" i="52"/>
  <c r="I25" i="112"/>
  <c r="K25" i="112" s="1"/>
  <c r="K35" i="51"/>
  <c r="K50" i="52"/>
  <c r="O37" i="50"/>
  <c r="O13" i="50" s="1"/>
  <c r="Q14" i="50"/>
  <c r="R14" i="50" s="1"/>
  <c r="K39" i="51"/>
  <c r="K21" i="52"/>
  <c r="K25" i="52"/>
  <c r="K29" i="52"/>
  <c r="K33" i="52"/>
  <c r="J17" i="51"/>
  <c r="K17" i="51" s="1"/>
  <c r="K61" i="51" s="1"/>
  <c r="G61" i="51"/>
  <c r="Q60" i="51"/>
  <c r="R60" i="51" s="1"/>
  <c r="U60" i="51"/>
  <c r="X60" i="51" s="1"/>
  <c r="Q18" i="52"/>
  <c r="Q22" i="52"/>
  <c r="Q26" i="52"/>
  <c r="Q30" i="52"/>
  <c r="K48" i="52"/>
  <c r="K52" i="52"/>
  <c r="I16" i="112"/>
  <c r="K16" i="112" s="1"/>
  <c r="Q16" i="48"/>
  <c r="R16" i="48" s="1"/>
  <c r="N14" i="50"/>
  <c r="Q17" i="51"/>
  <c r="Q61" i="51" s="1"/>
  <c r="Q13" i="51" s="1"/>
  <c r="K33" i="51"/>
  <c r="K37" i="51"/>
  <c r="K41" i="51"/>
  <c r="K45" i="51"/>
  <c r="Q58" i="51"/>
  <c r="R58" i="51"/>
  <c r="U58" i="51" s="1"/>
  <c r="X58" i="51" s="1"/>
  <c r="Q20" i="52"/>
  <c r="Q24" i="52"/>
  <c r="Q28" i="52"/>
  <c r="Q32" i="52"/>
  <c r="Q47" i="52"/>
  <c r="Q51" i="52"/>
  <c r="K59" i="52"/>
  <c r="Q17" i="52"/>
  <c r="Q61" i="52" s="1"/>
  <c r="Q13" i="52" s="1"/>
  <c r="N46" i="8"/>
  <c r="P46" i="8" s="1"/>
  <c r="I15" i="96"/>
  <c r="L19" i="96"/>
  <c r="I58" i="112"/>
  <c r="K58" i="112" s="1"/>
  <c r="I20" i="112"/>
  <c r="K20" i="112" s="1"/>
  <c r="I34" i="112"/>
  <c r="K34" i="112" s="1"/>
  <c r="I61" i="112"/>
  <c r="K61" i="112" s="1"/>
  <c r="I45" i="112"/>
  <c r="K45" i="112" s="1"/>
  <c r="I22" i="111"/>
  <c r="K22" i="111" s="1"/>
  <c r="I59" i="112"/>
  <c r="K59" i="112" s="1"/>
  <c r="I60" i="112"/>
  <c r="K60" i="112" s="1"/>
  <c r="I37" i="112"/>
  <c r="K37" i="112" s="1"/>
  <c r="I47" i="112"/>
  <c r="K47" i="112" s="1"/>
  <c r="I46" i="112"/>
  <c r="K46" i="112" s="1"/>
  <c r="I62" i="112"/>
  <c r="K62" i="112" s="1"/>
  <c r="I33" i="112"/>
  <c r="K33" i="112" s="1"/>
  <c r="O57" i="111"/>
  <c r="T57" i="111" s="1"/>
  <c r="W57" i="111" s="1"/>
  <c r="O49" i="111"/>
  <c r="T49" i="111" s="1"/>
  <c r="W49" i="111" s="1"/>
  <c r="O41" i="111"/>
  <c r="T41" i="111" s="1"/>
  <c r="W41" i="111" s="1"/>
  <c r="O40" i="111"/>
  <c r="T40" i="111" s="1"/>
  <c r="W40" i="111" s="1"/>
  <c r="O35" i="111"/>
  <c r="T35" i="111" s="1"/>
  <c r="W35" i="111" s="1"/>
  <c r="O37" i="111"/>
  <c r="T37" i="111" s="1"/>
  <c r="W37" i="111" s="1"/>
  <c r="O25" i="111"/>
  <c r="T25" i="111" s="1"/>
  <c r="W25" i="111" s="1"/>
  <c r="K43" i="113"/>
  <c r="Q24" i="59"/>
  <c r="R24" i="59" s="1"/>
  <c r="S24" i="59" s="1"/>
  <c r="M27" i="60" s="1"/>
  <c r="N26" i="72"/>
  <c r="O26" i="72" s="1"/>
  <c r="T25" i="59"/>
  <c r="Q18" i="59"/>
  <c r="R18" i="59" s="1"/>
  <c r="R22" i="48"/>
  <c r="U22" i="48"/>
  <c r="X22" i="48"/>
  <c r="R36" i="52"/>
  <c r="U36" i="52" s="1"/>
  <c r="X36" i="52" s="1"/>
  <c r="R24" i="48"/>
  <c r="U24" i="48" s="1"/>
  <c r="X24" i="48" s="1"/>
  <c r="J12" i="72"/>
  <c r="J13" i="43"/>
  <c r="N18" i="72"/>
  <c r="AI32" i="42"/>
  <c r="N28" i="72"/>
  <c r="N22" i="72"/>
  <c r="O22" i="72" s="1"/>
  <c r="I52" i="112"/>
  <c r="K52" i="112" s="1"/>
  <c r="G97" i="113"/>
  <c r="I97" i="113" s="1"/>
  <c r="G98" i="113"/>
  <c r="I98" i="113" s="1"/>
  <c r="G99" i="113"/>
  <c r="I99" i="113" s="1"/>
  <c r="G96" i="113"/>
  <c r="I29" i="111"/>
  <c r="K29" i="111" s="1"/>
  <c r="I28" i="111"/>
  <c r="K28" i="111" s="1"/>
  <c r="M46" i="111"/>
  <c r="M53" i="111"/>
  <c r="M50" i="111"/>
  <c r="I33" i="111"/>
  <c r="K33" i="111" s="1"/>
  <c r="I43" i="111"/>
  <c r="K43" i="111" s="1"/>
  <c r="I24" i="111"/>
  <c r="K24" i="111" s="1"/>
  <c r="K12" i="11"/>
  <c r="M11" i="11"/>
  <c r="V15" i="52"/>
  <c r="T29" i="84"/>
  <c r="P28" i="84"/>
  <c r="L33" i="59"/>
  <c r="P26" i="72"/>
  <c r="Q26" i="72"/>
  <c r="N16" i="72"/>
  <c r="R22" i="59"/>
  <c r="S22" i="59" s="1"/>
  <c r="M25" i="60" s="1"/>
  <c r="P22" i="72"/>
  <c r="Q22" i="72" s="1"/>
  <c r="K13" i="43"/>
  <c r="M11" i="43"/>
  <c r="U15" i="51"/>
  <c r="G4" i="32"/>
  <c r="K30" i="60"/>
  <c r="N27" i="72"/>
  <c r="P31" i="59"/>
  <c r="K35" i="60"/>
  <c r="K34" i="60" s="1"/>
  <c r="Q32" i="59"/>
  <c r="K31" i="59"/>
  <c r="N17" i="72"/>
  <c r="K16" i="52"/>
  <c r="R14" i="52"/>
  <c r="K12" i="61"/>
  <c r="M11" i="61"/>
  <c r="M12" i="61" s="1"/>
  <c r="G23" i="72"/>
  <c r="K23" i="72" s="1"/>
  <c r="L23" i="72" s="1"/>
  <c r="D12" i="72"/>
  <c r="D31" i="72" s="1"/>
  <c r="L15" i="72"/>
  <c r="M15" i="72" s="1"/>
  <c r="N14" i="72"/>
  <c r="M30" i="72"/>
  <c r="M29" i="72" s="1"/>
  <c r="L29" i="72"/>
  <c r="P28" i="72"/>
  <c r="Q28" i="72"/>
  <c r="O28" i="72"/>
  <c r="J12" i="27"/>
  <c r="K11" i="27"/>
  <c r="K15" i="48"/>
  <c r="K13" i="48" s="1"/>
  <c r="K33" i="48" s="1"/>
  <c r="R14" i="48"/>
  <c r="N30" i="72"/>
  <c r="N29" i="72" s="1"/>
  <c r="T23" i="59"/>
  <c r="U23" i="59" s="1"/>
  <c r="P18" i="72"/>
  <c r="Q18" i="72" s="1"/>
  <c r="O18" i="72"/>
  <c r="V25" i="59"/>
  <c r="W25" i="59"/>
  <c r="P28" i="60" s="1"/>
  <c r="U25" i="59"/>
  <c r="R33" i="51"/>
  <c r="U33" i="51" s="1"/>
  <c r="X33" i="51" s="1"/>
  <c r="R53" i="52"/>
  <c r="U53" i="52" s="1"/>
  <c r="X53" i="52" s="1"/>
  <c r="R39" i="51"/>
  <c r="U39" i="51"/>
  <c r="X39" i="51" s="1"/>
  <c r="R17" i="48"/>
  <c r="U17" i="48" s="1"/>
  <c r="X17" i="48" s="1"/>
  <c r="R51" i="51"/>
  <c r="U51" i="51" s="1"/>
  <c r="X51" i="51" s="1"/>
  <c r="R30" i="51"/>
  <c r="U30" i="51" s="1"/>
  <c r="X30" i="51" s="1"/>
  <c r="R26" i="48"/>
  <c r="U26" i="48" s="1"/>
  <c r="X26" i="48" s="1"/>
  <c r="R24" i="52"/>
  <c r="U24" i="52"/>
  <c r="X24" i="52" s="1"/>
  <c r="R26" i="52"/>
  <c r="U26" i="52" s="1"/>
  <c r="X26" i="52" s="1"/>
  <c r="R32" i="51"/>
  <c r="U32" i="51" s="1"/>
  <c r="X32" i="51" s="1"/>
  <c r="R18" i="50"/>
  <c r="U18" i="50" s="1"/>
  <c r="X18" i="50" s="1"/>
  <c r="R25" i="48"/>
  <c r="U25" i="48" s="1"/>
  <c r="X25" i="48" s="1"/>
  <c r="R20" i="48"/>
  <c r="U20" i="48" s="1"/>
  <c r="X20" i="48" s="1"/>
  <c r="R27" i="48"/>
  <c r="U27" i="48" s="1"/>
  <c r="X27" i="48" s="1"/>
  <c r="R52" i="52"/>
  <c r="U52" i="52"/>
  <c r="X52" i="52" s="1"/>
  <c r="R24" i="50"/>
  <c r="U24" i="50" s="1"/>
  <c r="X24" i="50" s="1"/>
  <c r="R29" i="48"/>
  <c r="U29" i="48"/>
  <c r="X29" i="48" s="1"/>
  <c r="R32" i="52"/>
  <c r="U32" i="52" s="1"/>
  <c r="X32" i="52" s="1"/>
  <c r="R23" i="48"/>
  <c r="U23" i="48" s="1"/>
  <c r="X23" i="48" s="1"/>
  <c r="R30" i="50"/>
  <c r="U30" i="50" s="1"/>
  <c r="X30" i="50" s="1"/>
  <c r="R46" i="52"/>
  <c r="U46" i="52" s="1"/>
  <c r="X46" i="52" s="1"/>
  <c r="AA46" i="52" s="1"/>
  <c r="R47" i="51"/>
  <c r="U47" i="51" s="1"/>
  <c r="X47" i="51" s="1"/>
  <c r="R53" i="51"/>
  <c r="U53" i="51" s="1"/>
  <c r="X53" i="51" s="1"/>
  <c r="R56" i="52"/>
  <c r="U56" i="52" s="1"/>
  <c r="X56" i="52" s="1"/>
  <c r="R27" i="51"/>
  <c r="U27" i="51" s="1"/>
  <c r="X27" i="51" s="1"/>
  <c r="R40" i="52"/>
  <c r="U40" i="52"/>
  <c r="X40" i="52" s="1"/>
  <c r="R41" i="51"/>
  <c r="U41" i="51" s="1"/>
  <c r="X41" i="51" s="1"/>
  <c r="R20" i="51"/>
  <c r="U20" i="51"/>
  <c r="X20" i="51" s="1"/>
  <c r="R29" i="51"/>
  <c r="U29" i="51" s="1"/>
  <c r="X29" i="51" s="1"/>
  <c r="R55" i="52"/>
  <c r="U55" i="52" s="1"/>
  <c r="X55" i="52" s="1"/>
  <c r="R22" i="51"/>
  <c r="U22" i="51" s="1"/>
  <c r="X22" i="51" s="1"/>
  <c r="R44" i="52"/>
  <c r="U44" i="52" s="1"/>
  <c r="X44" i="52" s="1"/>
  <c r="R35" i="51"/>
  <c r="U35" i="51" s="1"/>
  <c r="X35" i="51" s="1"/>
  <c r="R38" i="51"/>
  <c r="U38" i="51"/>
  <c r="X38" i="51" s="1"/>
  <c r="R34" i="51"/>
  <c r="U34" i="51" s="1"/>
  <c r="X34" i="51" s="1"/>
  <c r="R51" i="52"/>
  <c r="U51" i="52" s="1"/>
  <c r="X51" i="52" s="1"/>
  <c r="R40" i="51"/>
  <c r="U40" i="51" s="1"/>
  <c r="X40" i="51" s="1"/>
  <c r="R55" i="51"/>
  <c r="U55" i="51" s="1"/>
  <c r="X55" i="51" s="1"/>
  <c r="R39" i="52"/>
  <c r="U39" i="52" s="1"/>
  <c r="X39" i="52" s="1"/>
  <c r="R24" i="51"/>
  <c r="U24" i="51" s="1"/>
  <c r="X24" i="51" s="1"/>
  <c r="R28" i="52"/>
  <c r="U28" i="52"/>
  <c r="X28" i="52" s="1"/>
  <c r="R54" i="51"/>
  <c r="U54" i="51" s="1"/>
  <c r="X54" i="51" s="1"/>
  <c r="R43" i="52"/>
  <c r="U43" i="52" s="1"/>
  <c r="X43" i="52" s="1"/>
  <c r="R50" i="52"/>
  <c r="U50" i="52" s="1"/>
  <c r="X50" i="52" s="1"/>
  <c r="R34" i="52"/>
  <c r="U34" i="52" s="1"/>
  <c r="X34" i="52" s="1"/>
  <c r="R31" i="51"/>
  <c r="U31" i="51" s="1"/>
  <c r="X31" i="51" s="1"/>
  <c r="R48" i="52"/>
  <c r="U48" i="52" s="1"/>
  <c r="X48" i="52" s="1"/>
  <c r="R28" i="51"/>
  <c r="U28" i="51"/>
  <c r="X28" i="51" s="1"/>
  <c r="R52" i="51"/>
  <c r="U52" i="51" s="1"/>
  <c r="X52" i="51" s="1"/>
  <c r="R25" i="52"/>
  <c r="U25" i="52"/>
  <c r="X25" i="52" s="1"/>
  <c r="O19" i="51"/>
  <c r="Q19" i="51" s="1"/>
  <c r="R19" i="51" s="1"/>
  <c r="U19" i="51" s="1"/>
  <c r="X19" i="51" s="1"/>
  <c r="O19" i="52"/>
  <c r="Q19" i="52" s="1"/>
  <c r="R19" i="52" s="1"/>
  <c r="U19" i="52" s="1"/>
  <c r="X19" i="52" s="1"/>
  <c r="R37" i="51"/>
  <c r="U37" i="51" s="1"/>
  <c r="X37" i="51" s="1"/>
  <c r="R54" i="52"/>
  <c r="U54" i="52" s="1"/>
  <c r="X54" i="52" s="1"/>
  <c r="R42" i="52"/>
  <c r="U42" i="52" s="1"/>
  <c r="X42" i="52" s="1"/>
  <c r="R26" i="50"/>
  <c r="U26" i="50"/>
  <c r="X26" i="50" s="1"/>
  <c r="R33" i="50"/>
  <c r="U33" i="50" s="1"/>
  <c r="X33" i="50" s="1"/>
  <c r="R22" i="50"/>
  <c r="U22" i="50"/>
  <c r="X22" i="50" s="1"/>
  <c r="R23" i="50"/>
  <c r="U23" i="50" s="1"/>
  <c r="X23" i="50" s="1"/>
  <c r="R27" i="52"/>
  <c r="U27" i="52" s="1"/>
  <c r="X27" i="52" s="1"/>
  <c r="R25" i="51"/>
  <c r="U25" i="51"/>
  <c r="X25" i="51" s="1"/>
  <c r="R47" i="52"/>
  <c r="U47" i="52" s="1"/>
  <c r="X47" i="52" s="1"/>
  <c r="R20" i="52"/>
  <c r="U20" i="52"/>
  <c r="X20" i="52" s="1"/>
  <c r="R29" i="52"/>
  <c r="U29" i="52" s="1"/>
  <c r="X29" i="52" s="1"/>
  <c r="R43" i="51"/>
  <c r="U43" i="51" s="1"/>
  <c r="X43" i="51" s="1"/>
  <c r="R20" i="50"/>
  <c r="U20" i="50" s="1"/>
  <c r="X20" i="50" s="1"/>
  <c r="R37" i="52"/>
  <c r="U37" i="52" s="1"/>
  <c r="X37" i="52" s="1"/>
  <c r="R45" i="51"/>
  <c r="U45" i="51" s="1"/>
  <c r="X45" i="51" s="1"/>
  <c r="R22" i="52"/>
  <c r="U22" i="52"/>
  <c r="X22" i="52" s="1"/>
  <c r="R56" i="51"/>
  <c r="U56" i="51" s="1"/>
  <c r="X56" i="51" s="1"/>
  <c r="R31" i="52"/>
  <c r="U31" i="52"/>
  <c r="X31" i="52" s="1"/>
  <c r="R44" i="51"/>
  <c r="U44" i="51" s="1"/>
  <c r="X44" i="51" s="1"/>
  <c r="R18" i="51"/>
  <c r="U18" i="51" s="1"/>
  <c r="X18" i="51" s="1"/>
  <c r="R30" i="48"/>
  <c r="U30" i="48" s="1"/>
  <c r="X30" i="48" s="1"/>
  <c r="R15" i="50"/>
  <c r="U15" i="50" s="1"/>
  <c r="X15" i="50" s="1"/>
  <c r="R32" i="50"/>
  <c r="U32" i="50" s="1"/>
  <c r="X32" i="50" s="1"/>
  <c r="R16" i="50"/>
  <c r="U16" i="50" s="1"/>
  <c r="X16" i="50" s="1"/>
  <c r="R25" i="50"/>
  <c r="U25" i="50" s="1"/>
  <c r="X25" i="50" s="1"/>
  <c r="R28" i="50"/>
  <c r="U28" i="50" s="1"/>
  <c r="X28" i="50" s="1"/>
  <c r="R17" i="50"/>
  <c r="U17" i="50"/>
  <c r="X17" i="50" s="1"/>
  <c r="R35" i="50"/>
  <c r="U35" i="50" s="1"/>
  <c r="X35" i="50" s="1"/>
  <c r="R31" i="48"/>
  <c r="U31" i="48"/>
  <c r="X31" i="48" s="1"/>
  <c r="R27" i="50"/>
  <c r="U27" i="50" s="1"/>
  <c r="X27" i="50" s="1"/>
  <c r="R21" i="52"/>
  <c r="U21" i="52"/>
  <c r="X21" i="52" s="1"/>
  <c r="R28" i="48"/>
  <c r="U28" i="48" s="1"/>
  <c r="X28" i="48" s="1"/>
  <c r="R48" i="51"/>
  <c r="U48" i="51" s="1"/>
  <c r="X48" i="51" s="1"/>
  <c r="R36" i="50"/>
  <c r="U36" i="50" s="1"/>
  <c r="X36" i="50" s="1"/>
  <c r="R42" i="51"/>
  <c r="U42" i="51" s="1"/>
  <c r="X42" i="51" s="1"/>
  <c r="R23" i="52"/>
  <c r="U23" i="52"/>
  <c r="X23" i="52" s="1"/>
  <c r="R45" i="52"/>
  <c r="U45" i="52" s="1"/>
  <c r="X45" i="52" s="1"/>
  <c r="R57" i="51"/>
  <c r="U57" i="51"/>
  <c r="X57" i="51" s="1"/>
  <c r="R21" i="50"/>
  <c r="U21" i="50" s="1"/>
  <c r="X21" i="50" s="1"/>
  <c r="R29" i="50"/>
  <c r="U29" i="50" s="1"/>
  <c r="X29" i="50" s="1"/>
  <c r="K17" i="52"/>
  <c r="K61" i="52" s="1"/>
  <c r="K13" i="52" s="1"/>
  <c r="R41" i="52"/>
  <c r="U41" i="52" s="1"/>
  <c r="X41" i="52" s="1"/>
  <c r="R50" i="51"/>
  <c r="U50" i="51" s="1"/>
  <c r="X50" i="51" s="1"/>
  <c r="R34" i="50"/>
  <c r="U34" i="50"/>
  <c r="X34" i="50" s="1"/>
  <c r="R38" i="52"/>
  <c r="U38" i="52" s="1"/>
  <c r="X38" i="52" s="1"/>
  <c r="R46" i="51"/>
  <c r="U46" i="51"/>
  <c r="X46" i="51" s="1"/>
  <c r="AA46" i="51" s="1"/>
  <c r="R19" i="50"/>
  <c r="U19" i="50" s="1"/>
  <c r="X19" i="50" s="1"/>
  <c r="R21" i="48"/>
  <c r="U21" i="48" s="1"/>
  <c r="X21" i="48" s="1"/>
  <c r="R31" i="50"/>
  <c r="U31" i="50" s="1"/>
  <c r="X31" i="50" s="1"/>
  <c r="R23" i="51"/>
  <c r="U23" i="51" s="1"/>
  <c r="X23" i="51" s="1"/>
  <c r="R18" i="52"/>
  <c r="U18" i="52" s="1"/>
  <c r="X18" i="52" s="1"/>
  <c r="R35" i="52"/>
  <c r="U35" i="52" s="1"/>
  <c r="X35" i="52" s="1"/>
  <c r="O18" i="48"/>
  <c r="Q18" i="48" s="1"/>
  <c r="R18" i="48" s="1"/>
  <c r="U18" i="48" s="1"/>
  <c r="X18" i="48" s="1"/>
  <c r="N37" i="50"/>
  <c r="N13" i="50" s="1"/>
  <c r="R17" i="51"/>
  <c r="R61" i="51" s="1"/>
  <c r="J61" i="51"/>
  <c r="Q32" i="48"/>
  <c r="Q13" i="48" s="1"/>
  <c r="Q33" i="48" s="1"/>
  <c r="F47" i="89"/>
  <c r="G121" i="89" s="1"/>
  <c r="I40" i="111"/>
  <c r="K40" i="111" s="1"/>
  <c r="I32" i="111"/>
  <c r="K32" i="111" s="1"/>
  <c r="I20" i="111"/>
  <c r="K20" i="111" s="1"/>
  <c r="I37" i="111"/>
  <c r="K37" i="111" s="1"/>
  <c r="O53" i="111"/>
  <c r="T53" i="111" s="1"/>
  <c r="W53" i="111" s="1"/>
  <c r="T22" i="59"/>
  <c r="V22" i="59" s="1"/>
  <c r="W22" i="59" s="1"/>
  <c r="P25" i="60" s="1"/>
  <c r="F43" i="113"/>
  <c r="G117" i="113" s="1"/>
  <c r="N15" i="72"/>
  <c r="P15" i="72" s="1"/>
  <c r="Q15" i="72" s="1"/>
  <c r="M68" i="112"/>
  <c r="I96" i="113"/>
  <c r="I106" i="113" s="1"/>
  <c r="H62" i="111"/>
  <c r="H53" i="113" s="1"/>
  <c r="G118" i="111"/>
  <c r="J118" i="111" s="1"/>
  <c r="R16" i="52"/>
  <c r="U14" i="52"/>
  <c r="V14" i="52" s="1"/>
  <c r="O17" i="72"/>
  <c r="P17" i="72"/>
  <c r="Q17" i="72" s="1"/>
  <c r="V15" i="51"/>
  <c r="W15" i="51"/>
  <c r="X15" i="51" s="1"/>
  <c r="U22" i="59"/>
  <c r="K12" i="27"/>
  <c r="M11" i="27"/>
  <c r="P11" i="27" s="1"/>
  <c r="P12" i="27" s="1"/>
  <c r="P14" i="72"/>
  <c r="Q14" i="72" s="1"/>
  <c r="O14" i="72"/>
  <c r="R32" i="59"/>
  <c r="R31" i="59" s="1"/>
  <c r="T32" i="59"/>
  <c r="V32" i="59" s="1"/>
  <c r="Q31" i="59"/>
  <c r="P11" i="43"/>
  <c r="W15" i="52"/>
  <c r="X15" i="52" s="1"/>
  <c r="V23" i="59"/>
  <c r="W23" i="59" s="1"/>
  <c r="P26" i="60" s="1"/>
  <c r="O27" i="72"/>
  <c r="P27" i="72"/>
  <c r="Q27" i="72" s="1"/>
  <c r="P16" i="72"/>
  <c r="Q16" i="72" s="1"/>
  <c r="O16" i="72"/>
  <c r="P30" i="72"/>
  <c r="O30" i="72"/>
  <c r="O29" i="72" s="1"/>
  <c r="U14" i="48"/>
  <c r="V14" i="48" s="1"/>
  <c r="V15" i="48" s="1"/>
  <c r="V13" i="48" s="1"/>
  <c r="V33" i="48" s="1"/>
  <c r="R15" i="48"/>
  <c r="G12" i="72"/>
  <c r="G31" i="72"/>
  <c r="W29" i="84"/>
  <c r="T28" i="84"/>
  <c r="M12" i="11"/>
  <c r="P11" i="11"/>
  <c r="P12" i="11" s="1"/>
  <c r="I78" i="112"/>
  <c r="K78" i="112" s="1"/>
  <c r="I68" i="112"/>
  <c r="K68" i="112" s="1"/>
  <c r="I69" i="112"/>
  <c r="K69" i="112" s="1"/>
  <c r="T17" i="113"/>
  <c r="T25" i="113"/>
  <c r="T16" i="113"/>
  <c r="I18" i="111"/>
  <c r="K18" i="111" s="1"/>
  <c r="T23" i="113"/>
  <c r="I87" i="112"/>
  <c r="K87" i="112" s="1"/>
  <c r="I91" i="112"/>
  <c r="K91" i="112" s="1"/>
  <c r="I79" i="112"/>
  <c r="K79" i="112" s="1"/>
  <c r="I96" i="112"/>
  <c r="K96" i="112" s="1"/>
  <c r="I80" i="112"/>
  <c r="K80" i="112" s="1"/>
  <c r="I77" i="112"/>
  <c r="K77" i="112" s="1"/>
  <c r="I85" i="112"/>
  <c r="K85" i="112" s="1"/>
  <c r="I65" i="112"/>
  <c r="K65" i="112" s="1"/>
  <c r="G117" i="111"/>
  <c r="J117" i="111" s="1"/>
  <c r="M83" i="112"/>
  <c r="M70" i="112"/>
  <c r="I84" i="112"/>
  <c r="K84" i="112" s="1"/>
  <c r="I76" i="112"/>
  <c r="K76" i="112" s="1"/>
  <c r="M66" i="112"/>
  <c r="I93" i="112"/>
  <c r="K93" i="112" s="1"/>
  <c r="I73" i="112"/>
  <c r="K73" i="112" s="1"/>
  <c r="I66" i="112"/>
  <c r="K66" i="112" s="1"/>
  <c r="M74" i="112"/>
  <c r="I70" i="112"/>
  <c r="K70" i="112" s="1"/>
  <c r="I86" i="112"/>
  <c r="K86" i="112" s="1"/>
  <c r="M65" i="112"/>
  <c r="M69" i="112"/>
  <c r="I89" i="112"/>
  <c r="K89" i="112" s="1"/>
  <c r="G43" i="113"/>
  <c r="M85" i="112"/>
  <c r="I90" i="112"/>
  <c r="K90" i="112" s="1"/>
  <c r="I92" i="112"/>
  <c r="K92" i="112" s="1"/>
  <c r="I83" i="112"/>
  <c r="K83" i="112" s="1"/>
  <c r="I88" i="112"/>
  <c r="K88" i="112" s="1"/>
  <c r="M73" i="112"/>
  <c r="M92" i="112"/>
  <c r="I95" i="112"/>
  <c r="K95" i="112" s="1"/>
  <c r="M82" i="112"/>
  <c r="M86" i="112"/>
  <c r="I94" i="112"/>
  <c r="K94" i="112" s="1"/>
  <c r="M93" i="112"/>
  <c r="M75" i="112"/>
  <c r="I81" i="112"/>
  <c r="K81" i="112" s="1"/>
  <c r="I82" i="112"/>
  <c r="K82" i="112" s="1"/>
  <c r="I74" i="112"/>
  <c r="K74" i="112" s="1"/>
  <c r="M87" i="112"/>
  <c r="I97" i="112"/>
  <c r="K97" i="112" s="1"/>
  <c r="I75" i="112"/>
  <c r="K75" i="112" s="1"/>
  <c r="G116" i="111"/>
  <c r="J116" i="111"/>
  <c r="U32" i="59"/>
  <c r="U31" i="59" s="1"/>
  <c r="U16" i="52"/>
  <c r="Q30" i="72"/>
  <c r="Q29" i="72" s="1"/>
  <c r="P29" i="72"/>
  <c r="W28" i="84"/>
  <c r="Z29" i="84"/>
  <c r="Z28" i="84"/>
  <c r="U15" i="48"/>
  <c r="S32" i="59"/>
  <c r="M35" i="60" s="1"/>
  <c r="M34" i="60" s="1"/>
  <c r="T27" i="113"/>
  <c r="T41" i="113"/>
  <c r="T37" i="113"/>
  <c r="T38" i="113"/>
  <c r="T40" i="113"/>
  <c r="T19" i="113"/>
  <c r="T33" i="113"/>
  <c r="T35" i="113"/>
  <c r="G152" i="112"/>
  <c r="J152" i="112" s="1"/>
  <c r="F98" i="112"/>
  <c r="G172" i="112" s="1"/>
  <c r="H98" i="112"/>
  <c r="H54" i="113" s="1"/>
  <c r="G151" i="112"/>
  <c r="M98" i="112"/>
  <c r="G153" i="112"/>
  <c r="J153" i="112" s="1"/>
  <c r="G154" i="112"/>
  <c r="S62" i="111"/>
  <c r="G115" i="111"/>
  <c r="J115" i="111" s="1"/>
  <c r="J125" i="111" s="1"/>
  <c r="P125" i="111" s="1"/>
  <c r="S125" i="111" s="1"/>
  <c r="T42" i="113"/>
  <c r="T39" i="113"/>
  <c r="T20" i="113"/>
  <c r="T18" i="113"/>
  <c r="T21" i="113"/>
  <c r="T30" i="113"/>
  <c r="T28" i="113"/>
  <c r="T26" i="113"/>
  <c r="T24" i="113"/>
  <c r="T29" i="113"/>
  <c r="T36" i="113"/>
  <c r="T22" i="113"/>
  <c r="T32" i="113"/>
  <c r="T31" i="113"/>
  <c r="T34" i="113"/>
  <c r="J151" i="112"/>
  <c r="G98" i="112"/>
  <c r="M62" i="111"/>
  <c r="D30" i="60"/>
  <c r="D29" i="60" s="1"/>
  <c r="Y43" i="113"/>
  <c r="N102" i="63" l="1"/>
  <c r="O102" i="63" s="1"/>
  <c r="P102" i="63" s="1"/>
  <c r="F17" i="41"/>
  <c r="O59" i="111"/>
  <c r="T59" i="111" s="1"/>
  <c r="W59" i="111" s="1"/>
  <c r="O51" i="111"/>
  <c r="T51" i="111" s="1"/>
  <c r="W51" i="111" s="1"/>
  <c r="N26" i="63"/>
  <c r="O26" i="63" s="1"/>
  <c r="P26" i="63" s="1"/>
  <c r="O27" i="111"/>
  <c r="T27" i="111" s="1"/>
  <c r="W27" i="111" s="1"/>
  <c r="N38" i="63"/>
  <c r="O38" i="63" s="1"/>
  <c r="P38" i="63" s="1"/>
  <c r="K188" i="54"/>
  <c r="M16" i="89"/>
  <c r="F193" i="103"/>
  <c r="F218" i="103" s="1"/>
  <c r="K251" i="103"/>
  <c r="L251" i="103" s="1"/>
  <c r="M251" i="103" s="1"/>
  <c r="F11" i="103"/>
  <c r="T97" i="91"/>
  <c r="W97" i="91" s="1"/>
  <c r="T99" i="91"/>
  <c r="W99" i="91" s="1"/>
  <c r="K517" i="74" s="1"/>
  <c r="T95" i="91"/>
  <c r="W95" i="91" s="1"/>
  <c r="T96" i="91"/>
  <c r="W96" i="91" s="1"/>
  <c r="T98" i="91"/>
  <c r="W98" i="91" s="1"/>
  <c r="H218" i="54"/>
  <c r="R70" i="63"/>
  <c r="T70" i="63" s="1"/>
  <c r="U70" i="63" s="1"/>
  <c r="R82" i="63"/>
  <c r="T82" i="63" s="1"/>
  <c r="U82" i="63" s="1"/>
  <c r="V82" i="63" s="1"/>
  <c r="R50" i="63"/>
  <c r="T50" i="63" s="1"/>
  <c r="U50" i="63" s="1"/>
  <c r="N14" i="63"/>
  <c r="O14" i="63" s="1"/>
  <c r="P14" i="63" s="1"/>
  <c r="N40" i="63"/>
  <c r="O40" i="63" s="1"/>
  <c r="P40" i="63" s="1"/>
  <c r="AG31" i="62"/>
  <c r="R23" i="63"/>
  <c r="T23" i="63" s="1"/>
  <c r="U23" i="63" s="1"/>
  <c r="V23" i="63" s="1"/>
  <c r="N9" i="63"/>
  <c r="O9" i="63" s="1"/>
  <c r="P9" i="63" s="1"/>
  <c r="V9" i="63" s="1"/>
  <c r="T17" i="92"/>
  <c r="N33" i="63"/>
  <c r="O33" i="63" s="1"/>
  <c r="P33" i="63" s="1"/>
  <c r="H26" i="66"/>
  <c r="AJ95" i="108"/>
  <c r="AJ99" i="108"/>
  <c r="AJ103" i="108"/>
  <c r="AJ107" i="108"/>
  <c r="AJ111" i="108"/>
  <c r="AJ115" i="108"/>
  <c r="AJ119" i="108"/>
  <c r="AJ123" i="108"/>
  <c r="AJ127" i="108"/>
  <c r="AJ131" i="108"/>
  <c r="AJ135" i="108"/>
  <c r="AJ139" i="108"/>
  <c r="AJ143" i="108"/>
  <c r="AJ147" i="108"/>
  <c r="AJ151" i="108"/>
  <c r="AJ93" i="108"/>
  <c r="AJ97" i="108"/>
  <c r="AJ101" i="108"/>
  <c r="AJ105" i="108"/>
  <c r="AJ109" i="108"/>
  <c r="AJ113" i="108"/>
  <c r="AJ117" i="108"/>
  <c r="AJ121" i="108"/>
  <c r="AJ125" i="108"/>
  <c r="AJ129" i="108"/>
  <c r="AJ133" i="108"/>
  <c r="AJ137" i="108"/>
  <c r="AJ141" i="108"/>
  <c r="AJ145" i="108"/>
  <c r="AJ149" i="108"/>
  <c r="AJ91" i="108"/>
  <c r="AJ96" i="108"/>
  <c r="AJ104" i="108"/>
  <c r="AJ112" i="108"/>
  <c r="AJ120" i="108"/>
  <c r="AJ128" i="108"/>
  <c r="AJ144" i="108"/>
  <c r="AJ114" i="108"/>
  <c r="AJ130" i="108"/>
  <c r="AJ146" i="108"/>
  <c r="AJ92" i="108"/>
  <c r="AJ100" i="108"/>
  <c r="AJ108" i="108"/>
  <c r="AJ116" i="108"/>
  <c r="AJ124" i="108"/>
  <c r="AJ132" i="108"/>
  <c r="AJ140" i="108"/>
  <c r="AJ148" i="108"/>
  <c r="AJ94" i="108"/>
  <c r="AJ102" i="108"/>
  <c r="AJ110" i="108"/>
  <c r="AJ118" i="108"/>
  <c r="AJ126" i="108"/>
  <c r="AJ134" i="108"/>
  <c r="AJ142" i="108"/>
  <c r="AJ150" i="108"/>
  <c r="AJ136" i="108"/>
  <c r="AJ152" i="108"/>
  <c r="AJ98" i="108"/>
  <c r="AJ106" i="108"/>
  <c r="AJ122" i="108"/>
  <c r="AJ138" i="108"/>
  <c r="AK152" i="108"/>
  <c r="AK144" i="108"/>
  <c r="AK136" i="108"/>
  <c r="AK128" i="108"/>
  <c r="AK120" i="108"/>
  <c r="AK112" i="108"/>
  <c r="AK104" i="108"/>
  <c r="AK96" i="108"/>
  <c r="AK103" i="108"/>
  <c r="AK95" i="108"/>
  <c r="AK130" i="108"/>
  <c r="AK122" i="108"/>
  <c r="AK114" i="108"/>
  <c r="AK106" i="108"/>
  <c r="AK145" i="108"/>
  <c r="AK125" i="108"/>
  <c r="AK117" i="108"/>
  <c r="AK109" i="108"/>
  <c r="AK97" i="108"/>
  <c r="AK146" i="108"/>
  <c r="AK151" i="108"/>
  <c r="AK143" i="108"/>
  <c r="AK135" i="108"/>
  <c r="AK127" i="108"/>
  <c r="AK119" i="108"/>
  <c r="AK111" i="108"/>
  <c r="AK150" i="108"/>
  <c r="AK138" i="108"/>
  <c r="AK102" i="108"/>
  <c r="AK94" i="108"/>
  <c r="AK133" i="108"/>
  <c r="AK105" i="108"/>
  <c r="AK148" i="108"/>
  <c r="AK140" i="108"/>
  <c r="AK132" i="108"/>
  <c r="AK124" i="108"/>
  <c r="AK116" i="108"/>
  <c r="AK108" i="108"/>
  <c r="AK100" i="108"/>
  <c r="AK92" i="108"/>
  <c r="AK107" i="108"/>
  <c r="AK99" i="108"/>
  <c r="AK126" i="108"/>
  <c r="AK118" i="108"/>
  <c r="AK110" i="108"/>
  <c r="AK149" i="108"/>
  <c r="AK141" i="108"/>
  <c r="AK121" i="108"/>
  <c r="AK113" i="108"/>
  <c r="AK101" i="108"/>
  <c r="AK93" i="108"/>
  <c r="AK91" i="108"/>
  <c r="AK147" i="108"/>
  <c r="AK139" i="108"/>
  <c r="AK131" i="108"/>
  <c r="AK123" i="108"/>
  <c r="AK115" i="108"/>
  <c r="AK142" i="108"/>
  <c r="AK134" i="108"/>
  <c r="AK98" i="108"/>
  <c r="AK137" i="108"/>
  <c r="AK129" i="108"/>
  <c r="AJ50" i="108"/>
  <c r="AJ54" i="108"/>
  <c r="AJ58" i="108"/>
  <c r="AJ62" i="108"/>
  <c r="AJ66" i="108"/>
  <c r="AJ70" i="108"/>
  <c r="AJ74" i="108"/>
  <c r="AJ78" i="108"/>
  <c r="AJ82" i="108"/>
  <c r="AJ86" i="108"/>
  <c r="AJ47" i="108"/>
  <c r="AJ46" i="108" s="1"/>
  <c r="AJ57" i="108"/>
  <c r="AJ48" i="108"/>
  <c r="AJ53" i="108"/>
  <c r="AJ59" i="108"/>
  <c r="AJ69" i="108"/>
  <c r="AJ80" i="108"/>
  <c r="AJ49" i="108"/>
  <c r="AJ55" i="108"/>
  <c r="AJ60" i="108"/>
  <c r="AJ65" i="108"/>
  <c r="AJ71" i="108"/>
  <c r="AJ76" i="108"/>
  <c r="AJ81" i="108"/>
  <c r="AJ87" i="108"/>
  <c r="AJ51" i="108"/>
  <c r="AJ56" i="108"/>
  <c r="AJ61" i="108"/>
  <c r="AJ67" i="108"/>
  <c r="AJ72" i="108"/>
  <c r="AJ77" i="108"/>
  <c r="AJ83" i="108"/>
  <c r="AJ88" i="108"/>
  <c r="AJ52" i="108"/>
  <c r="AJ63" i="108"/>
  <c r="AJ68" i="108"/>
  <c r="AJ73" i="108"/>
  <c r="AJ79" i="108"/>
  <c r="AJ84" i="108"/>
  <c r="AJ89" i="108"/>
  <c r="AJ64" i="108"/>
  <c r="AJ75" i="108"/>
  <c r="AJ85" i="108"/>
  <c r="AK82" i="108"/>
  <c r="AK81" i="108"/>
  <c r="AK80" i="108"/>
  <c r="AK86" i="108"/>
  <c r="AK77" i="108"/>
  <c r="AK83" i="108"/>
  <c r="AK67" i="108"/>
  <c r="AK70" i="108"/>
  <c r="AK84" i="108"/>
  <c r="AK74" i="108"/>
  <c r="AK73" i="108"/>
  <c r="AK76" i="108"/>
  <c r="AK78" i="108"/>
  <c r="AK69" i="108"/>
  <c r="AK79" i="108"/>
  <c r="AK72" i="108"/>
  <c r="AK65" i="108"/>
  <c r="AK75" i="108"/>
  <c r="AK66" i="108"/>
  <c r="AK68" i="108"/>
  <c r="AK85" i="108"/>
  <c r="AK87" i="108"/>
  <c r="AK71" i="108"/>
  <c r="AK56" i="108"/>
  <c r="AK55" i="108"/>
  <c r="AK89" i="108"/>
  <c r="AK50" i="108"/>
  <c r="AK88" i="108"/>
  <c r="AK49" i="108"/>
  <c r="AK52" i="108"/>
  <c r="AK47" i="108"/>
  <c r="AK51" i="108"/>
  <c r="AK62" i="108"/>
  <c r="AK61" i="108"/>
  <c r="AK64" i="108"/>
  <c r="AK48" i="108"/>
  <c r="AK63" i="108"/>
  <c r="AK58" i="108"/>
  <c r="AK57" i="108"/>
  <c r="AK60" i="108"/>
  <c r="AK59" i="108"/>
  <c r="AK54" i="108"/>
  <c r="AK53" i="108"/>
  <c r="AJ157" i="108"/>
  <c r="AJ161" i="108"/>
  <c r="AJ165" i="108"/>
  <c r="AJ169" i="108"/>
  <c r="AJ173" i="108"/>
  <c r="AJ177" i="108"/>
  <c r="AJ155" i="108"/>
  <c r="AJ159" i="108"/>
  <c r="AJ163" i="108"/>
  <c r="AJ167" i="108"/>
  <c r="AJ171" i="108"/>
  <c r="AJ175" i="108"/>
  <c r="AJ158" i="108"/>
  <c r="AJ166" i="108"/>
  <c r="AJ174" i="108"/>
  <c r="AJ176" i="108"/>
  <c r="AJ162" i="108"/>
  <c r="AJ170" i="108"/>
  <c r="AJ154" i="108"/>
  <c r="AJ156" i="108"/>
  <c r="AJ164" i="108"/>
  <c r="AJ172" i="108"/>
  <c r="AJ160" i="108"/>
  <c r="AJ168" i="108"/>
  <c r="AK170" i="108"/>
  <c r="AK162" i="108"/>
  <c r="AK164" i="108"/>
  <c r="AK171" i="108"/>
  <c r="AK163" i="108"/>
  <c r="AK158" i="108"/>
  <c r="AK177" i="108"/>
  <c r="AK169" i="108"/>
  <c r="AK161" i="108"/>
  <c r="AK172" i="108"/>
  <c r="AK154" i="108"/>
  <c r="AK174" i="108"/>
  <c r="AK166" i="108"/>
  <c r="AK160" i="108"/>
  <c r="AK175" i="108"/>
  <c r="AK167" i="108"/>
  <c r="AK155" i="108"/>
  <c r="AK173" i="108"/>
  <c r="AK165" i="108"/>
  <c r="AK157" i="108"/>
  <c r="AK176" i="108"/>
  <c r="AK168" i="108"/>
  <c r="AK156" i="108"/>
  <c r="AK159" i="108"/>
  <c r="AJ17" i="108"/>
  <c r="AK17" i="108" s="1"/>
  <c r="AJ21" i="108"/>
  <c r="AK21" i="108" s="1"/>
  <c r="AJ25" i="108"/>
  <c r="AK25" i="108" s="1"/>
  <c r="AJ29" i="108"/>
  <c r="AK29" i="108" s="1"/>
  <c r="AJ33" i="108"/>
  <c r="AK33" i="108" s="1"/>
  <c r="AJ37" i="108"/>
  <c r="AK37" i="108" s="1"/>
  <c r="AJ41" i="108"/>
  <c r="AK41" i="108" s="1"/>
  <c r="AJ45" i="108"/>
  <c r="AK45" i="108" s="1"/>
  <c r="AJ14" i="108"/>
  <c r="AK14" i="108" s="1"/>
  <c r="AJ18" i="108"/>
  <c r="AK18" i="108" s="1"/>
  <c r="AJ22" i="108"/>
  <c r="AK22" i="108" s="1"/>
  <c r="AJ26" i="108"/>
  <c r="AK26" i="108" s="1"/>
  <c r="AJ30" i="108"/>
  <c r="AK30" i="108" s="1"/>
  <c r="AJ34" i="108"/>
  <c r="AK34" i="108" s="1"/>
  <c r="AJ38" i="108"/>
  <c r="AK38" i="108" s="1"/>
  <c r="AJ42" i="108"/>
  <c r="AK42" i="108" s="1"/>
  <c r="AJ13" i="108"/>
  <c r="AK13" i="108" s="1"/>
  <c r="AJ15" i="108"/>
  <c r="AK15" i="108" s="1"/>
  <c r="AJ19" i="108"/>
  <c r="AK19" i="108" s="1"/>
  <c r="AJ23" i="108"/>
  <c r="AK23" i="108" s="1"/>
  <c r="AJ27" i="108"/>
  <c r="AK27" i="108" s="1"/>
  <c r="AJ31" i="108"/>
  <c r="AK31" i="108" s="1"/>
  <c r="AJ35" i="108"/>
  <c r="AK35" i="108" s="1"/>
  <c r="AJ39" i="108"/>
  <c r="AK39" i="108" s="1"/>
  <c r="AJ43" i="108"/>
  <c r="AK43" i="108" s="1"/>
  <c r="AJ12" i="108"/>
  <c r="AJ16" i="108"/>
  <c r="AK16" i="108" s="1"/>
  <c r="AJ20" i="108"/>
  <c r="AK20" i="108" s="1"/>
  <c r="AJ24" i="108"/>
  <c r="AK24" i="108" s="1"/>
  <c r="AJ28" i="108"/>
  <c r="AK28" i="108" s="1"/>
  <c r="AJ32" i="108"/>
  <c r="AK32" i="108" s="1"/>
  <c r="AJ36" i="108"/>
  <c r="AK36" i="108" s="1"/>
  <c r="AJ40" i="108"/>
  <c r="AK40" i="108" s="1"/>
  <c r="AJ44" i="108"/>
  <c r="AK44" i="108" s="1"/>
  <c r="F21" i="41"/>
  <c r="F22" i="41"/>
  <c r="F23" i="41"/>
  <c r="G23" i="41" s="1"/>
  <c r="F19" i="41"/>
  <c r="M68" i="116"/>
  <c r="N68" i="112" s="1"/>
  <c r="O68" i="112" s="1"/>
  <c r="T68" i="112" s="1"/>
  <c r="W68" i="112" s="1"/>
  <c r="K28" i="115"/>
  <c r="P28" i="115" s="1"/>
  <c r="S28" i="115" s="1"/>
  <c r="R74" i="63"/>
  <c r="T74" i="63" s="1"/>
  <c r="U74" i="63" s="1"/>
  <c r="N42" i="63"/>
  <c r="O42" i="63" s="1"/>
  <c r="P42" i="63" s="1"/>
  <c r="V42" i="63" s="1"/>
  <c r="N52" i="63"/>
  <c r="O52" i="63" s="1"/>
  <c r="P52" i="63" s="1"/>
  <c r="V52" i="63" s="1"/>
  <c r="N46" i="63"/>
  <c r="O46" i="63" s="1"/>
  <c r="P46" i="63" s="1"/>
  <c r="K26" i="66"/>
  <c r="R108" i="63"/>
  <c r="T108" i="63" s="1"/>
  <c r="U108" i="63" s="1"/>
  <c r="V108" i="63" s="1"/>
  <c r="N10" i="63"/>
  <c r="O10" i="63" s="1"/>
  <c r="P10" i="63" s="1"/>
  <c r="V10" i="63" s="1"/>
  <c r="N92" i="63"/>
  <c r="O92" i="63" s="1"/>
  <c r="P92" i="63" s="1"/>
  <c r="V92" i="63" s="1"/>
  <c r="R94" i="63"/>
  <c r="T94" i="63" s="1"/>
  <c r="U94" i="63" s="1"/>
  <c r="R90" i="63"/>
  <c r="T90" i="63" s="1"/>
  <c r="U90" i="63" s="1"/>
  <c r="N88" i="63"/>
  <c r="O88" i="63" s="1"/>
  <c r="P88" i="63" s="1"/>
  <c r="V88" i="63" s="1"/>
  <c r="N30" i="63"/>
  <c r="O30" i="63" s="1"/>
  <c r="P30" i="63" s="1"/>
  <c r="V30" i="63" s="1"/>
  <c r="Q18" i="66"/>
  <c r="R63" i="63"/>
  <c r="T63" i="63" s="1"/>
  <c r="U63" i="63" s="1"/>
  <c r="V63" i="63" s="1"/>
  <c r="L26" i="68"/>
  <c r="G26" i="68"/>
  <c r="H29" i="2"/>
  <c r="I29" i="2" s="1"/>
  <c r="J29" i="2" s="1"/>
  <c r="I17" i="92"/>
  <c r="P17" i="92"/>
  <c r="M11" i="82"/>
  <c r="N11" i="82"/>
  <c r="I418" i="74"/>
  <c r="L6" i="74"/>
  <c r="D487" i="74" s="1"/>
  <c r="D514" i="74"/>
  <c r="C511" i="74"/>
  <c r="J514" i="74"/>
  <c r="I511" i="74"/>
  <c r="J501" i="74"/>
  <c r="I498" i="74"/>
  <c r="G21" i="96"/>
  <c r="N65" i="63"/>
  <c r="O65" i="63" s="1"/>
  <c r="P65" i="63" s="1"/>
  <c r="N44" i="63"/>
  <c r="O44" i="63" s="1"/>
  <c r="P44" i="63" s="1"/>
  <c r="V44" i="63" s="1"/>
  <c r="N104" i="63"/>
  <c r="O104" i="63" s="1"/>
  <c r="P104" i="63" s="1"/>
  <c r="N62" i="63"/>
  <c r="O62" i="63" s="1"/>
  <c r="P62" i="63" s="1"/>
  <c r="V62" i="63" s="1"/>
  <c r="R99" i="63"/>
  <c r="T99" i="63" s="1"/>
  <c r="U99" i="63" s="1"/>
  <c r="V99" i="63" s="1"/>
  <c r="N49" i="63"/>
  <c r="O49" i="63" s="1"/>
  <c r="P49" i="63" s="1"/>
  <c r="N28" i="63"/>
  <c r="O28" i="63" s="1"/>
  <c r="P28" i="63" s="1"/>
  <c r="V28" i="63" s="1"/>
  <c r="N8" i="63"/>
  <c r="O8" i="63" s="1"/>
  <c r="P8" i="63" s="1"/>
  <c r="V8" i="63" s="1"/>
  <c r="J26" i="68"/>
  <c r="M26" i="68"/>
  <c r="N24" i="63"/>
  <c r="O24" i="63" s="1"/>
  <c r="P24" i="63" s="1"/>
  <c r="N73" i="63"/>
  <c r="O73" i="63" s="1"/>
  <c r="P73" i="63" s="1"/>
  <c r="N20" i="63"/>
  <c r="O20" i="63" s="1"/>
  <c r="P20" i="63" s="1"/>
  <c r="V20" i="63" s="1"/>
  <c r="N48" i="63"/>
  <c r="O48" i="63" s="1"/>
  <c r="P48" i="63" s="1"/>
  <c r="V48" i="63" s="1"/>
  <c r="I8" i="2"/>
  <c r="N89" i="63"/>
  <c r="O89" i="63" s="1"/>
  <c r="P89" i="63" s="1"/>
  <c r="R51" i="63"/>
  <c r="T51" i="63" s="1"/>
  <c r="U51" i="63" s="1"/>
  <c r="V51" i="63" s="1"/>
  <c r="R93" i="63"/>
  <c r="T93" i="63" s="1"/>
  <c r="U93" i="63" s="1"/>
  <c r="V93" i="63" s="1"/>
  <c r="N53" i="63"/>
  <c r="O53" i="63" s="1"/>
  <c r="P53" i="63" s="1"/>
  <c r="V53" i="63" s="1"/>
  <c r="N29" i="63"/>
  <c r="O29" i="63" s="1"/>
  <c r="P29" i="63" s="1"/>
  <c r="R105" i="63"/>
  <c r="T105" i="63" s="1"/>
  <c r="U105" i="63" s="1"/>
  <c r="V105" i="63" s="1"/>
  <c r="AP166" i="107"/>
  <c r="N101" i="63"/>
  <c r="O101" i="63" s="1"/>
  <c r="P101" i="63" s="1"/>
  <c r="V101" i="63" s="1"/>
  <c r="N37" i="63"/>
  <c r="O37" i="63" s="1"/>
  <c r="P37" i="63" s="1"/>
  <c r="N17" i="63"/>
  <c r="O17" i="63" s="1"/>
  <c r="P17" i="63" s="1"/>
  <c r="G26" i="66"/>
  <c r="M39" i="116"/>
  <c r="R39" i="116" s="1"/>
  <c r="U39" i="116" s="1"/>
  <c r="R19" i="63"/>
  <c r="T19" i="63" s="1"/>
  <c r="U19" i="63" s="1"/>
  <c r="V19" i="63" s="1"/>
  <c r="G12" i="66"/>
  <c r="K12" i="66"/>
  <c r="K34" i="66" s="1"/>
  <c r="D12" i="66"/>
  <c r="D34" i="66" s="1"/>
  <c r="H12" i="66"/>
  <c r="L12" i="66"/>
  <c r="E12" i="66"/>
  <c r="E34" i="66" s="1"/>
  <c r="I12" i="66"/>
  <c r="M12" i="66"/>
  <c r="Q25" i="66"/>
  <c r="L12" i="68"/>
  <c r="I26" i="68"/>
  <c r="H26" i="68"/>
  <c r="I16" i="2"/>
  <c r="AH15" i="92"/>
  <c r="L11" i="82"/>
  <c r="R47" i="63"/>
  <c r="T47" i="63" s="1"/>
  <c r="U47" i="63" s="1"/>
  <c r="V47" i="63" s="1"/>
  <c r="N107" i="63"/>
  <c r="O107" i="63" s="1"/>
  <c r="P107" i="63" s="1"/>
  <c r="V107" i="63" s="1"/>
  <c r="M36" i="116"/>
  <c r="R36" i="116" s="1"/>
  <c r="U36" i="116" s="1"/>
  <c r="M40" i="116"/>
  <c r="R40" i="116" s="1"/>
  <c r="U40" i="116" s="1"/>
  <c r="V14" i="63"/>
  <c r="R11" i="63"/>
  <c r="T11" i="63" s="1"/>
  <c r="U11" i="63" s="1"/>
  <c r="V11" i="63" s="1"/>
  <c r="Q13" i="66"/>
  <c r="R43" i="63"/>
  <c r="T43" i="63" s="1"/>
  <c r="U43" i="63" s="1"/>
  <c r="V43" i="63" s="1"/>
  <c r="Q18" i="68"/>
  <c r="R87" i="63"/>
  <c r="T87" i="63" s="1"/>
  <c r="U87" i="63" s="1"/>
  <c r="V87" i="63" s="1"/>
  <c r="R66" i="63"/>
  <c r="T66" i="63" s="1"/>
  <c r="U66" i="63" s="1"/>
  <c r="R103" i="63"/>
  <c r="T103" i="63" s="1"/>
  <c r="U103" i="63" s="1"/>
  <c r="V103" i="63" s="1"/>
  <c r="N58" i="63"/>
  <c r="O58" i="63" s="1"/>
  <c r="P58" i="63" s="1"/>
  <c r="V58" i="63" s="1"/>
  <c r="R31" i="63"/>
  <c r="T31" i="63" s="1"/>
  <c r="U31" i="63" s="1"/>
  <c r="V31" i="63" s="1"/>
  <c r="R91" i="63"/>
  <c r="T91" i="63" s="1"/>
  <c r="U91" i="63" s="1"/>
  <c r="R55" i="63"/>
  <c r="T55" i="63" s="1"/>
  <c r="U55" i="63" s="1"/>
  <c r="V55" i="63" s="1"/>
  <c r="N45" i="63"/>
  <c r="O45" i="63" s="1"/>
  <c r="P45" i="63" s="1"/>
  <c r="V45" i="63" s="1"/>
  <c r="N25" i="63"/>
  <c r="O25" i="63" s="1"/>
  <c r="P25" i="63" s="1"/>
  <c r="V25" i="63" s="1"/>
  <c r="R34" i="63"/>
  <c r="T34" i="63" s="1"/>
  <c r="U34" i="63" s="1"/>
  <c r="V34" i="63" s="1"/>
  <c r="R18" i="63"/>
  <c r="T18" i="63" s="1"/>
  <c r="U18" i="63" s="1"/>
  <c r="V18" i="63" s="1"/>
  <c r="N54" i="63"/>
  <c r="O54" i="63" s="1"/>
  <c r="P54" i="63" s="1"/>
  <c r="V54" i="63" s="1"/>
  <c r="N22" i="63"/>
  <c r="O22" i="63" s="1"/>
  <c r="P22" i="63" s="1"/>
  <c r="V22" i="63" s="1"/>
  <c r="N68" i="63"/>
  <c r="O68" i="63" s="1"/>
  <c r="P68" i="63" s="1"/>
  <c r="N84" i="63"/>
  <c r="O84" i="63" s="1"/>
  <c r="P84" i="63" s="1"/>
  <c r="V84" i="63" s="1"/>
  <c r="F12" i="66"/>
  <c r="L26" i="66"/>
  <c r="L34" i="66" s="1"/>
  <c r="P25" i="68"/>
  <c r="K26" i="68"/>
  <c r="N26" i="68"/>
  <c r="M17" i="92"/>
  <c r="K16" i="115"/>
  <c r="P16" i="115" s="1"/>
  <c r="S16" i="115" s="1"/>
  <c r="AH15" i="62"/>
  <c r="AH17" i="62" s="1"/>
  <c r="AH19" i="62" s="1"/>
  <c r="AH21" i="62" s="1"/>
  <c r="AH23" i="62" s="1"/>
  <c r="AH25" i="62" s="1"/>
  <c r="AH27" i="62" s="1"/>
  <c r="AH29" i="62" s="1"/>
  <c r="AH31" i="62"/>
  <c r="N39" i="63"/>
  <c r="O39" i="63" s="1"/>
  <c r="P39" i="63" s="1"/>
  <c r="R39" i="63"/>
  <c r="T39" i="63" s="1"/>
  <c r="U39" i="63" s="1"/>
  <c r="R64" i="63"/>
  <c r="T64" i="63" s="1"/>
  <c r="U64" i="63" s="1"/>
  <c r="N64" i="63"/>
  <c r="O64" i="63" s="1"/>
  <c r="P64" i="63" s="1"/>
  <c r="R85" i="63"/>
  <c r="T85" i="63" s="1"/>
  <c r="U85" i="63" s="1"/>
  <c r="N85" i="63"/>
  <c r="O85" i="63" s="1"/>
  <c r="P85" i="63" s="1"/>
  <c r="K40" i="115"/>
  <c r="P40" i="115" s="1"/>
  <c r="S40" i="115" s="1"/>
  <c r="R95" i="63"/>
  <c r="T95" i="63" s="1"/>
  <c r="U95" i="63" s="1"/>
  <c r="V95" i="63" s="1"/>
  <c r="R61" i="63"/>
  <c r="T61" i="63" s="1"/>
  <c r="U61" i="63" s="1"/>
  <c r="V61" i="63" s="1"/>
  <c r="R79" i="63"/>
  <c r="T79" i="63" s="1"/>
  <c r="U79" i="63" s="1"/>
  <c r="V79" i="63" s="1"/>
  <c r="V50" i="63"/>
  <c r="N71" i="63"/>
  <c r="O71" i="63" s="1"/>
  <c r="P71" i="63" s="1"/>
  <c r="R71" i="63"/>
  <c r="T71" i="63" s="1"/>
  <c r="U71" i="63" s="1"/>
  <c r="R76" i="63"/>
  <c r="T76" i="63" s="1"/>
  <c r="U76" i="63" s="1"/>
  <c r="N76" i="63"/>
  <c r="O76" i="63" s="1"/>
  <c r="P76" i="63" s="1"/>
  <c r="N98" i="63"/>
  <c r="O98" i="63" s="1"/>
  <c r="P98" i="63" s="1"/>
  <c r="R98" i="63"/>
  <c r="T98" i="63" s="1"/>
  <c r="U98" i="63" s="1"/>
  <c r="R106" i="63"/>
  <c r="T106" i="63" s="1"/>
  <c r="U106" i="63" s="1"/>
  <c r="N106" i="63"/>
  <c r="O106" i="63" s="1"/>
  <c r="P106" i="63" s="1"/>
  <c r="J12" i="66"/>
  <c r="N12" i="66"/>
  <c r="K16" i="82"/>
  <c r="O18" i="82"/>
  <c r="O16" i="82" s="1"/>
  <c r="M47" i="116"/>
  <c r="R47" i="116" s="1"/>
  <c r="U47" i="116" s="1"/>
  <c r="V66" i="63"/>
  <c r="N83" i="63"/>
  <c r="O83" i="63" s="1"/>
  <c r="P83" i="63" s="1"/>
  <c r="R83" i="63"/>
  <c r="T83" i="63" s="1"/>
  <c r="U83" i="63" s="1"/>
  <c r="R97" i="63"/>
  <c r="T97" i="63" s="1"/>
  <c r="U97" i="63" s="1"/>
  <c r="N97" i="63"/>
  <c r="O97" i="63" s="1"/>
  <c r="P97" i="63" s="1"/>
  <c r="M38" i="116"/>
  <c r="N38" i="112" s="1"/>
  <c r="O38" i="112" s="1"/>
  <c r="T38" i="112" s="1"/>
  <c r="W38" i="112" s="1"/>
  <c r="M51" i="116"/>
  <c r="N51" i="112" s="1"/>
  <c r="O51" i="112" s="1"/>
  <c r="T51" i="112" s="1"/>
  <c r="W51" i="112" s="1"/>
  <c r="M89" i="116"/>
  <c r="N89" i="112" s="1"/>
  <c r="O89" i="112" s="1"/>
  <c r="T89" i="112" s="1"/>
  <c r="W89" i="112" s="1"/>
  <c r="M95" i="116"/>
  <c r="N95" i="112" s="1"/>
  <c r="O95" i="112" s="1"/>
  <c r="T95" i="112" s="1"/>
  <c r="W95" i="112" s="1"/>
  <c r="G43" i="115"/>
  <c r="N86" i="63"/>
  <c r="O86" i="63" s="1"/>
  <c r="P86" i="63" s="1"/>
  <c r="V86" i="63" s="1"/>
  <c r="R12" i="63"/>
  <c r="T12" i="63" s="1"/>
  <c r="U12" i="63" s="1"/>
  <c r="N12" i="63"/>
  <c r="O12" i="63" s="1"/>
  <c r="P12" i="63" s="1"/>
  <c r="R16" i="63"/>
  <c r="T16" i="63" s="1"/>
  <c r="U16" i="63" s="1"/>
  <c r="N16" i="63"/>
  <c r="O16" i="63" s="1"/>
  <c r="P16" i="63" s="1"/>
  <c r="N32" i="63"/>
  <c r="O32" i="63" s="1"/>
  <c r="P32" i="63" s="1"/>
  <c r="R32" i="63"/>
  <c r="T32" i="63" s="1"/>
  <c r="U32" i="63" s="1"/>
  <c r="R56" i="63"/>
  <c r="T56" i="63" s="1"/>
  <c r="U56" i="63" s="1"/>
  <c r="N56" i="63"/>
  <c r="O56" i="63" s="1"/>
  <c r="P56" i="63" s="1"/>
  <c r="R100" i="63"/>
  <c r="T100" i="63" s="1"/>
  <c r="U100" i="63" s="1"/>
  <c r="N100" i="63"/>
  <c r="O100" i="63" s="1"/>
  <c r="P100" i="63" s="1"/>
  <c r="L17" i="92"/>
  <c r="Q17" i="92"/>
  <c r="AH11" i="92"/>
  <c r="S17" i="92"/>
  <c r="AH12" i="92"/>
  <c r="J17" i="92"/>
  <c r="O17" i="92"/>
  <c r="AH14" i="92"/>
  <c r="T17" i="111"/>
  <c r="O62" i="111"/>
  <c r="M21" i="116"/>
  <c r="R21" i="116" s="1"/>
  <c r="U21" i="116" s="1"/>
  <c r="M23" i="116"/>
  <c r="R23" i="116" s="1"/>
  <c r="U23" i="116" s="1"/>
  <c r="M25" i="116"/>
  <c r="N25" i="112" s="1"/>
  <c r="O25" i="112" s="1"/>
  <c r="T25" i="112" s="1"/>
  <c r="W25" i="112" s="1"/>
  <c r="M27" i="116"/>
  <c r="R27" i="116" s="1"/>
  <c r="U27" i="116" s="1"/>
  <c r="M29" i="116"/>
  <c r="R29" i="116" s="1"/>
  <c r="U29" i="116" s="1"/>
  <c r="M31" i="116"/>
  <c r="R31" i="116" s="1"/>
  <c r="U31" i="116" s="1"/>
  <c r="M55" i="116"/>
  <c r="N55" i="112" s="1"/>
  <c r="O55" i="112" s="1"/>
  <c r="T55" i="112" s="1"/>
  <c r="W55" i="112" s="1"/>
  <c r="Q21" i="68"/>
  <c r="Q14" i="66"/>
  <c r="Q13" i="68"/>
  <c r="O18" i="111"/>
  <c r="T18" i="111" s="1"/>
  <c r="W18" i="111" s="1"/>
  <c r="I14" i="2"/>
  <c r="M42" i="116"/>
  <c r="N42" i="112" s="1"/>
  <c r="O42" i="112" s="1"/>
  <c r="T42" i="112" s="1"/>
  <c r="W42" i="112" s="1"/>
  <c r="M44" i="116"/>
  <c r="N44" i="112" s="1"/>
  <c r="O44" i="112" s="1"/>
  <c r="T44" i="112" s="1"/>
  <c r="W44" i="112" s="1"/>
  <c r="M57" i="116"/>
  <c r="R57" i="116" s="1"/>
  <c r="U57" i="116" s="1"/>
  <c r="P21" i="66"/>
  <c r="P22" i="68"/>
  <c r="J26" i="66"/>
  <c r="N26" i="66"/>
  <c r="M26" i="66"/>
  <c r="F12" i="68"/>
  <c r="F34" i="68" s="1"/>
  <c r="J12" i="68"/>
  <c r="N12" i="68"/>
  <c r="G12" i="68"/>
  <c r="K12" i="68"/>
  <c r="H12" i="68"/>
  <c r="I12" i="68"/>
  <c r="M12" i="68"/>
  <c r="M34" i="68" s="1"/>
  <c r="O12" i="82"/>
  <c r="O14" i="82"/>
  <c r="M34" i="116"/>
  <c r="R34" i="116" s="1"/>
  <c r="U34" i="116" s="1"/>
  <c r="I1123" i="74"/>
  <c r="I1125" i="74" s="1"/>
  <c r="J1125" i="74" s="1"/>
  <c r="F18" i="76"/>
  <c r="K18" i="1"/>
  <c r="O18" i="1" s="1"/>
  <c r="R18" i="1" s="1"/>
  <c r="AT209" i="108"/>
  <c r="I79" i="74"/>
  <c r="C51" i="74"/>
  <c r="AE209" i="108"/>
  <c r="P29" i="68"/>
  <c r="K22" i="8"/>
  <c r="H24" i="1" s="1"/>
  <c r="K24" i="1" s="1"/>
  <c r="O24" i="1" s="1"/>
  <c r="R24" i="1" s="1"/>
  <c r="S18" i="59"/>
  <c r="M21" i="60" s="1"/>
  <c r="T18" i="59"/>
  <c r="R37" i="50"/>
  <c r="R13" i="50" s="1"/>
  <c r="U14" i="50"/>
  <c r="P12" i="43"/>
  <c r="M13" i="43"/>
  <c r="R32" i="48"/>
  <c r="U16" i="48"/>
  <c r="G125" i="111"/>
  <c r="G161" i="112"/>
  <c r="M12" i="27"/>
  <c r="T31" i="59"/>
  <c r="O15" i="72"/>
  <c r="P13" i="43"/>
  <c r="R17" i="52"/>
  <c r="Q37" i="50"/>
  <c r="Q13" i="50" s="1"/>
  <c r="AF14" i="62"/>
  <c r="AF16" i="62" s="1"/>
  <c r="AF18" i="62" s="1"/>
  <c r="AF20" i="62" s="1"/>
  <c r="AF22" i="62" s="1"/>
  <c r="AF24" i="62" s="1"/>
  <c r="AF26" i="62" s="1"/>
  <c r="AF28" i="62" s="1"/>
  <c r="AF30" i="62"/>
  <c r="R13" i="48"/>
  <c r="R33" i="48" s="1"/>
  <c r="U17" i="51"/>
  <c r="X14" i="48"/>
  <c r="X15" i="48" s="1"/>
  <c r="AI13" i="62"/>
  <c r="S31" i="59"/>
  <c r="P11" i="61"/>
  <c r="P12" i="61" s="1"/>
  <c r="P28" i="59"/>
  <c r="O26" i="59"/>
  <c r="J22" i="60"/>
  <c r="L22" i="60" s="1"/>
  <c r="S20" i="72"/>
  <c r="L20" i="72"/>
  <c r="V29" i="65"/>
  <c r="O27" i="65"/>
  <c r="K24" i="72"/>
  <c r="L25" i="72"/>
  <c r="U36" i="56"/>
  <c r="V36" i="56" s="1"/>
  <c r="O74" i="65"/>
  <c r="F17" i="60"/>
  <c r="F16" i="60" s="1"/>
  <c r="F36" i="60" s="1"/>
  <c r="O14" i="59"/>
  <c r="L26" i="60"/>
  <c r="O26" i="60" s="1"/>
  <c r="Q26" i="60" s="1"/>
  <c r="K13" i="72"/>
  <c r="J24" i="72"/>
  <c r="J31" i="72" s="1"/>
  <c r="K70" i="56"/>
  <c r="V70" i="56" s="1"/>
  <c r="E22" i="60"/>
  <c r="J16" i="59"/>
  <c r="K16" i="59" s="1"/>
  <c r="Q16" i="59" s="1"/>
  <c r="J21" i="59"/>
  <c r="K21" i="59" s="1"/>
  <c r="Q21" i="59" s="1"/>
  <c r="M33" i="59"/>
  <c r="J120" i="89"/>
  <c r="N49" i="52"/>
  <c r="R49" i="52" s="1"/>
  <c r="U49" i="52" s="1"/>
  <c r="X49" i="52" s="1"/>
  <c r="Q19" i="59"/>
  <c r="J24" i="60"/>
  <c r="L24" i="60" s="1"/>
  <c r="K7" i="56"/>
  <c r="K29" i="56"/>
  <c r="V29" i="56" s="1"/>
  <c r="V86" i="56"/>
  <c r="AI9" i="62"/>
  <c r="AI10" i="62"/>
  <c r="AI11" i="62"/>
  <c r="O80" i="65"/>
  <c r="O87" i="65"/>
  <c r="H17" i="60"/>
  <c r="H16" i="60" s="1"/>
  <c r="J25" i="60"/>
  <c r="L25" i="60" s="1"/>
  <c r="O25" i="60" s="1"/>
  <c r="Q25" i="60" s="1"/>
  <c r="D33" i="59"/>
  <c r="O17" i="59"/>
  <c r="J35" i="60"/>
  <c r="J34" i="60" s="1"/>
  <c r="H24" i="72"/>
  <c r="H31" i="72" s="1"/>
  <c r="N18" i="75"/>
  <c r="S13" i="48"/>
  <c r="S33" i="48" s="1"/>
  <c r="G16" i="51"/>
  <c r="G13" i="51" s="1"/>
  <c r="F94" i="42"/>
  <c r="AI20" i="42"/>
  <c r="AI27" i="42"/>
  <c r="P19" i="66"/>
  <c r="Q31" i="68"/>
  <c r="AO188" i="104"/>
  <c r="AK137" i="104"/>
  <c r="V197" i="104"/>
  <c r="V195" i="104" s="1"/>
  <c r="V203" i="104" s="1"/>
  <c r="AO168" i="104"/>
  <c r="AO170" i="104"/>
  <c r="AO172" i="104"/>
  <c r="AO190" i="104"/>
  <c r="AI17" i="42"/>
  <c r="AI24" i="42"/>
  <c r="X94" i="42"/>
  <c r="AI80" i="42"/>
  <c r="T65" i="63"/>
  <c r="U65" i="63" s="1"/>
  <c r="T69" i="63"/>
  <c r="U69" i="63" s="1"/>
  <c r="V69" i="63" s="1"/>
  <c r="O90" i="63"/>
  <c r="P90" i="63" s="1"/>
  <c r="Q15" i="66"/>
  <c r="Q16" i="66"/>
  <c r="Q20" i="68"/>
  <c r="E12" i="69"/>
  <c r="AK58" i="107"/>
  <c r="AJ28" i="3"/>
  <c r="N94" i="42"/>
  <c r="AI21" i="42"/>
  <c r="AI88" i="42"/>
  <c r="AI92" i="42"/>
  <c r="G12" i="5"/>
  <c r="Q6" i="5" s="1"/>
  <c r="Q7" i="5" s="1"/>
  <c r="T17" i="63"/>
  <c r="U17" i="63" s="1"/>
  <c r="T21" i="63"/>
  <c r="U21" i="63" s="1"/>
  <c r="V21" i="63" s="1"/>
  <c r="T29" i="63"/>
  <c r="U29" i="63" s="1"/>
  <c r="T33" i="63"/>
  <c r="U33" i="63" s="1"/>
  <c r="V33" i="63" s="1"/>
  <c r="T37" i="63"/>
  <c r="U37" i="63" s="1"/>
  <c r="T49" i="63"/>
  <c r="U49" i="63" s="1"/>
  <c r="V49" i="63" s="1"/>
  <c r="T73" i="63"/>
  <c r="U73" i="63" s="1"/>
  <c r="T89" i="63"/>
  <c r="U89" i="63" s="1"/>
  <c r="Q16" i="68"/>
  <c r="P17" i="68"/>
  <c r="AK136" i="104"/>
  <c r="AK47" i="104"/>
  <c r="AC202" i="104"/>
  <c r="AC200" i="104" s="1"/>
  <c r="Q192" i="104"/>
  <c r="AG192" i="104"/>
  <c r="J192" i="104"/>
  <c r="Z192" i="104"/>
  <c r="R38" i="116"/>
  <c r="U38" i="116" s="1"/>
  <c r="S94" i="42"/>
  <c r="Q28" i="68"/>
  <c r="Q29" i="68"/>
  <c r="Q30" i="68"/>
  <c r="AH10" i="92"/>
  <c r="AJ45" i="109"/>
  <c r="AK119" i="107"/>
  <c r="AK41" i="107"/>
  <c r="H174" i="107"/>
  <c r="G62" i="110"/>
  <c r="M35" i="116"/>
  <c r="M43" i="116"/>
  <c r="J192" i="109"/>
  <c r="P192" i="109"/>
  <c r="Z192" i="109"/>
  <c r="AO164" i="109"/>
  <c r="AO166" i="109"/>
  <c r="AO169" i="109"/>
  <c r="AO171" i="109"/>
  <c r="AO187" i="109"/>
  <c r="AO189" i="109"/>
  <c r="W177" i="107"/>
  <c r="W173" i="107" s="1"/>
  <c r="W180" i="107"/>
  <c r="W178" i="107" s="1"/>
  <c r="Y170" i="107"/>
  <c r="AC170" i="107"/>
  <c r="AK11" i="107"/>
  <c r="M37" i="116"/>
  <c r="R37" i="116" s="1"/>
  <c r="U37" i="116" s="1"/>
  <c r="M54" i="116"/>
  <c r="R54" i="116" s="1"/>
  <c r="U54" i="116" s="1"/>
  <c r="M79" i="116"/>
  <c r="N79" i="112" s="1"/>
  <c r="M84" i="116"/>
  <c r="R84" i="116" s="1"/>
  <c r="U84" i="116" s="1"/>
  <c r="AJ73" i="109"/>
  <c r="G192" i="109"/>
  <c r="W192" i="109"/>
  <c r="AJ136" i="109"/>
  <c r="AN136" i="109" s="1"/>
  <c r="AK142" i="107"/>
  <c r="M77" i="116"/>
  <c r="M83" i="116"/>
  <c r="R83" i="116" s="1"/>
  <c r="U83" i="116" s="1"/>
  <c r="M87" i="116"/>
  <c r="N87" i="112" s="1"/>
  <c r="O87" i="112" s="1"/>
  <c r="T87" i="112" s="1"/>
  <c r="W87" i="112" s="1"/>
  <c r="H192" i="109"/>
  <c r="R192" i="109"/>
  <c r="X192" i="109"/>
  <c r="AO161" i="109"/>
  <c r="AO163" i="109"/>
  <c r="AO165" i="109"/>
  <c r="AO170" i="109"/>
  <c r="AO172" i="109"/>
  <c r="AO186" i="109"/>
  <c r="AO188" i="109"/>
  <c r="G62" i="111"/>
  <c r="J171" i="112"/>
  <c r="AP143" i="107"/>
  <c r="AD180" i="107"/>
  <c r="AD178" i="107" s="1"/>
  <c r="R62" i="110"/>
  <c r="M17" i="116"/>
  <c r="N17" i="112" s="1"/>
  <c r="O17" i="112" s="1"/>
  <c r="T17" i="112" s="1"/>
  <c r="W17" i="112" s="1"/>
  <c r="M76" i="116"/>
  <c r="M82" i="116"/>
  <c r="N82" i="112" s="1"/>
  <c r="O82" i="112" s="1"/>
  <c r="T82" i="112" s="1"/>
  <c r="W82" i="112" s="1"/>
  <c r="M86" i="116"/>
  <c r="F43" i="115"/>
  <c r="G117" i="115" s="1"/>
  <c r="I117" i="115" s="1"/>
  <c r="G121" i="115" s="1"/>
  <c r="K121" i="115" s="1"/>
  <c r="K22" i="115"/>
  <c r="P22" i="115" s="1"/>
  <c r="S22" i="115" s="1"/>
  <c r="K26" i="115"/>
  <c r="L26" i="113" s="1"/>
  <c r="K29" i="115"/>
  <c r="L29" i="113" s="1"/>
  <c r="K30" i="115"/>
  <c r="P30" i="115" s="1"/>
  <c r="S30" i="115" s="1"/>
  <c r="K34" i="115"/>
  <c r="P34" i="115" s="1"/>
  <c r="S34" i="115" s="1"/>
  <c r="K38" i="115"/>
  <c r="K42" i="115"/>
  <c r="L42" i="113" s="1"/>
  <c r="M42" i="113" s="1"/>
  <c r="R42" i="113" s="1"/>
  <c r="U42" i="113" s="1"/>
  <c r="E35" i="126"/>
  <c r="E33" i="126" s="1"/>
  <c r="G33" i="126" s="1"/>
  <c r="I19" i="44"/>
  <c r="E41" i="126" s="1"/>
  <c r="D28" i="60"/>
  <c r="P16" i="66"/>
  <c r="AL16" i="94"/>
  <c r="J45" i="89"/>
  <c r="J20" i="89"/>
  <c r="J24" i="89"/>
  <c r="J28" i="89"/>
  <c r="J32" i="89"/>
  <c r="J36" i="89"/>
  <c r="J40" i="89"/>
  <c r="J44" i="89"/>
  <c r="J22" i="89"/>
  <c r="J30" i="89"/>
  <c r="J38" i="89"/>
  <c r="J19" i="89"/>
  <c r="J23" i="89"/>
  <c r="J27" i="89"/>
  <c r="J31" i="89"/>
  <c r="J35" i="89"/>
  <c r="J39" i="89"/>
  <c r="J43" i="89"/>
  <c r="J17" i="89"/>
  <c r="J21" i="89"/>
  <c r="J25" i="89"/>
  <c r="J29" i="89"/>
  <c r="J33" i="89"/>
  <c r="J37" i="89"/>
  <c r="J41" i="89"/>
  <c r="J18" i="89"/>
  <c r="J26" i="89"/>
  <c r="J34" i="89"/>
  <c r="J42" i="89"/>
  <c r="L18" i="96"/>
  <c r="L258" i="1" s="1"/>
  <c r="R258" i="1" s="1"/>
  <c r="AJ15" i="94"/>
  <c r="AL15" i="94" s="1"/>
  <c r="AI19" i="94"/>
  <c r="AJ12" i="94"/>
  <c r="AL12" i="94" s="1"/>
  <c r="AK14" i="94"/>
  <c r="G174" i="91"/>
  <c r="G188" i="91" s="1"/>
  <c r="K252" i="1"/>
  <c r="O252" i="1" s="1"/>
  <c r="R252" i="1" s="1"/>
  <c r="F20" i="41"/>
  <c r="P20" i="84"/>
  <c r="P24" i="84"/>
  <c r="T24" i="84" s="1"/>
  <c r="W24" i="84" s="1"/>
  <c r="X17" i="84"/>
  <c r="X31" i="84" s="1"/>
  <c r="M17" i="96"/>
  <c r="L257" i="1"/>
  <c r="L256" i="1"/>
  <c r="K15" i="96"/>
  <c r="K21" i="96" s="1"/>
  <c r="I35" i="41" s="1"/>
  <c r="M16" i="96"/>
  <c r="H256" i="1"/>
  <c r="K256" i="1" s="1"/>
  <c r="K20" i="8"/>
  <c r="H22" i="1" s="1"/>
  <c r="K22" i="1" s="1"/>
  <c r="O22" i="1" s="1"/>
  <c r="R22" i="1" s="1"/>
  <c r="K18" i="8"/>
  <c r="H20" i="1" s="1"/>
  <c r="K20" i="1" s="1"/>
  <c r="O20" i="1" s="1"/>
  <c r="R20" i="1" s="1"/>
  <c r="I14" i="8"/>
  <c r="I19" i="8"/>
  <c r="T25" i="84"/>
  <c r="W25" i="84" s="1"/>
  <c r="Z25" i="84" s="1"/>
  <c r="L23" i="84"/>
  <c r="L17" i="84" s="1"/>
  <c r="G47" i="89"/>
  <c r="C890" i="74"/>
  <c r="D890" i="74" s="1"/>
  <c r="C764" i="74"/>
  <c r="D764" i="74" s="1"/>
  <c r="I523" i="74"/>
  <c r="J523" i="74" s="1"/>
  <c r="C523" i="74"/>
  <c r="D523" i="74" s="1"/>
  <c r="I537" i="74"/>
  <c r="J537" i="74" s="1"/>
  <c r="I134" i="74"/>
  <c r="J173" i="91"/>
  <c r="P28" i="68"/>
  <c r="P27" i="68"/>
  <c r="P26" i="68" s="1"/>
  <c r="P30" i="68"/>
  <c r="O12" i="66"/>
  <c r="O34" i="66" s="1"/>
  <c r="D31" i="60"/>
  <c r="D25" i="60"/>
  <c r="O12" i="68"/>
  <c r="O34" i="68" s="1"/>
  <c r="Q22" i="68"/>
  <c r="Q28" i="66"/>
  <c r="Q30" i="66"/>
  <c r="P17" i="66"/>
  <c r="P18" i="66"/>
  <c r="Q19" i="66"/>
  <c r="Q21" i="66"/>
  <c r="P22" i="66"/>
  <c r="P15" i="68"/>
  <c r="P16" i="68"/>
  <c r="P20" i="68"/>
  <c r="P25" i="66"/>
  <c r="T22" i="84"/>
  <c r="W22" i="84" s="1"/>
  <c r="Z22" i="84" s="1"/>
  <c r="Z21" i="84"/>
  <c r="Z20" i="84" s="1"/>
  <c r="S17" i="84"/>
  <c r="S31" i="84" s="1"/>
  <c r="Y17" i="84"/>
  <c r="Y31" i="84" s="1"/>
  <c r="N17" i="84"/>
  <c r="N31" i="84" s="1"/>
  <c r="G214" i="108"/>
  <c r="T209" i="108"/>
  <c r="AF209" i="108"/>
  <c r="G213" i="108"/>
  <c r="AV178" i="108"/>
  <c r="Q209" i="108"/>
  <c r="P209" i="108"/>
  <c r="L209" i="108"/>
  <c r="F209" i="108"/>
  <c r="I696" i="74"/>
  <c r="I554" i="74"/>
  <c r="I1057" i="74"/>
  <c r="C1085" i="74"/>
  <c r="I1029" i="74"/>
  <c r="C1057" i="74"/>
  <c r="C988" i="74"/>
  <c r="X209" i="108"/>
  <c r="N209" i="108"/>
  <c r="K209" i="108"/>
  <c r="S209" i="108"/>
  <c r="F19" i="77"/>
  <c r="J19" i="77" s="1"/>
  <c r="V209" i="108"/>
  <c r="AD209" i="108"/>
  <c r="Z209" i="108"/>
  <c r="R209" i="108"/>
  <c r="J209" i="108"/>
  <c r="AB209" i="108"/>
  <c r="H209" i="108"/>
  <c r="H47" i="89"/>
  <c r="Y209" i="108"/>
  <c r="I209" i="108"/>
  <c r="AS111" i="108"/>
  <c r="L27" i="60"/>
  <c r="O27" i="60" s="1"/>
  <c r="J30" i="59"/>
  <c r="K30" i="59" s="1"/>
  <c r="Q30" i="59" s="1"/>
  <c r="R30" i="59" s="1"/>
  <c r="S30" i="59" s="1"/>
  <c r="M33" i="60" s="1"/>
  <c r="F22" i="77"/>
  <c r="J22" i="77" s="1"/>
  <c r="J21" i="77" s="1"/>
  <c r="Q25" i="68"/>
  <c r="M209" i="108"/>
  <c r="U209" i="108"/>
  <c r="AC209" i="108"/>
  <c r="AR54" i="108"/>
  <c r="I33" i="60"/>
  <c r="G209" i="108"/>
  <c r="O209" i="108"/>
  <c r="W209" i="108"/>
  <c r="AA209" i="108"/>
  <c r="K18" i="77"/>
  <c r="L18" i="77" s="1"/>
  <c r="M18" i="77" s="1"/>
  <c r="P24" i="66"/>
  <c r="Q31" i="66"/>
  <c r="O18" i="75"/>
  <c r="I32" i="60"/>
  <c r="V214" i="108"/>
  <c r="V213" i="108"/>
  <c r="V26" i="63"/>
  <c r="V70" i="63"/>
  <c r="N67" i="63"/>
  <c r="O67" i="63" s="1"/>
  <c r="P67" i="63" s="1"/>
  <c r="R67" i="63"/>
  <c r="T67" i="63" s="1"/>
  <c r="U67" i="63" s="1"/>
  <c r="F26" i="66"/>
  <c r="Q27" i="66"/>
  <c r="P27" i="66"/>
  <c r="AH9" i="92"/>
  <c r="K17" i="92"/>
  <c r="AH16" i="92"/>
  <c r="O13" i="82"/>
  <c r="K11" i="82"/>
  <c r="R55" i="116"/>
  <c r="U55" i="116" s="1"/>
  <c r="AI12" i="62"/>
  <c r="N59" i="63"/>
  <c r="O59" i="63" s="1"/>
  <c r="P59" i="63" s="1"/>
  <c r="R59" i="63"/>
  <c r="T59" i="63" s="1"/>
  <c r="U59" i="63" s="1"/>
  <c r="R80" i="63"/>
  <c r="T80" i="63" s="1"/>
  <c r="U80" i="63" s="1"/>
  <c r="N80" i="63"/>
  <c r="O80" i="63" s="1"/>
  <c r="P80" i="63" s="1"/>
  <c r="Q20" i="66"/>
  <c r="P20" i="66"/>
  <c r="Q29" i="66"/>
  <c r="P29" i="66"/>
  <c r="Q17" i="68"/>
  <c r="P18" i="68"/>
  <c r="Q19" i="68"/>
  <c r="P19" i="68"/>
  <c r="Q14" i="68"/>
  <c r="Q27" i="68"/>
  <c r="Q15" i="68"/>
  <c r="P28" i="66"/>
  <c r="P15" i="66"/>
  <c r="R78" i="63"/>
  <c r="T78" i="63" s="1"/>
  <c r="U78" i="63" s="1"/>
  <c r="V78" i="63" s="1"/>
  <c r="V94" i="63"/>
  <c r="N72" i="63"/>
  <c r="O72" i="63" s="1"/>
  <c r="P72" i="63" s="1"/>
  <c r="V72" i="63" s="1"/>
  <c r="N60" i="63"/>
  <c r="O60" i="63" s="1"/>
  <c r="P60" i="63" s="1"/>
  <c r="V60" i="63" s="1"/>
  <c r="Q22" i="66"/>
  <c r="P13" i="66"/>
  <c r="P12" i="66" s="1"/>
  <c r="P34" i="66" s="1"/>
  <c r="H17" i="92"/>
  <c r="D12" i="68"/>
  <c r="AH13" i="92"/>
  <c r="R42" i="116"/>
  <c r="U42" i="116" s="1"/>
  <c r="AH14" i="62"/>
  <c r="AH16" i="62" s="1"/>
  <c r="AH30" i="62"/>
  <c r="P31" i="66"/>
  <c r="Q17" i="66"/>
  <c r="P30" i="66"/>
  <c r="Q24" i="66"/>
  <c r="N77" i="63"/>
  <c r="O77" i="63" s="1"/>
  <c r="P77" i="63" s="1"/>
  <c r="V77" i="63" s="1"/>
  <c r="V68" i="63"/>
  <c r="P14" i="66"/>
  <c r="AG30" i="62"/>
  <c r="I26" i="66"/>
  <c r="N96" i="63"/>
  <c r="O96" i="63" s="1"/>
  <c r="P96" i="63" s="1"/>
  <c r="V96" i="63" s="1"/>
  <c r="E12" i="68"/>
  <c r="E34" i="68" s="1"/>
  <c r="N27" i="63"/>
  <c r="O27" i="63" s="1"/>
  <c r="P27" i="63" s="1"/>
  <c r="R27" i="63"/>
  <c r="T27" i="63" s="1"/>
  <c r="U27" i="63" s="1"/>
  <c r="R41" i="63"/>
  <c r="T41" i="63" s="1"/>
  <c r="U41" i="63" s="1"/>
  <c r="N41" i="63"/>
  <c r="O41" i="63" s="1"/>
  <c r="P41" i="63" s="1"/>
  <c r="N75" i="63"/>
  <c r="O75" i="63" s="1"/>
  <c r="P75" i="63" s="1"/>
  <c r="R75" i="63"/>
  <c r="T75" i="63" s="1"/>
  <c r="U75" i="63" s="1"/>
  <c r="L16" i="113"/>
  <c r="M16" i="113" s="1"/>
  <c r="N62" i="111"/>
  <c r="V38" i="63"/>
  <c r="P23" i="66"/>
  <c r="P14" i="68"/>
  <c r="P13" i="68"/>
  <c r="P12" i="68" s="1"/>
  <c r="P34" i="68" s="1"/>
  <c r="N39" i="60"/>
  <c r="R81" i="63"/>
  <c r="T81" i="63" s="1"/>
  <c r="U81" i="63" s="1"/>
  <c r="N81" i="63"/>
  <c r="O81" i="63" s="1"/>
  <c r="P81" i="63" s="1"/>
  <c r="P24" i="68"/>
  <c r="D26" i="68"/>
  <c r="P31" i="68"/>
  <c r="N40" i="112"/>
  <c r="O40" i="112" s="1"/>
  <c r="T40" i="112" s="1"/>
  <c r="W40" i="112" s="1"/>
  <c r="M46" i="116"/>
  <c r="M50" i="116"/>
  <c r="N50" i="112" s="1"/>
  <c r="O50" i="112" s="1"/>
  <c r="T50" i="112" s="1"/>
  <c r="W50" i="112" s="1"/>
  <c r="M62" i="116"/>
  <c r="M66" i="116"/>
  <c r="M74" i="116"/>
  <c r="J98" i="116"/>
  <c r="F98" i="116"/>
  <c r="M33" i="116"/>
  <c r="N33" i="112" s="1"/>
  <c r="O33" i="112" s="1"/>
  <c r="T33" i="112" s="1"/>
  <c r="W33" i="112" s="1"/>
  <c r="M41" i="116"/>
  <c r="M49" i="116"/>
  <c r="M61" i="116"/>
  <c r="G98" i="115"/>
  <c r="I98" i="115" s="1"/>
  <c r="G99" i="115"/>
  <c r="I99" i="115" s="1"/>
  <c r="I18" i="115"/>
  <c r="K18" i="115" s="1"/>
  <c r="L18" i="113" s="1"/>
  <c r="M18" i="113" s="1"/>
  <c r="R18" i="113" s="1"/>
  <c r="U18" i="113" s="1"/>
  <c r="H43" i="115"/>
  <c r="P18" i="75"/>
  <c r="V91" i="63"/>
  <c r="V24" i="63"/>
  <c r="P21" i="68"/>
  <c r="L21" i="60"/>
  <c r="N39" i="112"/>
  <c r="O39" i="112" s="1"/>
  <c r="T39" i="112" s="1"/>
  <c r="W39" i="112" s="1"/>
  <c r="H98" i="116"/>
  <c r="M45" i="116"/>
  <c r="N45" i="112" s="1"/>
  <c r="O45" i="112" s="1"/>
  <c r="T45" i="112" s="1"/>
  <c r="W45" i="112" s="1"/>
  <c r="M48" i="116"/>
  <c r="M56" i="116"/>
  <c r="M60" i="116"/>
  <c r="M64" i="116"/>
  <c r="R64" i="116" s="1"/>
  <c r="U64" i="116" s="1"/>
  <c r="M18" i="116"/>
  <c r="R18" i="116" s="1"/>
  <c r="U18" i="116" s="1"/>
  <c r="M88" i="116"/>
  <c r="M90" i="116"/>
  <c r="M92" i="116"/>
  <c r="M94" i="116"/>
  <c r="M96" i="116"/>
  <c r="K21" i="115"/>
  <c r="K25" i="115"/>
  <c r="K33" i="115"/>
  <c r="L33" i="113" s="1"/>
  <c r="K37" i="115"/>
  <c r="L37" i="113" s="1"/>
  <c r="M37" i="113" s="1"/>
  <c r="R37" i="113" s="1"/>
  <c r="U37" i="113" s="1"/>
  <c r="K41" i="115"/>
  <c r="M16" i="116"/>
  <c r="M67" i="116"/>
  <c r="N67" i="112" s="1"/>
  <c r="O67" i="112" s="1"/>
  <c r="T67" i="112" s="1"/>
  <c r="W67" i="112" s="1"/>
  <c r="M69" i="116"/>
  <c r="N69" i="112" s="1"/>
  <c r="O69" i="112" s="1"/>
  <c r="T69" i="112" s="1"/>
  <c r="W69" i="112" s="1"/>
  <c r="M73" i="116"/>
  <c r="M75" i="116"/>
  <c r="N75" i="112" s="1"/>
  <c r="O75" i="112" s="1"/>
  <c r="T75" i="112" s="1"/>
  <c r="W75" i="112" s="1"/>
  <c r="M78" i="116"/>
  <c r="M80" i="116"/>
  <c r="M91" i="116"/>
  <c r="M93" i="116"/>
  <c r="M97" i="116"/>
  <c r="N97" i="112" s="1"/>
  <c r="K19" i="115"/>
  <c r="P19" i="115" s="1"/>
  <c r="S19" i="115" s="1"/>
  <c r="K23" i="115"/>
  <c r="L23" i="113" s="1"/>
  <c r="K27" i="115"/>
  <c r="P27" i="115" s="1"/>
  <c r="S27" i="115" s="1"/>
  <c r="K31" i="115"/>
  <c r="L31" i="113" s="1"/>
  <c r="M31" i="113" s="1"/>
  <c r="R31" i="113" s="1"/>
  <c r="U31" i="113" s="1"/>
  <c r="K35" i="115"/>
  <c r="L35" i="113" s="1"/>
  <c r="K39" i="115"/>
  <c r="P39" i="115" s="1"/>
  <c r="S39" i="115" s="1"/>
  <c r="M52" i="116"/>
  <c r="M19" i="116"/>
  <c r="M20" i="116"/>
  <c r="M22" i="116"/>
  <c r="M24" i="116"/>
  <c r="M26" i="116"/>
  <c r="M28" i="116"/>
  <c r="N28" i="112" s="1"/>
  <c r="O28" i="112" s="1"/>
  <c r="T28" i="112" s="1"/>
  <c r="W28" i="112" s="1"/>
  <c r="M30" i="116"/>
  <c r="M32" i="116"/>
  <c r="K20" i="115"/>
  <c r="P20" i="115" s="1"/>
  <c r="S20" i="115" s="1"/>
  <c r="K24" i="115"/>
  <c r="K32" i="115"/>
  <c r="P32" i="115" s="1"/>
  <c r="S32" i="115" s="1"/>
  <c r="K36" i="115"/>
  <c r="P36" i="115" s="1"/>
  <c r="S36" i="115" s="1"/>
  <c r="F18" i="41"/>
  <c r="L23" i="60"/>
  <c r="O23" i="60" s="1"/>
  <c r="Q23" i="60" s="1"/>
  <c r="C1111" i="74"/>
  <c r="I1085" i="74"/>
  <c r="I1071" i="74"/>
  <c r="C1029" i="74"/>
  <c r="I1016" i="74"/>
  <c r="C1016" i="74"/>
  <c r="I988" i="74"/>
  <c r="Q24" i="68"/>
  <c r="L33" i="60"/>
  <c r="G34" i="60"/>
  <c r="L19" i="60"/>
  <c r="G16" i="60"/>
  <c r="L28" i="60"/>
  <c r="O28" i="60" s="1"/>
  <c r="Q28" i="60" s="1"/>
  <c r="Q23" i="66"/>
  <c r="G32" i="60"/>
  <c r="J32" i="60" s="1"/>
  <c r="L32" i="60" s="1"/>
  <c r="Q29" i="59"/>
  <c r="J172" i="112"/>
  <c r="G176" i="112" s="1"/>
  <c r="M176" i="112" s="1"/>
  <c r="G186" i="112"/>
  <c r="W32" i="59"/>
  <c r="V31" i="59"/>
  <c r="M23" i="72"/>
  <c r="N23" i="72"/>
  <c r="V16" i="52"/>
  <c r="V13" i="52" s="1"/>
  <c r="W14" i="52"/>
  <c r="G131" i="113"/>
  <c r="I117" i="113"/>
  <c r="G121" i="113" s="1"/>
  <c r="K121" i="113" s="1"/>
  <c r="V46" i="63"/>
  <c r="AG22" i="62"/>
  <c r="N106" i="113"/>
  <c r="Q106" i="113" s="1"/>
  <c r="V104" i="63"/>
  <c r="V102" i="63"/>
  <c r="V74" i="63"/>
  <c r="AB35" i="48"/>
  <c r="J121" i="89"/>
  <c r="G125" i="89" s="1"/>
  <c r="M125" i="89" s="1"/>
  <c r="G135" i="89"/>
  <c r="G106" i="113"/>
  <c r="AF15" i="62"/>
  <c r="AF31" i="62"/>
  <c r="K16" i="51"/>
  <c r="K13" i="51" s="1"/>
  <c r="R14" i="51"/>
  <c r="O45" i="65"/>
  <c r="O61" i="65"/>
  <c r="W61" i="65" s="1"/>
  <c r="N33" i="59"/>
  <c r="V40" i="63"/>
  <c r="O18" i="65"/>
  <c r="O8" i="65" s="1"/>
  <c r="V57" i="63"/>
  <c r="K52" i="56"/>
  <c r="V52" i="56" s="1"/>
  <c r="O36" i="65"/>
  <c r="V38" i="65"/>
  <c r="J17" i="60"/>
  <c r="V15" i="63"/>
  <c r="T24" i="59"/>
  <c r="Q23" i="68"/>
  <c r="P23" i="68"/>
  <c r="L21" i="72"/>
  <c r="V7" i="56"/>
  <c r="V33" i="65"/>
  <c r="V39" i="65" s="1"/>
  <c r="V41" i="65" s="1"/>
  <c r="O31" i="65"/>
  <c r="K12" i="72"/>
  <c r="K31" i="72" s="1"/>
  <c r="R17" i="84"/>
  <c r="R31" i="84" s="1"/>
  <c r="AD94" i="42"/>
  <c r="R36" i="63"/>
  <c r="T36" i="63" s="1"/>
  <c r="U36" i="63" s="1"/>
  <c r="N36" i="63"/>
  <c r="O36" i="63" s="1"/>
  <c r="P36" i="63" s="1"/>
  <c r="R13" i="63"/>
  <c r="T13" i="63" s="1"/>
  <c r="U13" i="63" s="1"/>
  <c r="N13" i="63"/>
  <c r="O13" i="63" s="1"/>
  <c r="P13" i="63" s="1"/>
  <c r="N35" i="63"/>
  <c r="O35" i="63" s="1"/>
  <c r="P35" i="63" s="1"/>
  <c r="R35" i="63"/>
  <c r="T35" i="63" s="1"/>
  <c r="U35" i="63" s="1"/>
  <c r="AL17" i="94"/>
  <c r="AK19" i="94"/>
  <c r="AI12" i="42"/>
  <c r="AI78" i="42"/>
  <c r="AI77" i="42" s="1"/>
  <c r="AK191" i="104"/>
  <c r="D17" i="60"/>
  <c r="D16" i="60" s="1"/>
  <c r="D36" i="60" s="1"/>
  <c r="J37" i="50"/>
  <c r="E26" i="32"/>
  <c r="L39" i="32"/>
  <c r="AL18" i="94"/>
  <c r="AJ13" i="94"/>
  <c r="AI14" i="94"/>
  <c r="AK73" i="104"/>
  <c r="AK160" i="104"/>
  <c r="V15" i="56"/>
  <c r="J15" i="59"/>
  <c r="E18" i="60"/>
  <c r="J18" i="60" s="1"/>
  <c r="L18" i="60" s="1"/>
  <c r="AI13" i="42"/>
  <c r="M260" i="1"/>
  <c r="G196" i="104"/>
  <c r="G197" i="104"/>
  <c r="G203" i="104" s="1"/>
  <c r="AJ191" i="104"/>
  <c r="AJ192" i="109"/>
  <c r="AN45" i="109"/>
  <c r="U62" i="110"/>
  <c r="AJ45" i="104"/>
  <c r="AO186" i="104"/>
  <c r="AO162" i="104"/>
  <c r="AK15" i="104"/>
  <c r="AC196" i="104" s="1"/>
  <c r="AC195" i="104" s="1"/>
  <c r="AC203" i="104" s="1"/>
  <c r="AK12" i="104"/>
  <c r="AC197" i="104" s="1"/>
  <c r="G199" i="104"/>
  <c r="AR45" i="104"/>
  <c r="AK170" i="107"/>
  <c r="AW10" i="107" s="1"/>
  <c r="AY10" i="107" s="1"/>
  <c r="AL112" i="107" s="1"/>
  <c r="BA16" i="107"/>
  <c r="J62" i="111"/>
  <c r="V196" i="109"/>
  <c r="V195" i="109" s="1"/>
  <c r="V203" i="109" s="1"/>
  <c r="AL208" i="109" s="1"/>
  <c r="H175" i="107"/>
  <c r="H181" i="107" s="1"/>
  <c r="J136" i="110"/>
  <c r="G140" i="110" s="1"/>
  <c r="M140" i="110" s="1"/>
  <c r="G150" i="110"/>
  <c r="G98" i="116"/>
  <c r="K17" i="115"/>
  <c r="G97" i="115"/>
  <c r="I97" i="115" s="1"/>
  <c r="R25" i="116"/>
  <c r="U25" i="116" s="1"/>
  <c r="P18" i="115"/>
  <c r="S18" i="115" s="1"/>
  <c r="J135" i="110"/>
  <c r="N125" i="110" s="1"/>
  <c r="Q125" i="110" s="1"/>
  <c r="K254" i="1"/>
  <c r="O254" i="1" s="1"/>
  <c r="R254" i="1" s="1"/>
  <c r="I1111" i="74"/>
  <c r="I1099" i="74"/>
  <c r="M72" i="116"/>
  <c r="M65" i="116"/>
  <c r="M53" i="116"/>
  <c r="M59" i="116"/>
  <c r="M81" i="116"/>
  <c r="M70" i="116"/>
  <c r="M63" i="116"/>
  <c r="M85" i="116"/>
  <c r="M71" i="116"/>
  <c r="M58" i="116"/>
  <c r="C1099" i="74"/>
  <c r="C1043" i="74"/>
  <c r="C1071" i="74"/>
  <c r="I1043" i="74"/>
  <c r="I1002" i="74"/>
  <c r="I975" i="74"/>
  <c r="J48" i="74"/>
  <c r="D88" i="74"/>
  <c r="J76" i="74"/>
  <c r="D62" i="74"/>
  <c r="I21" i="8"/>
  <c r="J32" i="74"/>
  <c r="D48" i="74"/>
  <c r="J4" i="74"/>
  <c r="D4" i="74"/>
  <c r="I15" i="8"/>
  <c r="G35" i="41"/>
  <c r="I17" i="8"/>
  <c r="I13" i="8"/>
  <c r="R259" i="1"/>
  <c r="W18" i="84"/>
  <c r="J154" i="112"/>
  <c r="J161" i="112" s="1"/>
  <c r="P161" i="112" s="1"/>
  <c r="S161" i="112" s="1"/>
  <c r="M97" i="112"/>
  <c r="K26" i="113"/>
  <c r="K34" i="113"/>
  <c r="K23" i="113"/>
  <c r="M84" i="112"/>
  <c r="K35" i="113"/>
  <c r="M80" i="112"/>
  <c r="K30" i="113"/>
  <c r="K21" i="113"/>
  <c r="K33" i="113"/>
  <c r="M90" i="112"/>
  <c r="M77" i="112"/>
  <c r="K22" i="113"/>
  <c r="K39" i="113"/>
  <c r="K27" i="113"/>
  <c r="K19" i="113"/>
  <c r="I43" i="113"/>
  <c r="M91" i="112"/>
  <c r="K29" i="113"/>
  <c r="J98" i="112"/>
  <c r="K28" i="113"/>
  <c r="M79" i="112"/>
  <c r="M96" i="112"/>
  <c r="K36" i="113"/>
  <c r="K25" i="113"/>
  <c r="M88" i="112"/>
  <c r="H43" i="113"/>
  <c r="H55" i="113" s="1"/>
  <c r="R51" i="116" l="1"/>
  <c r="U51" i="116" s="1"/>
  <c r="H34" i="66"/>
  <c r="O188" i="54"/>
  <c r="K206" i="54"/>
  <c r="M34" i="89"/>
  <c r="O206" i="54" s="1"/>
  <c r="P206" i="54" s="1"/>
  <c r="K209" i="54"/>
  <c r="M37" i="89"/>
  <c r="O209" i="54" s="1"/>
  <c r="P209" i="54" s="1"/>
  <c r="K193" i="54"/>
  <c r="M21" i="89"/>
  <c r="O193" i="54" s="1"/>
  <c r="P193" i="54" s="1"/>
  <c r="K207" i="54"/>
  <c r="M35" i="89"/>
  <c r="O207" i="54" s="1"/>
  <c r="P207" i="54" s="1"/>
  <c r="K191" i="54"/>
  <c r="M19" i="89"/>
  <c r="O191" i="54" s="1"/>
  <c r="P191" i="54" s="1"/>
  <c r="K216" i="54"/>
  <c r="M44" i="89"/>
  <c r="O216" i="54" s="1"/>
  <c r="P216" i="54" s="1"/>
  <c r="K200" i="54"/>
  <c r="M28" i="89"/>
  <c r="O200" i="54" s="1"/>
  <c r="P200" i="54" s="1"/>
  <c r="K198" i="54"/>
  <c r="M26" i="89"/>
  <c r="O198" i="54" s="1"/>
  <c r="P198" i="54" s="1"/>
  <c r="K205" i="54"/>
  <c r="M33" i="89"/>
  <c r="O205" i="54" s="1"/>
  <c r="P205" i="54" s="1"/>
  <c r="K189" i="54"/>
  <c r="M17" i="89"/>
  <c r="O189" i="54" s="1"/>
  <c r="P189" i="54" s="1"/>
  <c r="K203" i="54"/>
  <c r="M31" i="89"/>
  <c r="O203" i="54" s="1"/>
  <c r="P203" i="54" s="1"/>
  <c r="K210" i="54"/>
  <c r="M38" i="89"/>
  <c r="O210" i="54" s="1"/>
  <c r="P210" i="54" s="1"/>
  <c r="K212" i="54"/>
  <c r="M40" i="89"/>
  <c r="O212" i="54" s="1"/>
  <c r="P212" i="54" s="1"/>
  <c r="K196" i="54"/>
  <c r="M24" i="89"/>
  <c r="O196" i="54" s="1"/>
  <c r="P196" i="54" s="1"/>
  <c r="K190" i="54"/>
  <c r="M18" i="89"/>
  <c r="O190" i="54" s="1"/>
  <c r="P190" i="54" s="1"/>
  <c r="K201" i="54"/>
  <c r="M29" i="89"/>
  <c r="O201" i="54" s="1"/>
  <c r="P201" i="54" s="1"/>
  <c r="K215" i="54"/>
  <c r="M43" i="89"/>
  <c r="O215" i="54" s="1"/>
  <c r="P215" i="54" s="1"/>
  <c r="K199" i="54"/>
  <c r="M27" i="89"/>
  <c r="O199" i="54" s="1"/>
  <c r="P199" i="54" s="1"/>
  <c r="K202" i="54"/>
  <c r="M30" i="89"/>
  <c r="O202" i="54" s="1"/>
  <c r="P202" i="54" s="1"/>
  <c r="K208" i="54"/>
  <c r="M36" i="89"/>
  <c r="O208" i="54" s="1"/>
  <c r="P208" i="54" s="1"/>
  <c r="K192" i="54"/>
  <c r="M20" i="89"/>
  <c r="O192" i="54" s="1"/>
  <c r="P192" i="54" s="1"/>
  <c r="K214" i="54"/>
  <c r="M42" i="89"/>
  <c r="O214" i="54" s="1"/>
  <c r="P214" i="54" s="1"/>
  <c r="K213" i="54"/>
  <c r="M41" i="89"/>
  <c r="O213" i="54" s="1"/>
  <c r="P213" i="54" s="1"/>
  <c r="K197" i="54"/>
  <c r="M25" i="89"/>
  <c r="O197" i="54" s="1"/>
  <c r="P197" i="54" s="1"/>
  <c r="K211" i="54"/>
  <c r="M39" i="89"/>
  <c r="O211" i="54" s="1"/>
  <c r="P211" i="54" s="1"/>
  <c r="K195" i="54"/>
  <c r="M23" i="89"/>
  <c r="O195" i="54" s="1"/>
  <c r="P195" i="54" s="1"/>
  <c r="K194" i="54"/>
  <c r="M22" i="89"/>
  <c r="O194" i="54" s="1"/>
  <c r="P194" i="54" s="1"/>
  <c r="K204" i="54"/>
  <c r="M32" i="89"/>
  <c r="O204" i="54" s="1"/>
  <c r="P204" i="54" s="1"/>
  <c r="K217" i="54"/>
  <c r="M45" i="89"/>
  <c r="O217" i="54" s="1"/>
  <c r="P217" i="54" s="1"/>
  <c r="I127" i="1"/>
  <c r="K127" i="1" s="1"/>
  <c r="O127" i="1" s="1"/>
  <c r="T96" i="54"/>
  <c r="V96" i="54" s="1"/>
  <c r="R127" i="1" s="1"/>
  <c r="I130" i="1"/>
  <c r="K130" i="1" s="1"/>
  <c r="O130" i="1" s="1"/>
  <c r="T99" i="54"/>
  <c r="V99" i="54" s="1"/>
  <c r="R130" i="1" s="1"/>
  <c r="I129" i="1"/>
  <c r="K129" i="1" s="1"/>
  <c r="O129" i="1" s="1"/>
  <c r="T98" i="54"/>
  <c r="V98" i="54" s="1"/>
  <c r="R129" i="1" s="1"/>
  <c r="I126" i="1"/>
  <c r="T95" i="54"/>
  <c r="M17" i="54"/>
  <c r="I128" i="1"/>
  <c r="K128" i="1" s="1"/>
  <c r="O128" i="1" s="1"/>
  <c r="T97" i="54"/>
  <c r="V97" i="54" s="1"/>
  <c r="R128" i="1" s="1"/>
  <c r="H249" i="1"/>
  <c r="H187" i="54"/>
  <c r="L28" i="113"/>
  <c r="M28" i="113" s="1"/>
  <c r="R28" i="113" s="1"/>
  <c r="U28" i="113" s="1"/>
  <c r="V37" i="63"/>
  <c r="V90" i="63"/>
  <c r="G34" i="66"/>
  <c r="N34" i="112"/>
  <c r="O34" i="112" s="1"/>
  <c r="T34" i="112" s="1"/>
  <c r="W34" i="112" s="1"/>
  <c r="N83" i="112"/>
  <c r="O83" i="112" s="1"/>
  <c r="T83" i="112" s="1"/>
  <c r="W83" i="112" s="1"/>
  <c r="L36" i="113"/>
  <c r="M36" i="113" s="1"/>
  <c r="R36" i="113" s="1"/>
  <c r="U36" i="113" s="1"/>
  <c r="R68" i="116"/>
  <c r="U68" i="116" s="1"/>
  <c r="J34" i="68"/>
  <c r="P42" i="115"/>
  <c r="S42" i="115" s="1"/>
  <c r="T46" i="89"/>
  <c r="T47" i="89" s="1"/>
  <c r="G218" i="108"/>
  <c r="AK46" i="108"/>
  <c r="AK90" i="108"/>
  <c r="AK153" i="108"/>
  <c r="AJ11" i="108"/>
  <c r="AK12" i="108"/>
  <c r="R18" i="66"/>
  <c r="S18" i="66" s="1"/>
  <c r="C1125" i="74"/>
  <c r="L32" i="113"/>
  <c r="M32" i="113" s="1"/>
  <c r="R32" i="113" s="1"/>
  <c r="U32" i="113" s="1"/>
  <c r="I34" i="66"/>
  <c r="K34" i="68"/>
  <c r="V83" i="63"/>
  <c r="P29" i="115"/>
  <c r="S29" i="115" s="1"/>
  <c r="N57" i="112"/>
  <c r="O57" i="112" s="1"/>
  <c r="T57" i="112" s="1"/>
  <c r="W57" i="112" s="1"/>
  <c r="N47" i="112"/>
  <c r="O47" i="112" s="1"/>
  <c r="T47" i="112" s="1"/>
  <c r="W47" i="112" s="1"/>
  <c r="I34" i="68"/>
  <c r="F12" i="98"/>
  <c r="G40" i="41" s="1"/>
  <c r="M188" i="54"/>
  <c r="F34" i="66"/>
  <c r="R87" i="116"/>
  <c r="U87" i="116" s="1"/>
  <c r="L22" i="113"/>
  <c r="M22" i="113" s="1"/>
  <c r="R22" i="113" s="1"/>
  <c r="U22" i="113" s="1"/>
  <c r="V65" i="63"/>
  <c r="G34" i="68"/>
  <c r="L34" i="68"/>
  <c r="I43" i="115"/>
  <c r="C213" i="74"/>
  <c r="C132" i="74"/>
  <c r="I227" i="74"/>
  <c r="C187" i="74"/>
  <c r="C146" i="74"/>
  <c r="I173" i="74"/>
  <c r="I201" i="74"/>
  <c r="I65" i="74"/>
  <c r="I51" i="74"/>
  <c r="I146" i="74"/>
  <c r="C65" i="74"/>
  <c r="C79" i="74"/>
  <c r="I187" i="74"/>
  <c r="I35" i="74"/>
  <c r="I160" i="74"/>
  <c r="I105" i="74"/>
  <c r="C35" i="74"/>
  <c r="I213" i="74"/>
  <c r="C91" i="74"/>
  <c r="I91" i="74"/>
  <c r="I119" i="74"/>
  <c r="C105" i="74"/>
  <c r="C201" i="74"/>
  <c r="C173" i="74"/>
  <c r="C418" i="74"/>
  <c r="C612" i="74"/>
  <c r="I895" i="74"/>
  <c r="C741" i="74"/>
  <c r="C1031" i="74"/>
  <c r="I612" i="74"/>
  <c r="I785" i="74"/>
  <c r="C698" i="74"/>
  <c r="C867" i="74"/>
  <c r="C1101" i="74"/>
  <c r="C681" i="74"/>
  <c r="C556" i="74"/>
  <c r="I556" i="74"/>
  <c r="C881" i="74"/>
  <c r="I1004" i="74"/>
  <c r="I726" i="74"/>
  <c r="C799" i="74"/>
  <c r="I81" i="74"/>
  <c r="C175" i="74"/>
  <c r="I27" i="121"/>
  <c r="I20" i="121"/>
  <c r="I26" i="121"/>
  <c r="C93" i="74"/>
  <c r="I18" i="121"/>
  <c r="I22" i="121"/>
  <c r="I21" i="121"/>
  <c r="I24" i="121"/>
  <c r="I23" i="121"/>
  <c r="C81" i="74"/>
  <c r="I28" i="121"/>
  <c r="I25" i="121"/>
  <c r="I19" i="121"/>
  <c r="M21" i="133"/>
  <c r="N21" i="133" s="1"/>
  <c r="M16" i="133"/>
  <c r="N16" i="133" s="1"/>
  <c r="M39" i="133"/>
  <c r="M48" i="133"/>
  <c r="N48" i="133" s="1"/>
  <c r="M49" i="133"/>
  <c r="N49" i="133" s="1"/>
  <c r="M41" i="133"/>
  <c r="N41" i="133" s="1"/>
  <c r="M27" i="133"/>
  <c r="M31" i="133"/>
  <c r="N31" i="133" s="1"/>
  <c r="M30" i="133"/>
  <c r="N30" i="133" s="1"/>
  <c r="M19" i="133"/>
  <c r="N19" i="133" s="1"/>
  <c r="M46" i="133"/>
  <c r="M29" i="133"/>
  <c r="N29" i="133" s="1"/>
  <c r="M24" i="133"/>
  <c r="N24" i="133" s="1"/>
  <c r="M22" i="133"/>
  <c r="N22" i="133" s="1"/>
  <c r="M17" i="133"/>
  <c r="N17" i="133" s="1"/>
  <c r="M40" i="133"/>
  <c r="N40" i="133" s="1"/>
  <c r="M13" i="133"/>
  <c r="N13" i="133" s="1"/>
  <c r="M37" i="133"/>
  <c r="N37" i="133" s="1"/>
  <c r="M34" i="133"/>
  <c r="N34" i="133" s="1"/>
  <c r="M25" i="133"/>
  <c r="N25" i="133" s="1"/>
  <c r="M44" i="133"/>
  <c r="N44" i="133" s="1"/>
  <c r="M43" i="133"/>
  <c r="N43" i="133" s="1"/>
  <c r="M42" i="133"/>
  <c r="N42" i="133" s="1"/>
  <c r="M23" i="133"/>
  <c r="N23" i="133" s="1"/>
  <c r="M32" i="133"/>
  <c r="N32" i="133" s="1"/>
  <c r="M18" i="133"/>
  <c r="N18" i="133" s="1"/>
  <c r="M14" i="133"/>
  <c r="N14" i="133" s="1"/>
  <c r="M12" i="133"/>
  <c r="M20" i="133"/>
  <c r="N20" i="133" s="1"/>
  <c r="M15" i="133"/>
  <c r="N15" i="133" s="1"/>
  <c r="M47" i="133"/>
  <c r="N47" i="133" s="1"/>
  <c r="M50" i="133"/>
  <c r="N50" i="133" s="1"/>
  <c r="M28" i="133"/>
  <c r="N28" i="133" s="1"/>
  <c r="M35" i="133"/>
  <c r="N35" i="133" s="1"/>
  <c r="M33" i="133"/>
  <c r="N33" i="133" s="1"/>
  <c r="M36" i="133"/>
  <c r="N36" i="133" s="1"/>
  <c r="O47" i="89"/>
  <c r="I21" i="74"/>
  <c r="I132" i="74"/>
  <c r="C160" i="74"/>
  <c r="C119" i="74"/>
  <c r="C350" i="74"/>
  <c r="R25" i="66"/>
  <c r="S25" i="66" s="1"/>
  <c r="I7" i="74"/>
  <c r="I46" i="8"/>
  <c r="R14" i="66"/>
  <c r="S14" i="66" s="1"/>
  <c r="R25" i="68"/>
  <c r="S25" i="68" s="1"/>
  <c r="P33" i="115"/>
  <c r="S33" i="115" s="1"/>
  <c r="N18" i="112"/>
  <c r="O18" i="112" s="1"/>
  <c r="T18" i="112" s="1"/>
  <c r="W18" i="112" s="1"/>
  <c r="N54" i="112"/>
  <c r="O54" i="112" s="1"/>
  <c r="T54" i="112" s="1"/>
  <c r="W54" i="112" s="1"/>
  <c r="V89" i="63"/>
  <c r="M34" i="66"/>
  <c r="V76" i="63"/>
  <c r="V64" i="63"/>
  <c r="L39" i="113"/>
  <c r="M39" i="113" s="1"/>
  <c r="R39" i="113" s="1"/>
  <c r="U39" i="113" s="1"/>
  <c r="V73" i="63"/>
  <c r="V29" i="63"/>
  <c r="R18" i="68"/>
  <c r="S18" i="68" s="1"/>
  <c r="V85" i="63"/>
  <c r="V39" i="63"/>
  <c r="R82" i="116"/>
  <c r="U82" i="116" s="1"/>
  <c r="N23" i="112"/>
  <c r="O23" i="112" s="1"/>
  <c r="T23" i="112" s="1"/>
  <c r="W23" i="112" s="1"/>
  <c r="N31" i="112"/>
  <c r="O31" i="112" s="1"/>
  <c r="T31" i="112" s="1"/>
  <c r="W31" i="112" s="1"/>
  <c r="R79" i="116"/>
  <c r="U79" i="116" s="1"/>
  <c r="V17" i="63"/>
  <c r="V56" i="63"/>
  <c r="N34" i="66"/>
  <c r="N36" i="112"/>
  <c r="O36" i="112" s="1"/>
  <c r="T36" i="112" s="1"/>
  <c r="W36" i="112" s="1"/>
  <c r="G96" i="115"/>
  <c r="I96" i="115" s="1"/>
  <c r="I106" i="115" s="1"/>
  <c r="L106" i="115" s="1"/>
  <c r="O106" i="115" s="1"/>
  <c r="R97" i="116"/>
  <c r="U97" i="116" s="1"/>
  <c r="L40" i="113"/>
  <c r="M40" i="113" s="1"/>
  <c r="R40" i="113" s="1"/>
  <c r="U40" i="113" s="1"/>
  <c r="R21" i="68"/>
  <c r="S21" i="68" s="1"/>
  <c r="L34" i="113"/>
  <c r="M34" i="113" s="1"/>
  <c r="R34" i="113" s="1"/>
  <c r="U34" i="113" s="1"/>
  <c r="N29" i="112"/>
  <c r="O29" i="112" s="1"/>
  <c r="T29" i="112" s="1"/>
  <c r="W29" i="112" s="1"/>
  <c r="V81" i="63"/>
  <c r="O11" i="82"/>
  <c r="N34" i="68"/>
  <c r="V16" i="63"/>
  <c r="V27" i="63"/>
  <c r="V98" i="63"/>
  <c r="G131" i="115"/>
  <c r="R29" i="68"/>
  <c r="S29" i="68" s="1"/>
  <c r="H34" i="68"/>
  <c r="R17" i="116"/>
  <c r="U17" i="116" s="1"/>
  <c r="L30" i="113"/>
  <c r="M30" i="113" s="1"/>
  <c r="R30" i="113" s="1"/>
  <c r="U30" i="113" s="1"/>
  <c r="R89" i="116"/>
  <c r="U89" i="116" s="1"/>
  <c r="R28" i="116"/>
  <c r="U28" i="116" s="1"/>
  <c r="AH17" i="92"/>
  <c r="AT17" i="92" s="1"/>
  <c r="V100" i="63"/>
  <c r="V32" i="63"/>
  <c r="V12" i="63"/>
  <c r="V97" i="63"/>
  <c r="P37" i="115"/>
  <c r="S37" i="115" s="1"/>
  <c r="P26" i="115"/>
  <c r="S26" i="115" s="1"/>
  <c r="R44" i="116"/>
  <c r="U44" i="116" s="1"/>
  <c r="R22" i="68"/>
  <c r="S22" i="68" s="1"/>
  <c r="V106" i="63"/>
  <c r="P31" i="115"/>
  <c r="S31" i="115" s="1"/>
  <c r="N21" i="112"/>
  <c r="O21" i="112" s="1"/>
  <c r="T21" i="112" s="1"/>
  <c r="W21" i="112" s="1"/>
  <c r="AI30" i="62"/>
  <c r="N84" i="112"/>
  <c r="O84" i="112" s="1"/>
  <c r="T84" i="112" s="1"/>
  <c r="W84" i="112" s="1"/>
  <c r="R21" i="66"/>
  <c r="S21" i="66" s="1"/>
  <c r="T62" i="111"/>
  <c r="W17" i="111"/>
  <c r="W62" i="111" s="1"/>
  <c r="J34" i="66"/>
  <c r="R50" i="116"/>
  <c r="U50" i="116" s="1"/>
  <c r="L27" i="113"/>
  <c r="M27" i="113" s="1"/>
  <c r="R27" i="113" s="1"/>
  <c r="U27" i="113" s="1"/>
  <c r="N37" i="112"/>
  <c r="O37" i="112" s="1"/>
  <c r="T37" i="112" s="1"/>
  <c r="W37" i="112" s="1"/>
  <c r="AI31" i="62"/>
  <c r="R95" i="116"/>
  <c r="U95" i="116" s="1"/>
  <c r="V41" i="63"/>
  <c r="N27" i="112"/>
  <c r="O27" i="112" s="1"/>
  <c r="T27" i="112" s="1"/>
  <c r="W27" i="112" s="1"/>
  <c r="V71" i="63"/>
  <c r="C610" i="74"/>
  <c r="C364" i="74"/>
  <c r="R28" i="68"/>
  <c r="S28" i="68" s="1"/>
  <c r="R30" i="68"/>
  <c r="S30" i="68" s="1"/>
  <c r="C1158" i="74"/>
  <c r="J47" i="89"/>
  <c r="J20" i="121"/>
  <c r="J26" i="121"/>
  <c r="J27" i="121"/>
  <c r="J18" i="121"/>
  <c r="J28" i="121"/>
  <c r="J21" i="121"/>
  <c r="J24" i="121"/>
  <c r="J25" i="121"/>
  <c r="J19" i="121"/>
  <c r="J23" i="121"/>
  <c r="J22" i="121"/>
  <c r="D473" i="74"/>
  <c r="J431" i="74"/>
  <c r="J445" i="74"/>
  <c r="D445" i="74"/>
  <c r="J473" i="74"/>
  <c r="J459" i="74"/>
  <c r="D431" i="74"/>
  <c r="J419" i="74"/>
  <c r="D459" i="74"/>
  <c r="AJ14" i="94"/>
  <c r="R31" i="68"/>
  <c r="S31" i="68" s="1"/>
  <c r="Q18" i="75"/>
  <c r="AK69" i="109"/>
  <c r="C1171" i="74"/>
  <c r="I1267" i="74"/>
  <c r="I1158" i="74"/>
  <c r="I1253" i="74"/>
  <c r="C1308" i="74"/>
  <c r="C1322" i="74"/>
  <c r="C1212" i="74"/>
  <c r="I1240" i="74"/>
  <c r="C1294" i="74"/>
  <c r="C1281" i="74"/>
  <c r="I1322" i="74"/>
  <c r="I1212" i="74"/>
  <c r="I1308" i="74"/>
  <c r="I1199" i="74"/>
  <c r="C1199" i="74"/>
  <c r="C1267" i="74"/>
  <c r="I1348" i="74"/>
  <c r="C1335" i="74"/>
  <c r="I1335" i="74"/>
  <c r="I1226" i="74"/>
  <c r="C1253" i="74"/>
  <c r="C1185" i="74"/>
  <c r="C1226" i="74"/>
  <c r="I1294" i="74"/>
  <c r="I1185" i="74"/>
  <c r="I1281" i="74"/>
  <c r="I1171" i="74"/>
  <c r="C1348" i="74"/>
  <c r="C1240" i="74"/>
  <c r="R16" i="68"/>
  <c r="S16" i="68" s="1"/>
  <c r="R15" i="66"/>
  <c r="S15" i="66" s="1"/>
  <c r="R17" i="68"/>
  <c r="S17" i="68" s="1"/>
  <c r="R16" i="66"/>
  <c r="S16" i="66" s="1"/>
  <c r="R20" i="68"/>
  <c r="S20" i="68" s="1"/>
  <c r="R19" i="66"/>
  <c r="S19" i="66" s="1"/>
  <c r="O21" i="60"/>
  <c r="L35" i="60"/>
  <c r="L34" i="60" s="1"/>
  <c r="AL165" i="107"/>
  <c r="N64" i="112"/>
  <c r="O64" i="112" s="1"/>
  <c r="T64" i="112" s="1"/>
  <c r="W64" i="112" s="1"/>
  <c r="AL104" i="107"/>
  <c r="AL139" i="107"/>
  <c r="V36" i="63"/>
  <c r="K103" i="56"/>
  <c r="O41" i="65"/>
  <c r="V80" i="63"/>
  <c r="J174" i="91"/>
  <c r="G178" i="91" s="1"/>
  <c r="M178" i="91" s="1"/>
  <c r="R76" i="116"/>
  <c r="U76" i="116" s="1"/>
  <c r="N76" i="112"/>
  <c r="O76" i="112" s="1"/>
  <c r="T76" i="112" s="1"/>
  <c r="W76" i="112" s="1"/>
  <c r="I488" i="74"/>
  <c r="P17" i="59"/>
  <c r="K20" i="60" s="1"/>
  <c r="L20" i="60" s="1"/>
  <c r="Q17" i="59"/>
  <c r="L13" i="72"/>
  <c r="S13" i="72"/>
  <c r="N25" i="72"/>
  <c r="M25" i="72"/>
  <c r="M24" i="72" s="1"/>
  <c r="L24" i="72"/>
  <c r="M20" i="72"/>
  <c r="N20" i="72"/>
  <c r="K31" i="60"/>
  <c r="K29" i="60" s="1"/>
  <c r="P26" i="59"/>
  <c r="U37" i="50"/>
  <c r="U13" i="50" s="1"/>
  <c r="X14" i="50"/>
  <c r="X37" i="50" s="1"/>
  <c r="X13" i="50" s="1"/>
  <c r="P35" i="115"/>
  <c r="S35" i="115" s="1"/>
  <c r="N77" i="112"/>
  <c r="O77" i="112" s="1"/>
  <c r="T77" i="112" s="1"/>
  <c r="W77" i="112" s="1"/>
  <c r="R77" i="116"/>
  <c r="U77" i="116" s="1"/>
  <c r="N43" i="112"/>
  <c r="O43" i="112" s="1"/>
  <c r="T43" i="112" s="1"/>
  <c r="W43" i="112" s="1"/>
  <c r="R43" i="116"/>
  <c r="U43" i="116" s="1"/>
  <c r="AW41" i="107"/>
  <c r="X17" i="51"/>
  <c r="X61" i="51" s="1"/>
  <c r="U61" i="51"/>
  <c r="AL131" i="107"/>
  <c r="L19" i="113"/>
  <c r="M19" i="113" s="1"/>
  <c r="R19" i="113" s="1"/>
  <c r="U19" i="113" s="1"/>
  <c r="AL111" i="107"/>
  <c r="AL149" i="107"/>
  <c r="I53" i="113"/>
  <c r="AL123" i="107"/>
  <c r="AK140" i="109" s="1"/>
  <c r="AL157" i="107"/>
  <c r="V75" i="63"/>
  <c r="N86" i="112"/>
  <c r="O86" i="112" s="1"/>
  <c r="T86" i="112" s="1"/>
  <c r="W86" i="112" s="1"/>
  <c r="R86" i="116"/>
  <c r="U86" i="116" s="1"/>
  <c r="R35" i="116"/>
  <c r="U35" i="116" s="1"/>
  <c r="N35" i="112"/>
  <c r="O35" i="112" s="1"/>
  <c r="T35" i="112" s="1"/>
  <c r="W35" i="112" s="1"/>
  <c r="R19" i="59"/>
  <c r="S19" i="59" s="1"/>
  <c r="M22" i="60" s="1"/>
  <c r="O22" i="60" s="1"/>
  <c r="R21" i="59"/>
  <c r="S21" i="59" s="1"/>
  <c r="M24" i="60" s="1"/>
  <c r="O24" i="60" s="1"/>
  <c r="Q14" i="59"/>
  <c r="P14" i="59"/>
  <c r="O13" i="59"/>
  <c r="U103" i="56"/>
  <c r="U17" i="52"/>
  <c r="R61" i="52"/>
  <c r="R13" i="52" s="1"/>
  <c r="U18" i="59"/>
  <c r="V18" i="59"/>
  <c r="W18" i="59" s="1"/>
  <c r="P21" i="60" s="1"/>
  <c r="O99" i="65"/>
  <c r="W99" i="65" s="1"/>
  <c r="L38" i="113"/>
  <c r="M38" i="113" s="1"/>
  <c r="R38" i="113" s="1"/>
  <c r="U38" i="113" s="1"/>
  <c r="P38" i="115"/>
  <c r="S38" i="115" s="1"/>
  <c r="M19" i="96"/>
  <c r="W181" i="107"/>
  <c r="R16" i="59"/>
  <c r="S16" i="59" s="1"/>
  <c r="M19" i="60" s="1"/>
  <c r="O19" i="60" s="1"/>
  <c r="T16" i="59"/>
  <c r="O33" i="59"/>
  <c r="K37" i="60" s="1"/>
  <c r="K38" i="60" s="1"/>
  <c r="U32" i="48"/>
  <c r="U13" i="48" s="1"/>
  <c r="U33" i="48" s="1"/>
  <c r="X16" i="48"/>
  <c r="X32" i="48" s="1"/>
  <c r="X13" i="48" s="1"/>
  <c r="X33" i="48" s="1"/>
  <c r="M18" i="96"/>
  <c r="L15" i="96"/>
  <c r="L21" i="96" s="1"/>
  <c r="AK62" i="109"/>
  <c r="AK121" i="109"/>
  <c r="AK129" i="109"/>
  <c r="I339" i="74"/>
  <c r="C1004" i="74"/>
  <c r="AJ19" i="94"/>
  <c r="P23" i="84"/>
  <c r="P17" i="84" s="1"/>
  <c r="C528" i="74"/>
  <c r="L3" i="74"/>
  <c r="L4" i="74"/>
  <c r="R256" i="1"/>
  <c r="E14" i="122"/>
  <c r="C920" i="74"/>
  <c r="I879" i="74"/>
  <c r="I783" i="74"/>
  <c r="I710" i="74"/>
  <c r="I526" i="74"/>
  <c r="C638" i="74"/>
  <c r="I540" i="74"/>
  <c r="C624" i="74"/>
  <c r="C906" i="74"/>
  <c r="I920" i="74"/>
  <c r="I865" i="74"/>
  <c r="C739" i="74"/>
  <c r="C755" i="74"/>
  <c r="I840" i="74"/>
  <c r="I854" i="74"/>
  <c r="C840" i="74"/>
  <c r="C570" i="74"/>
  <c r="I626" i="74"/>
  <c r="I584" i="74"/>
  <c r="I698" i="74"/>
  <c r="I813" i="74"/>
  <c r="I681" i="74"/>
  <c r="I799" i="74"/>
  <c r="I653" i="74"/>
  <c r="I769" i="74"/>
  <c r="C854" i="74"/>
  <c r="C908" i="74"/>
  <c r="I741" i="74"/>
  <c r="C667" i="74"/>
  <c r="C640" i="74"/>
  <c r="C626" i="74"/>
  <c r="C584" i="74"/>
  <c r="C712" i="74"/>
  <c r="C826" i="74"/>
  <c r="I570" i="74"/>
  <c r="C653" i="74"/>
  <c r="C769" i="74"/>
  <c r="C542" i="74"/>
  <c r="I667" i="74"/>
  <c r="C598" i="74"/>
  <c r="I755" i="74"/>
  <c r="C895" i="74"/>
  <c r="I528" i="74"/>
  <c r="I598" i="74"/>
  <c r="I712" i="74"/>
  <c r="I826" i="74"/>
  <c r="I908" i="74"/>
  <c r="C726" i="74"/>
  <c r="I542" i="74"/>
  <c r="C813" i="74"/>
  <c r="C785" i="74"/>
  <c r="C446" i="74"/>
  <c r="C460" i="74"/>
  <c r="C990" i="74"/>
  <c r="I1101" i="74"/>
  <c r="C922" i="74"/>
  <c r="I990" i="74"/>
  <c r="I1018" i="74"/>
  <c r="I963" i="74"/>
  <c r="C1127" i="74"/>
  <c r="I1045" i="74"/>
  <c r="C949" i="74"/>
  <c r="C1045" i="74"/>
  <c r="I1073" i="74"/>
  <c r="I1113" i="74"/>
  <c r="I1031" i="74"/>
  <c r="I922" i="74"/>
  <c r="I1087" i="74"/>
  <c r="C936" i="74"/>
  <c r="C1113" i="74"/>
  <c r="C1059" i="74"/>
  <c r="I977" i="74"/>
  <c r="C1087" i="74"/>
  <c r="C963" i="74"/>
  <c r="I1059" i="74"/>
  <c r="I947" i="74"/>
  <c r="AL19" i="94"/>
  <c r="I638" i="74"/>
  <c r="C323" i="74"/>
  <c r="L255" i="1"/>
  <c r="L260" i="1" s="1"/>
  <c r="H255" i="1"/>
  <c r="C42" i="126"/>
  <c r="E42" i="126" s="1"/>
  <c r="E45" i="126" s="1"/>
  <c r="R257" i="1"/>
  <c r="K255" i="1"/>
  <c r="I229" i="74"/>
  <c r="I23" i="74"/>
  <c r="T23" i="84"/>
  <c r="K19" i="8"/>
  <c r="H21" i="1" s="1"/>
  <c r="K21" i="1" s="1"/>
  <c r="O21" i="1" s="1"/>
  <c r="R21" i="1" s="1"/>
  <c r="K14" i="8"/>
  <c r="H16" i="1" s="1"/>
  <c r="K16" i="1" s="1"/>
  <c r="O16" i="1" s="1"/>
  <c r="R16" i="1" s="1"/>
  <c r="C121" i="74"/>
  <c r="I107" i="74"/>
  <c r="I67" i="74"/>
  <c r="C189" i="74"/>
  <c r="C37" i="74"/>
  <c r="C67" i="74"/>
  <c r="I175" i="74"/>
  <c r="C203" i="74"/>
  <c r="C311" i="74"/>
  <c r="I203" i="74"/>
  <c r="I189" i="74"/>
  <c r="C148" i="74"/>
  <c r="I9" i="74"/>
  <c r="C215" i="74"/>
  <c r="I37" i="74"/>
  <c r="C229" i="74"/>
  <c r="C298" i="74"/>
  <c r="C107" i="74"/>
  <c r="I298" i="74"/>
  <c r="C406" i="74"/>
  <c r="I282" i="74"/>
  <c r="I323" i="74"/>
  <c r="I269" i="74"/>
  <c r="I350" i="74"/>
  <c r="C309" i="74"/>
  <c r="I378" i="74"/>
  <c r="I390" i="74"/>
  <c r="I284" i="74"/>
  <c r="I352" i="74"/>
  <c r="I392" i="74"/>
  <c r="I309" i="74"/>
  <c r="C378" i="74"/>
  <c r="I162" i="74"/>
  <c r="I406" i="74"/>
  <c r="C271" i="74"/>
  <c r="I380" i="74"/>
  <c r="C53" i="74"/>
  <c r="I121" i="74"/>
  <c r="I148" i="74"/>
  <c r="C975" i="74"/>
  <c r="C339" i="74"/>
  <c r="C392" i="74"/>
  <c r="R27" i="68"/>
  <c r="S27" i="68" s="1"/>
  <c r="S26" i="68" s="1"/>
  <c r="D27" i="60"/>
  <c r="R14" i="68"/>
  <c r="S14" i="68" s="1"/>
  <c r="R15" i="68"/>
  <c r="S15" i="68" s="1"/>
  <c r="R13" i="68"/>
  <c r="S13" i="68" s="1"/>
  <c r="S12" i="68" s="1"/>
  <c r="S34" i="68" s="1"/>
  <c r="R30" i="66"/>
  <c r="S30" i="66" s="1"/>
  <c r="R17" i="66"/>
  <c r="S17" i="66" s="1"/>
  <c r="R22" i="66"/>
  <c r="S22" i="66" s="1"/>
  <c r="R28" i="66"/>
  <c r="S28" i="66" s="1"/>
  <c r="R20" i="66"/>
  <c r="S20" i="66" s="1"/>
  <c r="C526" i="74"/>
  <c r="I257" i="74"/>
  <c r="Z24" i="84"/>
  <c r="Z23" i="84" s="1"/>
  <c r="W23" i="84"/>
  <c r="W17" i="84" s="1"/>
  <c r="AK85" i="109"/>
  <c r="AK44" i="109"/>
  <c r="AC202" i="109" s="1"/>
  <c r="AC200" i="109" s="1"/>
  <c r="AK84" i="109"/>
  <c r="AK128" i="109"/>
  <c r="I753" i="74"/>
  <c r="C366" i="74"/>
  <c r="P47" i="89"/>
  <c r="AK158" i="109"/>
  <c r="AK148" i="109"/>
  <c r="AK156" i="109"/>
  <c r="C352" i="74"/>
  <c r="K19" i="77"/>
  <c r="L19" i="77" s="1"/>
  <c r="M19" i="77" s="1"/>
  <c r="C961" i="74"/>
  <c r="C852" i="74"/>
  <c r="I797" i="74"/>
  <c r="C824" i="74"/>
  <c r="I679" i="74"/>
  <c r="C783" i="74"/>
  <c r="I824" i="74"/>
  <c r="D22" i="74"/>
  <c r="C21" i="74"/>
  <c r="C227" i="74"/>
  <c r="AK168" i="109"/>
  <c r="AK182" i="109"/>
  <c r="R24" i="66"/>
  <c r="S24" i="66" s="1"/>
  <c r="R24" i="68"/>
  <c r="S24" i="68" s="1"/>
  <c r="AC214" i="108"/>
  <c r="K22" i="77"/>
  <c r="K21" i="77" s="1"/>
  <c r="R31" i="66"/>
  <c r="S31" i="66" s="1"/>
  <c r="Q12" i="68"/>
  <c r="C134" i="74"/>
  <c r="I53" i="74"/>
  <c r="V212" i="108"/>
  <c r="V218" i="108" s="1"/>
  <c r="AI209" i="108"/>
  <c r="I215" i="74"/>
  <c r="C23" i="74"/>
  <c r="I93" i="74"/>
  <c r="Q26" i="66"/>
  <c r="R92" i="116"/>
  <c r="U92" i="116" s="1"/>
  <c r="N92" i="112"/>
  <c r="O92" i="112" s="1"/>
  <c r="T92" i="112" s="1"/>
  <c r="W92" i="112" s="1"/>
  <c r="R61" i="116"/>
  <c r="U61" i="116" s="1"/>
  <c r="N61" i="112"/>
  <c r="O61" i="112" s="1"/>
  <c r="T61" i="112" s="1"/>
  <c r="W61" i="112" s="1"/>
  <c r="R75" i="116"/>
  <c r="U75" i="116" s="1"/>
  <c r="R32" i="116"/>
  <c r="U32" i="116" s="1"/>
  <c r="N32" i="112"/>
  <c r="O32" i="112" s="1"/>
  <c r="T32" i="112" s="1"/>
  <c r="W32" i="112" s="1"/>
  <c r="R24" i="116"/>
  <c r="U24" i="116" s="1"/>
  <c r="N24" i="112"/>
  <c r="O24" i="112" s="1"/>
  <c r="T24" i="112" s="1"/>
  <c r="W24" i="112" s="1"/>
  <c r="R52" i="116"/>
  <c r="U52" i="116" s="1"/>
  <c r="N52" i="112"/>
  <c r="O52" i="112" s="1"/>
  <c r="T52" i="112" s="1"/>
  <c r="W52" i="112" s="1"/>
  <c r="N91" i="112"/>
  <c r="O91" i="112" s="1"/>
  <c r="T91" i="112" s="1"/>
  <c r="W91" i="112" s="1"/>
  <c r="R91" i="116"/>
  <c r="U91" i="116" s="1"/>
  <c r="R73" i="116"/>
  <c r="U73" i="116" s="1"/>
  <c r="N73" i="112"/>
  <c r="O73" i="112" s="1"/>
  <c r="T73" i="112" s="1"/>
  <c r="W73" i="112" s="1"/>
  <c r="N16" i="112"/>
  <c r="O16" i="112" s="1"/>
  <c r="R16" i="116"/>
  <c r="U16" i="116" s="1"/>
  <c r="P41" i="115"/>
  <c r="S41" i="115" s="1"/>
  <c r="L41" i="113"/>
  <c r="M41" i="113" s="1"/>
  <c r="R41" i="113" s="1"/>
  <c r="U41" i="113" s="1"/>
  <c r="L21" i="113"/>
  <c r="M21" i="113" s="1"/>
  <c r="R21" i="113" s="1"/>
  <c r="U21" i="113" s="1"/>
  <c r="P21" i="115"/>
  <c r="S21" i="115" s="1"/>
  <c r="N90" i="112"/>
  <c r="O90" i="112" s="1"/>
  <c r="T90" i="112" s="1"/>
  <c r="W90" i="112" s="1"/>
  <c r="R90" i="116"/>
  <c r="U90" i="116" s="1"/>
  <c r="P23" i="115"/>
  <c r="S23" i="115" s="1"/>
  <c r="R49" i="116"/>
  <c r="U49" i="116" s="1"/>
  <c r="N49" i="112"/>
  <c r="O49" i="112" s="1"/>
  <c r="T49" i="112" s="1"/>
  <c r="W49" i="112" s="1"/>
  <c r="R62" i="116"/>
  <c r="U62" i="116" s="1"/>
  <c r="N62" i="112"/>
  <c r="O62" i="112" s="1"/>
  <c r="T62" i="112" s="1"/>
  <c r="W62" i="112" s="1"/>
  <c r="R29" i="66"/>
  <c r="S29" i="66" s="1"/>
  <c r="V59" i="63"/>
  <c r="V67" i="63"/>
  <c r="N93" i="112"/>
  <c r="O93" i="112" s="1"/>
  <c r="T93" i="112" s="1"/>
  <c r="W93" i="112" s="1"/>
  <c r="R93" i="116"/>
  <c r="U93" i="116" s="1"/>
  <c r="R66" i="116"/>
  <c r="U66" i="116" s="1"/>
  <c r="N66" i="112"/>
  <c r="O66" i="112" s="1"/>
  <c r="T66" i="112" s="1"/>
  <c r="W66" i="112" s="1"/>
  <c r="M98" i="116"/>
  <c r="K112" i="63"/>
  <c r="L112" i="63" s="1"/>
  <c r="R30" i="116"/>
  <c r="U30" i="116" s="1"/>
  <c r="N30" i="112"/>
  <c r="O30" i="112" s="1"/>
  <c r="T30" i="112" s="1"/>
  <c r="W30" i="112" s="1"/>
  <c r="R22" i="116"/>
  <c r="U22" i="116" s="1"/>
  <c r="N22" i="112"/>
  <c r="O22" i="112" s="1"/>
  <c r="T22" i="112" s="1"/>
  <c r="W22" i="112" s="1"/>
  <c r="R80" i="116"/>
  <c r="U80" i="116" s="1"/>
  <c r="N80" i="112"/>
  <c r="O80" i="112" s="1"/>
  <c r="T80" i="112" s="1"/>
  <c r="W80" i="112" s="1"/>
  <c r="N96" i="112"/>
  <c r="O96" i="112" s="1"/>
  <c r="T96" i="112" s="1"/>
  <c r="W96" i="112" s="1"/>
  <c r="R96" i="116"/>
  <c r="U96" i="116" s="1"/>
  <c r="R88" i="116"/>
  <c r="U88" i="116" s="1"/>
  <c r="N88" i="112"/>
  <c r="O88" i="112" s="1"/>
  <c r="T88" i="112" s="1"/>
  <c r="W88" i="112" s="1"/>
  <c r="R60" i="116"/>
  <c r="U60" i="116" s="1"/>
  <c r="N60" i="112"/>
  <c r="O60" i="112" s="1"/>
  <c r="T60" i="112" s="1"/>
  <c r="W60" i="112" s="1"/>
  <c r="R45" i="116"/>
  <c r="U45" i="116" s="1"/>
  <c r="M43" i="113"/>
  <c r="R16" i="113"/>
  <c r="AH18" i="62"/>
  <c r="AI16" i="62"/>
  <c r="R69" i="116"/>
  <c r="U69" i="116" s="1"/>
  <c r="R26" i="116"/>
  <c r="U26" i="116" s="1"/>
  <c r="N26" i="112"/>
  <c r="O26" i="112" s="1"/>
  <c r="T26" i="112" s="1"/>
  <c r="W26" i="112" s="1"/>
  <c r="R19" i="116"/>
  <c r="U19" i="116" s="1"/>
  <c r="N19" i="112"/>
  <c r="O19" i="112" s="1"/>
  <c r="T19" i="112" s="1"/>
  <c r="W19" i="112" s="1"/>
  <c r="L25" i="113"/>
  <c r="M25" i="113" s="1"/>
  <c r="R25" i="113" s="1"/>
  <c r="U25" i="113" s="1"/>
  <c r="P25" i="115"/>
  <c r="S25" i="115" s="1"/>
  <c r="R48" i="116"/>
  <c r="U48" i="116" s="1"/>
  <c r="N48" i="112"/>
  <c r="O48" i="112" s="1"/>
  <c r="T48" i="112" s="1"/>
  <c r="W48" i="112" s="1"/>
  <c r="R33" i="116"/>
  <c r="U33" i="116" s="1"/>
  <c r="P26" i="66"/>
  <c r="R27" i="66"/>
  <c r="L20" i="113"/>
  <c r="M20" i="113" s="1"/>
  <c r="R20" i="113" s="1"/>
  <c r="U20" i="113" s="1"/>
  <c r="P24" i="115"/>
  <c r="S24" i="115" s="1"/>
  <c r="L24" i="113"/>
  <c r="M24" i="113" s="1"/>
  <c r="R24" i="113" s="1"/>
  <c r="U24" i="113" s="1"/>
  <c r="R20" i="116"/>
  <c r="U20" i="116" s="1"/>
  <c r="N20" i="112"/>
  <c r="O20" i="112" s="1"/>
  <c r="T20" i="112" s="1"/>
  <c r="W20" i="112" s="1"/>
  <c r="R78" i="116"/>
  <c r="U78" i="116" s="1"/>
  <c r="N78" i="112"/>
  <c r="O78" i="112" s="1"/>
  <c r="T78" i="112" s="1"/>
  <c r="W78" i="112" s="1"/>
  <c r="R94" i="116"/>
  <c r="U94" i="116" s="1"/>
  <c r="N94" i="112"/>
  <c r="O94" i="112" s="1"/>
  <c r="T94" i="112" s="1"/>
  <c r="W94" i="112" s="1"/>
  <c r="R56" i="116"/>
  <c r="U56" i="116" s="1"/>
  <c r="N56" i="112"/>
  <c r="O56" i="112" s="1"/>
  <c r="T56" i="112" s="1"/>
  <c r="W56" i="112" s="1"/>
  <c r="N41" i="112"/>
  <c r="O41" i="112" s="1"/>
  <c r="T41" i="112" s="1"/>
  <c r="W41" i="112" s="1"/>
  <c r="R41" i="116"/>
  <c r="U41" i="116" s="1"/>
  <c r="R74" i="116"/>
  <c r="U74" i="116" s="1"/>
  <c r="N74" i="112"/>
  <c r="O74" i="112" s="1"/>
  <c r="T74" i="112" s="1"/>
  <c r="W74" i="112" s="1"/>
  <c r="N46" i="112"/>
  <c r="O46" i="112" s="1"/>
  <c r="T46" i="112" s="1"/>
  <c r="W46" i="112" s="1"/>
  <c r="R46" i="116"/>
  <c r="U46" i="116" s="1"/>
  <c r="Q26" i="68"/>
  <c r="D34" i="68"/>
  <c r="R19" i="68"/>
  <c r="S19" i="68" s="1"/>
  <c r="R67" i="116"/>
  <c r="U67" i="116" s="1"/>
  <c r="R13" i="66"/>
  <c r="AI14" i="62"/>
  <c r="O33" i="60"/>
  <c r="J365" i="74"/>
  <c r="J270" i="74"/>
  <c r="D310" i="74"/>
  <c r="D283" i="74"/>
  <c r="J161" i="74"/>
  <c r="R29" i="59"/>
  <c r="S29" i="59" s="1"/>
  <c r="M32" i="60" s="1"/>
  <c r="O32" i="60" s="1"/>
  <c r="R23" i="68"/>
  <c r="S23" i="68" s="1"/>
  <c r="R23" i="66"/>
  <c r="S23" i="66" s="1"/>
  <c r="Q12" i="66"/>
  <c r="D120" i="74"/>
  <c r="D188" i="74"/>
  <c r="D106" i="74"/>
  <c r="D391" i="74"/>
  <c r="D1184" i="74"/>
  <c r="R85" i="116"/>
  <c r="U85" i="116" s="1"/>
  <c r="N85" i="112"/>
  <c r="O85" i="112" s="1"/>
  <c r="T85" i="112" s="1"/>
  <c r="W85" i="112" s="1"/>
  <c r="R59" i="116"/>
  <c r="U59" i="116" s="1"/>
  <c r="N59" i="112"/>
  <c r="O59" i="112" s="1"/>
  <c r="T59" i="112" s="1"/>
  <c r="W59" i="112" s="1"/>
  <c r="J1334" i="74"/>
  <c r="D1239" i="74"/>
  <c r="D1307" i="74"/>
  <c r="AL146" i="107"/>
  <c r="AK165" i="109" s="1"/>
  <c r="AL150" i="107"/>
  <c r="AK169" i="109" s="1"/>
  <c r="AL154" i="107"/>
  <c r="AL158" i="107"/>
  <c r="AK178" i="109" s="1"/>
  <c r="AL162" i="107"/>
  <c r="AK183" i="109" s="1"/>
  <c r="AL166" i="107"/>
  <c r="AK187" i="109" s="1"/>
  <c r="AL143" i="107"/>
  <c r="AL124" i="107"/>
  <c r="AK141" i="109" s="1"/>
  <c r="AL128" i="107"/>
  <c r="AK145" i="109" s="1"/>
  <c r="AL132" i="107"/>
  <c r="AK149" i="109" s="1"/>
  <c r="AL136" i="107"/>
  <c r="AK153" i="109" s="1"/>
  <c r="AL140" i="107"/>
  <c r="AK157" i="109" s="1"/>
  <c r="AL61" i="107"/>
  <c r="AK76" i="109" s="1"/>
  <c r="AL65" i="107"/>
  <c r="AK80" i="109" s="1"/>
  <c r="AL69" i="107"/>
  <c r="AK86" i="109" s="1"/>
  <c r="AL73" i="107"/>
  <c r="AK90" i="109" s="1"/>
  <c r="AL77" i="107"/>
  <c r="AK94" i="109" s="1"/>
  <c r="AL81" i="107"/>
  <c r="AK98" i="109" s="1"/>
  <c r="AL85" i="107"/>
  <c r="AK102" i="109" s="1"/>
  <c r="AL89" i="107"/>
  <c r="AK106" i="109" s="1"/>
  <c r="AL93" i="107"/>
  <c r="AK110" i="109" s="1"/>
  <c r="AL97" i="107"/>
  <c r="AK114" i="109" s="1"/>
  <c r="AL101" i="107"/>
  <c r="AK118" i="109" s="1"/>
  <c r="AL105" i="107"/>
  <c r="AK122" i="109" s="1"/>
  <c r="AL109" i="107"/>
  <c r="AK126" i="109" s="1"/>
  <c r="AL113" i="107"/>
  <c r="AK130" i="109" s="1"/>
  <c r="AL117" i="107"/>
  <c r="AK134" i="109" s="1"/>
  <c r="AL44" i="107"/>
  <c r="AK48" i="109" s="1"/>
  <c r="AL48" i="107"/>
  <c r="AK53" i="109" s="1"/>
  <c r="AL52" i="107"/>
  <c r="AK57" i="109" s="1"/>
  <c r="AL56" i="107"/>
  <c r="AK64" i="109" s="1"/>
  <c r="AL14" i="107"/>
  <c r="AK13" i="109" s="1"/>
  <c r="AL18" i="107"/>
  <c r="AK17" i="109" s="1"/>
  <c r="AL22" i="107"/>
  <c r="AK22" i="109" s="1"/>
  <c r="AL26" i="107"/>
  <c r="AK27" i="109" s="1"/>
  <c r="AL30" i="107"/>
  <c r="AK33" i="109" s="1"/>
  <c r="AL34" i="107"/>
  <c r="AK37" i="109" s="1"/>
  <c r="AL38" i="107"/>
  <c r="AK41" i="109" s="1"/>
  <c r="AL147" i="107"/>
  <c r="AL151" i="107"/>
  <c r="AL155" i="107"/>
  <c r="AL159" i="107"/>
  <c r="AK179" i="109" s="1"/>
  <c r="AL163" i="107"/>
  <c r="AL167" i="107"/>
  <c r="AL121" i="107"/>
  <c r="AK138" i="109" s="1"/>
  <c r="AL125" i="107"/>
  <c r="AK142" i="109" s="1"/>
  <c r="AL129" i="107"/>
  <c r="AK146" i="109" s="1"/>
  <c r="AL133" i="107"/>
  <c r="AK150" i="109" s="1"/>
  <c r="AL137" i="107"/>
  <c r="AK154" i="109" s="1"/>
  <c r="AL141" i="107"/>
  <c r="AK159" i="109" s="1"/>
  <c r="AL62" i="107"/>
  <c r="AK77" i="109" s="1"/>
  <c r="AL66" i="107"/>
  <c r="AK81" i="109" s="1"/>
  <c r="AL70" i="107"/>
  <c r="AK87" i="109" s="1"/>
  <c r="AL74" i="107"/>
  <c r="AK91" i="109" s="1"/>
  <c r="AL78" i="107"/>
  <c r="AK95" i="109" s="1"/>
  <c r="AL82" i="107"/>
  <c r="AK99" i="109" s="1"/>
  <c r="AL86" i="107"/>
  <c r="AK103" i="109" s="1"/>
  <c r="AL90" i="107"/>
  <c r="AK107" i="109" s="1"/>
  <c r="AL94" i="107"/>
  <c r="AK111" i="109" s="1"/>
  <c r="AL98" i="107"/>
  <c r="AK115" i="109" s="1"/>
  <c r="AL102" i="107"/>
  <c r="AK119" i="109" s="1"/>
  <c r="AL106" i="107"/>
  <c r="AK123" i="109" s="1"/>
  <c r="AL110" i="107"/>
  <c r="AK127" i="109" s="1"/>
  <c r="AL114" i="107"/>
  <c r="AK131" i="109" s="1"/>
  <c r="AL118" i="107"/>
  <c r="AK135" i="109" s="1"/>
  <c r="AL15" i="107"/>
  <c r="AK14" i="109" s="1"/>
  <c r="AL19" i="107"/>
  <c r="AK18" i="109" s="1"/>
  <c r="AL23" i="107"/>
  <c r="AK23" i="109" s="1"/>
  <c r="AL27" i="107"/>
  <c r="AK28" i="109" s="1"/>
  <c r="AL31" i="107"/>
  <c r="AK34" i="109" s="1"/>
  <c r="AL35" i="107"/>
  <c r="AK38" i="109" s="1"/>
  <c r="AL39" i="107"/>
  <c r="AK42" i="109" s="1"/>
  <c r="AL144" i="107"/>
  <c r="AK162" i="109" s="1"/>
  <c r="AL122" i="107"/>
  <c r="AK139" i="109" s="1"/>
  <c r="AL126" i="107"/>
  <c r="AK143" i="109" s="1"/>
  <c r="AL130" i="107"/>
  <c r="AK147" i="109" s="1"/>
  <c r="AL134" i="107"/>
  <c r="AK151" i="109" s="1"/>
  <c r="AL138" i="107"/>
  <c r="AK155" i="109" s="1"/>
  <c r="AL120" i="107"/>
  <c r="AL63" i="107"/>
  <c r="AK78" i="109" s="1"/>
  <c r="AL67" i="107"/>
  <c r="AK82" i="109" s="1"/>
  <c r="AL71" i="107"/>
  <c r="AK88" i="109" s="1"/>
  <c r="AL75" i="107"/>
  <c r="AK92" i="109" s="1"/>
  <c r="AL79" i="107"/>
  <c r="AK96" i="109" s="1"/>
  <c r="AL83" i="107"/>
  <c r="AK100" i="109" s="1"/>
  <c r="AL87" i="107"/>
  <c r="AK104" i="109" s="1"/>
  <c r="AL91" i="107"/>
  <c r="AK108" i="109" s="1"/>
  <c r="AL95" i="107"/>
  <c r="AK112" i="109" s="1"/>
  <c r="AL99" i="107"/>
  <c r="AK116" i="109" s="1"/>
  <c r="AL103" i="107"/>
  <c r="AK120" i="109" s="1"/>
  <c r="AL59" i="107"/>
  <c r="AL46" i="107"/>
  <c r="AK51" i="109" s="1"/>
  <c r="AL50" i="107"/>
  <c r="AK55" i="109" s="1"/>
  <c r="AL54" i="107"/>
  <c r="AK61" i="109" s="1"/>
  <c r="AL42" i="107"/>
  <c r="AL16" i="107"/>
  <c r="AK15" i="109" s="1"/>
  <c r="AL20" i="107"/>
  <c r="AK20" i="109" s="1"/>
  <c r="AL24" i="107"/>
  <c r="AK24" i="109" s="1"/>
  <c r="AL28" i="107"/>
  <c r="AK30" i="109" s="1"/>
  <c r="AL32" i="107"/>
  <c r="AK35" i="109" s="1"/>
  <c r="AL36" i="107"/>
  <c r="AK39" i="109" s="1"/>
  <c r="AL40" i="107"/>
  <c r="AK43" i="109" s="1"/>
  <c r="AL60" i="107"/>
  <c r="AK75" i="109" s="1"/>
  <c r="AL64" i="107"/>
  <c r="AK79" i="109" s="1"/>
  <c r="AL68" i="107"/>
  <c r="AK83" i="109" s="1"/>
  <c r="AL72" i="107"/>
  <c r="AK89" i="109" s="1"/>
  <c r="AL76" i="107"/>
  <c r="AK93" i="109" s="1"/>
  <c r="AL80" i="107"/>
  <c r="AK97" i="109" s="1"/>
  <c r="AL84" i="107"/>
  <c r="AK101" i="109" s="1"/>
  <c r="AL88" i="107"/>
  <c r="AK105" i="109" s="1"/>
  <c r="AL92" i="107"/>
  <c r="AK109" i="109" s="1"/>
  <c r="AL96" i="107"/>
  <c r="AK113" i="109" s="1"/>
  <c r="AL100" i="107"/>
  <c r="AK117" i="109" s="1"/>
  <c r="AL43" i="107"/>
  <c r="AK47" i="109" s="1"/>
  <c r="AL47" i="107"/>
  <c r="AK52" i="109" s="1"/>
  <c r="AL51" i="107"/>
  <c r="AK56" i="109" s="1"/>
  <c r="AL55" i="107"/>
  <c r="AK63" i="109" s="1"/>
  <c r="AL13" i="107"/>
  <c r="AL17" i="107"/>
  <c r="AK16" i="109" s="1"/>
  <c r="AL21" i="107"/>
  <c r="AK21" i="109" s="1"/>
  <c r="AL25" i="107"/>
  <c r="AK26" i="109" s="1"/>
  <c r="AL29" i="107"/>
  <c r="AK32" i="109" s="1"/>
  <c r="AL33" i="107"/>
  <c r="AK36" i="109" s="1"/>
  <c r="AL37" i="107"/>
  <c r="AK40" i="109" s="1"/>
  <c r="AL12" i="107"/>
  <c r="AL115" i="107"/>
  <c r="AK132" i="109" s="1"/>
  <c r="AL135" i="107"/>
  <c r="AK152" i="109" s="1"/>
  <c r="AL153" i="107"/>
  <c r="AL169" i="107"/>
  <c r="AL116" i="107"/>
  <c r="AK133" i="109" s="1"/>
  <c r="AL49" i="107"/>
  <c r="AK54" i="109" s="1"/>
  <c r="AL152" i="107"/>
  <c r="AK171" i="109" s="1"/>
  <c r="AL168" i="107"/>
  <c r="AL13" i="94"/>
  <c r="AL14" i="94" s="1"/>
  <c r="N21" i="72"/>
  <c r="M21" i="72"/>
  <c r="J16" i="60"/>
  <c r="AF17" i="62"/>
  <c r="AI15" i="62"/>
  <c r="P35" i="60"/>
  <c r="W31" i="59"/>
  <c r="D1198" i="74"/>
  <c r="R63" i="116"/>
  <c r="U63" i="116" s="1"/>
  <c r="N63" i="112"/>
  <c r="O63" i="112" s="1"/>
  <c r="T63" i="112" s="1"/>
  <c r="W63" i="112" s="1"/>
  <c r="R53" i="116"/>
  <c r="U53" i="116" s="1"/>
  <c r="N53" i="112"/>
  <c r="O53" i="112" s="1"/>
  <c r="T53" i="112" s="1"/>
  <c r="W53" i="112" s="1"/>
  <c r="J1225" i="74"/>
  <c r="J1170" i="74"/>
  <c r="L17" i="113"/>
  <c r="K43" i="115"/>
  <c r="P17" i="115"/>
  <c r="AL53" i="107"/>
  <c r="AK59" i="109" s="1"/>
  <c r="AL156" i="107"/>
  <c r="AI94" i="42"/>
  <c r="V35" i="63"/>
  <c r="U24" i="59"/>
  <c r="V24" i="59"/>
  <c r="W24" i="59" s="1"/>
  <c r="P27" i="60" s="1"/>
  <c r="Q27" i="60" s="1"/>
  <c r="R16" i="51"/>
  <c r="R13" i="51" s="1"/>
  <c r="U14" i="51"/>
  <c r="W16" i="52"/>
  <c r="W13" i="52" s="1"/>
  <c r="X14" i="52"/>
  <c r="X16" i="52" s="1"/>
  <c r="K21" i="8"/>
  <c r="H23" i="1" s="1"/>
  <c r="K23" i="1" s="1"/>
  <c r="O23" i="1" s="1"/>
  <c r="R23" i="1" s="1"/>
  <c r="I54" i="113"/>
  <c r="K13" i="8"/>
  <c r="D147" i="74"/>
  <c r="J228" i="74"/>
  <c r="D365" i="74"/>
  <c r="J297" i="74"/>
  <c r="J92" i="74"/>
  <c r="N58" i="112"/>
  <c r="O58" i="112" s="1"/>
  <c r="T58" i="112" s="1"/>
  <c r="W58" i="112" s="1"/>
  <c r="R58" i="116"/>
  <c r="U58" i="116" s="1"/>
  <c r="N70" i="112"/>
  <c r="O70" i="112" s="1"/>
  <c r="T70" i="112" s="1"/>
  <c r="W70" i="112" s="1"/>
  <c r="R70" i="116"/>
  <c r="U70" i="116" s="1"/>
  <c r="R65" i="116"/>
  <c r="U65" i="116" s="1"/>
  <c r="N65" i="112"/>
  <c r="O65" i="112" s="1"/>
  <c r="T65" i="112" s="1"/>
  <c r="W65" i="112" s="1"/>
  <c r="M9" i="28"/>
  <c r="H251" i="1" s="1"/>
  <c r="J1184" i="74"/>
  <c r="D1170" i="74"/>
  <c r="D1280" i="74"/>
  <c r="D1334" i="74"/>
  <c r="AL107" i="107"/>
  <c r="AK124" i="109" s="1"/>
  <c r="AL127" i="107"/>
  <c r="AK144" i="109" s="1"/>
  <c r="AL145" i="107"/>
  <c r="AL161" i="107"/>
  <c r="AL108" i="107"/>
  <c r="AK125" i="109" s="1"/>
  <c r="AL57" i="107"/>
  <c r="AK67" i="109" s="1"/>
  <c r="AL160" i="107"/>
  <c r="K15" i="59"/>
  <c r="J13" i="59"/>
  <c r="AI8" i="42"/>
  <c r="V13" i="63"/>
  <c r="AG24" i="62"/>
  <c r="K113" i="63"/>
  <c r="L113" i="63" s="1"/>
  <c r="K17" i="8"/>
  <c r="H19" i="1" s="1"/>
  <c r="K19" i="1" s="1"/>
  <c r="O19" i="1" s="1"/>
  <c r="R19" i="1" s="1"/>
  <c r="K15" i="8"/>
  <c r="H17" i="1" s="1"/>
  <c r="K17" i="1" s="1"/>
  <c r="O17" i="1" s="1"/>
  <c r="R17" i="1" s="1"/>
  <c r="G219" i="54"/>
  <c r="N71" i="112"/>
  <c r="O71" i="112" s="1"/>
  <c r="T71" i="112" s="1"/>
  <c r="W71" i="112" s="1"/>
  <c r="R71" i="116"/>
  <c r="U71" i="116" s="1"/>
  <c r="R81" i="116"/>
  <c r="U81" i="116" s="1"/>
  <c r="N81" i="112"/>
  <c r="O81" i="112" s="1"/>
  <c r="T81" i="112" s="1"/>
  <c r="W81" i="112" s="1"/>
  <c r="N72" i="112"/>
  <c r="O72" i="112" s="1"/>
  <c r="T72" i="112" s="1"/>
  <c r="W72" i="112" s="1"/>
  <c r="R72" i="116"/>
  <c r="U72" i="116" s="1"/>
  <c r="J1211" i="74"/>
  <c r="J1198" i="74"/>
  <c r="D1293" i="74"/>
  <c r="AJ192" i="104"/>
  <c r="AN45" i="104"/>
  <c r="AL45" i="107"/>
  <c r="AK49" i="109" s="1"/>
  <c r="AL148" i="107"/>
  <c r="AL164" i="107"/>
  <c r="AK185" i="109" s="1"/>
  <c r="AK45" i="104"/>
  <c r="E16" i="60"/>
  <c r="E36" i="60" s="1"/>
  <c r="D18" i="60"/>
  <c r="K114" i="63"/>
  <c r="L114" i="63" s="1"/>
  <c r="O23" i="72"/>
  <c r="P23" i="72"/>
  <c r="Q23" i="72" s="1"/>
  <c r="T30" i="59"/>
  <c r="W19" i="84"/>
  <c r="M29" i="113"/>
  <c r="R29" i="113" s="1"/>
  <c r="U29" i="113" s="1"/>
  <c r="M33" i="113"/>
  <c r="R33" i="113" s="1"/>
  <c r="U33" i="113" s="1"/>
  <c r="M26" i="113"/>
  <c r="R26" i="113" s="1"/>
  <c r="U26" i="113" s="1"/>
  <c r="O79" i="112"/>
  <c r="T79" i="112" s="1"/>
  <c r="W79" i="112" s="1"/>
  <c r="M35" i="113"/>
  <c r="R35" i="113" s="1"/>
  <c r="U35" i="113" s="1"/>
  <c r="M23" i="113"/>
  <c r="R23" i="113" s="1"/>
  <c r="U23" i="113" s="1"/>
  <c r="O97" i="112"/>
  <c r="T97" i="112" s="1"/>
  <c r="W97" i="112" s="1"/>
  <c r="E22" i="41" l="1"/>
  <c r="C1346" i="74"/>
  <c r="D1346" i="74" s="1"/>
  <c r="P188" i="54"/>
  <c r="P187" i="54" s="1"/>
  <c r="O187" i="54"/>
  <c r="K187" i="54"/>
  <c r="G17" i="76" s="1"/>
  <c r="H17" i="76" s="1"/>
  <c r="J17" i="76" s="1"/>
  <c r="M17" i="76" s="1"/>
  <c r="I21" i="41"/>
  <c r="E21" i="41"/>
  <c r="G21" i="41" s="1"/>
  <c r="U46" i="89"/>
  <c r="V95" i="54"/>
  <c r="T17" i="54"/>
  <c r="K126" i="1"/>
  <c r="H48" i="1"/>
  <c r="H260" i="1" s="1"/>
  <c r="I219" i="1"/>
  <c r="K219" i="1" s="1"/>
  <c r="R219" i="1" s="1"/>
  <c r="T188" i="54"/>
  <c r="M202" i="54"/>
  <c r="U30" i="89"/>
  <c r="M211" i="54"/>
  <c r="U39" i="89"/>
  <c r="M213" i="54"/>
  <c r="U41" i="89"/>
  <c r="M197" i="54"/>
  <c r="U25" i="89"/>
  <c r="M199" i="54"/>
  <c r="U27" i="89"/>
  <c r="M204" i="54"/>
  <c r="U32" i="89"/>
  <c r="M214" i="54"/>
  <c r="U42" i="89"/>
  <c r="M198" i="54"/>
  <c r="U26" i="89"/>
  <c r="M203" i="54"/>
  <c r="U31" i="89"/>
  <c r="M209" i="54"/>
  <c r="U37" i="89"/>
  <c r="M193" i="54"/>
  <c r="U21" i="89"/>
  <c r="M216" i="54"/>
  <c r="U44" i="89"/>
  <c r="M200" i="54"/>
  <c r="U28" i="89"/>
  <c r="M195" i="54"/>
  <c r="U23" i="89"/>
  <c r="M206" i="54"/>
  <c r="U34" i="89"/>
  <c r="M190" i="54"/>
  <c r="U18" i="89"/>
  <c r="M217" i="54"/>
  <c r="U45" i="89"/>
  <c r="M201" i="54"/>
  <c r="U29" i="89"/>
  <c r="M215" i="54"/>
  <c r="U43" i="89"/>
  <c r="M208" i="54"/>
  <c r="U36" i="89"/>
  <c r="N20" i="89"/>
  <c r="M192" i="54"/>
  <c r="U20" i="89"/>
  <c r="M207" i="54"/>
  <c r="U35" i="89"/>
  <c r="M210" i="54"/>
  <c r="U38" i="89"/>
  <c r="M194" i="54"/>
  <c r="U22" i="89"/>
  <c r="M191" i="54"/>
  <c r="U19" i="89"/>
  <c r="M205" i="54"/>
  <c r="U33" i="89"/>
  <c r="M189" i="54"/>
  <c r="U17" i="89"/>
  <c r="M212" i="54"/>
  <c r="U40" i="89"/>
  <c r="N24" i="89"/>
  <c r="M196" i="54"/>
  <c r="U24" i="89"/>
  <c r="H218" i="1"/>
  <c r="N16" i="89"/>
  <c r="U16" i="89"/>
  <c r="AC213" i="108"/>
  <c r="AK11" i="108"/>
  <c r="AS12" i="108" s="1"/>
  <c r="H15" i="1"/>
  <c r="H14" i="1" s="1"/>
  <c r="K46" i="8"/>
  <c r="U261" i="1" s="1"/>
  <c r="C1251" i="74"/>
  <c r="D1251" i="74" s="1"/>
  <c r="G106" i="115"/>
  <c r="M218" i="54"/>
  <c r="I1320" i="74"/>
  <c r="J1320" i="74" s="1"/>
  <c r="I1238" i="74"/>
  <c r="J1238" i="74" s="1"/>
  <c r="I1292" i="74"/>
  <c r="J1292" i="74" s="1"/>
  <c r="D501" i="74"/>
  <c r="C498" i="74"/>
  <c r="D498" i="74" s="1"/>
  <c r="C1224" i="74"/>
  <c r="D1224" i="74" s="1"/>
  <c r="I1265" i="74"/>
  <c r="J1265" i="74" s="1"/>
  <c r="I1346" i="74"/>
  <c r="J1346" i="74" s="1"/>
  <c r="C1169" i="74"/>
  <c r="D1169" i="74" s="1"/>
  <c r="I1306" i="74"/>
  <c r="J1306" i="74" s="1"/>
  <c r="I1156" i="74"/>
  <c r="J1156" i="74" s="1"/>
  <c r="C1183" i="74"/>
  <c r="D1183" i="74" s="1"/>
  <c r="I1333" i="74"/>
  <c r="J1333" i="74" s="1"/>
  <c r="C1306" i="74"/>
  <c r="D1306" i="74" s="1"/>
  <c r="I1251" i="74"/>
  <c r="J1251" i="74" s="1"/>
  <c r="Q47" i="89"/>
  <c r="C1210" i="74"/>
  <c r="D1210" i="74" s="1"/>
  <c r="I1210" i="74"/>
  <c r="J1210" i="74" s="1"/>
  <c r="I1224" i="74"/>
  <c r="J1224" i="74" s="1"/>
  <c r="C1320" i="74"/>
  <c r="D1320" i="74" s="1"/>
  <c r="C1333" i="74"/>
  <c r="D1333" i="74" s="1"/>
  <c r="C1197" i="74"/>
  <c r="D1197" i="74" s="1"/>
  <c r="I1169" i="74"/>
  <c r="J1169" i="74" s="1"/>
  <c r="I1279" i="74"/>
  <c r="J1279" i="74" s="1"/>
  <c r="C1292" i="74"/>
  <c r="D1292" i="74" s="1"/>
  <c r="C1279" i="74"/>
  <c r="D1279" i="74" s="1"/>
  <c r="C1238" i="74"/>
  <c r="D1238" i="74" s="1"/>
  <c r="I1183" i="74"/>
  <c r="J1183" i="74" s="1"/>
  <c r="I1197" i="74"/>
  <c r="J1197" i="74" s="1"/>
  <c r="I936" i="74"/>
  <c r="I881" i="74"/>
  <c r="C1073" i="74"/>
  <c r="C977" i="74"/>
  <c r="C1018" i="74"/>
  <c r="I867" i="74"/>
  <c r="C1181" i="74"/>
  <c r="D1181" i="74" s="1"/>
  <c r="C1208" i="74"/>
  <c r="D1208" i="74" s="1"/>
  <c r="D1361" i="74"/>
  <c r="S47" i="133"/>
  <c r="R47" i="133"/>
  <c r="R14" i="133"/>
  <c r="S14" i="133"/>
  <c r="N39" i="133"/>
  <c r="M45" i="133"/>
  <c r="S43" i="133"/>
  <c r="R43" i="133"/>
  <c r="S19" i="133"/>
  <c r="R19" i="133"/>
  <c r="N27" i="133"/>
  <c r="M38" i="133"/>
  <c r="R49" i="133"/>
  <c r="S49" i="133"/>
  <c r="S33" i="133"/>
  <c r="R33" i="133"/>
  <c r="S15" i="133"/>
  <c r="R15" i="133"/>
  <c r="R20" i="133"/>
  <c r="S20" i="133"/>
  <c r="R32" i="133"/>
  <c r="S32" i="133"/>
  <c r="R42" i="133"/>
  <c r="S42" i="133"/>
  <c r="S25" i="133"/>
  <c r="R25" i="133"/>
  <c r="S13" i="133"/>
  <c r="R13" i="133"/>
  <c r="R24" i="133"/>
  <c r="S24" i="133"/>
  <c r="S28" i="133"/>
  <c r="R28" i="133"/>
  <c r="S44" i="133"/>
  <c r="R44" i="133"/>
  <c r="N46" i="133"/>
  <c r="M51" i="133"/>
  <c r="R35" i="133"/>
  <c r="S35" i="133"/>
  <c r="N12" i="133"/>
  <c r="M26" i="133"/>
  <c r="S23" i="133"/>
  <c r="R23" i="133"/>
  <c r="S40" i="133"/>
  <c r="R40" i="133"/>
  <c r="R29" i="133"/>
  <c r="S29" i="133"/>
  <c r="R48" i="133"/>
  <c r="S48" i="133"/>
  <c r="R21" i="133"/>
  <c r="S21" i="133"/>
  <c r="S36" i="133"/>
  <c r="R36" i="133"/>
  <c r="S50" i="133"/>
  <c r="R50" i="133"/>
  <c r="R18" i="133"/>
  <c r="S18" i="133"/>
  <c r="R34" i="133"/>
  <c r="S34" i="133"/>
  <c r="S37" i="133"/>
  <c r="R37" i="133"/>
  <c r="R17" i="133"/>
  <c r="S17" i="133"/>
  <c r="R22" i="133"/>
  <c r="S22" i="133"/>
  <c r="R30" i="133"/>
  <c r="S30" i="133"/>
  <c r="S31" i="133"/>
  <c r="R31" i="133"/>
  <c r="S41" i="133"/>
  <c r="R41" i="133"/>
  <c r="R16" i="133"/>
  <c r="S16" i="133"/>
  <c r="G12" i="98"/>
  <c r="H12" i="98" s="1"/>
  <c r="C282" i="74"/>
  <c r="C390" i="74"/>
  <c r="C540" i="74"/>
  <c r="C1156" i="74"/>
  <c r="D1156" i="74" s="1"/>
  <c r="C269" i="74"/>
  <c r="C296" i="74"/>
  <c r="I364" i="74"/>
  <c r="I296" i="74"/>
  <c r="C404" i="74"/>
  <c r="I739" i="74"/>
  <c r="C679" i="74"/>
  <c r="I665" i="74"/>
  <c r="I838" i="74"/>
  <c r="C710" i="74"/>
  <c r="I582" i="74"/>
  <c r="C596" i="74"/>
  <c r="C1002" i="74"/>
  <c r="M15" i="96"/>
  <c r="M21" i="96" s="1"/>
  <c r="Q21" i="60"/>
  <c r="I404" i="74"/>
  <c r="I337" i="74"/>
  <c r="J29" i="121"/>
  <c r="G85" i="121" s="1"/>
  <c r="I85" i="121" s="1"/>
  <c r="D1137" i="74"/>
  <c r="J1137" i="74"/>
  <c r="D1138" i="74"/>
  <c r="J1138" i="74"/>
  <c r="AK170" i="109"/>
  <c r="AK167" i="109"/>
  <c r="AK186" i="109"/>
  <c r="AK180" i="109"/>
  <c r="AK164" i="109"/>
  <c r="AK188" i="109"/>
  <c r="AK176" i="109"/>
  <c r="AK172" i="109"/>
  <c r="AK174" i="109"/>
  <c r="AK166" i="109"/>
  <c r="AK173" i="109"/>
  <c r="AK177" i="109"/>
  <c r="AK184" i="109"/>
  <c r="AK181" i="109"/>
  <c r="AK189" i="109"/>
  <c r="AK190" i="109"/>
  <c r="AK175" i="109"/>
  <c r="AK163" i="109"/>
  <c r="D1185" i="74"/>
  <c r="G20" i="76"/>
  <c r="D1212" i="74"/>
  <c r="C1265" i="74"/>
  <c r="D1265" i="74" s="1"/>
  <c r="O35" i="60"/>
  <c r="O34" i="60" s="1"/>
  <c r="P13" i="59"/>
  <c r="K17" i="60"/>
  <c r="T19" i="59"/>
  <c r="R17" i="59"/>
  <c r="S17" i="59" s="1"/>
  <c r="M20" i="60" s="1"/>
  <c r="O20" i="60" s="1"/>
  <c r="T17" i="59"/>
  <c r="X17" i="52"/>
  <c r="X61" i="52" s="1"/>
  <c r="U61" i="52"/>
  <c r="U13" i="52" s="1"/>
  <c r="T14" i="59"/>
  <c r="R14" i="59"/>
  <c r="S14" i="59" s="1"/>
  <c r="O20" i="72"/>
  <c r="P20" i="72"/>
  <c r="Q20" i="72" s="1"/>
  <c r="P25" i="72"/>
  <c r="N24" i="72"/>
  <c r="O25" i="72"/>
  <c r="O24" i="72" s="1"/>
  <c r="X13" i="52"/>
  <c r="U16" i="59"/>
  <c r="V16" i="59"/>
  <c r="W16" i="59" s="1"/>
  <c r="P19" i="60" s="1"/>
  <c r="Q19" i="60" s="1"/>
  <c r="V103" i="56"/>
  <c r="T21" i="59"/>
  <c r="P33" i="59"/>
  <c r="L31" i="72"/>
  <c r="L12" i="72"/>
  <c r="M13" i="72"/>
  <c r="M12" i="72" s="1"/>
  <c r="M31" i="72" s="1"/>
  <c r="N13" i="72"/>
  <c r="G18" i="84"/>
  <c r="G17" i="84" s="1"/>
  <c r="R255" i="1"/>
  <c r="O255" i="1"/>
  <c r="AU153" i="108"/>
  <c r="R26" i="68"/>
  <c r="D497" i="74"/>
  <c r="J510" i="74"/>
  <c r="J497" i="74"/>
  <c r="D510" i="74"/>
  <c r="J1357" i="74"/>
  <c r="J1123" i="74"/>
  <c r="I460" i="74"/>
  <c r="L5" i="74"/>
  <c r="J498" i="74"/>
  <c r="J511" i="74"/>
  <c r="D511" i="74"/>
  <c r="J1358" i="74"/>
  <c r="J1124" i="74"/>
  <c r="I446" i="74"/>
  <c r="C337" i="74"/>
  <c r="C7" i="74"/>
  <c r="C696" i="74"/>
  <c r="C554" i="74"/>
  <c r="C582" i="74"/>
  <c r="C865" i="74"/>
  <c r="I432" i="74"/>
  <c r="I420" i="74"/>
  <c r="I906" i="74"/>
  <c r="C651" i="74"/>
  <c r="C665" i="74"/>
  <c r="I568" i="74"/>
  <c r="I596" i="74"/>
  <c r="C568" i="74"/>
  <c r="I624" i="74"/>
  <c r="I610" i="74"/>
  <c r="I651" i="74"/>
  <c r="C879" i="74"/>
  <c r="C934" i="74"/>
  <c r="C838" i="74"/>
  <c r="C767" i="74"/>
  <c r="C753" i="74"/>
  <c r="I852" i="74"/>
  <c r="I767" i="74"/>
  <c r="I724" i="74"/>
  <c r="C893" i="74"/>
  <c r="C724" i="74"/>
  <c r="I811" i="74"/>
  <c r="I893" i="74"/>
  <c r="C811" i="74"/>
  <c r="C797" i="74"/>
  <c r="C420" i="74"/>
  <c r="I640" i="74"/>
  <c r="C488" i="74"/>
  <c r="C432" i="74"/>
  <c r="I29" i="121"/>
  <c r="C474" i="74"/>
  <c r="I474" i="74"/>
  <c r="I949" i="74"/>
  <c r="I934" i="74"/>
  <c r="C947" i="74"/>
  <c r="I961" i="74"/>
  <c r="D13" i="98"/>
  <c r="I219" i="54"/>
  <c r="C284" i="74"/>
  <c r="C380" i="74"/>
  <c r="C9" i="74"/>
  <c r="C259" i="74"/>
  <c r="C243" i="74"/>
  <c r="I311" i="74"/>
  <c r="I271" i="74"/>
  <c r="I366" i="74"/>
  <c r="C257" i="74"/>
  <c r="C241" i="74"/>
  <c r="R12" i="68"/>
  <c r="R34" i="68" s="1"/>
  <c r="J106" i="74"/>
  <c r="I325" i="74"/>
  <c r="C325" i="74"/>
  <c r="I259" i="74"/>
  <c r="D258" i="74"/>
  <c r="D1157" i="74"/>
  <c r="J1157" i="74"/>
  <c r="D379" i="74"/>
  <c r="J338" i="74"/>
  <c r="J351" i="74"/>
  <c r="J391" i="74"/>
  <c r="D324" i="74"/>
  <c r="J310" i="74"/>
  <c r="J283" i="74"/>
  <c r="D270" i="74"/>
  <c r="D297" i="74"/>
  <c r="D405" i="74"/>
  <c r="D338" i="74"/>
  <c r="J324" i="74"/>
  <c r="D351" i="74"/>
  <c r="J405" i="74"/>
  <c r="J379" i="74"/>
  <c r="J1252" i="74"/>
  <c r="D1252" i="74"/>
  <c r="D1211" i="74"/>
  <c r="J174" i="74"/>
  <c r="J214" i="74"/>
  <c r="D214" i="74"/>
  <c r="J80" i="74"/>
  <c r="D174" i="74"/>
  <c r="D52" i="74"/>
  <c r="D242" i="74"/>
  <c r="J36" i="74"/>
  <c r="J202" i="74"/>
  <c r="D133" i="74"/>
  <c r="J1239" i="74"/>
  <c r="D1347" i="74"/>
  <c r="J120" i="74"/>
  <c r="D1321" i="74"/>
  <c r="J147" i="74"/>
  <c r="D228" i="74"/>
  <c r="J1307" i="74"/>
  <c r="J1293" i="74"/>
  <c r="J1266" i="74"/>
  <c r="D161" i="74"/>
  <c r="D202" i="74"/>
  <c r="J188" i="74"/>
  <c r="J133" i="74"/>
  <c r="J1280" i="74"/>
  <c r="D1225" i="74"/>
  <c r="J1347" i="74"/>
  <c r="J1321" i="74"/>
  <c r="L47" i="89"/>
  <c r="L22" i="77"/>
  <c r="L21" i="77" s="1"/>
  <c r="Q34" i="68"/>
  <c r="Q34" i="66"/>
  <c r="C162" i="74"/>
  <c r="R12" i="66"/>
  <c r="R34" i="66" s="1"/>
  <c r="S13" i="66"/>
  <c r="S12" i="66" s="1"/>
  <c r="S34" i="66" s="1"/>
  <c r="R26" i="66"/>
  <c r="S27" i="66"/>
  <c r="S26" i="66" s="1"/>
  <c r="R43" i="113"/>
  <c r="U16" i="113"/>
  <c r="U43" i="113" s="1"/>
  <c r="U98" i="116"/>
  <c r="AH20" i="62"/>
  <c r="AI18" i="62"/>
  <c r="T16" i="112"/>
  <c r="O98" i="112"/>
  <c r="T29" i="59"/>
  <c r="U29" i="59" s="1"/>
  <c r="S17" i="115"/>
  <c r="S43" i="115" s="1"/>
  <c r="P43" i="115"/>
  <c r="AD175" i="107"/>
  <c r="AK12" i="109"/>
  <c r="AC197" i="109" s="1"/>
  <c r="D36" i="74"/>
  <c r="R98" i="116"/>
  <c r="K61" i="115" s="1"/>
  <c r="D92" i="74"/>
  <c r="J8" i="74"/>
  <c r="K13" i="59"/>
  <c r="Q15" i="59"/>
  <c r="N98" i="112"/>
  <c r="P34" i="60"/>
  <c r="AD174" i="107"/>
  <c r="AD173" i="107" s="1"/>
  <c r="AD181" i="107" s="1"/>
  <c r="AL11" i="107"/>
  <c r="AK11" i="109"/>
  <c r="J66" i="74"/>
  <c r="J22" i="74"/>
  <c r="S13" i="28"/>
  <c r="G27" i="84"/>
  <c r="G26" i="84" s="1"/>
  <c r="J52" i="74"/>
  <c r="M17" i="113"/>
  <c r="R17" i="113" s="1"/>
  <c r="U17" i="113" s="1"/>
  <c r="L43" i="113"/>
  <c r="D66" i="74"/>
  <c r="AP45" i="104"/>
  <c r="AK192" i="104"/>
  <c r="D80" i="74"/>
  <c r="AG26" i="62"/>
  <c r="M17" i="60"/>
  <c r="M13" i="28"/>
  <c r="F13" i="98"/>
  <c r="U16" i="51"/>
  <c r="U13" i="51" s="1"/>
  <c r="V14" i="51"/>
  <c r="V16" i="51" s="1"/>
  <c r="V13" i="51" s="1"/>
  <c r="AI17" i="62"/>
  <c r="AF19" i="62"/>
  <c r="O21" i="72"/>
  <c r="P21" i="72"/>
  <c r="Q21" i="72" s="1"/>
  <c r="AL41" i="107"/>
  <c r="AK46" i="109"/>
  <c r="AK73" i="109" s="1"/>
  <c r="AK74" i="109"/>
  <c r="AK136" i="109" s="1"/>
  <c r="AL58" i="107"/>
  <c r="AL119" i="107"/>
  <c r="AK137" i="109"/>
  <c r="AK160" i="109" s="1"/>
  <c r="AL142" i="107"/>
  <c r="AK161" i="109"/>
  <c r="D8" i="74"/>
  <c r="V30" i="59"/>
  <c r="W30" i="59" s="1"/>
  <c r="P33" i="60" s="1"/>
  <c r="Q33" i="60" s="1"/>
  <c r="U30" i="59"/>
  <c r="V188" i="54" l="1"/>
  <c r="H20" i="76"/>
  <c r="J20" i="76" s="1"/>
  <c r="F15" i="97" s="1"/>
  <c r="H15" i="97" s="1"/>
  <c r="D13" i="122" s="1"/>
  <c r="O126" i="1"/>
  <c r="K48" i="1" s="1"/>
  <c r="J48" i="1"/>
  <c r="I48" i="1"/>
  <c r="R126" i="1"/>
  <c r="V17" i="54"/>
  <c r="I220" i="1"/>
  <c r="K220" i="1" s="1"/>
  <c r="R220" i="1" s="1"/>
  <c r="T189" i="54"/>
  <c r="I223" i="1"/>
  <c r="K223" i="1" s="1"/>
  <c r="R223" i="1" s="1"/>
  <c r="T192" i="54"/>
  <c r="I237" i="1"/>
  <c r="K237" i="1" s="1"/>
  <c r="R237" i="1" s="1"/>
  <c r="T206" i="54"/>
  <c r="I245" i="1"/>
  <c r="K245" i="1" s="1"/>
  <c r="R245" i="1" s="1"/>
  <c r="T214" i="54"/>
  <c r="I228" i="1"/>
  <c r="K228" i="1" s="1"/>
  <c r="R228" i="1" s="1"/>
  <c r="T197" i="54"/>
  <c r="I233" i="1"/>
  <c r="K233" i="1" s="1"/>
  <c r="R233" i="1" s="1"/>
  <c r="T202" i="54"/>
  <c r="I225" i="1"/>
  <c r="K225" i="1" s="1"/>
  <c r="R225" i="1" s="1"/>
  <c r="T194" i="54"/>
  <c r="I238" i="1"/>
  <c r="K238" i="1" s="1"/>
  <c r="R238" i="1" s="1"/>
  <c r="T207" i="54"/>
  <c r="V207" i="54" s="1"/>
  <c r="I232" i="1"/>
  <c r="K232" i="1" s="1"/>
  <c r="R232" i="1" s="1"/>
  <c r="T201" i="54"/>
  <c r="I221" i="1"/>
  <c r="K221" i="1" s="1"/>
  <c r="R221" i="1" s="1"/>
  <c r="T190" i="54"/>
  <c r="I240" i="1"/>
  <c r="K240" i="1" s="1"/>
  <c r="R240" i="1" s="1"/>
  <c r="T209" i="54"/>
  <c r="I247" i="1"/>
  <c r="K247" i="1" s="1"/>
  <c r="R247" i="1" s="1"/>
  <c r="T216" i="54"/>
  <c r="I243" i="1"/>
  <c r="K243" i="1" s="1"/>
  <c r="R243" i="1" s="1"/>
  <c r="T212" i="54"/>
  <c r="I222" i="1"/>
  <c r="K222" i="1" s="1"/>
  <c r="R222" i="1" s="1"/>
  <c r="T191" i="54"/>
  <c r="I246" i="1"/>
  <c r="K246" i="1" s="1"/>
  <c r="R246" i="1" s="1"/>
  <c r="T215" i="54"/>
  <c r="I231" i="1"/>
  <c r="K231" i="1" s="1"/>
  <c r="R231" i="1" s="1"/>
  <c r="T200" i="54"/>
  <c r="I224" i="1"/>
  <c r="K224" i="1" s="1"/>
  <c r="R224" i="1" s="1"/>
  <c r="T193" i="54"/>
  <c r="I229" i="1"/>
  <c r="K229" i="1" s="1"/>
  <c r="R229" i="1" s="1"/>
  <c r="T198" i="54"/>
  <c r="I230" i="1"/>
  <c r="K230" i="1" s="1"/>
  <c r="R230" i="1" s="1"/>
  <c r="T199" i="54"/>
  <c r="I242" i="1"/>
  <c r="K242" i="1" s="1"/>
  <c r="R242" i="1" s="1"/>
  <c r="T211" i="54"/>
  <c r="V211" i="54" s="1"/>
  <c r="I227" i="1"/>
  <c r="K227" i="1" s="1"/>
  <c r="R227" i="1" s="1"/>
  <c r="T196" i="54"/>
  <c r="I236" i="1"/>
  <c r="K236" i="1" s="1"/>
  <c r="R236" i="1" s="1"/>
  <c r="T205" i="54"/>
  <c r="I241" i="1"/>
  <c r="K241" i="1" s="1"/>
  <c r="R241" i="1" s="1"/>
  <c r="T210" i="54"/>
  <c r="I239" i="1"/>
  <c r="K239" i="1" s="1"/>
  <c r="R239" i="1" s="1"/>
  <c r="T208" i="54"/>
  <c r="I248" i="1"/>
  <c r="K248" i="1" s="1"/>
  <c r="R248" i="1" s="1"/>
  <c r="T217" i="54"/>
  <c r="I226" i="1"/>
  <c r="K226" i="1" s="1"/>
  <c r="R226" i="1" s="1"/>
  <c r="T195" i="54"/>
  <c r="I234" i="1"/>
  <c r="K234" i="1" s="1"/>
  <c r="R234" i="1" s="1"/>
  <c r="T203" i="54"/>
  <c r="I235" i="1"/>
  <c r="K235" i="1" s="1"/>
  <c r="R235" i="1" s="1"/>
  <c r="T204" i="54"/>
  <c r="I244" i="1"/>
  <c r="K244" i="1" s="1"/>
  <c r="R244" i="1" s="1"/>
  <c r="T213" i="54"/>
  <c r="I249" i="1"/>
  <c r="M187" i="54"/>
  <c r="M219" i="54" s="1"/>
  <c r="K15" i="1"/>
  <c r="AK209" i="108"/>
  <c r="W24" i="89"/>
  <c r="S47" i="89"/>
  <c r="C1209" i="74"/>
  <c r="D1209" i="74" s="1"/>
  <c r="D1216" i="74" s="1"/>
  <c r="N218" i="54"/>
  <c r="N187" i="54" s="1"/>
  <c r="N38" i="89"/>
  <c r="N31" i="89"/>
  <c r="N30" i="89"/>
  <c r="N17" i="89"/>
  <c r="N28" i="89"/>
  <c r="N22" i="89"/>
  <c r="N21" i="89"/>
  <c r="N33" i="89"/>
  <c r="N39" i="89"/>
  <c r="N18" i="89"/>
  <c r="N19" i="89"/>
  <c r="N25" i="89"/>
  <c r="N26" i="89"/>
  <c r="N37" i="89"/>
  <c r="N23" i="89"/>
  <c r="N32" i="89"/>
  <c r="N40" i="89"/>
  <c r="N41" i="89"/>
  <c r="N34" i="89"/>
  <c r="N43" i="89"/>
  <c r="N42" i="89"/>
  <c r="N44" i="89"/>
  <c r="N35" i="89"/>
  <c r="N27" i="89"/>
  <c r="D526" i="74"/>
  <c r="N29" i="89"/>
  <c r="C1182" i="74"/>
  <c r="D1182" i="74" s="1"/>
  <c r="D1189" i="74" s="1"/>
  <c r="N36" i="89"/>
  <c r="I1236" i="74"/>
  <c r="J1236" i="74" s="1"/>
  <c r="D1281" i="74"/>
  <c r="C1277" i="74"/>
  <c r="D1277" i="74" s="1"/>
  <c r="J1335" i="74"/>
  <c r="I1331" i="74"/>
  <c r="J1331" i="74" s="1"/>
  <c r="C1331" i="74"/>
  <c r="D1331" i="74" s="1"/>
  <c r="D1348" i="74"/>
  <c r="C1344" i="74"/>
  <c r="D1344" i="74" s="1"/>
  <c r="I1277" i="74"/>
  <c r="J1277" i="74" s="1"/>
  <c r="J1226" i="74"/>
  <c r="I1222" i="74"/>
  <c r="J1222" i="74" s="1"/>
  <c r="I1181" i="74"/>
  <c r="J1181" i="74" s="1"/>
  <c r="D1308" i="74"/>
  <c r="C1304" i="74"/>
  <c r="D1304" i="74" s="1"/>
  <c r="I1249" i="74"/>
  <c r="J1249" i="74" s="1"/>
  <c r="C1249" i="74"/>
  <c r="D1249" i="74" s="1"/>
  <c r="I1154" i="74"/>
  <c r="J1154" i="74" s="1"/>
  <c r="D1240" i="74"/>
  <c r="C1236" i="74"/>
  <c r="D1236" i="74" s="1"/>
  <c r="C1195" i="74"/>
  <c r="D1195" i="74" s="1"/>
  <c r="I1195" i="74"/>
  <c r="J1195" i="74" s="1"/>
  <c r="J1267" i="74"/>
  <c r="I1263" i="74"/>
  <c r="J1263" i="74" s="1"/>
  <c r="J1308" i="74"/>
  <c r="I1304" i="74"/>
  <c r="J1304" i="74" s="1"/>
  <c r="C1167" i="74"/>
  <c r="D1167" i="74" s="1"/>
  <c r="I1167" i="74"/>
  <c r="J1167" i="74" s="1"/>
  <c r="I1208" i="74"/>
  <c r="J1208" i="74" s="1"/>
  <c r="C1222" i="74"/>
  <c r="D1222" i="74" s="1"/>
  <c r="I1290" i="74"/>
  <c r="J1290" i="74" s="1"/>
  <c r="C1263" i="74"/>
  <c r="D1263" i="74" s="1"/>
  <c r="W16" i="89"/>
  <c r="C1154" i="74"/>
  <c r="D1154" i="74" s="1"/>
  <c r="C1318" i="74"/>
  <c r="D1318" i="74" s="1"/>
  <c r="C1290" i="74"/>
  <c r="D1290" i="74" s="1"/>
  <c r="I1318" i="74"/>
  <c r="J1318" i="74" s="1"/>
  <c r="J1348" i="74"/>
  <c r="I1344" i="74"/>
  <c r="J1344" i="74" s="1"/>
  <c r="C525" i="74"/>
  <c r="D525" i="74" s="1"/>
  <c r="D449" i="74"/>
  <c r="C256" i="74"/>
  <c r="D256" i="74" s="1"/>
  <c r="D274" i="74"/>
  <c r="D463" i="74"/>
  <c r="D491" i="74"/>
  <c r="J192" i="74"/>
  <c r="J151" i="74"/>
  <c r="J110" i="74"/>
  <c r="J206" i="74"/>
  <c r="D137" i="74"/>
  <c r="S12" i="133"/>
  <c r="R12" i="133"/>
  <c r="R46" i="133"/>
  <c r="S46" i="133"/>
  <c r="R27" i="133"/>
  <c r="S27" i="133"/>
  <c r="M54" i="133"/>
  <c r="S39" i="133"/>
  <c r="R39" i="133"/>
  <c r="C524" i="74"/>
  <c r="D524" i="74" s="1"/>
  <c r="C255" i="74"/>
  <c r="D255" i="74" s="1"/>
  <c r="N260" i="1"/>
  <c r="K14" i="1"/>
  <c r="G82" i="121"/>
  <c r="I82" i="121" s="1"/>
  <c r="G83" i="121"/>
  <c r="I83" i="121" s="1"/>
  <c r="G84" i="121"/>
  <c r="I84" i="121" s="1"/>
  <c r="D1145" i="74"/>
  <c r="J1145" i="74"/>
  <c r="AK191" i="109"/>
  <c r="W26" i="89"/>
  <c r="D1226" i="74"/>
  <c r="D1199" i="74"/>
  <c r="W17" i="89"/>
  <c r="D1294" i="74"/>
  <c r="J1212" i="74"/>
  <c r="W41" i="89"/>
  <c r="W39" i="89"/>
  <c r="J1281" i="74"/>
  <c r="W44" i="89"/>
  <c r="D1335" i="74"/>
  <c r="D1171" i="74"/>
  <c r="J1171" i="74"/>
  <c r="W33" i="89"/>
  <c r="J1185" i="74"/>
  <c r="J1322" i="74"/>
  <c r="J1158" i="74"/>
  <c r="J1253" i="74"/>
  <c r="D1253" i="74"/>
  <c r="D1158" i="74"/>
  <c r="D1322" i="74"/>
  <c r="D1267" i="74"/>
  <c r="J1240" i="74"/>
  <c r="Q35" i="60"/>
  <c r="Q34" i="60" s="1"/>
  <c r="J1294" i="74"/>
  <c r="J1199" i="74"/>
  <c r="H219" i="54"/>
  <c r="G19" i="84"/>
  <c r="V21" i="59"/>
  <c r="W21" i="59" s="1"/>
  <c r="P24" i="60" s="1"/>
  <c r="Q24" i="60" s="1"/>
  <c r="U21" i="59"/>
  <c r="V19" i="59"/>
  <c r="W19" i="59" s="1"/>
  <c r="P22" i="60" s="1"/>
  <c r="Q22" i="60" s="1"/>
  <c r="U19" i="59"/>
  <c r="Q25" i="72"/>
  <c r="Q24" i="72" s="1"/>
  <c r="P24" i="72"/>
  <c r="U14" i="59"/>
  <c r="V14" i="59"/>
  <c r="W14" i="59" s="1"/>
  <c r="U17" i="59"/>
  <c r="V17" i="59"/>
  <c r="W17" i="59" s="1"/>
  <c r="P20" i="60" s="1"/>
  <c r="Q20" i="60" s="1"/>
  <c r="K16" i="60"/>
  <c r="K36" i="60" s="1"/>
  <c r="L17" i="60"/>
  <c r="L16" i="60" s="1"/>
  <c r="N12" i="72"/>
  <c r="N31" i="72" s="1"/>
  <c r="P13" i="72"/>
  <c r="O13" i="72"/>
  <c r="O12" i="72" s="1"/>
  <c r="O31" i="72" s="1"/>
  <c r="J1365" i="74"/>
  <c r="J1131" i="74"/>
  <c r="G221" i="54"/>
  <c r="W37" i="89"/>
  <c r="J499" i="74"/>
  <c r="J505" i="74" s="1"/>
  <c r="J512" i="74"/>
  <c r="J518" i="74" s="1"/>
  <c r="D512" i="74"/>
  <c r="D518" i="74" s="1"/>
  <c r="G13" i="98"/>
  <c r="AC212" i="108"/>
  <c r="AC218" i="108" s="1"/>
  <c r="AG212" i="108" s="1"/>
  <c r="AG218" i="108" s="1"/>
  <c r="E38" i="126"/>
  <c r="W32" i="89"/>
  <c r="D259" i="74"/>
  <c r="D527" i="74"/>
  <c r="J258" i="74"/>
  <c r="D1266" i="74"/>
  <c r="M22" i="75"/>
  <c r="N22" i="75" s="1"/>
  <c r="G19" i="75"/>
  <c r="M19" i="75" s="1"/>
  <c r="N19" i="75" s="1"/>
  <c r="F20" i="77"/>
  <c r="F23" i="77" s="1"/>
  <c r="K23" i="77" s="1"/>
  <c r="M22" i="77"/>
  <c r="M21" i="77" s="1"/>
  <c r="W30" i="89"/>
  <c r="W31" i="89"/>
  <c r="W45" i="89"/>
  <c r="H13" i="98"/>
  <c r="W29" i="89"/>
  <c r="G103" i="89"/>
  <c r="J103" i="89" s="1"/>
  <c r="G102" i="89"/>
  <c r="J102" i="89" s="1"/>
  <c r="G101" i="89"/>
  <c r="J101" i="89" s="1"/>
  <c r="V29" i="59"/>
  <c r="W29" i="59" s="1"/>
  <c r="P32" i="60" s="1"/>
  <c r="Q32" i="60" s="1"/>
  <c r="G100" i="89"/>
  <c r="W16" i="112"/>
  <c r="W98" i="112" s="1"/>
  <c r="T98" i="112"/>
  <c r="AH22" i="62"/>
  <c r="AI20" i="62"/>
  <c r="AF21" i="62"/>
  <c r="AI19" i="62"/>
  <c r="W14" i="51"/>
  <c r="W16" i="51" s="1"/>
  <c r="W13" i="51" s="1"/>
  <c r="W19" i="89"/>
  <c r="O15" i="1"/>
  <c r="O14" i="1" s="1"/>
  <c r="AK45" i="109"/>
  <c r="AC196" i="109"/>
  <c r="AC195" i="109" s="1"/>
  <c r="AC203" i="109" s="1"/>
  <c r="W22" i="89"/>
  <c r="W23" i="89"/>
  <c r="W40" i="89"/>
  <c r="AL170" i="107"/>
  <c r="BA17" i="107"/>
  <c r="W27" i="89"/>
  <c r="W43" i="89"/>
  <c r="L27" i="84"/>
  <c r="AG28" i="62"/>
  <c r="W34" i="89"/>
  <c r="W20" i="89"/>
  <c r="P17" i="60"/>
  <c r="K251" i="1"/>
  <c r="H250" i="1"/>
  <c r="W25" i="89"/>
  <c r="W28" i="89"/>
  <c r="W36" i="89"/>
  <c r="W42" i="89"/>
  <c r="Q13" i="59"/>
  <c r="R15" i="59"/>
  <c r="T15" i="59"/>
  <c r="W21" i="89"/>
  <c r="W38" i="89"/>
  <c r="V213" i="54" l="1"/>
  <c r="V203" i="54"/>
  <c r="V217" i="54"/>
  <c r="V210" i="54"/>
  <c r="V196" i="54"/>
  <c r="V199" i="54"/>
  <c r="V193" i="54"/>
  <c r="V215" i="54"/>
  <c r="V212" i="54"/>
  <c r="V209" i="54"/>
  <c r="V201" i="54"/>
  <c r="V194" i="54"/>
  <c r="V197" i="54"/>
  <c r="V206" i="54"/>
  <c r="V189" i="54"/>
  <c r="V204" i="54"/>
  <c r="V195" i="54"/>
  <c r="V208" i="54"/>
  <c r="V205" i="54"/>
  <c r="V198" i="54"/>
  <c r="V200" i="54"/>
  <c r="V191" i="54"/>
  <c r="V216" i="54"/>
  <c r="V190" i="54"/>
  <c r="V202" i="54"/>
  <c r="V214" i="54"/>
  <c r="V192" i="54"/>
  <c r="M20" i="76"/>
  <c r="Q48" i="1"/>
  <c r="Q260" i="1" s="1"/>
  <c r="R48" i="1"/>
  <c r="P48" i="1"/>
  <c r="O48" i="1"/>
  <c r="I218" i="1"/>
  <c r="K249" i="1"/>
  <c r="G27" i="59"/>
  <c r="F27" i="59" s="1"/>
  <c r="F26" i="59" s="1"/>
  <c r="F33" i="59" s="1"/>
  <c r="W35" i="89"/>
  <c r="D528" i="74"/>
  <c r="M16" i="76"/>
  <c r="K219" i="54"/>
  <c r="I255" i="74"/>
  <c r="J255" i="74" s="1"/>
  <c r="C5" i="74"/>
  <c r="D5" i="74" s="1"/>
  <c r="C1155" i="74"/>
  <c r="D1155" i="74" s="1"/>
  <c r="D1162" i="74" s="1"/>
  <c r="I1345" i="74"/>
  <c r="J1345" i="74" s="1"/>
  <c r="J1352" i="74" s="1"/>
  <c r="C1291" i="74"/>
  <c r="D1291" i="74" s="1"/>
  <c r="D1298" i="74" s="1"/>
  <c r="I1291" i="74"/>
  <c r="J1291" i="74" s="1"/>
  <c r="J1298" i="74" s="1"/>
  <c r="C1196" i="74"/>
  <c r="D1196" i="74" s="1"/>
  <c r="D1203" i="74" s="1"/>
  <c r="C1250" i="74"/>
  <c r="D1250" i="74" s="1"/>
  <c r="D1257" i="74" s="1"/>
  <c r="I1278" i="74"/>
  <c r="J1278" i="74" s="1"/>
  <c r="J1285" i="74" s="1"/>
  <c r="I1332" i="74"/>
  <c r="J1332" i="74" s="1"/>
  <c r="J1339" i="74" s="1"/>
  <c r="I1209" i="74"/>
  <c r="J1209" i="74" s="1"/>
  <c r="J1216" i="74" s="1"/>
  <c r="K1216" i="74" s="1"/>
  <c r="C1168" i="74"/>
  <c r="D1168" i="74" s="1"/>
  <c r="D1175" i="74" s="1"/>
  <c r="I1264" i="74"/>
  <c r="J1264" i="74" s="1"/>
  <c r="J1271" i="74" s="1"/>
  <c r="C1237" i="74"/>
  <c r="D1237" i="74" s="1"/>
  <c r="D1244" i="74" s="1"/>
  <c r="I1182" i="74"/>
  <c r="J1182" i="74" s="1"/>
  <c r="J1189" i="74" s="1"/>
  <c r="K1189" i="74" s="1"/>
  <c r="I1223" i="74"/>
  <c r="J1223" i="74" s="1"/>
  <c r="J1230" i="74" s="1"/>
  <c r="C1278" i="74"/>
  <c r="D1278" i="74" s="1"/>
  <c r="D1285" i="74" s="1"/>
  <c r="G22" i="41"/>
  <c r="J21" i="41" s="1"/>
  <c r="J22" i="41" s="1"/>
  <c r="I1319" i="74"/>
  <c r="J1319" i="74" s="1"/>
  <c r="J1326" i="74" s="1"/>
  <c r="C1319" i="74"/>
  <c r="D1319" i="74" s="1"/>
  <c r="D1326" i="74" s="1"/>
  <c r="C1264" i="74"/>
  <c r="D1264" i="74" s="1"/>
  <c r="D1271" i="74" s="1"/>
  <c r="I1155" i="74"/>
  <c r="J1155" i="74" s="1"/>
  <c r="J1162" i="74" s="1"/>
  <c r="C1305" i="74"/>
  <c r="D1305" i="74" s="1"/>
  <c r="D1312" i="74" s="1"/>
  <c r="C1345" i="74"/>
  <c r="D1345" i="74" s="1"/>
  <c r="D1352" i="74" s="1"/>
  <c r="C1223" i="74"/>
  <c r="D1223" i="74" s="1"/>
  <c r="D1230" i="74" s="1"/>
  <c r="I1168" i="74"/>
  <c r="J1168" i="74" s="1"/>
  <c r="J1175" i="74" s="1"/>
  <c r="I1305" i="74"/>
  <c r="J1305" i="74" s="1"/>
  <c r="J1312" i="74" s="1"/>
  <c r="I1250" i="74"/>
  <c r="J1250" i="74" s="1"/>
  <c r="J1257" i="74" s="1"/>
  <c r="I1196" i="74"/>
  <c r="J1196" i="74" s="1"/>
  <c r="J1203" i="74" s="1"/>
  <c r="C1332" i="74"/>
  <c r="D1332" i="74" s="1"/>
  <c r="D1339" i="74" s="1"/>
  <c r="I1237" i="74"/>
  <c r="J1237" i="74" s="1"/>
  <c r="J1244" i="74" s="1"/>
  <c r="D257" i="74"/>
  <c r="D178" i="74"/>
  <c r="D395" i="74"/>
  <c r="D206" i="74"/>
  <c r="J12" i="74"/>
  <c r="J218" i="74"/>
  <c r="D110" i="74"/>
  <c r="J26" i="74"/>
  <c r="D96" i="74"/>
  <c r="D301" i="74"/>
  <c r="J383" i="74"/>
  <c r="D26" i="74"/>
  <c r="J70" i="74"/>
  <c r="D192" i="74"/>
  <c r="J314" i="74"/>
  <c r="D383" i="74"/>
  <c r="J342" i="74"/>
  <c r="J137" i="74"/>
  <c r="D232" i="74"/>
  <c r="D435" i="74"/>
  <c r="J355" i="74"/>
  <c r="J124" i="74"/>
  <c r="J409" i="74"/>
  <c r="D409" i="74"/>
  <c r="J301" i="74"/>
  <c r="D124" i="74"/>
  <c r="J178" i="74"/>
  <c r="J369" i="74"/>
  <c r="J395" i="74"/>
  <c r="D342" i="74"/>
  <c r="D314" i="74"/>
  <c r="D355" i="74"/>
  <c r="J262" i="74"/>
  <c r="J449" i="74"/>
  <c r="J435" i="74"/>
  <c r="D423" i="74"/>
  <c r="J328" i="74"/>
  <c r="D56" i="74"/>
  <c r="D328" i="74"/>
  <c r="D369" i="74"/>
  <c r="J84" i="74"/>
  <c r="J96" i="74"/>
  <c r="J232" i="74"/>
  <c r="D151" i="74"/>
  <c r="D218" i="74"/>
  <c r="J287" i="74"/>
  <c r="D165" i="74"/>
  <c r="D84" i="74"/>
  <c r="J165" i="74"/>
  <c r="J274" i="74"/>
  <c r="D287" i="74"/>
  <c r="D40" i="74"/>
  <c r="D70" i="74"/>
  <c r="D262" i="74"/>
  <c r="D12" i="74"/>
  <c r="J56" i="74"/>
  <c r="D477" i="74"/>
  <c r="J40" i="74"/>
  <c r="I92" i="121"/>
  <c r="L92" i="121" s="1"/>
  <c r="R92" i="121" s="1"/>
  <c r="G92" i="121"/>
  <c r="K1145" i="74"/>
  <c r="O17" i="60"/>
  <c r="Q17" i="60" s="1"/>
  <c r="P12" i="72"/>
  <c r="P31" i="72" s="1"/>
  <c r="Q13" i="72"/>
  <c r="Q12" i="72" s="1"/>
  <c r="Q31" i="72" s="1"/>
  <c r="X14" i="51"/>
  <c r="X16" i="51" s="1"/>
  <c r="X13" i="51" s="1"/>
  <c r="O35" i="59"/>
  <c r="O36" i="59" s="1"/>
  <c r="K39" i="60"/>
  <c r="J33" i="72"/>
  <c r="J34" i="72" s="1"/>
  <c r="D532" i="74"/>
  <c r="K518" i="74"/>
  <c r="G29" i="126"/>
  <c r="H29" i="126" s="1"/>
  <c r="Q219" i="54"/>
  <c r="K20" i="77"/>
  <c r="G22" i="75"/>
  <c r="O22" i="75" s="1"/>
  <c r="P22" i="75" s="1"/>
  <c r="Q22" i="75" s="1"/>
  <c r="O19" i="75"/>
  <c r="P19" i="75" s="1"/>
  <c r="Q19" i="75" s="1"/>
  <c r="J23" i="77"/>
  <c r="L23" i="77" s="1"/>
  <c r="M23" i="77" s="1"/>
  <c r="J20" i="77"/>
  <c r="J100" i="89"/>
  <c r="J110" i="89" s="1"/>
  <c r="O110" i="89" s="1"/>
  <c r="T110" i="89" s="1"/>
  <c r="G110" i="89"/>
  <c r="AH24" i="62"/>
  <c r="AI22" i="62"/>
  <c r="O251" i="1"/>
  <c r="K250" i="1"/>
  <c r="W18" i="89"/>
  <c r="AP45" i="109"/>
  <c r="AK192" i="109"/>
  <c r="V15" i="59"/>
  <c r="U15" i="59"/>
  <c r="U13" i="59" s="1"/>
  <c r="T13" i="59"/>
  <c r="S15" i="59"/>
  <c r="R13" i="59"/>
  <c r="P27" i="84"/>
  <c r="L26" i="84"/>
  <c r="L31" i="84" s="1"/>
  <c r="AF211" i="109"/>
  <c r="AF209" i="109"/>
  <c r="R15" i="1"/>
  <c r="R14" i="1" s="1"/>
  <c r="AF23" i="62"/>
  <c r="AI21" i="62"/>
  <c r="R249" i="1" l="1"/>
  <c r="R218" i="1" s="1"/>
  <c r="K218" i="1"/>
  <c r="D28" i="41"/>
  <c r="G28" i="41" s="1"/>
  <c r="J27" i="59"/>
  <c r="K27" i="59" s="1"/>
  <c r="I30" i="60"/>
  <c r="G30" i="60"/>
  <c r="G17" i="75"/>
  <c r="O17" i="75" s="1"/>
  <c r="O16" i="75" s="1"/>
  <c r="F17" i="77"/>
  <c r="K17" i="77" s="1"/>
  <c r="L17" i="77" s="1"/>
  <c r="M17" i="77" s="1"/>
  <c r="M16" i="77" s="1"/>
  <c r="D975" i="74"/>
  <c r="I256" i="74"/>
  <c r="J256" i="74" s="1"/>
  <c r="C267" i="74"/>
  <c r="D267" i="74" s="1"/>
  <c r="I5" i="74"/>
  <c r="J5" i="74" s="1"/>
  <c r="C6" i="74"/>
  <c r="D6" i="74" s="1"/>
  <c r="D263" i="74"/>
  <c r="K1175" i="74"/>
  <c r="K1203" i="74"/>
  <c r="K1298" i="74"/>
  <c r="K1326" i="74"/>
  <c r="K1230" i="74"/>
  <c r="K1244" i="74"/>
  <c r="K1257" i="74"/>
  <c r="K1285" i="74"/>
  <c r="K1312" i="74"/>
  <c r="K1352" i="74"/>
  <c r="K1271" i="74"/>
  <c r="K1339" i="74"/>
  <c r="K1162" i="74"/>
  <c r="C974" i="74"/>
  <c r="D974" i="74" s="1"/>
  <c r="C973" i="74"/>
  <c r="D973" i="74" s="1"/>
  <c r="G14" i="76"/>
  <c r="C26" i="126"/>
  <c r="E26" i="126" s="1"/>
  <c r="I15" i="97"/>
  <c r="J15" i="97" s="1"/>
  <c r="L20" i="77"/>
  <c r="M20" i="77" s="1"/>
  <c r="AH26" i="62"/>
  <c r="AI24" i="62"/>
  <c r="T27" i="84"/>
  <c r="P26" i="84"/>
  <c r="P31" i="84" s="1"/>
  <c r="AF25" i="62"/>
  <c r="AI23" i="62"/>
  <c r="M18" i="60"/>
  <c r="S13" i="59"/>
  <c r="W15" i="59"/>
  <c r="V13" i="59"/>
  <c r="O250" i="1"/>
  <c r="R251" i="1"/>
  <c r="R250" i="1" s="1"/>
  <c r="J30" i="60" l="1"/>
  <c r="L30" i="60" s="1"/>
  <c r="G29" i="60"/>
  <c r="G36" i="60" s="1"/>
  <c r="M17" i="75"/>
  <c r="M16" i="75" s="1"/>
  <c r="P17" i="75"/>
  <c r="P16" i="75" s="1"/>
  <c r="L16" i="77"/>
  <c r="D977" i="74"/>
  <c r="K16" i="77"/>
  <c r="G21" i="75"/>
  <c r="O21" i="75" s="1"/>
  <c r="O20" i="75" s="1"/>
  <c r="G18" i="76"/>
  <c r="M21" i="75"/>
  <c r="J975" i="74"/>
  <c r="C268" i="74"/>
  <c r="D268" i="74" s="1"/>
  <c r="J259" i="74"/>
  <c r="I267" i="74"/>
  <c r="J267" i="74" s="1"/>
  <c r="C19" i="74"/>
  <c r="D19" i="74" s="1"/>
  <c r="I6" i="74"/>
  <c r="J6" i="74" s="1"/>
  <c r="D9" i="74"/>
  <c r="D981" i="74"/>
  <c r="I974" i="74"/>
  <c r="J974" i="74" s="1"/>
  <c r="I973" i="74"/>
  <c r="J973" i="74" s="1"/>
  <c r="E13" i="122"/>
  <c r="E18" i="122" s="1"/>
  <c r="J14" i="76"/>
  <c r="G28" i="59"/>
  <c r="I31" i="60" s="1"/>
  <c r="J31" i="60" s="1"/>
  <c r="L31" i="60" s="1"/>
  <c r="M14" i="76"/>
  <c r="AH28" i="62"/>
  <c r="AI28" i="62" s="1"/>
  <c r="AI26" i="62"/>
  <c r="P18" i="60"/>
  <c r="P16" i="60" s="1"/>
  <c r="W13" i="59"/>
  <c r="AF27" i="62"/>
  <c r="AI25" i="62"/>
  <c r="O18" i="60"/>
  <c r="M16" i="60"/>
  <c r="Q27" i="59"/>
  <c r="W27" i="84"/>
  <c r="T26" i="84"/>
  <c r="N17" i="75" l="1"/>
  <c r="N16" i="75" s="1"/>
  <c r="J977" i="74"/>
  <c r="P21" i="75"/>
  <c r="P20" i="75" s="1"/>
  <c r="M18" i="76"/>
  <c r="J18" i="76"/>
  <c r="M20" i="75"/>
  <c r="N21" i="75"/>
  <c r="D988" i="74"/>
  <c r="D271" i="74"/>
  <c r="J257" i="74"/>
  <c r="J263" i="74" s="1"/>
  <c r="K263" i="74" s="1"/>
  <c r="I268" i="74"/>
  <c r="J268" i="74" s="1"/>
  <c r="C280" i="74"/>
  <c r="D280" i="74" s="1"/>
  <c r="I19" i="74"/>
  <c r="J19" i="74" s="1"/>
  <c r="J9" i="74"/>
  <c r="D7" i="74"/>
  <c r="D13" i="74" s="1"/>
  <c r="C20" i="74"/>
  <c r="D20" i="74" s="1"/>
  <c r="C987" i="74"/>
  <c r="D987" i="74" s="1"/>
  <c r="C986" i="74"/>
  <c r="D986" i="74" s="1"/>
  <c r="J981" i="74"/>
  <c r="K981" i="74" s="1"/>
  <c r="G26" i="59"/>
  <c r="J28" i="59"/>
  <c r="K28" i="59" s="1"/>
  <c r="J29" i="60"/>
  <c r="J36" i="60" s="1"/>
  <c r="L29" i="60"/>
  <c r="L36" i="60" s="1"/>
  <c r="W26" i="84"/>
  <c r="W31" i="84" s="1"/>
  <c r="Z27" i="84"/>
  <c r="Z26" i="84" s="1"/>
  <c r="R27" i="59"/>
  <c r="Q18" i="60"/>
  <c r="Q16" i="60" s="1"/>
  <c r="O16" i="60"/>
  <c r="AF29" i="62"/>
  <c r="AI29" i="62" s="1"/>
  <c r="AI27" i="62"/>
  <c r="Q17" i="75" l="1"/>
  <c r="Q16" i="75" s="1"/>
  <c r="D990" i="74"/>
  <c r="Q21" i="75"/>
  <c r="Q20" i="75" s="1"/>
  <c r="N20" i="75"/>
  <c r="H16" i="97"/>
  <c r="I14" i="97"/>
  <c r="J988" i="74"/>
  <c r="C281" i="74"/>
  <c r="D281" i="74" s="1"/>
  <c r="I280" i="74"/>
  <c r="J280" i="74" s="1"/>
  <c r="J271" i="74"/>
  <c r="D269" i="74"/>
  <c r="D275" i="74" s="1"/>
  <c r="D23" i="74"/>
  <c r="C33" i="74"/>
  <c r="D33" i="74" s="1"/>
  <c r="I20" i="74"/>
  <c r="J20" i="74" s="1"/>
  <c r="J7" i="74"/>
  <c r="J13" i="74" s="1"/>
  <c r="K13" i="74" s="1"/>
  <c r="I987" i="74"/>
  <c r="J987" i="74" s="1"/>
  <c r="D994" i="74"/>
  <c r="I986" i="74"/>
  <c r="J986" i="74" s="1"/>
  <c r="J26" i="59"/>
  <c r="J33" i="59" s="1"/>
  <c r="Q28" i="59"/>
  <c r="K26" i="59"/>
  <c r="K33" i="59" s="1"/>
  <c r="F37" i="60" s="1"/>
  <c r="F38" i="60" s="1"/>
  <c r="F39" i="60" s="1"/>
  <c r="S27" i="59"/>
  <c r="T27" i="59"/>
  <c r="G39" i="41" l="1"/>
  <c r="G38" i="41" s="1"/>
  <c r="I39" i="41"/>
  <c r="D18" i="122"/>
  <c r="J14" i="97"/>
  <c r="J16" i="97" s="1"/>
  <c r="I16" i="97"/>
  <c r="E37" i="126"/>
  <c r="E36" i="126" s="1"/>
  <c r="G36" i="126" s="1"/>
  <c r="J990" i="74"/>
  <c r="D1002" i="74"/>
  <c r="J269" i="74"/>
  <c r="J275" i="74" s="1"/>
  <c r="K275" i="74" s="1"/>
  <c r="I281" i="74"/>
  <c r="J281" i="74" s="1"/>
  <c r="D284" i="74"/>
  <c r="C294" i="74"/>
  <c r="D294" i="74" s="1"/>
  <c r="C34" i="74"/>
  <c r="D34" i="74" s="1"/>
  <c r="D21" i="74"/>
  <c r="D27" i="74" s="1"/>
  <c r="J23" i="74"/>
  <c r="I33" i="74"/>
  <c r="J33" i="74" s="1"/>
  <c r="C1001" i="74"/>
  <c r="D1001" i="74" s="1"/>
  <c r="J994" i="74"/>
  <c r="K994" i="74" s="1"/>
  <c r="C1000" i="74"/>
  <c r="D1000" i="74" s="1"/>
  <c r="R28" i="59"/>
  <c r="T28" i="59" s="1"/>
  <c r="T26" i="59" s="1"/>
  <c r="T33" i="59" s="1"/>
  <c r="O37" i="60" s="1"/>
  <c r="O38" i="60" s="1"/>
  <c r="Q26" i="59"/>
  <c r="Q33" i="59" s="1"/>
  <c r="L37" i="60" s="1"/>
  <c r="L38" i="60" s="1"/>
  <c r="L39" i="60" s="1"/>
  <c r="V27" i="59"/>
  <c r="U27" i="59"/>
  <c r="M30" i="60"/>
  <c r="D1004" i="74" l="1"/>
  <c r="J1002" i="74"/>
  <c r="C295" i="74"/>
  <c r="D295" i="74" s="1"/>
  <c r="D282" i="74"/>
  <c r="D288" i="74" s="1"/>
  <c r="J284" i="74"/>
  <c r="I294" i="74"/>
  <c r="J294" i="74" s="1"/>
  <c r="J21" i="74"/>
  <c r="J27" i="74" s="1"/>
  <c r="K27" i="74" s="1"/>
  <c r="D37" i="74"/>
  <c r="C49" i="74"/>
  <c r="D49" i="74" s="1"/>
  <c r="I34" i="74"/>
  <c r="J34" i="74" s="1"/>
  <c r="I1001" i="74"/>
  <c r="J1001" i="74" s="1"/>
  <c r="D1008" i="74"/>
  <c r="I1000" i="74"/>
  <c r="J1000" i="74" s="1"/>
  <c r="S28" i="59"/>
  <c r="R26" i="59"/>
  <c r="R33" i="59" s="1"/>
  <c r="M37" i="60" s="1"/>
  <c r="M38" i="60" s="1"/>
  <c r="V28" i="59"/>
  <c r="W28" i="59" s="1"/>
  <c r="P31" i="60" s="1"/>
  <c r="U28" i="59"/>
  <c r="U26" i="59" s="1"/>
  <c r="U33" i="59" s="1"/>
  <c r="O30" i="60"/>
  <c r="W27" i="59"/>
  <c r="J1004" i="74" l="1"/>
  <c r="D1016" i="74"/>
  <c r="C307" i="74"/>
  <c r="D307" i="74" s="1"/>
  <c r="I295" i="74"/>
  <c r="J295" i="74" s="1"/>
  <c r="J282" i="74"/>
  <c r="J288" i="74" s="1"/>
  <c r="K288" i="74" s="1"/>
  <c r="D298" i="74"/>
  <c r="C50" i="74"/>
  <c r="D50" i="74" s="1"/>
  <c r="I49" i="74"/>
  <c r="J49" i="74" s="1"/>
  <c r="D35" i="74"/>
  <c r="D41" i="74" s="1"/>
  <c r="J37" i="74"/>
  <c r="C1015" i="74"/>
  <c r="D1015" i="74" s="1"/>
  <c r="J1008" i="74"/>
  <c r="K1008" i="74" s="1"/>
  <c r="C1014" i="74"/>
  <c r="D1014" i="74" s="1"/>
  <c r="M31" i="60"/>
  <c r="S26" i="59"/>
  <c r="S33" i="59" s="1"/>
  <c r="V26" i="59"/>
  <c r="V33" i="59" s="1"/>
  <c r="E22" i="69" s="1"/>
  <c r="E23" i="69" s="1"/>
  <c r="E24" i="69" s="1"/>
  <c r="H24" i="69" s="1"/>
  <c r="P30" i="60"/>
  <c r="W26" i="59"/>
  <c r="W33" i="59" s="1"/>
  <c r="D1018" i="74" l="1"/>
  <c r="J1016" i="74"/>
  <c r="C308" i="74"/>
  <c r="D308" i="74" s="1"/>
  <c r="D296" i="74"/>
  <c r="D302" i="74" s="1"/>
  <c r="J298" i="74"/>
  <c r="I307" i="74"/>
  <c r="J307" i="74" s="1"/>
  <c r="C63" i="74"/>
  <c r="D63" i="74" s="1"/>
  <c r="J35" i="74"/>
  <c r="J41" i="74" s="1"/>
  <c r="K41" i="74" s="1"/>
  <c r="K236" i="74" s="1"/>
  <c r="I50" i="74"/>
  <c r="J50" i="74" s="1"/>
  <c r="D53" i="74"/>
  <c r="D1022" i="74"/>
  <c r="I1015" i="74"/>
  <c r="J1015" i="74" s="1"/>
  <c r="I1014" i="74"/>
  <c r="J1014" i="74" s="1"/>
  <c r="P37" i="60"/>
  <c r="P38" i="60" s="1"/>
  <c r="O31" i="60"/>
  <c r="M29" i="60"/>
  <c r="M36" i="60" s="1"/>
  <c r="P29" i="60"/>
  <c r="P36" i="60" s="1"/>
  <c r="Q30" i="60"/>
  <c r="J1018" i="74" l="1"/>
  <c r="D1029" i="74"/>
  <c r="I308" i="74"/>
  <c r="J308" i="74" s="1"/>
  <c r="D311" i="74"/>
  <c r="C321" i="74"/>
  <c r="D321" i="74" s="1"/>
  <c r="J296" i="74"/>
  <c r="J302" i="74" s="1"/>
  <c r="K302" i="74" s="1"/>
  <c r="C64" i="74"/>
  <c r="D64" i="74" s="1"/>
  <c r="D51" i="74"/>
  <c r="D57" i="74" s="1"/>
  <c r="J53" i="74"/>
  <c r="I63" i="74"/>
  <c r="J63" i="74" s="1"/>
  <c r="C1028" i="74"/>
  <c r="D1028" i="74" s="1"/>
  <c r="J1022" i="74"/>
  <c r="K1022" i="74" s="1"/>
  <c r="C1027" i="74"/>
  <c r="D1027" i="74" s="1"/>
  <c r="S35" i="59"/>
  <c r="S36" i="59" s="1"/>
  <c r="M39" i="60"/>
  <c r="M33" i="72"/>
  <c r="M34" i="72" s="1"/>
  <c r="O29" i="60"/>
  <c r="O36" i="60" s="1"/>
  <c r="T33" i="60" s="1"/>
  <c r="Q31" i="60"/>
  <c r="Q29" i="60" s="1"/>
  <c r="Q36" i="60" s="1"/>
  <c r="T36" i="60"/>
  <c r="V36" i="60"/>
  <c r="P39" i="60"/>
  <c r="T39" i="60" s="1"/>
  <c r="D1031" i="74" l="1"/>
  <c r="J1029" i="74"/>
  <c r="J311" i="74"/>
  <c r="D309" i="74"/>
  <c r="D315" i="74" s="1"/>
  <c r="C322" i="74"/>
  <c r="D322" i="74" s="1"/>
  <c r="I321" i="74"/>
  <c r="J321" i="74" s="1"/>
  <c r="I64" i="74"/>
  <c r="J64" i="74" s="1"/>
  <c r="J51" i="74"/>
  <c r="J57" i="74" s="1"/>
  <c r="K57" i="74" s="1"/>
  <c r="D67" i="74"/>
  <c r="C77" i="74"/>
  <c r="D77" i="74" s="1"/>
  <c r="I1028" i="74"/>
  <c r="J1028" i="74" s="1"/>
  <c r="D1035" i="74"/>
  <c r="I1027" i="74"/>
  <c r="J1027" i="74" s="1"/>
  <c r="O39" i="60"/>
  <c r="O33" i="72"/>
  <c r="O34" i="72" s="1"/>
  <c r="U35" i="59"/>
  <c r="U36" i="59" s="1"/>
  <c r="J1031" i="74" l="1"/>
  <c r="D1043" i="74"/>
  <c r="D325" i="74"/>
  <c r="I322" i="74"/>
  <c r="J322" i="74" s="1"/>
  <c r="J309" i="74"/>
  <c r="J315" i="74" s="1"/>
  <c r="K315" i="74" s="1"/>
  <c r="C335" i="74"/>
  <c r="D335" i="74" s="1"/>
  <c r="J67" i="74"/>
  <c r="C78" i="74"/>
  <c r="D78" i="74" s="1"/>
  <c r="D65" i="74"/>
  <c r="D71" i="74" s="1"/>
  <c r="I77" i="74"/>
  <c r="J77" i="74" s="1"/>
  <c r="C1042" i="74"/>
  <c r="D1042" i="74" s="1"/>
  <c r="J1035" i="74"/>
  <c r="K1035" i="74" s="1"/>
  <c r="C1041" i="74"/>
  <c r="D1041" i="74" s="1"/>
  <c r="D1045" i="74" l="1"/>
  <c r="J1043" i="74"/>
  <c r="D323" i="74"/>
  <c r="D329" i="74" s="1"/>
  <c r="I335" i="74"/>
  <c r="J335" i="74" s="1"/>
  <c r="C336" i="74"/>
  <c r="D336" i="74" s="1"/>
  <c r="J325" i="74"/>
  <c r="J65" i="74"/>
  <c r="J71" i="74" s="1"/>
  <c r="K71" i="74" s="1"/>
  <c r="D81" i="74"/>
  <c r="I78" i="74"/>
  <c r="J78" i="74" s="1"/>
  <c r="C89" i="74"/>
  <c r="D89" i="74" s="1"/>
  <c r="I1042" i="74"/>
  <c r="J1042" i="74" s="1"/>
  <c r="D1049" i="74"/>
  <c r="I1041" i="74"/>
  <c r="J1041" i="74" s="1"/>
  <c r="J1045" i="74" l="1"/>
  <c r="D1057" i="74"/>
  <c r="J323" i="74"/>
  <c r="J329" i="74" s="1"/>
  <c r="K329" i="74" s="1"/>
  <c r="C348" i="74"/>
  <c r="D348" i="74" s="1"/>
  <c r="D339" i="74"/>
  <c r="I336" i="74"/>
  <c r="J336" i="74" s="1"/>
  <c r="I89" i="74"/>
  <c r="J89" i="74" s="1"/>
  <c r="C90" i="74"/>
  <c r="D90" i="74" s="1"/>
  <c r="J81" i="74"/>
  <c r="D79" i="74"/>
  <c r="D85" i="74" s="1"/>
  <c r="C1056" i="74"/>
  <c r="D1056" i="74" s="1"/>
  <c r="J1049" i="74"/>
  <c r="K1049" i="74" s="1"/>
  <c r="C1055" i="74"/>
  <c r="D1055" i="74" s="1"/>
  <c r="D1059" i="74" l="1"/>
  <c r="J1057" i="74"/>
  <c r="I348" i="74"/>
  <c r="J348" i="74" s="1"/>
  <c r="J339" i="74"/>
  <c r="D337" i="74"/>
  <c r="D343" i="74" s="1"/>
  <c r="C349" i="74"/>
  <c r="D349" i="74" s="1"/>
  <c r="C103" i="74"/>
  <c r="D103" i="74" s="1"/>
  <c r="J79" i="74"/>
  <c r="J85" i="74" s="1"/>
  <c r="K85" i="74" s="1"/>
  <c r="D93" i="74"/>
  <c r="I90" i="74"/>
  <c r="J90" i="74" s="1"/>
  <c r="I1056" i="74"/>
  <c r="J1056" i="74" s="1"/>
  <c r="I1055" i="74"/>
  <c r="J1055" i="74" s="1"/>
  <c r="D1063" i="74"/>
  <c r="D1071" i="74" l="1"/>
  <c r="J1059" i="74"/>
  <c r="D352" i="74"/>
  <c r="J337" i="74"/>
  <c r="J343" i="74" s="1"/>
  <c r="K343" i="74" s="1"/>
  <c r="I349" i="74"/>
  <c r="J349" i="74" s="1"/>
  <c r="C362" i="74"/>
  <c r="D362" i="74" s="1"/>
  <c r="D91" i="74"/>
  <c r="D97" i="74" s="1"/>
  <c r="C104" i="74"/>
  <c r="D104" i="74" s="1"/>
  <c r="J93" i="74"/>
  <c r="I103" i="74"/>
  <c r="J103" i="74" s="1"/>
  <c r="C1070" i="74"/>
  <c r="D1070" i="74" s="1"/>
  <c r="J1063" i="74"/>
  <c r="K1063" i="74" s="1"/>
  <c r="C1069" i="74"/>
  <c r="D1069" i="74" s="1"/>
  <c r="D1073" i="74" l="1"/>
  <c r="J1071" i="74"/>
  <c r="J352" i="74"/>
  <c r="I362" i="74"/>
  <c r="J362" i="74" s="1"/>
  <c r="C363" i="74"/>
  <c r="D363" i="74" s="1"/>
  <c r="D350" i="74"/>
  <c r="D356" i="74" s="1"/>
  <c r="J91" i="74"/>
  <c r="J97" i="74" s="1"/>
  <c r="K97" i="74" s="1"/>
  <c r="I104" i="74"/>
  <c r="J104" i="74" s="1"/>
  <c r="D107" i="74"/>
  <c r="C117" i="74"/>
  <c r="D117" i="74" s="1"/>
  <c r="I1070" i="74"/>
  <c r="J1070" i="74" s="1"/>
  <c r="D1077" i="74"/>
  <c r="I1069" i="74"/>
  <c r="J1069" i="74" s="1"/>
  <c r="J1073" i="74" l="1"/>
  <c r="D1085" i="74"/>
  <c r="C376" i="74"/>
  <c r="D376" i="74" s="1"/>
  <c r="D366" i="74"/>
  <c r="J350" i="74"/>
  <c r="J356" i="74" s="1"/>
  <c r="K356" i="74" s="1"/>
  <c r="I363" i="74"/>
  <c r="J363" i="74" s="1"/>
  <c r="C118" i="74"/>
  <c r="D118" i="74" s="1"/>
  <c r="I117" i="74"/>
  <c r="J117" i="74" s="1"/>
  <c r="D105" i="74"/>
  <c r="D111" i="74" s="1"/>
  <c r="J107" i="74"/>
  <c r="C1084" i="74"/>
  <c r="D1084" i="74" s="1"/>
  <c r="J1077" i="74"/>
  <c r="K1077" i="74" s="1"/>
  <c r="C1083" i="74"/>
  <c r="D1083" i="74" s="1"/>
  <c r="J1085" i="74" l="1"/>
  <c r="D1087" i="74"/>
  <c r="J366" i="74"/>
  <c r="D364" i="74"/>
  <c r="D370" i="74" s="1"/>
  <c r="C377" i="74"/>
  <c r="D377" i="74" s="1"/>
  <c r="I376" i="74"/>
  <c r="J376" i="74" s="1"/>
  <c r="J105" i="74"/>
  <c r="J111" i="74" s="1"/>
  <c r="K111" i="74" s="1"/>
  <c r="C130" i="74"/>
  <c r="D130" i="74" s="1"/>
  <c r="I118" i="74"/>
  <c r="J118" i="74" s="1"/>
  <c r="D121" i="74"/>
  <c r="I1084" i="74"/>
  <c r="J1084" i="74" s="1"/>
  <c r="D1091" i="74"/>
  <c r="I1083" i="74"/>
  <c r="J1083" i="74" s="1"/>
  <c r="D1099" i="74" l="1"/>
  <c r="J1087" i="74"/>
  <c r="I377" i="74"/>
  <c r="J377" i="74" s="1"/>
  <c r="J364" i="74"/>
  <c r="J370" i="74" s="1"/>
  <c r="K370" i="74" s="1"/>
  <c r="C388" i="74"/>
  <c r="D388" i="74" s="1"/>
  <c r="D380" i="74"/>
  <c r="D119" i="74"/>
  <c r="D125" i="74" s="1"/>
  <c r="I130" i="74"/>
  <c r="J130" i="74" s="1"/>
  <c r="C131" i="74"/>
  <c r="D131" i="74" s="1"/>
  <c r="J121" i="74"/>
  <c r="C1098" i="74"/>
  <c r="D1098" i="74" s="1"/>
  <c r="J1091" i="74"/>
  <c r="K1091" i="74" s="1"/>
  <c r="C1097" i="74"/>
  <c r="D1097" i="74" s="1"/>
  <c r="D1101" i="74" l="1"/>
  <c r="J1099" i="74"/>
  <c r="J380" i="74"/>
  <c r="C389" i="74"/>
  <c r="D389" i="74" s="1"/>
  <c r="I388" i="74"/>
  <c r="J388" i="74" s="1"/>
  <c r="D378" i="74"/>
  <c r="D384" i="74" s="1"/>
  <c r="I131" i="74"/>
  <c r="J131" i="74" s="1"/>
  <c r="C144" i="74"/>
  <c r="D144" i="74" s="1"/>
  <c r="J119" i="74"/>
  <c r="J125" i="74" s="1"/>
  <c r="K125" i="74" s="1"/>
  <c r="D134" i="74"/>
  <c r="I1098" i="74"/>
  <c r="J1098" i="74" s="1"/>
  <c r="D1105" i="74"/>
  <c r="I1097" i="74"/>
  <c r="J1097" i="74" s="1"/>
  <c r="D1111" i="74" l="1"/>
  <c r="J1101" i="74"/>
  <c r="D392" i="74"/>
  <c r="J378" i="74"/>
  <c r="J384" i="74" s="1"/>
  <c r="K384" i="74" s="1"/>
  <c r="C402" i="74"/>
  <c r="D402" i="74" s="1"/>
  <c r="I389" i="74"/>
  <c r="J389" i="74" s="1"/>
  <c r="I144" i="74"/>
  <c r="J144" i="74" s="1"/>
  <c r="C145" i="74"/>
  <c r="D145" i="74" s="1"/>
  <c r="D132" i="74"/>
  <c r="D138" i="74" s="1"/>
  <c r="J134" i="74"/>
  <c r="C1110" i="74"/>
  <c r="D1110" i="74" s="1"/>
  <c r="J1105" i="74"/>
  <c r="K1105" i="74" s="1"/>
  <c r="C1109" i="74"/>
  <c r="D1109" i="74" s="1"/>
  <c r="D1113" i="74" l="1"/>
  <c r="J1111" i="74"/>
  <c r="I402" i="74"/>
  <c r="J402" i="74" s="1"/>
  <c r="D390" i="74"/>
  <c r="D396" i="74" s="1"/>
  <c r="J392" i="74"/>
  <c r="C403" i="74"/>
  <c r="D403" i="74" s="1"/>
  <c r="C158" i="74"/>
  <c r="D158" i="74" s="1"/>
  <c r="J132" i="74"/>
  <c r="J138" i="74" s="1"/>
  <c r="K138" i="74" s="1"/>
  <c r="D148" i="74"/>
  <c r="I145" i="74"/>
  <c r="J145" i="74" s="1"/>
  <c r="I1110" i="74"/>
  <c r="J1110" i="74" s="1"/>
  <c r="D1117" i="74"/>
  <c r="I1109" i="74"/>
  <c r="J1109" i="74" s="1"/>
  <c r="J1113" i="74" l="1"/>
  <c r="D1125" i="74"/>
  <c r="C416" i="74"/>
  <c r="D416" i="74" s="1"/>
  <c r="J390" i="74"/>
  <c r="J396" i="74" s="1"/>
  <c r="K396" i="74" s="1"/>
  <c r="D406" i="74"/>
  <c r="I403" i="74"/>
  <c r="J403" i="74" s="1"/>
  <c r="C159" i="74"/>
  <c r="D159" i="74" s="1"/>
  <c r="I158" i="74"/>
  <c r="J158" i="74" s="1"/>
  <c r="D146" i="74"/>
  <c r="D152" i="74" s="1"/>
  <c r="J148" i="74"/>
  <c r="C1124" i="74"/>
  <c r="D1124" i="74" s="1"/>
  <c r="J1117" i="74"/>
  <c r="K1117" i="74" s="1"/>
  <c r="C1123" i="74"/>
  <c r="D1123" i="74" s="1"/>
  <c r="M1146" i="74"/>
  <c r="D1127" i="74" l="1"/>
  <c r="D404" i="74"/>
  <c r="D410" i="74" s="1"/>
  <c r="C417" i="74"/>
  <c r="D417" i="74" s="1"/>
  <c r="J406" i="74"/>
  <c r="I416" i="74"/>
  <c r="J416" i="74" s="1"/>
  <c r="C171" i="74"/>
  <c r="D171" i="74" s="1"/>
  <c r="D162" i="74"/>
  <c r="J146" i="74"/>
  <c r="J152" i="74" s="1"/>
  <c r="K152" i="74" s="1"/>
  <c r="I159" i="74"/>
  <c r="J159" i="74" s="1"/>
  <c r="D1131" i="74"/>
  <c r="K1131" i="74" s="1"/>
  <c r="K1146" i="74" s="1"/>
  <c r="N1146" i="74" s="1"/>
  <c r="C428" i="74" l="1"/>
  <c r="D428" i="74" s="1"/>
  <c r="I417" i="74"/>
  <c r="J417" i="74" s="1"/>
  <c r="J404" i="74"/>
  <c r="J410" i="74" s="1"/>
  <c r="K410" i="74" s="1"/>
  <c r="D420" i="74"/>
  <c r="J162" i="74"/>
  <c r="I171" i="74"/>
  <c r="J171" i="74" s="1"/>
  <c r="D160" i="74"/>
  <c r="D166" i="74" s="1"/>
  <c r="C172" i="74"/>
  <c r="D172" i="74" s="1"/>
  <c r="D418" i="74" l="1"/>
  <c r="C429" i="74"/>
  <c r="D429" i="74" s="1"/>
  <c r="J420" i="74"/>
  <c r="I428" i="74"/>
  <c r="J428" i="74" s="1"/>
  <c r="C185" i="74"/>
  <c r="D185" i="74" s="1"/>
  <c r="I172" i="74"/>
  <c r="J172" i="74" s="1"/>
  <c r="J160" i="74"/>
  <c r="J166" i="74" s="1"/>
  <c r="K166" i="74" s="1"/>
  <c r="D175" i="74"/>
  <c r="C442" i="74" l="1"/>
  <c r="D442" i="74" s="1"/>
  <c r="I429" i="74"/>
  <c r="J429" i="74" s="1"/>
  <c r="S19" i="121"/>
  <c r="U19" i="121" s="1"/>
  <c r="V19" i="121" s="1"/>
  <c r="D432" i="74"/>
  <c r="J418" i="74"/>
  <c r="I185" i="74"/>
  <c r="J185" i="74" s="1"/>
  <c r="J175" i="74"/>
  <c r="D173" i="74"/>
  <c r="D179" i="74" s="1"/>
  <c r="C186" i="74"/>
  <c r="D186" i="74" s="1"/>
  <c r="J526" i="74" l="1"/>
  <c r="C443" i="74"/>
  <c r="D443" i="74" s="1"/>
  <c r="I442" i="74"/>
  <c r="J442" i="74" s="1"/>
  <c r="D430" i="74"/>
  <c r="D436" i="74" s="1"/>
  <c r="J432" i="74"/>
  <c r="S20" i="121"/>
  <c r="U20" i="121" s="1"/>
  <c r="V20" i="121" s="1"/>
  <c r="D189" i="74"/>
  <c r="I186" i="74"/>
  <c r="J186" i="74" s="1"/>
  <c r="C199" i="74"/>
  <c r="D199" i="74" s="1"/>
  <c r="J173" i="74"/>
  <c r="J179" i="74" s="1"/>
  <c r="K179" i="74" s="1"/>
  <c r="I525" i="74"/>
  <c r="J525" i="74" s="1"/>
  <c r="I524" i="74"/>
  <c r="J524" i="74" s="1"/>
  <c r="J528" i="74" l="1"/>
  <c r="D540" i="74"/>
  <c r="I443" i="74"/>
  <c r="J443" i="74" s="1"/>
  <c r="J430" i="74"/>
  <c r="J436" i="74" s="1"/>
  <c r="K436" i="74" s="1"/>
  <c r="C456" i="74"/>
  <c r="D456" i="74" s="1"/>
  <c r="S21" i="121"/>
  <c r="U21" i="121" s="1"/>
  <c r="V21" i="121" s="1"/>
  <c r="D446" i="74"/>
  <c r="D187" i="74"/>
  <c r="D193" i="74" s="1"/>
  <c r="I199" i="74"/>
  <c r="J199" i="74" s="1"/>
  <c r="C200" i="74"/>
  <c r="D200" i="74" s="1"/>
  <c r="J189" i="74"/>
  <c r="J532" i="74"/>
  <c r="K532" i="74" s="1"/>
  <c r="C539" i="74"/>
  <c r="D539" i="74" s="1"/>
  <c r="C538" i="74"/>
  <c r="D538" i="74" s="1"/>
  <c r="D542" i="74" l="1"/>
  <c r="J540" i="74"/>
  <c r="I456" i="74"/>
  <c r="J456" i="74" s="1"/>
  <c r="J446" i="74"/>
  <c r="S22" i="121"/>
  <c r="U22" i="121" s="1"/>
  <c r="V22" i="121" s="1"/>
  <c r="C457" i="74"/>
  <c r="D457" i="74" s="1"/>
  <c r="D444" i="74"/>
  <c r="D450" i="74" s="1"/>
  <c r="J187" i="74"/>
  <c r="J193" i="74" s="1"/>
  <c r="K193" i="74" s="1"/>
  <c r="C211" i="74"/>
  <c r="D211" i="74" s="1"/>
  <c r="D203" i="74"/>
  <c r="I200" i="74"/>
  <c r="J200" i="74" s="1"/>
  <c r="I539" i="74"/>
  <c r="J539" i="74" s="1"/>
  <c r="D546" i="74"/>
  <c r="I538" i="74"/>
  <c r="J538" i="74" s="1"/>
  <c r="J542" i="74" l="1"/>
  <c r="D554" i="74"/>
  <c r="J444" i="74"/>
  <c r="J450" i="74" s="1"/>
  <c r="K450" i="74" s="1"/>
  <c r="S23" i="121"/>
  <c r="U23" i="121" s="1"/>
  <c r="V23" i="121" s="1"/>
  <c r="D460" i="74"/>
  <c r="I457" i="74"/>
  <c r="J457" i="74" s="1"/>
  <c r="C470" i="74"/>
  <c r="D470" i="74" s="1"/>
  <c r="D201" i="74"/>
  <c r="D207" i="74" s="1"/>
  <c r="I211" i="74"/>
  <c r="J211" i="74" s="1"/>
  <c r="J203" i="74"/>
  <c r="C212" i="74"/>
  <c r="D212" i="74" s="1"/>
  <c r="C553" i="74"/>
  <c r="D553" i="74" s="1"/>
  <c r="J546" i="74"/>
  <c r="K546" i="74" s="1"/>
  <c r="C552" i="74"/>
  <c r="D552" i="74" s="1"/>
  <c r="D556" i="74" l="1"/>
  <c r="J554" i="74"/>
  <c r="C471" i="74"/>
  <c r="D471" i="74" s="1"/>
  <c r="J460" i="74"/>
  <c r="S24" i="121"/>
  <c r="U24" i="121" s="1"/>
  <c r="V24" i="121" s="1"/>
  <c r="D458" i="74"/>
  <c r="D464" i="74" s="1"/>
  <c r="I470" i="74"/>
  <c r="J470" i="74" s="1"/>
  <c r="J201" i="74"/>
  <c r="J207" i="74" s="1"/>
  <c r="K207" i="74" s="1"/>
  <c r="I212" i="74"/>
  <c r="J212" i="74" s="1"/>
  <c r="D215" i="74"/>
  <c r="C225" i="74"/>
  <c r="D225" i="74" s="1"/>
  <c r="I553" i="74"/>
  <c r="J553" i="74" s="1"/>
  <c r="D560" i="74"/>
  <c r="I552" i="74"/>
  <c r="J552" i="74" s="1"/>
  <c r="J556" i="74" l="1"/>
  <c r="D568" i="74"/>
  <c r="J458" i="74"/>
  <c r="J464" i="74" s="1"/>
  <c r="K464" i="74" s="1"/>
  <c r="C484" i="74"/>
  <c r="D484" i="74" s="1"/>
  <c r="I471" i="74"/>
  <c r="J471" i="74" s="1"/>
  <c r="I484" i="74"/>
  <c r="J484" i="74" s="1"/>
  <c r="D474" i="74"/>
  <c r="S25" i="121"/>
  <c r="U25" i="121" s="1"/>
  <c r="V25" i="121" s="1"/>
  <c r="I225" i="74"/>
  <c r="J225" i="74" s="1"/>
  <c r="C226" i="74"/>
  <c r="D226" i="74" s="1"/>
  <c r="C239" i="74"/>
  <c r="D239" i="74" s="1"/>
  <c r="J215" i="74"/>
  <c r="D213" i="74"/>
  <c r="D219" i="74" s="1"/>
  <c r="J560" i="74"/>
  <c r="K560" i="74" s="1"/>
  <c r="C567" i="74"/>
  <c r="D567" i="74" s="1"/>
  <c r="C566" i="74"/>
  <c r="D566" i="74" s="1"/>
  <c r="D570" i="74" l="1"/>
  <c r="J568" i="74"/>
  <c r="D472" i="74"/>
  <c r="D478" i="74" s="1"/>
  <c r="J474" i="74"/>
  <c r="S26" i="121"/>
  <c r="U26" i="121" s="1"/>
  <c r="V26" i="121" s="1"/>
  <c r="C485" i="74"/>
  <c r="D485" i="74" s="1"/>
  <c r="I485" i="74"/>
  <c r="J485" i="74" s="1"/>
  <c r="G156" i="91"/>
  <c r="J156" i="91" s="1"/>
  <c r="G154" i="91"/>
  <c r="J154" i="91" s="1"/>
  <c r="G153" i="91"/>
  <c r="G155" i="91"/>
  <c r="J155" i="91" s="1"/>
  <c r="J213" i="74"/>
  <c r="J219" i="74" s="1"/>
  <c r="K219" i="74" s="1"/>
  <c r="I226" i="74"/>
  <c r="J226" i="74" s="1"/>
  <c r="C240" i="74"/>
  <c r="D240" i="74" s="1"/>
  <c r="D229" i="74"/>
  <c r="I567" i="74"/>
  <c r="J567" i="74" s="1"/>
  <c r="D574" i="74"/>
  <c r="I566" i="74"/>
  <c r="J566" i="74" s="1"/>
  <c r="J570" i="74" l="1"/>
  <c r="D582" i="74"/>
  <c r="D499" i="74"/>
  <c r="D505" i="74" s="1"/>
  <c r="K505" i="74" s="1"/>
  <c r="J488" i="74"/>
  <c r="D488" i="74"/>
  <c r="S27" i="121"/>
  <c r="U27" i="121" s="1"/>
  <c r="V27" i="121" s="1"/>
  <c r="J472" i="74"/>
  <c r="J478" i="74" s="1"/>
  <c r="K478" i="74" s="1"/>
  <c r="D227" i="74"/>
  <c r="D233" i="74" s="1"/>
  <c r="D243" i="74"/>
  <c r="G163" i="91"/>
  <c r="J153" i="91"/>
  <c r="J163" i="91" s="1"/>
  <c r="N163" i="91" s="1"/>
  <c r="S163" i="91" s="1"/>
  <c r="J229" i="74"/>
  <c r="C581" i="74"/>
  <c r="D581" i="74" s="1"/>
  <c r="J574" i="74"/>
  <c r="K574" i="74" s="1"/>
  <c r="C580" i="74"/>
  <c r="D580" i="74" s="1"/>
  <c r="D584" i="74" l="1"/>
  <c r="J582" i="74"/>
  <c r="S28" i="121"/>
  <c r="U28" i="121" s="1"/>
  <c r="V28" i="121" s="1"/>
  <c r="K29" i="121"/>
  <c r="J486" i="74"/>
  <c r="J492" i="74" s="1"/>
  <c r="D486" i="74"/>
  <c r="D492" i="74" s="1"/>
  <c r="J227" i="74"/>
  <c r="J233" i="74" s="1"/>
  <c r="K233" i="74" s="1"/>
  <c r="D241" i="74"/>
  <c r="D247" i="74" s="1"/>
  <c r="K247" i="74" s="1"/>
  <c r="I581" i="74"/>
  <c r="J581" i="74" s="1"/>
  <c r="D588" i="74"/>
  <c r="I580" i="74"/>
  <c r="J580" i="74" s="1"/>
  <c r="J584" i="74" l="1"/>
  <c r="D596" i="74"/>
  <c r="K492" i="74"/>
  <c r="C595" i="74"/>
  <c r="D595" i="74" s="1"/>
  <c r="J588" i="74"/>
  <c r="K588" i="74" s="1"/>
  <c r="C594" i="74"/>
  <c r="D594" i="74" s="1"/>
  <c r="D598" i="74" l="1"/>
  <c r="J596" i="74"/>
  <c r="I595" i="74"/>
  <c r="J595" i="74" s="1"/>
  <c r="D602" i="74"/>
  <c r="I594" i="74"/>
  <c r="J594" i="74" s="1"/>
  <c r="D610" i="74" l="1"/>
  <c r="J598" i="74"/>
  <c r="C609" i="74"/>
  <c r="D609" i="74" s="1"/>
  <c r="J602" i="74"/>
  <c r="K602" i="74" s="1"/>
  <c r="C608" i="74"/>
  <c r="D608" i="74" s="1"/>
  <c r="D612" i="74" l="1"/>
  <c r="J610" i="74"/>
  <c r="I609" i="74"/>
  <c r="J609" i="74" s="1"/>
  <c r="D616" i="74"/>
  <c r="I608" i="74"/>
  <c r="J608" i="74" s="1"/>
  <c r="J612" i="74" l="1"/>
  <c r="D624" i="74"/>
  <c r="C623" i="74"/>
  <c r="D623" i="74" s="1"/>
  <c r="J616" i="74"/>
  <c r="K616" i="74" s="1"/>
  <c r="C622" i="74"/>
  <c r="D622" i="74" s="1"/>
  <c r="D626" i="74" l="1"/>
  <c r="J624" i="74"/>
  <c r="I623" i="74"/>
  <c r="J623" i="74" s="1"/>
  <c r="D630" i="74"/>
  <c r="I622" i="74"/>
  <c r="J622" i="74" s="1"/>
  <c r="J626" i="74" l="1"/>
  <c r="D638" i="74"/>
  <c r="C637" i="74"/>
  <c r="D637" i="74" s="1"/>
  <c r="C636" i="74"/>
  <c r="D636" i="74" s="1"/>
  <c r="J630" i="74"/>
  <c r="K630" i="74" s="1"/>
  <c r="D640" i="74" l="1"/>
  <c r="J638" i="74"/>
  <c r="I637" i="74"/>
  <c r="J637" i="74" s="1"/>
  <c r="D644" i="74"/>
  <c r="I636" i="74"/>
  <c r="J636" i="74" s="1"/>
  <c r="J640" i="74" l="1"/>
  <c r="D651" i="74"/>
  <c r="C650" i="74"/>
  <c r="D650" i="74" s="1"/>
  <c r="J644" i="74"/>
  <c r="K644" i="74" s="1"/>
  <c r="C649" i="74"/>
  <c r="D649" i="74" s="1"/>
  <c r="D653" i="74" l="1"/>
  <c r="J651" i="74"/>
  <c r="I650" i="74"/>
  <c r="J650" i="74" s="1"/>
  <c r="D657" i="74"/>
  <c r="I649" i="74"/>
  <c r="J649" i="74" s="1"/>
  <c r="J653" i="74" l="1"/>
  <c r="D665" i="74"/>
  <c r="C664" i="74"/>
  <c r="D664" i="74" s="1"/>
  <c r="J657" i="74"/>
  <c r="K657" i="74" s="1"/>
  <c r="C663" i="74"/>
  <c r="D663" i="74" s="1"/>
  <c r="D667" i="74" l="1"/>
  <c r="J665" i="74"/>
  <c r="I664" i="74"/>
  <c r="J664" i="74" s="1"/>
  <c r="D671" i="74"/>
  <c r="I663" i="74"/>
  <c r="J663" i="74" s="1"/>
  <c r="J667" i="74" l="1"/>
  <c r="D679" i="74"/>
  <c r="C678" i="74"/>
  <c r="D678" i="74" s="1"/>
  <c r="J671" i="74"/>
  <c r="K671" i="74" s="1"/>
  <c r="C677" i="74"/>
  <c r="D677" i="74" s="1"/>
  <c r="D681" i="74" l="1"/>
  <c r="J679" i="74"/>
  <c r="I678" i="74"/>
  <c r="J678" i="74" s="1"/>
  <c r="D685" i="74"/>
  <c r="I677" i="74"/>
  <c r="J677" i="74" s="1"/>
  <c r="D696" i="74" l="1"/>
  <c r="J681" i="74"/>
  <c r="C695" i="74"/>
  <c r="D695" i="74" s="1"/>
  <c r="J685" i="74"/>
  <c r="K685" i="74" s="1"/>
  <c r="C694" i="74"/>
  <c r="D694" i="74" s="1"/>
  <c r="D698" i="74" l="1"/>
  <c r="J696" i="74"/>
  <c r="I695" i="74"/>
  <c r="J695" i="74" s="1"/>
  <c r="D702" i="74"/>
  <c r="I694" i="74"/>
  <c r="J694" i="74" s="1"/>
  <c r="J698" i="74" l="1"/>
  <c r="D710" i="74"/>
  <c r="C709" i="74"/>
  <c r="D709" i="74" s="1"/>
  <c r="J702" i="74"/>
  <c r="K702" i="74" s="1"/>
  <c r="C708" i="74"/>
  <c r="D708" i="74" s="1"/>
  <c r="D712" i="74" l="1"/>
  <c r="J710" i="74"/>
  <c r="I709" i="74"/>
  <c r="J709" i="74" s="1"/>
  <c r="I708" i="74"/>
  <c r="J708" i="74" s="1"/>
  <c r="D716" i="74"/>
  <c r="D724" i="74" l="1"/>
  <c r="J712" i="74"/>
  <c r="C723" i="74"/>
  <c r="D723" i="74" s="1"/>
  <c r="J716" i="74"/>
  <c r="K716" i="74" s="1"/>
  <c r="C722" i="74"/>
  <c r="D722" i="74" s="1"/>
  <c r="D726" i="74" l="1"/>
  <c r="J724" i="74"/>
  <c r="I723" i="74"/>
  <c r="J723" i="74" s="1"/>
  <c r="D730" i="74"/>
  <c r="I722" i="74"/>
  <c r="J722" i="74" s="1"/>
  <c r="J726" i="74" l="1"/>
  <c r="D739" i="74"/>
  <c r="C738" i="74"/>
  <c r="D738" i="74" s="1"/>
  <c r="J730" i="74"/>
  <c r="K730" i="74" s="1"/>
  <c r="C737" i="74"/>
  <c r="D737" i="74" s="1"/>
  <c r="D741" i="74" l="1"/>
  <c r="J739" i="74"/>
  <c r="I738" i="74"/>
  <c r="J738" i="74" s="1"/>
  <c r="D745" i="74"/>
  <c r="I737" i="74"/>
  <c r="J737" i="74" s="1"/>
  <c r="J741" i="74" l="1"/>
  <c r="D753" i="74"/>
  <c r="C752" i="74"/>
  <c r="D752" i="74" s="1"/>
  <c r="J745" i="74"/>
  <c r="K745" i="74" s="1"/>
  <c r="C751" i="74"/>
  <c r="D751" i="74" s="1"/>
  <c r="D755" i="74" l="1"/>
  <c r="J753" i="74"/>
  <c r="I752" i="74"/>
  <c r="J752" i="74" s="1"/>
  <c r="D759" i="74"/>
  <c r="I751" i="74"/>
  <c r="J751" i="74" s="1"/>
  <c r="J755" i="74" l="1"/>
  <c r="D767" i="74"/>
  <c r="C766" i="74"/>
  <c r="D766" i="74" s="1"/>
  <c r="J759" i="74"/>
  <c r="K759" i="74" s="1"/>
  <c r="C765" i="74"/>
  <c r="D765" i="74" s="1"/>
  <c r="D769" i="74" l="1"/>
  <c r="J767" i="74"/>
  <c r="I766" i="74"/>
  <c r="J766" i="74" s="1"/>
  <c r="D773" i="74"/>
  <c r="I765" i="74"/>
  <c r="J765" i="74" s="1"/>
  <c r="J769" i="74" l="1"/>
  <c r="D783" i="74"/>
  <c r="C782" i="74"/>
  <c r="D782" i="74" s="1"/>
  <c r="C781" i="74"/>
  <c r="D781" i="74" s="1"/>
  <c r="J773" i="74"/>
  <c r="K773" i="74" s="1"/>
  <c r="D785" i="74" l="1"/>
  <c r="J783" i="74"/>
  <c r="I782" i="74"/>
  <c r="J782" i="74" s="1"/>
  <c r="D789" i="74"/>
  <c r="I781" i="74"/>
  <c r="J781" i="74" s="1"/>
  <c r="D797" i="74" l="1"/>
  <c r="J785" i="74"/>
  <c r="C796" i="74"/>
  <c r="D796" i="74" s="1"/>
  <c r="J789" i="74"/>
  <c r="K789" i="74" s="1"/>
  <c r="C795" i="74"/>
  <c r="D795" i="74" s="1"/>
  <c r="D799" i="74" l="1"/>
  <c r="J797" i="74"/>
  <c r="I796" i="74"/>
  <c r="J796" i="74" s="1"/>
  <c r="D803" i="74"/>
  <c r="I795" i="74"/>
  <c r="J795" i="74" s="1"/>
  <c r="J799" i="74" l="1"/>
  <c r="D811" i="74"/>
  <c r="C810" i="74"/>
  <c r="D810" i="74" s="1"/>
  <c r="C809" i="74"/>
  <c r="D809" i="74" s="1"/>
  <c r="J803" i="74"/>
  <c r="K803" i="74" s="1"/>
  <c r="D813" i="74" l="1"/>
  <c r="J811" i="74"/>
  <c r="I810" i="74"/>
  <c r="J810" i="74" s="1"/>
  <c r="D817" i="74"/>
  <c r="I809" i="74"/>
  <c r="J809" i="74" s="1"/>
  <c r="J813" i="74" l="1"/>
  <c r="D824" i="74"/>
  <c r="C823" i="74"/>
  <c r="D823" i="74" s="1"/>
  <c r="C822" i="74"/>
  <c r="D822" i="74" s="1"/>
  <c r="J817" i="74"/>
  <c r="K817" i="74" s="1"/>
  <c r="D826" i="74" l="1"/>
  <c r="J824" i="74"/>
  <c r="I823" i="74"/>
  <c r="J823" i="74" s="1"/>
  <c r="D830" i="74"/>
  <c r="I822" i="74"/>
  <c r="J822" i="74" s="1"/>
  <c r="J826" i="74" l="1"/>
  <c r="D838" i="74"/>
  <c r="C837" i="74"/>
  <c r="D837" i="74" s="1"/>
  <c r="J830" i="74"/>
  <c r="K830" i="74" s="1"/>
  <c r="C836" i="74"/>
  <c r="D836" i="74" s="1"/>
  <c r="D840" i="74" l="1"/>
  <c r="J838" i="74"/>
  <c r="I837" i="74"/>
  <c r="J837" i="74" s="1"/>
  <c r="D844" i="74"/>
  <c r="I836" i="74"/>
  <c r="J836" i="74" s="1"/>
  <c r="J840" i="74" l="1"/>
  <c r="D852" i="74"/>
  <c r="C851" i="74"/>
  <c r="D851" i="74" s="1"/>
  <c r="J844" i="74"/>
  <c r="K844" i="74" s="1"/>
  <c r="C850" i="74"/>
  <c r="D850" i="74" s="1"/>
  <c r="D854" i="74" l="1"/>
  <c r="J852" i="74"/>
  <c r="D858" i="74"/>
  <c r="I851" i="74"/>
  <c r="J851" i="74" s="1"/>
  <c r="I850" i="74"/>
  <c r="J850" i="74" s="1"/>
  <c r="D865" i="74" l="1"/>
  <c r="J854" i="74"/>
  <c r="C864" i="74"/>
  <c r="D864" i="74" s="1"/>
  <c r="J858" i="74"/>
  <c r="K858" i="74" s="1"/>
  <c r="C863" i="74"/>
  <c r="D863" i="74" s="1"/>
  <c r="D867" i="74" l="1"/>
  <c r="J865" i="74"/>
  <c r="I864" i="74"/>
  <c r="J864" i="74" s="1"/>
  <c r="D871" i="74"/>
  <c r="I863" i="74"/>
  <c r="J863" i="74" s="1"/>
  <c r="J867" i="74" l="1"/>
  <c r="D879" i="74"/>
  <c r="C878" i="74"/>
  <c r="D878" i="74" s="1"/>
  <c r="J871" i="74"/>
  <c r="K871" i="74" s="1"/>
  <c r="C877" i="74"/>
  <c r="D877" i="74" s="1"/>
  <c r="D881" i="74" l="1"/>
  <c r="J879" i="74"/>
  <c r="I878" i="74"/>
  <c r="J878" i="74" s="1"/>
  <c r="D885" i="74"/>
  <c r="I877" i="74"/>
  <c r="J877" i="74" s="1"/>
  <c r="J881" i="74" l="1"/>
  <c r="D893" i="74"/>
  <c r="C892" i="74"/>
  <c r="D892" i="74" s="1"/>
  <c r="J885" i="74"/>
  <c r="K885" i="74" s="1"/>
  <c r="C891" i="74"/>
  <c r="D891" i="74" s="1"/>
  <c r="D895" i="74" l="1"/>
  <c r="J893" i="74"/>
  <c r="I892" i="74"/>
  <c r="J892" i="74" s="1"/>
  <c r="D899" i="74"/>
  <c r="I891" i="74"/>
  <c r="J891" i="74" s="1"/>
  <c r="J895" i="74" l="1"/>
  <c r="D906" i="74"/>
  <c r="C905" i="74"/>
  <c r="D905" i="74" s="1"/>
  <c r="J899" i="74"/>
  <c r="K899" i="74" s="1"/>
  <c r="C904" i="74"/>
  <c r="D904" i="74" s="1"/>
  <c r="D908" i="74" l="1"/>
  <c r="J906" i="74"/>
  <c r="I905" i="74"/>
  <c r="J905" i="74" s="1"/>
  <c r="D912" i="74"/>
  <c r="I904" i="74"/>
  <c r="J904" i="74" s="1"/>
  <c r="J908" i="74" l="1"/>
  <c r="D920" i="74"/>
  <c r="C919" i="74"/>
  <c r="D919" i="74" s="1"/>
  <c r="J912" i="74"/>
  <c r="K912" i="74" s="1"/>
  <c r="C918" i="74"/>
  <c r="D918" i="74" s="1"/>
  <c r="D922" i="74" l="1"/>
  <c r="J920" i="74"/>
  <c r="I919" i="74"/>
  <c r="J919" i="74" s="1"/>
  <c r="D926" i="74"/>
  <c r="I918" i="74"/>
  <c r="J918" i="74" s="1"/>
  <c r="J922" i="74" l="1"/>
  <c r="D934" i="74"/>
  <c r="C933" i="74"/>
  <c r="D933" i="74" s="1"/>
  <c r="J926" i="74"/>
  <c r="K926" i="74" s="1"/>
  <c r="C932" i="74"/>
  <c r="D932" i="74" s="1"/>
  <c r="D936" i="74" l="1"/>
  <c r="J934" i="74"/>
  <c r="I933" i="74"/>
  <c r="J933" i="74" s="1"/>
  <c r="D940" i="74"/>
  <c r="I932" i="74"/>
  <c r="J932" i="74" s="1"/>
  <c r="J936" i="74" l="1"/>
  <c r="D947" i="74"/>
  <c r="C946" i="74"/>
  <c r="D946" i="74" s="1"/>
  <c r="J940" i="74"/>
  <c r="K940" i="74" s="1"/>
  <c r="C945" i="74"/>
  <c r="D945" i="74" s="1"/>
  <c r="D949" i="74" l="1"/>
  <c r="J947" i="74"/>
  <c r="I946" i="74"/>
  <c r="J946" i="74" s="1"/>
  <c r="D953" i="74"/>
  <c r="I945" i="74"/>
  <c r="J945" i="74" s="1"/>
  <c r="J949" i="74" l="1"/>
  <c r="D961" i="74"/>
  <c r="C960" i="74"/>
  <c r="D960" i="74" s="1"/>
  <c r="J953" i="74"/>
  <c r="K953" i="74" s="1"/>
  <c r="C959" i="74"/>
  <c r="D959" i="74" s="1"/>
  <c r="D963" i="74" l="1"/>
  <c r="J961" i="74"/>
  <c r="O219" i="54"/>
  <c r="I960" i="74"/>
  <c r="J960" i="74" s="1"/>
  <c r="D967" i="74"/>
  <c r="I959" i="74"/>
  <c r="J959" i="74" s="1"/>
  <c r="J963" i="74" l="1"/>
  <c r="C25" i="126"/>
  <c r="E25" i="126" s="1"/>
  <c r="D26" i="41"/>
  <c r="G26" i="41" s="1"/>
  <c r="J967" i="74"/>
  <c r="K967" i="74" s="1"/>
  <c r="K968" i="74" s="1"/>
  <c r="K1147" i="74" s="1"/>
  <c r="M968" i="74"/>
  <c r="M1147" i="74" l="1"/>
  <c r="O968" i="74"/>
  <c r="AC20" i="84"/>
  <c r="Y98" i="112" l="1"/>
  <c r="AA98" i="112" s="1"/>
  <c r="T18" i="84"/>
  <c r="Z18" i="84" l="1"/>
  <c r="T17" i="84"/>
  <c r="T31" i="84" s="1"/>
  <c r="T19" i="84"/>
  <c r="Z17" i="84" l="1"/>
  <c r="Z31" i="84" s="1"/>
  <c r="Z19" i="84"/>
  <c r="C419" i="74" l="1"/>
  <c r="D419" i="74" s="1"/>
  <c r="D424" i="74" s="1"/>
  <c r="R219" i="54"/>
  <c r="C28" i="126" l="1"/>
  <c r="E28" i="126" s="1"/>
  <c r="U219" i="54" l="1"/>
  <c r="J423" i="74"/>
  <c r="J424" i="74" s="1"/>
  <c r="K424" i="74" s="1"/>
  <c r="K519" i="74" s="1"/>
  <c r="L519" i="74" s="1"/>
  <c r="R29" i="121"/>
  <c r="S18" i="121"/>
  <c r="P260" i="1" l="1"/>
  <c r="U18" i="121"/>
  <c r="S29" i="121"/>
  <c r="U48" i="1" l="1"/>
  <c r="AC18" i="84"/>
  <c r="V18" i="121"/>
  <c r="V29" i="121" s="1"/>
  <c r="U29" i="121"/>
  <c r="U50" i="121" s="1"/>
  <c r="X48" i="1" l="1"/>
  <c r="G174" i="124" l="1"/>
  <c r="G175" i="124" s="1"/>
  <c r="J175" i="124"/>
  <c r="M175" i="124" s="1"/>
  <c r="M47" i="89"/>
  <c r="C1357" i="74"/>
  <c r="D1357" i="74" s="1"/>
  <c r="W46" i="89"/>
  <c r="W47" i="89" s="1"/>
  <c r="Z187" i="54" s="1"/>
  <c r="N46" i="89"/>
  <c r="T218" i="54"/>
  <c r="T187" i="54" l="1"/>
  <c r="D1359" i="74"/>
  <c r="N47" i="89"/>
  <c r="N53" i="89" s="1"/>
  <c r="K175" i="124"/>
  <c r="M1366" i="74"/>
  <c r="J176" i="124"/>
  <c r="U47" i="89"/>
  <c r="V218" i="54"/>
  <c r="V187" i="54" s="1"/>
  <c r="C1358" i="74"/>
  <c r="D1358" i="74" s="1"/>
  <c r="D1365" i="74" l="1"/>
  <c r="K1365" i="74" s="1"/>
  <c r="K1366" i="74" s="1"/>
  <c r="N1366" i="74" s="1"/>
  <c r="G50" i="126"/>
  <c r="H50" i="126" s="1"/>
  <c r="H53" i="126" s="1"/>
  <c r="I260" i="1"/>
  <c r="I16" i="41" s="1"/>
  <c r="AA47" i="89"/>
  <c r="U250" i="1"/>
  <c r="V250" i="1" s="1"/>
  <c r="AC23" i="84"/>
  <c r="AD23" i="84" s="1"/>
  <c r="G16" i="126" l="1"/>
  <c r="H16" i="126" s="1"/>
  <c r="V48" i="1"/>
  <c r="V261" i="1" l="1"/>
  <c r="M100" i="91"/>
  <c r="T19" i="91"/>
  <c r="T100" i="91" s="1"/>
  <c r="N17" i="54"/>
  <c r="W19" i="91" l="1"/>
  <c r="W100" i="91" s="1"/>
  <c r="M519" i="74" s="1"/>
  <c r="N519" i="74" s="1"/>
  <c r="L17" i="54"/>
  <c r="K100" i="91"/>
  <c r="P17" i="54"/>
  <c r="U260" i="1" l="1"/>
  <c r="U262" i="1" s="1"/>
  <c r="Z17" i="54"/>
  <c r="K104" i="90"/>
  <c r="M108" i="91"/>
  <c r="S18" i="90"/>
  <c r="L100" i="54"/>
  <c r="N100" i="54"/>
  <c r="N219" i="54" s="1"/>
  <c r="V18" i="90" l="1"/>
  <c r="C24" i="126"/>
  <c r="E24" i="126" s="1"/>
  <c r="D25" i="41"/>
  <c r="G25" i="41" s="1"/>
  <c r="L219" i="54"/>
  <c r="E20" i="41"/>
  <c r="G20" i="41" s="1"/>
  <c r="E17" i="41"/>
  <c r="G17" i="41" s="1"/>
  <c r="E18" i="41"/>
  <c r="G18" i="41" s="1"/>
  <c r="E19" i="41"/>
  <c r="G19" i="41" s="1"/>
  <c r="P101" i="54"/>
  <c r="P100" i="54" s="1"/>
  <c r="P219" i="54" s="1"/>
  <c r="E16" i="41" l="1"/>
  <c r="G16" i="41"/>
  <c r="M109" i="91" s="1"/>
  <c r="M110" i="91" s="1"/>
  <c r="C27" i="126"/>
  <c r="E27" i="126" s="1"/>
  <c r="E23" i="126" s="1"/>
  <c r="D27" i="41"/>
  <c r="G27" i="41" s="1"/>
  <c r="G24" i="41" l="1"/>
  <c r="J16" i="41"/>
  <c r="E14" i="126"/>
  <c r="E15" i="126"/>
  <c r="E13" i="126" l="1"/>
  <c r="G15" i="41"/>
  <c r="G14" i="41" l="1"/>
  <c r="G13" i="41" l="1"/>
  <c r="G41" i="41" l="1"/>
  <c r="J41" i="41" l="1"/>
  <c r="L46" i="41"/>
  <c r="R104" i="90"/>
  <c r="I26" i="41" s="1"/>
  <c r="S26" i="90"/>
  <c r="V26" i="90" s="1"/>
  <c r="V104" i="90" s="1"/>
  <c r="S109" i="54"/>
  <c r="S100" i="54" s="1"/>
  <c r="S219" i="54" s="1"/>
  <c r="I24" i="41" s="1"/>
  <c r="J24" i="41" s="1"/>
  <c r="J140" i="1" l="1"/>
  <c r="S104" i="90"/>
  <c r="Z100" i="54" s="1"/>
  <c r="T109" i="54"/>
  <c r="V109" i="54" l="1"/>
  <c r="V100" i="54" s="1"/>
  <c r="T100" i="54"/>
  <c r="T219" i="54" s="1"/>
  <c r="K229" i="54" s="1"/>
  <c r="J131" i="1"/>
  <c r="J260" i="1" s="1"/>
  <c r="G23" i="126" s="1"/>
  <c r="H23" i="126" s="1"/>
  <c r="K140" i="1"/>
  <c r="R140" i="1" l="1"/>
  <c r="R131" i="1" s="1"/>
  <c r="R260" i="1" s="1"/>
  <c r="K131" i="1"/>
  <c r="K260" i="1" s="1"/>
  <c r="G14" i="126"/>
  <c r="I14" i="41"/>
  <c r="U131" i="1"/>
  <c r="V219" i="54"/>
  <c r="U263" i="1" l="1"/>
  <c r="I46" i="41"/>
  <c r="I13" i="41"/>
  <c r="J13" i="41" s="1"/>
  <c r="J14" i="41"/>
  <c r="H14" i="126"/>
  <c r="I14" i="126" s="1"/>
  <c r="G13" i="126"/>
  <c r="H13" i="126" s="1"/>
  <c r="J17" i="41" l="1"/>
  <c r="K14" i="41"/>
  <c r="I48" i="41"/>
  <c r="J48" i="41" s="1"/>
  <c r="J49" i="41" s="1"/>
  <c r="I47" i="41"/>
</calcChain>
</file>

<file path=xl/comments1.xml><?xml version="1.0" encoding="utf-8"?>
<comments xmlns="http://schemas.openxmlformats.org/spreadsheetml/2006/main">
  <authors>
    <author>Admin</author>
  </authors>
  <commentList>
    <comment ref="B190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</author>
  </authors>
  <commentList>
    <comment ref="G23" authorId="0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C5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6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4.xml><?xml version="1.0" encoding="utf-8"?>
<comments xmlns="http://schemas.openxmlformats.org/spreadsheetml/2006/main">
  <authors>
    <author>sds</author>
  </authors>
  <commentList>
    <comment ref="M14" authorId="0">
      <text>
        <r>
          <rPr>
            <b/>
            <sz val="8"/>
            <color indexed="81"/>
            <rFont val="Tahoma"/>
            <family val="2"/>
          </rPr>
          <t>sds:</t>
        </r>
        <r>
          <rPr>
            <sz val="8"/>
            <color indexed="81"/>
            <rFont val="Tahoma"/>
            <family val="2"/>
          </rPr>
          <t xml:space="preserve">
Tạm chốt chưa cán ra hết</t>
        </r>
      </text>
    </comment>
  </commentList>
</comments>
</file>

<file path=xl/comments5.xml><?xml version="1.0" encoding="utf-8"?>
<comments xmlns="http://schemas.openxmlformats.org/spreadsheetml/2006/main">
  <authors>
    <author>sds</author>
  </authors>
  <commentList>
    <comment ref="A11" authorId="0">
      <text>
        <r>
          <rPr>
            <b/>
            <sz val="8"/>
            <color indexed="81"/>
            <rFont val="Tahoma"/>
            <family val="2"/>
          </rPr>
          <t>sds: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Windows User</author>
  </authors>
  <commentList>
    <comment ref="AQ2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A</author>
  </authors>
  <commentList>
    <comment ref="F72" authorId="0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pc</author>
    <author>Admin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  <comment ref="Q16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NGHĨ TỪ NGÀY 7 ĐẾN 15 PHÉP ĐƯỢC DUYỆT CHƯA ĐEM GIẤY KHÁM BÊNH QUA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VỀ PHÉP NĂM 
</t>
        </r>
      </text>
    </comment>
    <comment ref="R27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TẾT TRẬT CHÂN VỀ KB TỪ NGÀY 14 ĐẾN 18</t>
        </r>
      </text>
    </comment>
  </commentList>
</comments>
</file>

<file path=xl/comments9.xml><?xml version="1.0" encoding="utf-8"?>
<comments xmlns="http://schemas.openxmlformats.org/spreadsheetml/2006/main">
  <authors>
    <author>pc</author>
  </authors>
  <commentList>
    <comment ref="C5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6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10.xml><?xml version="1.0" encoding="utf-8"?>
<comments xmlns="http://schemas.openxmlformats.org/spreadsheetml/2006/main">
  <authors>
    <author>pc</author>
    <author>Admin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  <comment ref="Q20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NGHĨ TỪ NGÀY 7 ĐẾN 15 PHÉP ĐƯỢC DUYỆT CHƯA ĐEM GIẤY KHÁM BÊNH QUA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VỀ PHÉP NĂM 
</t>
        </r>
      </text>
    </comment>
    <comment ref="R31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TẾT TRẬT CHÂN VỀ KB TỪ NGÀY 14 ĐẾN 18</t>
        </r>
      </text>
    </comment>
  </commentList>
</comments>
</file>

<file path=xl/comments11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12.xml><?xml version="1.0" encoding="utf-8"?>
<comments xmlns="http://schemas.openxmlformats.org/spreadsheetml/2006/main">
  <authors>
    <author>Admin</author>
  </authors>
  <commentList>
    <comment ref="B20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<sst xmlns="http://schemas.openxmlformats.org/spreadsheetml/2006/main" count="25343" uniqueCount="2516">
  <si>
    <t>STT</t>
  </si>
  <si>
    <t>Họ và tên</t>
  </si>
  <si>
    <t>Chức
 vụ</t>
  </si>
  <si>
    <t>Bộ 
phận</t>
  </si>
  <si>
    <t>LƯƠNG</t>
  </si>
  <si>
    <t xml:space="preserve">Tổng 
lương </t>
  </si>
  <si>
    <t xml:space="preserve">BHXH
BHYT
BHTN 10.5%
</t>
  </si>
  <si>
    <t>Tổng 
cộng 
thu nhập
 ( kip)</t>
  </si>
  <si>
    <t xml:space="preserve">Thuế TNCN </t>
  </si>
  <si>
    <t>Thực nhận</t>
  </si>
  <si>
    <t>Ký nhận</t>
  </si>
  <si>
    <t>Dân 
tộc</t>
  </si>
  <si>
    <t>Ngày 
công</t>
  </si>
  <si>
    <t>ĐVT</t>
  </si>
  <si>
    <t>Thành 
tiền</t>
  </si>
  <si>
    <t xml:space="preserve">Lào </t>
  </si>
  <si>
    <t>Việt Nam</t>
  </si>
  <si>
    <t>USD</t>
  </si>
  <si>
    <t>vn</t>
  </si>
  <si>
    <t>PHÒNG TC- KT</t>
  </si>
  <si>
    <t>GIÁM ĐỐC NT</t>
  </si>
  <si>
    <t>NGƯỜI LẬP</t>
  </si>
  <si>
    <t>CÔNG TY TNHH CP QUASA-GERUCO</t>
  </si>
  <si>
    <t>CỘNG HÒA DÂN CHỦ NHÂN DÂN LÀO</t>
  </si>
  <si>
    <t>HỌ VÀ TÊN</t>
  </si>
  <si>
    <t>NGÀY</t>
  </si>
  <si>
    <t>Tổng công</t>
  </si>
  <si>
    <t>Phụ cấp</t>
  </si>
  <si>
    <t>Phép</t>
  </si>
  <si>
    <t>x</t>
  </si>
  <si>
    <t>Phan Thế Phi</t>
  </si>
  <si>
    <t>Đào Quang Tuấn</t>
  </si>
  <si>
    <t>Hoàng Thị Thảo</t>
  </si>
  <si>
    <t>Nguyễn T. Thu Hiền</t>
  </si>
  <si>
    <t>Lê Minh Châu</t>
  </si>
  <si>
    <t>Hoàng Văn Nghĩa</t>
  </si>
  <si>
    <t>Hồ Xuân Chương</t>
  </si>
  <si>
    <t>Trần Ngọc Phương</t>
  </si>
  <si>
    <t>Đoàn Văn Giáp</t>
  </si>
  <si>
    <t>Trần Hữu Hà</t>
  </si>
  <si>
    <t>Trần Văn Tú</t>
  </si>
  <si>
    <t>Nguyễn Sỹ</t>
  </si>
  <si>
    <t>Tổng</t>
  </si>
  <si>
    <r>
      <t>Lưu ý</t>
    </r>
    <r>
      <rPr>
        <sz val="8"/>
        <rFont val="Times New Roman"/>
        <family val="1"/>
      </rPr>
      <t>: Các ngày nghỉ phép được tính như ngày làm việc</t>
    </r>
  </si>
  <si>
    <t>Quy ước</t>
  </si>
  <si>
    <t>Hòa bình - Độc lập - Dân chủ - Thống nhất - Thịnh vượng</t>
  </si>
  <si>
    <t>Chức vụ</t>
  </si>
  <si>
    <t>Mã số NV</t>
  </si>
  <si>
    <t>Lương USD</t>
  </si>
  <si>
    <t>Hệ số BH</t>
  </si>
  <si>
    <t>P. Giám đốc NT</t>
  </si>
  <si>
    <t>TL. Nông nghiệp</t>
  </si>
  <si>
    <t>NVNN</t>
  </si>
  <si>
    <t>Cấp dưỡng</t>
  </si>
  <si>
    <t>Bảo vệ</t>
  </si>
  <si>
    <t>Card</t>
  </si>
  <si>
    <t>Lương</t>
  </si>
  <si>
    <t>Ứng</t>
  </si>
  <si>
    <t>Còn lại</t>
  </si>
  <si>
    <t>Hồ Sỹ Tú</t>
  </si>
  <si>
    <t>Tài xế</t>
  </si>
  <si>
    <t>Tổng cộng</t>
  </si>
  <si>
    <t>Tổng phát</t>
  </si>
  <si>
    <t>Chênh lệch</t>
  </si>
  <si>
    <t>MS
NV</t>
  </si>
  <si>
    <t>ì©</t>
  </si>
  <si>
    <t>§ˆ²¾¦¾ì¾¸</t>
  </si>
  <si>
    <t>§ˆ²¾¦¾¹¸¼©</t>
  </si>
  <si>
    <t>ª¿ÁÎÈ¤</t>
  </si>
  <si>
    <t>¸ñ­¤¾­</t>
  </si>
  <si>
    <t>À¤ò­À©õº­</t>
  </si>
  <si>
    <t>¹ö¸ÎÈ¸¨</t>
  </si>
  <si>
    <t>À¯ñ­À¤ò­</t>
  </si>
  <si>
    <t>¦½¹¸ñ©©ó¡¾­</t>
  </si>
  <si>
    <t>ì¸´ì¾¨»ñ®</t>
  </si>
  <si>
    <t>º¾¡º­ì¾¨Ä©É</t>
  </si>
  <si>
    <t>»ñ®ªö¸¥ò¤</t>
  </si>
  <si>
    <t>À§ñ­»ñ®</t>
  </si>
  <si>
    <t>Trích KP Công Đoàn</t>
  </si>
  <si>
    <t>£ñ¤¡¿´½®¾­</t>
  </si>
  <si>
    <t>CÔNG TY TNHH CP QUASA - GERUCO</t>
  </si>
  <si>
    <t>Kíp</t>
  </si>
  <si>
    <t>BVNT Total</t>
  </si>
  <si>
    <t>BVNT</t>
  </si>
  <si>
    <t>TỔNG GIÁM ĐỐC</t>
  </si>
  <si>
    <t>À¥…­ ¸ñ­ »¸È¾¤</t>
  </si>
  <si>
    <t>³¾­ À« ³ó</t>
  </si>
  <si>
    <t>©ú¾¸ ¡¸¾¤ ªÉ¸­</t>
  </si>
  <si>
    <t>Àì ´ò¤ À¥ö¾</t>
  </si>
  <si>
    <t>»¸È¾¤ ¸ñ­ À¹¤¨</t>
  </si>
  <si>
    <t>NÔNG TRƯỜNG CAO SU SỐ 3</t>
  </si>
  <si>
    <t xml:space="preserve"> ĐƠN VỊ: NÔNG TRƯỜNG CAO SU SỐ 3</t>
  </si>
  <si>
    <t>Ghi chú</t>
  </si>
  <si>
    <t>GIÁM ĐỐC NT3</t>
  </si>
  <si>
    <t>Đơn giá</t>
  </si>
  <si>
    <t>00457</t>
  </si>
  <si>
    <t>00460</t>
  </si>
  <si>
    <t>00461</t>
  </si>
  <si>
    <t>00462</t>
  </si>
  <si>
    <t>00469</t>
  </si>
  <si>
    <t>00470</t>
  </si>
  <si>
    <t>00471</t>
  </si>
  <si>
    <t>00463</t>
  </si>
  <si>
    <t>00464</t>
  </si>
  <si>
    <t>00465</t>
  </si>
  <si>
    <t>00467</t>
  </si>
  <si>
    <t>00466</t>
  </si>
  <si>
    <t>00468</t>
  </si>
  <si>
    <t>Đoàn Phước Phúc</t>
  </si>
  <si>
    <t>Y tế</t>
  </si>
  <si>
    <t>00519</t>
  </si>
  <si>
    <t>Nhân viên Y tế</t>
  </si>
  <si>
    <t>©¸È¾­ À³õº¡ ³÷¡</t>
  </si>
  <si>
    <t>ì¸´¥¿­¸­À¤ò­</t>
  </si>
  <si>
    <t>²¾¡¦¸È­</t>
  </si>
  <si>
    <t>§ö­À°‰¾</t>
  </si>
  <si>
    <t>Àì¡®ñ²½­ñ¡¤¾­</t>
  </si>
  <si>
    <t>PHÒNG TC-HC</t>
  </si>
  <si>
    <t>Công nhân</t>
  </si>
  <si>
    <t>KTCB</t>
  </si>
  <si>
    <t>NL+NB</t>
  </si>
  <si>
    <t>BH+thuế</t>
  </si>
  <si>
    <t>CĐ</t>
  </si>
  <si>
    <t>ĐP</t>
  </si>
  <si>
    <t>Bé ứng</t>
  </si>
  <si>
    <t>Tú TX</t>
  </si>
  <si>
    <t>TL. Kế hoạch</t>
  </si>
  <si>
    <t>Lê Văn Ngà</t>
  </si>
  <si>
    <t>TL. TC-LĐTL</t>
  </si>
  <si>
    <t>VƯỜN ƯƠM Total</t>
  </si>
  <si>
    <t>Àì ¸ñ­ ¹¤È¾</t>
  </si>
  <si>
    <t>00309</t>
  </si>
  <si>
    <t>Hoàng Hữu Cần</t>
  </si>
  <si>
    <t>CN</t>
  </si>
  <si>
    <t>Lương hệ số</t>
  </si>
  <si>
    <t>00606</t>
  </si>
  <si>
    <t>TT</t>
  </si>
  <si>
    <t>Ngày công</t>
  </si>
  <si>
    <t>B</t>
  </si>
  <si>
    <t>Tổng cộng</t>
  </si>
  <si>
    <t>I</t>
  </si>
  <si>
    <t>A</t>
  </si>
  <si>
    <t>Khăm</t>
  </si>
  <si>
    <t>II</t>
  </si>
  <si>
    <t>A Thuận</t>
  </si>
  <si>
    <t>Cha Phon</t>
  </si>
  <si>
    <t>Không phép</t>
  </si>
  <si>
    <t>Hui</t>
  </si>
  <si>
    <t>Thong May</t>
  </si>
  <si>
    <t xml:space="preserve">Hắc </t>
  </si>
  <si>
    <t xml:space="preserve">Đốt </t>
  </si>
  <si>
    <t>Xăn Đây</t>
  </si>
  <si>
    <t>A Têng</t>
  </si>
  <si>
    <t>Pác Xít</t>
  </si>
  <si>
    <t>Bun Đươn</t>
  </si>
  <si>
    <t>Bản</t>
  </si>
  <si>
    <t>Lào</t>
  </si>
  <si>
    <t>Khai thác</t>
  </si>
  <si>
    <t>V. ươm</t>
  </si>
  <si>
    <t>PHÒNG KT-NN</t>
  </si>
  <si>
    <t>Sa Lang</t>
  </si>
  <si>
    <t>A Cổ</t>
  </si>
  <si>
    <t>Phon Nọi</t>
  </si>
  <si>
    <t>MSNV</t>
  </si>
  <si>
    <t>X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</si>
  <si>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</si>
  <si>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>Ghi chú</t>
  </si>
  <si>
    <t>CNKT</t>
  </si>
  <si>
    <t>C</t>
  </si>
  <si>
    <t>A Luốc</t>
  </si>
  <si>
    <t>Hòa Bình - Độc Lập - Dân Chủ - Thống Nhất - Thịnh Vượng</t>
  </si>
  <si>
    <t>CHỨC VỤ</t>
  </si>
  <si>
    <t>KÝ NHẬN</t>
  </si>
  <si>
    <t>GHI CHÚ</t>
  </si>
  <si>
    <t>SỐ CÔNG NHÂN</t>
  </si>
  <si>
    <t>THỰC NHẬN</t>
  </si>
  <si>
    <t>PHÒNG TC - KT</t>
  </si>
  <si>
    <t>PHÒNG TC - HC</t>
  </si>
  <si>
    <t>Pết</t>
  </si>
  <si>
    <t>Mứt</t>
  </si>
  <si>
    <t>Thăm Mã La</t>
  </si>
  <si>
    <t>Bun Lơng</t>
  </si>
  <si>
    <t>Lương chăm sóc</t>
  </si>
  <si>
    <t>Lương sản lượng</t>
  </si>
  <si>
    <t>Phụ cấp khai thác</t>
  </si>
  <si>
    <t>µ¾¤­Õ£ò©
ª¾´ºñ©ª¾
Á¹É¤</t>
  </si>
  <si>
    <t>§˜­Àªñ¡ ­ò¡</t>
  </si>
  <si>
    <t>º÷©Îø­ ¸ñ­¤¾­</t>
  </si>
  <si>
    <t>º÷©Îø­ ¸ñ­º¾êò©</t>
  </si>
  <si>
    <t>Hạng kỹ thuật</t>
  </si>
  <si>
    <t>VCKD Total</t>
  </si>
  <si>
    <t>Mủ tạp quy khô</t>
  </si>
  <si>
    <t>Thành tiền (Kíp)</t>
  </si>
  <si>
    <t>Phụ cấp ngày công (25.000 kíp)</t>
  </si>
  <si>
    <t>Phụ cấp chủ nhật (35.000 kíp)</t>
  </si>
  <si>
    <t>TL. NÔNG NGHIỆP</t>
  </si>
  <si>
    <t>VN</t>
  </si>
  <si>
    <t>Tháng</t>
  </si>
  <si>
    <t>KTCB Total</t>
  </si>
  <si>
    <t>Nguyễn Thanh Hải</t>
  </si>
  <si>
    <t>00889</t>
  </si>
  <si>
    <t>TL. Bảo vệ</t>
  </si>
  <si>
    <t>Lào</t>
  </si>
  <si>
    <t>kip</t>
  </si>
  <si>
    <t>À¤ò­À©õº­£ò©
À¯ñ­À¤ò­¡ó®</t>
  </si>
  <si>
    <t>Công sản phẩm</t>
  </si>
  <si>
    <t>²½ìò©ªະພັນ</t>
  </si>
  <si>
    <t>Công đi cạo</t>
  </si>
  <si>
    <t>ໝວດໄປຂີດ</t>
  </si>
  <si>
    <t>ໝວດເຮັດວຽກວັນທິດ</t>
  </si>
  <si>
    <t>Sản lượng mủ</t>
  </si>
  <si>
    <t>ຜົນຜະລິດນ້ຳຢາງ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</si>
  <si>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</si>
  <si>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</si>
  <si>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</si>
  <si>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</si>
  <si>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</si>
  <si>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</si>
  <si>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</si>
  <si>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</si>
  <si>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III</t>
  </si>
  <si>
    <t>NGƯỜI LẬP</t>
  </si>
  <si>
    <t>Phụ cấp trách nhiệm</t>
  </si>
  <si>
    <t>VƯỜN CÂY KTCB</t>
  </si>
  <si>
    <t>D</t>
  </si>
  <si>
    <t>Khối lượng</t>
  </si>
  <si>
    <t>Họ và Tên</t>
  </si>
  <si>
    <t xml:space="preserve"> </t>
  </si>
  <si>
    <t>A Roan</t>
  </si>
  <si>
    <t>ì¸´¥¿­¸­ À¤ò­</t>
  </si>
  <si>
    <t>À¤ò­ À©õº­</t>
  </si>
  <si>
    <t>¹ö¸ ÎÈ¸¨</t>
  </si>
  <si>
    <t>À¤ò­À©õº­£ò© À¯ñ­À¤ò­¡ó®</t>
  </si>
  <si>
    <t>A Căm</t>
  </si>
  <si>
    <t>CÔNG VIỆC KHÁC</t>
  </si>
  <si>
    <t>Bảo vệ Lào</t>
  </si>
  <si>
    <t>A Ra</t>
  </si>
  <si>
    <t>A Khăm</t>
  </si>
  <si>
    <t>Phụ cấp xăng</t>
  </si>
  <si>
    <t>P. Giám đốc</t>
  </si>
  <si>
    <t>TỔNG CỘNG</t>
  </si>
  <si>
    <t>PHÒNG TC - HC</t>
  </si>
  <si>
    <t>Công ty duyệt</t>
  </si>
  <si>
    <t>A Lau</t>
  </si>
  <si>
    <t>Tạm ứng</t>
  </si>
  <si>
    <t>Â¹È§¸­À¥õº¤</t>
  </si>
  <si>
    <t>¹¤¸¼­​ແທັງຫາຍ</t>
  </si>
  <si>
    <t>Bùi Phước Tùng Lâm</t>
  </si>
  <si>
    <t>Tổng cộng</t>
  </si>
  <si>
    <t>Nguyễn Phạm Quốc</t>
  </si>
  <si>
    <t>CÔNG TY TNHH CỔ PHẦN QUASA-GERUCO</t>
  </si>
  <si>
    <t>Mủ dây</t>
  </si>
  <si>
    <t>công</t>
  </si>
  <si>
    <t>Vườn cây 2017</t>
  </si>
  <si>
    <t>ì/©</t>
  </si>
  <si>
    <t>CÔNG TY TNHH CỔ PHẦN QUASA - GERUCO</t>
  </si>
  <si>
    <t>¸ñ­ ¤¾­</t>
  </si>
  <si>
    <t>§ö­ À°‰¾</t>
  </si>
  <si>
    <t>PT. Đội KT số 1</t>
  </si>
  <si>
    <t>PT. Đội KT số 3</t>
  </si>
  <si>
    <t>Nguyễn Phạm Cường</t>
  </si>
  <si>
    <t>Từ ngày 01 tháng 03 đến ngày 31 tháng 03 năm 2018</t>
  </si>
  <si>
    <t>(Bằng chữ:  Hai triệu, bốn trăm ngàn kíp chẵn)</t>
  </si>
  <si>
    <t>Đội phó Đội KT số 2</t>
  </si>
  <si>
    <t>¹¤¸¼­​ຟ້າ​ມ​ເ​​ກື່ອງ</t>
  </si>
  <si>
    <t>(kíp/người/ tháng)</t>
  </si>
  <si>
    <t xml:space="preserve">BẢNG THANH TOÁN PHỤ CẤP XĂNG XE MÁY CỦA CB-CNV </t>
  </si>
  <si>
    <t>À¥…­¤ñº¡À³õº¤</t>
  </si>
  <si>
    <t>©¸È¾­¸ñ­µ¾®</t>
  </si>
  <si>
    <t>À¥…­¸ñ­ªøÉ</t>
  </si>
  <si>
    <t>À¥…­¹ö¸»¸È¾</t>
  </si>
  <si>
    <t>¹¤¸¼­¦ó</t>
  </si>
  <si>
    <t>¹¤¸¼­​ຟ້າ​ມກ້ວກ</t>
  </si>
  <si>
    <t>Pa Lói</t>
  </si>
  <si>
    <t>Bangialang</t>
  </si>
  <si>
    <t xml:space="preserve">Phò Xing </t>
  </si>
  <si>
    <t>A Lơ</t>
  </si>
  <si>
    <t>Phiêu</t>
  </si>
  <si>
    <t>Tà Dũa</t>
  </si>
  <si>
    <t>A Chới</t>
  </si>
  <si>
    <t>Nhỏ</t>
  </si>
  <si>
    <t>A Pên</t>
  </si>
  <si>
    <t>Phòn</t>
  </si>
  <si>
    <t>Việt</t>
  </si>
  <si>
    <t>Von</t>
  </si>
  <si>
    <t>Lồ Ô</t>
  </si>
  <si>
    <t xml:space="preserve">Khăm </t>
  </si>
  <si>
    <t>Lỗ</t>
  </si>
  <si>
    <t>A Pan</t>
  </si>
  <si>
    <t>A Han</t>
  </si>
  <si>
    <t xml:space="preserve">Phò Lễ </t>
  </si>
  <si>
    <t>A Ven</t>
  </si>
  <si>
    <t xml:space="preserve">Tà Mõ </t>
  </si>
  <si>
    <t>A Kí</t>
  </si>
  <si>
    <t>Xom Chết</t>
  </si>
  <si>
    <t>Tà Co</t>
  </si>
  <si>
    <t>Thanh</t>
  </si>
  <si>
    <t>Tuân</t>
  </si>
  <si>
    <t>Tà Lóc</t>
  </si>
  <si>
    <t>A Ngay</t>
  </si>
  <si>
    <t>Khai</t>
  </si>
  <si>
    <t>Khun Xí</t>
  </si>
  <si>
    <t>Phước</t>
  </si>
  <si>
    <t>A Păng</t>
  </si>
  <si>
    <t>A Lưng</t>
  </si>
  <si>
    <t>Tà  Nhớ</t>
  </si>
  <si>
    <t>²¾¡ ¦¸È­</t>
  </si>
  <si>
    <t>Thảo Phu</t>
  </si>
  <si>
    <t>Nguyễn Thị Thu Hiền</t>
  </si>
  <si>
    <t>X:</t>
  </si>
  <si>
    <t>Làm việc</t>
  </si>
  <si>
    <t>P:</t>
  </si>
  <si>
    <t xml:space="preserve"> Nghỉ phép</t>
  </si>
  <si>
    <t xml:space="preserve">K: </t>
  </si>
  <si>
    <t>Nghỉ không lương</t>
  </si>
  <si>
    <t>HS:</t>
  </si>
  <si>
    <t>A Lai</t>
  </si>
  <si>
    <t>P Khăm Xen</t>
  </si>
  <si>
    <t>Nguyễn Phạm Quốc</t>
  </si>
  <si>
    <t>Nguyễn Phạm Cường</t>
  </si>
  <si>
    <t>Nguyễn Đông Anh</t>
  </si>
  <si>
    <t xml:space="preserve">Tỷ giá: USD qua Kíp: </t>
  </si>
  <si>
    <t xml:space="preserve">Tỷ giá: Việt qua Kíp: </t>
  </si>
  <si>
    <t>Bản Lỗ</t>
  </si>
  <si>
    <t>Khun Xí</t>
  </si>
  <si>
    <t>Tà Co</t>
  </si>
  <si>
    <t>A Rau</t>
  </si>
  <si>
    <t>Cha Phau</t>
  </si>
  <si>
    <t>A Khô</t>
  </si>
  <si>
    <t>Khăm Son</t>
  </si>
  <si>
    <t>A Nha b</t>
  </si>
  <si>
    <t>Manh</t>
  </si>
  <si>
    <t>Khăm Bun</t>
  </si>
  <si>
    <t>A Tê</t>
  </si>
  <si>
    <t>Lun</t>
  </si>
  <si>
    <t>Ưng</t>
  </si>
  <si>
    <t>Lê Chí Tuấn</t>
  </si>
  <si>
    <t>Nguyễn Văn Hậu</t>
  </si>
  <si>
    <t>01012</t>
  </si>
  <si>
    <t>Khườn</t>
  </si>
  <si>
    <t>Văn</t>
  </si>
  <si>
    <t>Năng</t>
  </si>
  <si>
    <t>Phu Pha</t>
  </si>
  <si>
    <t>Mèo</t>
  </si>
  <si>
    <t>A Nha a</t>
  </si>
  <si>
    <t>Cha Sở</t>
  </si>
  <si>
    <t>Lông</t>
  </si>
  <si>
    <t>A Vợ</t>
  </si>
  <si>
    <t>Xăm Lết</t>
  </si>
  <si>
    <t>A Mèo</t>
  </si>
  <si>
    <t>A Luốc</t>
  </si>
  <si>
    <t>A Bươi</t>
  </si>
  <si>
    <t>Phò Tiêng</t>
  </si>
  <si>
    <t>A Tốt</t>
  </si>
  <si>
    <t>Ta Khơ</t>
  </si>
  <si>
    <t>Kip</t>
  </si>
  <si>
    <t>Nhân viên</t>
  </si>
  <si>
    <t>00915</t>
  </si>
  <si>
    <t>Bùi Phước Tùng Lâm</t>
  </si>
  <si>
    <t>phun Thông</t>
  </si>
  <si>
    <t>Crad</t>
  </si>
  <si>
    <t xml:space="preserve">Cơm Thảo </t>
  </si>
  <si>
    <t>Nơ Thảo</t>
  </si>
  <si>
    <t>Tạm ứng Qũy</t>
  </si>
  <si>
    <t>Tạm Ứng Qũy</t>
  </si>
  <si>
    <t>Tạm ứngQũy</t>
  </si>
  <si>
    <t>tTạm ứng Qũy</t>
  </si>
  <si>
    <t>Trưởng Bản</t>
  </si>
  <si>
    <t>P. GIÁM ĐỐC NT3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</si>
  <si>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</si>
  <si>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</si>
  <si>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</si>
  <si>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</si>
  <si>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</si>
  <si>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</si>
  <si>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</si>
  <si>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</si>
  <si>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</si>
  <si>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</si>
  <si>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</si>
  <si>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</si>
  <si>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</si>
  <si>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</si>
  <si>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</si>
  <si>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</si>
  <si>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</si>
  <si>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</si>
  <si>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</si>
  <si>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</si>
  <si>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</si>
  <si>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</si>
  <si>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</si>
  <si>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</si>
  <si>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</si>
  <si>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</si>
  <si>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</si>
  <si>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</si>
  <si>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</si>
  <si>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</si>
  <si>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</si>
  <si>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</si>
  <si>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Nguyễn Văn Hậu</t>
  </si>
  <si>
    <t>Pakse</t>
  </si>
  <si>
    <t>Chờ</t>
  </si>
  <si>
    <t>Xà Võ</t>
  </si>
  <si>
    <t>ĐỘI 2</t>
  </si>
  <si>
    <t>Pa Sịa</t>
  </si>
  <si>
    <t>Phun Mạc Mị</t>
  </si>
  <si>
    <t>A Nha c</t>
  </si>
  <si>
    <t>A Xing</t>
  </si>
  <si>
    <t>Chết</t>
  </si>
  <si>
    <t>Khăm Xen</t>
  </si>
  <si>
    <t>P Hôm</t>
  </si>
  <si>
    <t>Pa Têng</t>
  </si>
  <si>
    <t>Ta Bươn</t>
  </si>
  <si>
    <t>Xay</t>
  </si>
  <si>
    <t>ĐỘI 3</t>
  </si>
  <si>
    <t>A Môm</t>
  </si>
  <si>
    <t>Hoàng Hữu Cần</t>
  </si>
  <si>
    <t>Bản A Poc</t>
  </si>
  <si>
    <t>Đuông</t>
  </si>
  <si>
    <t>Thảo Ly</t>
  </si>
  <si>
    <t>TL. BẢO VỆ</t>
  </si>
  <si>
    <t>X: làm việc</t>
  </si>
  <si>
    <t>K: Nghỉ không phép</t>
  </si>
  <si>
    <t>Nguyễn Thanh Hải</t>
  </si>
  <si>
    <t>Phò Lay</t>
  </si>
  <si>
    <t>Phò Hung</t>
  </si>
  <si>
    <t>Huyện Nong, ngày 02 tháng 06 năm 2018</t>
  </si>
  <si>
    <t>Đoàn Văn Giáp</t>
  </si>
  <si>
    <t>Vườn cây 2018</t>
  </si>
  <si>
    <t>CÔNG TY TNHH CỔ PHẤN QUASA-GERUCO</t>
  </si>
  <si>
    <t>Tên
công nhân</t>
  </si>
  <si>
    <t>Ngày</t>
  </si>
  <si>
    <t>TỔNG</t>
  </si>
  <si>
    <t>ĐỘI I</t>
  </si>
  <si>
    <t>TỔNG CỘNG</t>
  </si>
  <si>
    <t>Phun Thong</t>
  </si>
  <si>
    <t>Tỷ giá: USD - LAK</t>
  </si>
  <si>
    <t>VND-LAK</t>
  </si>
  <si>
    <t>NĐT Total</t>
  </si>
  <si>
    <t>ໂຮ່​ຊົວ​ນ​ເຈຶອງ</t>
  </si>
  <si>
    <t>​ດ່​ອານ​ວັນ​ຢາບ</t>
  </si>
  <si>
    <t>​ກົງ​ທອງ</t>
  </si>
  <si>
    <t>Quy đổi 
USD-LAK</t>
  </si>
  <si>
    <t>Đội trưởng 2</t>
  </si>
  <si>
    <t>Đội phó 2</t>
  </si>
  <si>
    <t xml:space="preserve">Đội phó 1 </t>
  </si>
  <si>
    <t>Đội phó 3</t>
  </si>
  <si>
    <t xml:space="preserve">Quản lý đội </t>
  </si>
  <si>
    <t>CN TOTAL</t>
  </si>
  <si>
    <t>Đội 1</t>
  </si>
  <si>
    <t>Đội 2</t>
  </si>
  <si>
    <t>Đội 3</t>
  </si>
  <si>
    <t>Danh mục</t>
  </si>
  <si>
    <t>Số lượng</t>
  </si>
  <si>
    <t>Sản lượng</t>
  </si>
  <si>
    <t>Phụ cấp ngày công</t>
  </si>
  <si>
    <t>Tiền lương chăm sóc vườn cây</t>
  </si>
  <si>
    <t>Tiền lương bảo vệ vườn cây</t>
  </si>
  <si>
    <t>Đơn giá (kíp)</t>
  </si>
  <si>
    <t xml:space="preserve">Sản lượng thực hiện quy khô </t>
  </si>
  <si>
    <t>Bun Lắp</t>
  </si>
  <si>
    <t>Trưởng Cụm Khun Xí</t>
  </si>
  <si>
    <t>Trưởng Cụm Xuồng Tày</t>
  </si>
  <si>
    <t>Trưởng Cụm Arau</t>
  </si>
  <si>
    <t>TÊN CỤM/BẢN</t>
  </si>
  <si>
    <t>Lê Văn Minh</t>
  </si>
  <si>
    <t>00058</t>
  </si>
  <si>
    <t>Tài xế</t>
  </si>
  <si>
    <t>Đội trưởng Đội 2</t>
  </si>
  <si>
    <t>HỆ SỐ BẢO HIỂM NÔNG TRƯỜNG</t>
  </si>
  <si>
    <t>CỘNG</t>
  </si>
  <si>
    <t>BẢNG LƯƠNG VƯỜN CÂY KINH DOANH THÁNG 06 NĂM 2018</t>
  </si>
  <si>
    <t>GĐ. NÔNG TRƯỜNG 3</t>
  </si>
  <si>
    <t>TỔNG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</si>
  <si>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</si>
  <si>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</si>
  <si>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</si>
  <si>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</si>
  <si>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</si>
  <si>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</si>
  <si>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</si>
  <si>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</si>
  <si>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</si>
  <si>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Câu</t>
  </si>
  <si>
    <t>Keo</t>
  </si>
  <si>
    <t>Tà Pệc</t>
  </si>
  <si>
    <t>Thong</t>
  </si>
  <si>
    <t>Chia</t>
  </si>
  <si>
    <t>Bun Ma</t>
  </si>
  <si>
    <t>IV</t>
  </si>
  <si>
    <t>NĐT</t>
  </si>
  <si>
    <t>BẢNG THEO DÕI SẢN LƯỢNG MỦ TẠP THEO CÔNG NHÂN THÁNG 06 NĂM 2018</t>
  </si>
  <si>
    <t>Huyện Nong, ngày 01 tháng 07 năm 2018</t>
  </si>
  <si>
    <t>PHÒNG  TC-HC</t>
  </si>
  <si>
    <t>`</t>
  </si>
  <si>
    <t xml:space="preserve">Truy thu BHXH
BHYT
BHTN 10.5%
</t>
  </si>
  <si>
    <t>(Bằng chữ: Một trăm bảy mươi ba triệu, một trăm lẻ bốn ngàn, tám trăm bốn mươi hai kíp)</t>
  </si>
  <si>
    <t>Hạng mục 
công việc khác</t>
  </si>
  <si>
    <t>Công</t>
  </si>
  <si>
    <t>Thành tiền</t>
  </si>
  <si>
    <t>PHÒNG TC - KT</t>
  </si>
  <si>
    <t>Ký nhận</t>
  </si>
  <si>
    <t>LƯƠNG THÁNG: 06/2018</t>
  </si>
  <si>
    <t>ĐỘI : 1</t>
  </si>
  <si>
    <t>Hạng KT</t>
  </si>
  <si>
    <t>​ອາ​ໂຄ</t>
  </si>
  <si>
    <t>Công cạo CN</t>
  </si>
  <si>
    <t>​ຄາ​ຍ</t>
  </si>
  <si>
    <t>(Bằng chữ: Sáu mươi chín triệu, sáu trăm sáu mươi hai ngàn, năm trăm lẻ bảy kíp)</t>
  </si>
  <si>
    <t>Lê Chí Tuấn</t>
  </si>
  <si>
    <t xml:space="preserve"> ĐƠN VỊ: NÔNG TRƯỜNG  3</t>
  </si>
  <si>
    <t>NÔNG TRƯỜNG 3</t>
  </si>
  <si>
    <t>Tỉa chồi ngang</t>
  </si>
  <si>
    <t>Huyện Nong, ngày 01 tháng 09 năm 2018</t>
  </si>
  <si>
    <t>BẢNG LƯƠNG VƯỜN CÂY NGƯNG ĐẦU TƯ THÁNG 08 NĂM 2018</t>
  </si>
  <si>
    <t>(Bằng chữ: Bảy triệu, không trăm sáu mươi nghìn, năm trăm kíp)</t>
  </si>
  <si>
    <t>Phò Linh</t>
  </si>
  <si>
    <t>Bun Ka</t>
  </si>
  <si>
    <t>Phò Bang</t>
  </si>
  <si>
    <t>Phò Núi</t>
  </si>
  <si>
    <t>Phò Đắc</t>
  </si>
  <si>
    <t>Thảo Chay</t>
  </si>
  <si>
    <t>Thảo Mừng</t>
  </si>
  <si>
    <t>Thảo Truy</t>
  </si>
  <si>
    <t>Phò Xăm</t>
  </si>
  <si>
    <t>A Chăng</t>
  </si>
  <si>
    <t>Beo</t>
  </si>
  <si>
    <t>Vông Đươn</t>
  </si>
  <si>
    <t>Sa Mối</t>
  </si>
  <si>
    <t>Cha Diệc</t>
  </si>
  <si>
    <t>Cha Ngon</t>
  </si>
  <si>
    <t>Trần Quang Thiện</t>
  </si>
  <si>
    <t>01271</t>
  </si>
  <si>
    <t>TL.TCLĐTL</t>
  </si>
  <si>
    <t>Trần Điền</t>
  </si>
  <si>
    <t>00633</t>
  </si>
  <si>
    <t>La Hơi</t>
  </si>
  <si>
    <t>A Len</t>
  </si>
  <si>
    <t>Bớp</t>
  </si>
  <si>
    <t>Võ Thị Quyên</t>
  </si>
  <si>
    <t>01272</t>
  </si>
  <si>
    <t>Nguyễn Thanh Huy</t>
  </si>
  <si>
    <t>01275</t>
  </si>
  <si>
    <t>Đặng Văn Thu</t>
  </si>
  <si>
    <t>01277</t>
  </si>
  <si>
    <t>TL. TC - LĐTL</t>
  </si>
  <si>
    <t>Bước</t>
  </si>
  <si>
    <t>A Tiên</t>
  </si>
  <si>
    <t>Tà Khơ</t>
  </si>
  <si>
    <t>Xã Võ</t>
  </si>
  <si>
    <t>Dã Lay</t>
  </si>
  <si>
    <t>A Pa Rơ</t>
  </si>
  <si>
    <t>Mao</t>
  </si>
  <si>
    <t>Pon</t>
  </si>
  <si>
    <t>Chết C</t>
  </si>
  <si>
    <t>A Vở</t>
  </si>
  <si>
    <t>A Mèo</t>
  </si>
  <si>
    <t xml:space="preserve"> A Xinh</t>
  </si>
  <si>
    <t>Xin Xay</t>
  </si>
  <si>
    <t>B Têng</t>
  </si>
  <si>
    <t>Long</t>
  </si>
  <si>
    <t>Khăm Xén</t>
  </si>
  <si>
    <t>Hắc</t>
  </si>
  <si>
    <t>Sâm Lết</t>
  </si>
  <si>
    <t>Săn Đây</t>
  </si>
  <si>
    <t>Đốt</t>
  </si>
  <si>
    <t>Chết</t>
  </si>
  <si>
    <t>Việt</t>
  </si>
  <si>
    <t>Phò Hôm</t>
  </si>
  <si>
    <t>Ói</t>
  </si>
  <si>
    <t>Phò Xing</t>
  </si>
  <si>
    <t>Pho Têng</t>
  </si>
  <si>
    <t>Mo Ket</t>
  </si>
  <si>
    <t>Pa lăng</t>
  </si>
  <si>
    <t>A Tốt</t>
  </si>
  <si>
    <t>A Cô</t>
  </si>
  <si>
    <t>Xom Chết</t>
  </si>
  <si>
    <t>01285</t>
  </si>
  <si>
    <t>P Lo</t>
  </si>
  <si>
    <t>Xà Ngái</t>
  </si>
  <si>
    <t>Cuôn Ngoc Sáng</t>
  </si>
  <si>
    <t>Nang En</t>
  </si>
  <si>
    <t>Khươn</t>
  </si>
  <si>
    <t>A Cát</t>
  </si>
  <si>
    <t>A Ngen</t>
  </si>
  <si>
    <t>A Chun</t>
  </si>
  <si>
    <t>Banh</t>
  </si>
  <si>
    <t>01308</t>
  </si>
  <si>
    <t>Phò Nọi</t>
  </si>
  <si>
    <t xml:space="preserve"> A Te</t>
  </si>
  <si>
    <t xml:space="preserve"> A Bười</t>
  </si>
  <si>
    <t>01278</t>
  </si>
  <si>
    <t>01290</t>
  </si>
  <si>
    <t>01294</t>
  </si>
  <si>
    <t>01286</t>
  </si>
  <si>
    <t>01282</t>
  </si>
  <si>
    <t>01283</t>
  </si>
  <si>
    <t>01289</t>
  </si>
  <si>
    <t>01281</t>
  </si>
  <si>
    <t>01302</t>
  </si>
  <si>
    <t>01303</t>
  </si>
  <si>
    <t>01292</t>
  </si>
  <si>
    <t>01301</t>
  </si>
  <si>
    <t>01298</t>
  </si>
  <si>
    <t>01280</t>
  </si>
  <si>
    <t>01297</t>
  </si>
  <si>
    <t>01296</t>
  </si>
  <si>
    <t>01295</t>
  </si>
  <si>
    <t>01293</t>
  </si>
  <si>
    <t>01288</t>
  </si>
  <si>
    <t>01284</t>
  </si>
  <si>
    <t>01287</t>
  </si>
  <si>
    <t>01299</t>
  </si>
  <si>
    <t>01325</t>
  </si>
  <si>
    <t>01309</t>
  </si>
  <si>
    <t>01337</t>
  </si>
  <si>
    <t>01335</t>
  </si>
  <si>
    <t>01305</t>
  </si>
  <si>
    <t>01347</t>
  </si>
  <si>
    <t>01312</t>
  </si>
  <si>
    <t>01327</t>
  </si>
  <si>
    <t>01315</t>
  </si>
  <si>
    <t>01336</t>
  </si>
  <si>
    <t>01329</t>
  </si>
  <si>
    <t>01328</t>
  </si>
  <si>
    <t>01324</t>
  </si>
  <si>
    <t>01334</t>
  </si>
  <si>
    <t>01310</t>
  </si>
  <si>
    <t>01307</t>
  </si>
  <si>
    <t>01330</t>
  </si>
  <si>
    <t>01304</t>
  </si>
  <si>
    <t>01316</t>
  </si>
  <si>
    <t>01314</t>
  </si>
  <si>
    <t>01326</t>
  </si>
  <si>
    <t>01321</t>
  </si>
  <si>
    <t>01318</t>
  </si>
  <si>
    <t>01331</t>
  </si>
  <si>
    <t>01344</t>
  </si>
  <si>
    <t>01345</t>
  </si>
  <si>
    <t>01333</t>
  </si>
  <si>
    <t>01313</t>
  </si>
  <si>
    <t>01311</t>
  </si>
  <si>
    <t>01351</t>
  </si>
  <si>
    <t>01352</t>
  </si>
  <si>
    <t>01353</t>
  </si>
  <si>
    <t>01354</t>
  </si>
  <si>
    <t>01355</t>
  </si>
  <si>
    <t>01357</t>
  </si>
  <si>
    <t>01360</t>
  </si>
  <si>
    <t>01362</t>
  </si>
  <si>
    <t>01363</t>
  </si>
  <si>
    <t>01364</t>
  </si>
  <si>
    <t>01365</t>
  </si>
  <si>
    <t>01366</t>
  </si>
  <si>
    <t>CÔNG TY TNHH CỔ PHẦN QUASA- GERUCO</t>
  </si>
  <si>
    <t>Hoà Bình - Độc Lập - Dân Chủ - Thống Nhất - Thịnh Vượng</t>
  </si>
  <si>
    <t>Vườn cây kinh doanh năm 2</t>
  </si>
  <si>
    <t>ha</t>
  </si>
  <si>
    <t>Vườn cây kinh doanh năm 3</t>
  </si>
  <si>
    <t>B12</t>
  </si>
  <si>
    <t>B11</t>
  </si>
  <si>
    <t>Vườn cây năm 2018</t>
  </si>
  <si>
    <t>TL.TC-LĐTL</t>
  </si>
  <si>
    <t>TL. BẢO VỆ</t>
  </si>
  <si>
    <t>Đoàn nghiệm thu Công ty:</t>
  </si>
  <si>
    <t xml:space="preserve"> PHÒNG TC-HC</t>
  </si>
  <si>
    <t>PHÒNG KH - XDCB</t>
  </si>
  <si>
    <t xml:space="preserve"> PHÒNG KTNN</t>
  </si>
  <si>
    <t xml:space="preserve">        TỔNG GIÁM ĐỐC                                 PHÒNG TC-KT</t>
  </si>
  <si>
    <t>A7</t>
  </si>
  <si>
    <t>B20</t>
  </si>
  <si>
    <t>B16</t>
  </si>
  <si>
    <t xml:space="preserve">           GĐ NÔNG TRƯỜNG</t>
  </si>
  <si>
    <t>Võ Thi Thu Hằng</t>
  </si>
  <si>
    <t>01940</t>
  </si>
  <si>
    <t>Phun cỏ đại trà</t>
  </si>
  <si>
    <t>C7</t>
  </si>
  <si>
    <t>C8</t>
  </si>
  <si>
    <t>B25</t>
  </si>
  <si>
    <t>B22</t>
  </si>
  <si>
    <t>B23</t>
  </si>
  <si>
    <t>C10</t>
  </si>
  <si>
    <t>A18</t>
  </si>
  <si>
    <t>B49</t>
  </si>
  <si>
    <t>B31</t>
  </si>
  <si>
    <t>B36</t>
  </si>
  <si>
    <t>B18</t>
  </si>
  <si>
    <t>(Bằng chữ: Ba triệu  hai trăm bốn mươi mốt ngàn kíp)</t>
  </si>
  <si>
    <t>B50</t>
  </si>
  <si>
    <t>B13</t>
  </si>
  <si>
    <t>B14</t>
  </si>
  <si>
    <t>B15</t>
  </si>
  <si>
    <t>B10</t>
  </si>
  <si>
    <t>B7</t>
  </si>
  <si>
    <t>B6</t>
  </si>
  <si>
    <t>B3</t>
  </si>
  <si>
    <t>Vườn cây tận thu</t>
  </si>
  <si>
    <t>C1</t>
  </si>
  <si>
    <t>C2</t>
  </si>
  <si>
    <t>B8</t>
  </si>
  <si>
    <t>B37</t>
  </si>
  <si>
    <t>B40</t>
  </si>
  <si>
    <t>Đội trưởng</t>
  </si>
  <si>
    <t>Đội trưởng 1</t>
  </si>
  <si>
    <t>Truy thu lương tháng 6</t>
  </si>
  <si>
    <t>P</t>
  </si>
  <si>
    <t>BẢNG LƯƠNG CÔNG NHÂN VƯỜN ƯƠM THÁNG 08 NĂM 2019</t>
  </si>
  <si>
    <t>Vườn cây kinh doanh năm 1</t>
  </si>
  <si>
    <t>A3</t>
  </si>
  <si>
    <t>A16</t>
  </si>
  <si>
    <t>A17</t>
  </si>
  <si>
    <t>A1</t>
  </si>
  <si>
    <t>A14</t>
  </si>
  <si>
    <t>A64</t>
  </si>
  <si>
    <t>A5</t>
  </si>
  <si>
    <t>A15</t>
  </si>
  <si>
    <t>D1</t>
  </si>
  <si>
    <t>A41</t>
  </si>
  <si>
    <t>A47</t>
  </si>
  <si>
    <t>A53</t>
  </si>
  <si>
    <t>D2</t>
  </si>
  <si>
    <t>A42</t>
  </si>
  <si>
    <t>A48</t>
  </si>
  <si>
    <t>A54</t>
  </si>
  <si>
    <t>D4</t>
  </si>
  <si>
    <t>A43</t>
  </si>
  <si>
    <t>A49</t>
  </si>
  <si>
    <t>A55</t>
  </si>
  <si>
    <t>D5</t>
  </si>
  <si>
    <t>A44</t>
  </si>
  <si>
    <t>A50</t>
  </si>
  <si>
    <t>A56</t>
  </si>
  <si>
    <t>D8</t>
  </si>
  <si>
    <t>A45</t>
  </si>
  <si>
    <t>A51</t>
  </si>
  <si>
    <t>A57</t>
  </si>
  <si>
    <t>D9</t>
  </si>
  <si>
    <t>A46</t>
  </si>
  <si>
    <t>A52</t>
  </si>
  <si>
    <t>Bón phân rãi</t>
  </si>
  <si>
    <t>B5</t>
  </si>
  <si>
    <t>B21</t>
  </si>
  <si>
    <t>B24</t>
  </si>
  <si>
    <t>B26</t>
  </si>
  <si>
    <t>B33</t>
  </si>
  <si>
    <t>B34</t>
  </si>
  <si>
    <t>B39</t>
  </si>
  <si>
    <t>B32</t>
  </si>
  <si>
    <t>B35</t>
  </si>
  <si>
    <t>B1</t>
  </si>
  <si>
    <t>B2</t>
  </si>
  <si>
    <t>B38</t>
  </si>
  <si>
    <t>B45</t>
  </si>
  <si>
    <t>B48</t>
  </si>
  <si>
    <t>B46</t>
  </si>
  <si>
    <t>B47</t>
  </si>
  <si>
    <t>B52</t>
  </si>
  <si>
    <t>B51</t>
  </si>
  <si>
    <t>Phát chồi đại trà</t>
  </si>
  <si>
    <t>B42</t>
  </si>
  <si>
    <t>D3</t>
  </si>
  <si>
    <t>D10</t>
  </si>
  <si>
    <t>D11</t>
  </si>
  <si>
    <t>D6</t>
  </si>
  <si>
    <t>B28</t>
  </si>
  <si>
    <t>D7</t>
  </si>
  <si>
    <t>Dãy cỏ khoanh gốc</t>
  </si>
  <si>
    <t>cây</t>
  </si>
  <si>
    <t>C14</t>
  </si>
  <si>
    <t>C11b</t>
  </si>
  <si>
    <t>C17</t>
  </si>
  <si>
    <t>B17</t>
  </si>
  <si>
    <t>C9</t>
  </si>
  <si>
    <t>C18</t>
  </si>
  <si>
    <t>C15</t>
  </si>
  <si>
    <t>C16</t>
  </si>
  <si>
    <t>B29</t>
  </si>
  <si>
    <t>B30</t>
  </si>
  <si>
    <t>B27</t>
  </si>
  <si>
    <t>C19</t>
  </si>
  <si>
    <t>D19c</t>
  </si>
  <si>
    <t>Nông trường 3, ngày 27 tháng 08 năm 2019</t>
  </si>
  <si>
    <t>KHỐI LƯỢNG THỰC TẾ</t>
  </si>
  <si>
    <t>KHỐI LƯỢNG CHUYỂN ĐỔI</t>
  </si>
  <si>
    <t>CÔNG CHÊNH LỆCH</t>
  </si>
  <si>
    <t>TỔNG CÔNG</t>
  </si>
  <si>
    <t>01973</t>
  </si>
  <si>
    <t>Lê Đức Thọ</t>
  </si>
  <si>
    <t>BẢNG CHẤM CÔNG CB.CNV QUẢN LÝ NÔNG TRƯỜNG THÁNG 09 NĂM 2019</t>
  </si>
  <si>
    <t>(Từ ngày 01 tháng 01 đến ngày 30 tháng 09 năm 2019)</t>
  </si>
  <si>
    <t>Huyện Nong, ngày 30 tháng 09 năm 2019</t>
  </si>
  <si>
    <t>01993</t>
  </si>
  <si>
    <t>BẢNG LƯƠNG CÔNG NHÂN VƯỜN NGƯƠNG ĐẦU TỪ THÁNG 11 NĂM 2019</t>
  </si>
  <si>
    <t>Trần Văn Hoàng</t>
  </si>
  <si>
    <t>(Bằng chữ: Mười hai triệu hai trăm  linh tám ngàn hai trăm năm mươi kíp)</t>
  </si>
  <si>
    <t>Lương 
sản lượng</t>
  </si>
  <si>
    <t>Phụ cấp 
khai thác</t>
  </si>
  <si>
    <t>Ngày trong tháng</t>
  </si>
  <si>
    <t>BẢNG CHẤM CÔNG BẢO VỆ LÀO THÁNG 02 NĂM 2020</t>
  </si>
  <si>
    <t>Huyện Nong, ngày .. tháng 02 năm 2020</t>
  </si>
  <si>
    <t>(Từ ngày 01 tháng 02 đến ngày 29 tháng 02 năm 2020)</t>
  </si>
  <si>
    <t>Ghi 
chú</t>
  </si>
  <si>
    <t>Thảo Keo</t>
  </si>
  <si>
    <t>Tà Lít</t>
  </si>
  <si>
    <t>La Vê</t>
  </si>
  <si>
    <t>Tên công việc</t>
  </si>
  <si>
    <t>Định
mức</t>
  </si>
  <si>
    <t>Khối lượng</t>
  </si>
  <si>
    <t>Số 
lần</t>
  </si>
  <si>
    <t>Lô</t>
  </si>
  <si>
    <t>KL</t>
  </si>
  <si>
    <t>VƯỜN CÂY KINH DOANH</t>
  </si>
  <si>
    <t>SẢN LƯỢNG</t>
  </si>
  <si>
    <t>Kg</t>
  </si>
  <si>
    <t xml:space="preserve">Mủ tạp </t>
  </si>
  <si>
    <t>qui khô</t>
  </si>
  <si>
    <t>Mủ đông</t>
  </si>
  <si>
    <t>DRC</t>
  </si>
  <si>
    <t>%</t>
  </si>
  <si>
    <t xml:space="preserve">II </t>
  </si>
  <si>
    <t>PHỤ CẤP CẠO MỦ</t>
  </si>
  <si>
    <t>Phụ cấp đi cạo ngày chủ nhật</t>
  </si>
  <si>
    <t>Phụ cấp ngày công đi cạo</t>
  </si>
  <si>
    <t>CHĂM SÓC</t>
  </si>
  <si>
    <t>CÔNG BẢO VỆ</t>
  </si>
  <si>
    <t>Bảo vệ Việt</t>
  </si>
  <si>
    <t xml:space="preserve">công </t>
  </si>
  <si>
    <t>2 người: 740 USD</t>
  </si>
  <si>
    <t>TỔNG CÔNG SẢN PHẨM = A+B+C+D</t>
  </si>
  <si>
    <t>Nguyễn Trường Hưng</t>
  </si>
  <si>
    <t>Đội phó</t>
  </si>
  <si>
    <t>Truy lãnh lương tháng 1</t>
  </si>
  <si>
    <t xml:space="preserve">Truy thu BHXH
BHYT
BHTN năm 2020
</t>
  </si>
  <si>
    <t>Vườn cây kinh doanh năm 4</t>
  </si>
  <si>
    <t>Ngân</t>
  </si>
  <si>
    <t>Phò Súc</t>
  </si>
  <si>
    <t>Khon Sa Văn ( Cha Phon)</t>
  </si>
  <si>
    <t>Xã Ngon</t>
  </si>
  <si>
    <t>Thong Chăn</t>
  </si>
  <si>
    <t>A Mai</t>
  </si>
  <si>
    <t>Thông May</t>
  </si>
  <si>
    <t>Tà Đăng</t>
  </si>
  <si>
    <t>Linh</t>
  </si>
  <si>
    <t>Khăm Pha</t>
  </si>
  <si>
    <t>Mân</t>
  </si>
  <si>
    <t>Mèo</t>
  </si>
  <si>
    <t>A Lun</t>
  </si>
  <si>
    <t>Phò Thay</t>
  </si>
  <si>
    <t>Chiệp</t>
  </si>
  <si>
    <t>Nhỏ</t>
  </si>
  <si>
    <t>Phò Xeng</t>
  </si>
  <si>
    <t>Ra Măn</t>
  </si>
  <si>
    <t>A Chới</t>
  </si>
  <si>
    <t>Phò Đăm</t>
  </si>
  <si>
    <t>Pho Măn</t>
  </si>
  <si>
    <t>Ăm</t>
  </si>
  <si>
    <t>A Nam</t>
  </si>
  <si>
    <t>A Ói</t>
  </si>
  <si>
    <t>A Linh</t>
  </si>
  <si>
    <t>A Lóc</t>
  </si>
  <si>
    <t>Phò Cau</t>
  </si>
  <si>
    <t>01991</t>
  </si>
  <si>
    <t>01992</t>
  </si>
  <si>
    <t>01998</t>
  </si>
  <si>
    <t>01995</t>
  </si>
  <si>
    <t>01994</t>
  </si>
  <si>
    <t>01348</t>
  </si>
  <si>
    <t>02001</t>
  </si>
  <si>
    <t>01999</t>
  </si>
  <si>
    <t>02000</t>
  </si>
  <si>
    <t>01997</t>
  </si>
  <si>
    <t>01996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</si>
  <si>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</si>
  <si>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</si>
  <si>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</si>
  <si>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</si>
  <si>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</si>
  <si>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</si>
  <si>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</si>
  <si>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</si>
  <si>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</si>
  <si>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</si>
  <si>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</si>
  <si>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</si>
  <si>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</si>
  <si>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</si>
  <si>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</si>
  <si>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</si>
  <si>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02022</t>
  </si>
  <si>
    <t>02019</t>
  </si>
  <si>
    <t>02018</t>
  </si>
  <si>
    <t>02020</t>
  </si>
  <si>
    <t>NÔNG TRƯỜNG3</t>
  </si>
  <si>
    <t>……….oOo………</t>
  </si>
  <si>
    <t>Họ Tên</t>
  </si>
  <si>
    <t>Lát dao</t>
  </si>
  <si>
    <t>Phần cây</t>
  </si>
  <si>
    <t>Bội phận</t>
  </si>
  <si>
    <t>Hạng KT vuờn cây</t>
  </si>
  <si>
    <t>ĐIỂM KT</t>
  </si>
  <si>
    <t>Nghỉ phép</t>
  </si>
  <si>
    <t>Không cạo</t>
  </si>
  <si>
    <t>Tổng ngày công</t>
  </si>
  <si>
    <t>Điểm  ngày công</t>
  </si>
  <si>
    <t>Tổng điểm</t>
  </si>
  <si>
    <t>Hạng KT tính lương</t>
  </si>
  <si>
    <t>CN xác nhận</t>
  </si>
  <si>
    <t>B14,15</t>
  </si>
  <si>
    <t>D1,4</t>
  </si>
  <si>
    <t>D4,5</t>
  </si>
  <si>
    <t>Hạng kỹ thuật theo vườn cây</t>
  </si>
  <si>
    <t>Hạng kỹ thuật tính lương</t>
  </si>
  <si>
    <t>Tổng công nhân</t>
  </si>
  <si>
    <t>Loại A</t>
  </si>
  <si>
    <t>Loại B</t>
  </si>
  <si>
    <t>Loại C</t>
  </si>
  <si>
    <t xml:space="preserve">Loại D </t>
  </si>
  <si>
    <t>P.KT- NN</t>
  </si>
  <si>
    <t>GIÁM ĐÔC NT</t>
  </si>
  <si>
    <t>TL.NN</t>
  </si>
  <si>
    <t>CÔNG TY TNHH CỔ PHẦN QUASA - GERUCO LÀO</t>
  </si>
  <si>
    <t>CÔNG TY TNHH CỔ PHẦN QUASA - GERUCO LÀO</t>
  </si>
  <si>
    <t>02021</t>
  </si>
  <si>
    <t>01356</t>
  </si>
  <si>
    <t>A Mốt</t>
  </si>
  <si>
    <t>A Nhăng</t>
  </si>
  <si>
    <t>Tổng thu nhập</t>
  </si>
  <si>
    <t>CÔNG TY TNHH CỔ PHẦN QUASA-GERUCO LÀO</t>
  </si>
  <si>
    <t>Tỷ giá: USD qua LAK</t>
  </si>
  <si>
    <t>Tỷ giá: VND qua LAK</t>
  </si>
  <si>
    <t>Stt</t>
  </si>
  <si>
    <t>BHXH - YT
-TN
(Lak)</t>
  </si>
  <si>
    <t>Tổng lương trừ BH (Kíp)</t>
  </si>
  <si>
    <t>Thuế
TNCN
(Lak)</t>
  </si>
  <si>
    <t xml:space="preserve">Trích KP
công đoàn
</t>
  </si>
  <si>
    <t>Quy Kíp</t>
  </si>
  <si>
    <t>(1)</t>
  </si>
  <si>
    <t>(2)</t>
  </si>
  <si>
    <t>(3)</t>
  </si>
  <si>
    <t>(4)</t>
  </si>
  <si>
    <t>(5)</t>
  </si>
  <si>
    <t>(6)</t>
  </si>
  <si>
    <t>(7)</t>
  </si>
  <si>
    <t>(8)=(5)-(6)</t>
  </si>
  <si>
    <t>(9)</t>
  </si>
  <si>
    <t>(10)</t>
  </si>
  <si>
    <t>(11)=(8)-(9)</t>
  </si>
  <si>
    <t>(13)=(11)*1%</t>
  </si>
  <si>
    <t>(15)</t>
  </si>
  <si>
    <t>CÁN BỘ QUẢN LÝ, PHỤC VỤ</t>
  </si>
  <si>
    <t>TL. NN</t>
  </si>
  <si>
    <t xml:space="preserve">TỔNG </t>
  </si>
  <si>
    <t xml:space="preserve">             PHÒNG TC-KT</t>
  </si>
  <si>
    <t xml:space="preserve">        PHÒNG TC-HC</t>
  </si>
  <si>
    <t>NGƯỜI LẬP BIỂU</t>
  </si>
  <si>
    <t>Truy lĩnh thuế TNCN tháng 01</t>
  </si>
  <si>
    <t>Thực nhận
(USD)</t>
  </si>
  <si>
    <t>Ngày
 làm việc</t>
  </si>
  <si>
    <t>Mức
lương</t>
  </si>
  <si>
    <t xml:space="preserve">           PHÒNG TC-KT</t>
  </si>
  <si>
    <t>Giám đốc</t>
  </si>
  <si>
    <t>ĐỘI KHAI THÁC</t>
  </si>
  <si>
    <t>Lê Văn Nghĩa</t>
  </si>
  <si>
    <t>Vệ sinh NT</t>
  </si>
  <si>
    <t>KO được xóa</t>
  </si>
  <si>
    <t>Trần Minh Thìn</t>
  </si>
  <si>
    <t>Trần Đăng Phương</t>
  </si>
  <si>
    <t>Truy lĩnh</t>
  </si>
  <si>
    <t>Hai</t>
  </si>
  <si>
    <t>Ba</t>
  </si>
  <si>
    <t>Tư</t>
  </si>
  <si>
    <t>Năm</t>
  </si>
  <si>
    <t>Sáu</t>
  </si>
  <si>
    <t>Bảy</t>
  </si>
  <si>
    <t>BẢNG CHẤM CÔNG</t>
  </si>
  <si>
    <t>NĂM</t>
  </si>
  <si>
    <t>THÁNG</t>
  </si>
  <si>
    <t>Mã NV</t>
  </si>
  <si>
    <t xml:space="preserve">                            Ngày/thứ
   Họ và tên</t>
  </si>
  <si>
    <t>Tổng
số
công</t>
  </si>
  <si>
    <t>Ghi chú:</t>
  </si>
  <si>
    <t>Chủ nhật</t>
  </si>
  <si>
    <t>Người lập</t>
  </si>
  <si>
    <t>A13</t>
  </si>
  <si>
    <t>Tổng 
lương 
(kip)</t>
  </si>
  <si>
    <t>A6</t>
  </si>
  <si>
    <t>Vườn cây kinh doanh năm 5</t>
  </si>
  <si>
    <t>Bảo vệ Lào( trạm cán)</t>
  </si>
  <si>
    <t>Phò viên</t>
  </si>
  <si>
    <t>BẢNG XẾP LOẠI CÔNG NHÂN THÁNG 01/2021</t>
  </si>
  <si>
    <t>Huyện Noong, ngày ....tháng .... năm 2020</t>
  </si>
  <si>
    <t>Nguyễn Phú Cường</t>
  </si>
  <si>
    <t>Phò Văn</t>
  </si>
  <si>
    <t>A4</t>
  </si>
  <si>
    <t xml:space="preserve">Bảo vệ thời vụ </t>
  </si>
  <si>
    <t>Bản PaSia</t>
  </si>
  <si>
    <t>Nguyển Huy Cường</t>
  </si>
  <si>
    <t>Nguyễn Huy Cường</t>
  </si>
  <si>
    <t>Phần</t>
  </si>
  <si>
    <t>Bôi thuốc kích thích</t>
  </si>
  <si>
    <t>Vườn cây năm 2015</t>
  </si>
  <si>
    <t>Phát chồi hàng 2m</t>
  </si>
  <si>
    <t>Thưng</t>
  </si>
  <si>
    <t>Bô Li Phăn</t>
  </si>
  <si>
    <t>Cha Nang</t>
  </si>
  <si>
    <t>Lâm</t>
  </si>
  <si>
    <t>Căn Nha</t>
  </si>
  <si>
    <t>Thảo E</t>
  </si>
  <si>
    <t>A Rơ</t>
  </si>
  <si>
    <t>Thao E</t>
  </si>
  <si>
    <t>Phò Lưa</t>
  </si>
  <si>
    <t>Lương Đức Tính</t>
  </si>
  <si>
    <t>TL.KH - VT</t>
  </si>
  <si>
    <t>TL. KH- VT</t>
  </si>
  <si>
    <t>BÁO CÁO KHỐI LƯỢNG  THÁNG 05 NĂM 2021</t>
  </si>
  <si>
    <t>( Từ ngày 01 tháng 05 năm 2021 đến ngày 31 tháng 05 năm 2021 )</t>
  </si>
  <si>
    <t>Khối lượng cán mủ</t>
  </si>
  <si>
    <t>Làm mái chắn mưa</t>
  </si>
  <si>
    <t>Làm màng phủ chén</t>
  </si>
  <si>
    <t>D20a</t>
  </si>
  <si>
    <t>D20b</t>
  </si>
  <si>
    <t>D17</t>
  </si>
  <si>
    <t>B43</t>
  </si>
  <si>
    <t>C5,6</t>
  </si>
  <si>
    <t>A62</t>
  </si>
  <si>
    <t>A60</t>
  </si>
  <si>
    <t>A61</t>
  </si>
  <si>
    <t>A59</t>
  </si>
  <si>
    <t>A69</t>
  </si>
  <si>
    <t>Vườn cây năm 2017</t>
  </si>
  <si>
    <t>A25</t>
  </si>
  <si>
    <t>A31</t>
  </si>
  <si>
    <t>A37</t>
  </si>
  <si>
    <t>A26</t>
  </si>
  <si>
    <t>A32</t>
  </si>
  <si>
    <t>A38</t>
  </si>
  <si>
    <t>A9</t>
  </si>
  <si>
    <t>A27</t>
  </si>
  <si>
    <t>A33</t>
  </si>
  <si>
    <t>A39</t>
  </si>
  <si>
    <t>A10</t>
  </si>
  <si>
    <t>A28</t>
  </si>
  <si>
    <t>A34</t>
  </si>
  <si>
    <t>A40</t>
  </si>
  <si>
    <t>A22</t>
  </si>
  <si>
    <t>A29</t>
  </si>
  <si>
    <t>A35</t>
  </si>
  <si>
    <t>A23</t>
  </si>
  <si>
    <t>A30</t>
  </si>
  <si>
    <t>A36</t>
  </si>
  <si>
    <t>A58</t>
  </si>
  <si>
    <t>A24</t>
  </si>
  <si>
    <t>A19</t>
  </si>
  <si>
    <t>A8</t>
  </si>
  <si>
    <t>A20</t>
  </si>
  <si>
    <t>A21</t>
  </si>
  <si>
    <t>C11a,b</t>
  </si>
  <si>
    <t>A12</t>
  </si>
  <si>
    <t>A68</t>
  </si>
  <si>
    <t>C11ab</t>
  </si>
  <si>
    <t>Phun cỏ hàng  2m</t>
  </si>
  <si>
    <t>Phun cỏ luồng 4m</t>
  </si>
  <si>
    <t>15 người * 31 ngày</t>
  </si>
  <si>
    <t>1 người *31 ngày</t>
  </si>
  <si>
    <t>Sưa chữa đường lô</t>
  </si>
  <si>
    <t>Đường qua lát D đội 2 trạm phụ, cắt cây gãy chắn ngang đường qua lô D23,D24,D25,D26</t>
  </si>
  <si>
    <t>Xử lý cây gãy đổ</t>
  </si>
  <si>
    <t>Dãy cỏ luồng + nhổ cỏ bầu + bón phân tràm</t>
  </si>
  <si>
    <t>Nông trường 3, ngày 28 tháng 05 năm 2021</t>
  </si>
  <si>
    <t>Nông trường 3, ngày 01 tháng 04 năm 2021</t>
  </si>
  <si>
    <t>TL.KH- VT</t>
  </si>
  <si>
    <t>3 người *31 ngày</t>
  </si>
  <si>
    <t>Chuyến công 30</t>
  </si>
  <si>
    <t>Thảo Nọi</t>
  </si>
  <si>
    <t>Nang May</t>
  </si>
  <si>
    <t>Thảo Deng</t>
  </si>
  <si>
    <t>A Lựa</t>
  </si>
  <si>
    <t>Nang Chanh</t>
  </si>
  <si>
    <t>Thảo Si von</t>
  </si>
  <si>
    <t>Thảo Bun</t>
  </si>
  <si>
    <t xml:space="preserve">Tỷ giá USD qua Kíp </t>
  </si>
  <si>
    <t>Mã nhân viên</t>
  </si>
  <si>
    <t>Thành
tiền</t>
  </si>
  <si>
    <t>15=13-14</t>
  </si>
  <si>
    <t>00974</t>
  </si>
  <si>
    <t>CN cán mủ</t>
  </si>
  <si>
    <t>Bản Xuông Tây</t>
  </si>
  <si>
    <t>Cha Nuôi</t>
  </si>
  <si>
    <t>Phò Seng</t>
  </si>
  <si>
    <t>Phạm Đắc Nhân</t>
  </si>
  <si>
    <t>Hà Văn Thành</t>
  </si>
  <si>
    <t>Pheng Xuong Sayavong</t>
  </si>
  <si>
    <t>Tháng 7</t>
  </si>
  <si>
    <t>A xệt</t>
  </si>
  <si>
    <t>PGĐ</t>
  </si>
  <si>
    <t>Huyện Noong, ngày 02 tháng 10 năm 2021</t>
  </si>
  <si>
    <t>BẢNG LƯƠNG CÔNG NHÂN VƯỜN CÂY CHĂM SÓC TỐI THIỂU THÁNG 09 NĂM 2021</t>
  </si>
  <si>
    <t>(Bằng chữ: Bốn triệu một trăm sáu mươi sáu ngàn kip )</t>
  </si>
  <si>
    <t>Nguyễn Quang Sáng</t>
  </si>
  <si>
    <t>Tháng 10</t>
  </si>
  <si>
    <t>Công Chay</t>
  </si>
  <si>
    <t>Trạm cán</t>
  </si>
  <si>
    <t>Lái xe</t>
  </si>
  <si>
    <t>A Xinh</t>
  </si>
  <si>
    <t>Trưởng Cum Tumloan</t>
  </si>
  <si>
    <t>TRẠM CÁN</t>
  </si>
  <si>
    <t>Phụ trách 
tram cán</t>
  </si>
  <si>
    <t>Tram cán</t>
  </si>
  <si>
    <t>Tháng 11</t>
  </si>
  <si>
    <t xml:space="preserve">     CỘNG HÒA DÂN CHỦ NHÂN DÂN LÀO</t>
  </si>
  <si>
    <t xml:space="preserve"> Hòa bình - Độc lập - Dân chủ - Thống nhất - Thịnh vượng</t>
  </si>
  <si>
    <t>CÔNG TY TNHH CỔ PHẦN QUASA- GERUCO</t>
  </si>
  <si>
    <t xml:space="preserve">       NÔNG TRƯỜNG 3</t>
  </si>
  <si>
    <t xml:space="preserve">                   BẢNG THANH TOÁN TIỀN THƯỞNG TẾT NĂM 2022 CỦA CÁN BỘ CÔNG NHÂN VIÊN NÔNG TRƯỜNG 3</t>
  </si>
  <si>
    <t xml:space="preserve">Hệ số quy đổi: USD --&gt; Kíp </t>
  </si>
  <si>
    <t>Việt --&gt; Kip</t>
  </si>
  <si>
    <t>Tháng 01</t>
  </si>
  <si>
    <t>Tháng 02</t>
  </si>
  <si>
    <t>Tháng 04</t>
  </si>
  <si>
    <t>Tháng 05</t>
  </si>
  <si>
    <t>Tháng 06</t>
  </si>
  <si>
    <t>Tháng 07</t>
  </si>
  <si>
    <t>Tháng 08</t>
  </si>
  <si>
    <t>Tháng 09</t>
  </si>
  <si>
    <t>Tháng 12</t>
  </si>
  <si>
    <t>Mức Lương 
bình quân</t>
  </si>
  <si>
    <t>Số tháng làm việc</t>
  </si>
  <si>
    <t>Tiền thưởng</t>
  </si>
  <si>
    <t xml:space="preserve">Ký nhận </t>
  </si>
  <si>
    <t>Tiếng Việt</t>
  </si>
  <si>
    <t>Cán bộ NV VP</t>
  </si>
  <si>
    <t>Đội khai thác</t>
  </si>
  <si>
    <t>Phụ trách tram cán</t>
  </si>
  <si>
    <t>Tháng
 03</t>
  </si>
  <si>
    <t>Huyện Noong, ngày 15 tháng 12 năm 2021</t>
  </si>
  <si>
    <t>Viết bằng chữ: Tám nghìn một trăm mười tám Đô la Mỹ và ba mươi bốn cent</t>
  </si>
  <si>
    <t>Tổng 
cộng 
 ( kip)</t>
  </si>
  <si>
    <t>Tổng thu nhập (Kíp)</t>
  </si>
  <si>
    <t>TÊN CÔNG VIỆC</t>
  </si>
  <si>
    <t>Vườn cây</t>
  </si>
  <si>
    <t>ĐƠN GIÁ (Kíp)</t>
  </si>
  <si>
    <t>THÀNH TIỀN
 ( Kíp)</t>
  </si>
  <si>
    <t>KÝ NHẬN</t>
  </si>
  <si>
    <t>A Mư</t>
  </si>
  <si>
    <t>Truy thu (Kip)</t>
  </si>
  <si>
    <t>Nguyễn Thanh Sơn</t>
  </si>
  <si>
    <t>Tiền lương CN trực tiếp</t>
  </si>
  <si>
    <t>E</t>
  </si>
  <si>
    <t>PHÒNG TC-KT</t>
  </si>
  <si>
    <t>Nguyễn Minh Thành</t>
  </si>
  <si>
    <t>Tăng Trung</t>
  </si>
  <si>
    <t xml:space="preserve">     NÔNG TRƯỜNG 3</t>
  </si>
  <si>
    <t>P.TC -HC</t>
  </si>
  <si>
    <t>P.TC -KT</t>
  </si>
  <si>
    <t>TL.BV</t>
  </si>
  <si>
    <t>Nguyễn Văn Nam</t>
  </si>
  <si>
    <t>Bản La Eng</t>
  </si>
  <si>
    <t>Tiền thưởng (Kíp)</t>
  </si>
  <si>
    <t xml:space="preserve">Đội trưởng </t>
  </si>
  <si>
    <t>Huyện Noong, ngày 02 tháng 02 năm 2023</t>
  </si>
  <si>
    <t>VƯỜN CÂY KTCB</t>
  </si>
  <si>
    <t>BẢNG KÊ CÁC KHOẢN TRÍCH THEO LƯƠNG THÁNG 02/2023</t>
  </si>
  <si>
    <t>Hỗ trợ phụ cấp xe quản lý</t>
  </si>
  <si>
    <t>Nguyễn Phúc Hào</t>
  </si>
  <si>
    <t>Phò Đào</t>
  </si>
  <si>
    <t>Phò Đừ</t>
  </si>
  <si>
    <t>A Phưng</t>
  </si>
  <si>
    <t>Xum Xay</t>
  </si>
  <si>
    <t>Phò Lơ</t>
  </si>
  <si>
    <t>A Tày</t>
  </si>
  <si>
    <t>A Băn</t>
  </si>
  <si>
    <t>A Ma</t>
  </si>
  <si>
    <t>A Ngáy</t>
  </si>
  <si>
    <t>A Bốt B</t>
  </si>
  <si>
    <t>A Bã</t>
  </si>
  <si>
    <t>Khăm Mừng</t>
  </si>
  <si>
    <t>A Bốt A</t>
  </si>
  <si>
    <t>Tý</t>
  </si>
  <si>
    <t>Cợt</t>
  </si>
  <si>
    <t>Nàng Na</t>
  </si>
  <si>
    <t>Thảo kỷ</t>
  </si>
  <si>
    <t>Nàng Lem</t>
  </si>
  <si>
    <t>Thảo Khăm</t>
  </si>
  <si>
    <t>Nàng cu Đạp</t>
  </si>
  <si>
    <t>Thảo Pôn</t>
  </si>
  <si>
    <t>Nàng Khung</t>
  </si>
  <si>
    <t>Mẹ Văn</t>
  </si>
  <si>
    <t>Nàng Nọi</t>
  </si>
  <si>
    <t>Nàng Mi</t>
  </si>
  <si>
    <t>Cha Pau</t>
  </si>
  <si>
    <t>Thảo Pau</t>
  </si>
  <si>
    <t>Thảo Roan</t>
  </si>
  <si>
    <t>Thảo Hắc</t>
  </si>
  <si>
    <t>Thảo Chết</t>
  </si>
  <si>
    <t>Thảo A Pên</t>
  </si>
  <si>
    <t>Thảo A Lai</t>
  </si>
  <si>
    <t>Thảo A Luốc</t>
  </si>
  <si>
    <t>Thảo Sâm Lết</t>
  </si>
  <si>
    <t>Thảo Việt</t>
  </si>
  <si>
    <t>Thảo Khêm</t>
  </si>
  <si>
    <t>Thảo ALuốc</t>
  </si>
  <si>
    <t>Thảo A Nhem</t>
  </si>
  <si>
    <t>A Sớt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</si>
  <si>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</si>
  <si>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</si>
  <si>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</si>
  <si>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</si>
  <si>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</si>
  <si>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</si>
  <si>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</si>
  <si>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</si>
  <si>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P.Thay</t>
  </si>
  <si>
    <t>P.Xeng</t>
  </si>
  <si>
    <t>A Phương</t>
  </si>
  <si>
    <t>Thông Đăm</t>
  </si>
  <si>
    <t>Ta Lốt</t>
  </si>
  <si>
    <t>A Phay</t>
  </si>
  <si>
    <t>Ta Dạt</t>
  </si>
  <si>
    <t>Ta Học</t>
  </si>
  <si>
    <t>Phò Têng</t>
  </si>
  <si>
    <t>Ma</t>
  </si>
  <si>
    <t>Phò Thoong</t>
  </si>
  <si>
    <t>Cha Hô</t>
  </si>
  <si>
    <t>P Lăng</t>
  </si>
  <si>
    <t>A Lay</t>
  </si>
  <si>
    <t>A Tay</t>
  </si>
  <si>
    <t>A Vêu</t>
  </si>
  <si>
    <t>A Long</t>
  </si>
  <si>
    <t>A Bưng</t>
  </si>
  <si>
    <t>BHXH
(8%)</t>
  </si>
  <si>
    <t>BHTN 
( 1%)</t>
  </si>
  <si>
    <t>BHYT 
(1.5%)</t>
  </si>
  <si>
    <t>CỘNG</t>
  </si>
  <si>
    <t>Quy đổi</t>
  </si>
  <si>
    <t>Van</t>
  </si>
  <si>
    <t>A Kỷ</t>
  </si>
  <si>
    <t>Ang</t>
  </si>
  <si>
    <t>A Siu</t>
  </si>
  <si>
    <t>Chăn thô</t>
  </si>
  <si>
    <t>Hằng</t>
  </si>
  <si>
    <t>Khăm Le</t>
  </si>
  <si>
    <t>A Cả</t>
  </si>
  <si>
    <t>Thảo Long</t>
  </si>
  <si>
    <t>Thảo Séng</t>
  </si>
  <si>
    <t>Thảo Phệ</t>
  </si>
  <si>
    <t>Tà Mai</t>
  </si>
  <si>
    <t>A Seo</t>
  </si>
  <si>
    <t>Thảo Vắt</t>
  </si>
  <si>
    <t>A Đeng</t>
  </si>
  <si>
    <t>A Thuần</t>
  </si>
  <si>
    <t>A Nhung</t>
  </si>
  <si>
    <t>A Tè</t>
  </si>
  <si>
    <t>Thành tiền</t>
  </si>
  <si>
    <t>Bằng chữ: Năm trăm nghìn kíp chẵn</t>
  </si>
  <si>
    <t>A Kết</t>
  </si>
  <si>
    <t>Đào Đại Đức</t>
  </si>
  <si>
    <t>ĐỘI 1</t>
  </si>
  <si>
    <t>Công làm ngày chủ nhật</t>
  </si>
  <si>
    <t>Nun</t>
  </si>
  <si>
    <t xml:space="preserve">Xúc </t>
  </si>
  <si>
    <t>Han</t>
  </si>
  <si>
    <t>A Mế</t>
  </si>
  <si>
    <t>A Têm</t>
  </si>
  <si>
    <t>Khô</t>
  </si>
  <si>
    <t>Nàng Thi</t>
  </si>
  <si>
    <t>A Chăn</t>
  </si>
  <si>
    <t>A Nem</t>
  </si>
  <si>
    <t>Phoong</t>
  </si>
  <si>
    <t>Thảo Sơm Mai</t>
  </si>
  <si>
    <t>Thảo Bùa Khăm</t>
  </si>
  <si>
    <t>A Nha</t>
  </si>
  <si>
    <t>Thảo ớp p'Lúp</t>
  </si>
  <si>
    <t>Phò Thêm</t>
  </si>
  <si>
    <t>A Pom</t>
  </si>
  <si>
    <t>Thảo Tà Pệc</t>
  </si>
  <si>
    <t>Khăm Đeng</t>
  </si>
  <si>
    <t>A Đơm</t>
  </si>
  <si>
    <t>Thảo Ụ</t>
  </si>
  <si>
    <t>Souliya Chanthakhot</t>
  </si>
  <si>
    <t>1.1</t>
  </si>
  <si>
    <t>1.2</t>
  </si>
  <si>
    <t>1.3</t>
  </si>
  <si>
    <t>2.1</t>
  </si>
  <si>
    <t>2.2</t>
  </si>
  <si>
    <t>Quy 
Lak</t>
  </si>
  <si>
    <t>Cộng</t>
  </si>
  <si>
    <t>(21)</t>
  </si>
  <si>
    <t>Tổng lương sau trừ BH (Kíp)</t>
  </si>
  <si>
    <t>Lay</t>
  </si>
  <si>
    <t>Mè Nang</t>
  </si>
  <si>
    <t>Côm</t>
  </si>
  <si>
    <t xml:space="preserve">Phò mai </t>
  </si>
  <si>
    <t>A Ca</t>
  </si>
  <si>
    <t xml:space="preserve">Phò Ka Đa </t>
  </si>
  <si>
    <t>A Ky</t>
  </si>
  <si>
    <t>Then</t>
  </si>
  <si>
    <t xml:space="preserve">Tươi </t>
  </si>
  <si>
    <t xml:space="preserve">Phút </t>
  </si>
  <si>
    <t xml:space="preserve">A kẻ </t>
  </si>
  <si>
    <t>A Cơ</t>
  </si>
  <si>
    <t>Phò Xiu</t>
  </si>
  <si>
    <t>A Bối</t>
  </si>
  <si>
    <t>A Côm</t>
  </si>
  <si>
    <t>A Nhớp</t>
  </si>
  <si>
    <t>Phò Choi</t>
  </si>
  <si>
    <t>Hà Mạnh Danh</t>
  </si>
  <si>
    <t>-----oOo-----</t>
  </si>
  <si>
    <t>Tổ/ Đội</t>
  </si>
  <si>
    <t>Tỷ lệ hoàn thành nhiệm vụ</t>
  </si>
  <si>
    <t>GHI CHÚ</t>
  </si>
  <si>
    <t>Sản lượng giao kế hoạch tháng (tấn)</t>
  </si>
  <si>
    <t>Sản lượng thực hiện trong tháng (tấn)</t>
  </si>
  <si>
    <t>BẢNG TÍNH LƯƠNG ĐỘI/TỔ TRƯỞNG, ĐỘI/TỔ PHÓ THÁNG 8</t>
  </si>
  <si>
    <t>(Theo Quyết định số 189/QD-QSG ngày 01/08/2023 về việc ban hành quy chế trả lương của Đội/ Tổ)</t>
  </si>
  <si>
    <t>Đơn vị tính</t>
  </si>
  <si>
    <t>Mức lương hiện hưởng</t>
  </si>
  <si>
    <t>Mức lương thực hiện trong tháng</t>
  </si>
  <si>
    <t>Các khoản phải trừ</t>
  </si>
  <si>
    <t>Tổng thu nhập chưa trừ Bảo hiểm, thuế TNCN, KPCĐ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</si>
  <si>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</si>
  <si>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</si>
  <si>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</si>
  <si>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</si>
  <si>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</si>
  <si>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</si>
  <si>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</si>
  <si>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Không hoàn thành kế hoạch sản lượng</t>
  </si>
  <si>
    <t>Tiền lương bị trừ</t>
  </si>
  <si>
    <t>(6)=(3)*50%</t>
  </si>
  <si>
    <t>(7)=(3)*50%*(1)</t>
  </si>
  <si>
    <t>(9)=(6)+(7)+(8)</t>
  </si>
  <si>
    <t>(12)=(9)-(11)</t>
  </si>
  <si>
    <t>Lương Kíp</t>
  </si>
  <si>
    <t>PHÒNG TC- HC</t>
  </si>
  <si>
    <t>Tiền lương tính thu nhập</t>
  </si>
  <si>
    <t>(9)=(8)*50%</t>
  </si>
  <si>
    <t>(10)=(8)*50%*(1)</t>
  </si>
  <si>
    <t xml:space="preserve">Tổng tiền lương </t>
  </si>
  <si>
    <t>13=11-12</t>
  </si>
  <si>
    <t>A Ba</t>
  </si>
  <si>
    <t>A Đôn</t>
  </si>
  <si>
    <t>A  Luân</t>
  </si>
  <si>
    <t>Mức
 lương</t>
  </si>
  <si>
    <t>Truy lãnh lương T7 +T8</t>
  </si>
  <si>
    <t>Tổng lương</t>
  </si>
  <si>
    <t>Truy lãnh lương T7+T8</t>
  </si>
  <si>
    <t xml:space="preserve">Tổng lương </t>
  </si>
  <si>
    <t>Truy lĩnh lương T7+T8</t>
  </si>
  <si>
    <t>Tổng  lương</t>
  </si>
  <si>
    <t>2.3</t>
  </si>
  <si>
    <t xml:space="preserve">BHXH-YT-TN
</t>
  </si>
  <si>
    <t xml:space="preserve">Tổng lương sau trừ BH
</t>
  </si>
  <si>
    <t xml:space="preserve">Thuế
TNCN
</t>
  </si>
  <si>
    <t xml:space="preserve">Tổng thu nhập </t>
  </si>
  <si>
    <t xml:space="preserve">Thực nhận
</t>
  </si>
  <si>
    <t>Ghi
 chú</t>
  </si>
  <si>
    <t>ĐVT: USD</t>
  </si>
  <si>
    <t>Sản lượng qui khô trong tháng</t>
  </si>
  <si>
    <t>Huyện Noong, ngày 02 tháng 12 năm 2023</t>
  </si>
  <si>
    <t xml:space="preserve"> P.TC -KT</t>
  </si>
  <si>
    <t>P. TC -HC</t>
  </si>
  <si>
    <t>ĐỘI KHAI THÁC NGƯỜI VIỆT ( USD)</t>
  </si>
  <si>
    <t>ĐỘI KHAI THÁC NGƯỜI LÀO ( KÍP)</t>
  </si>
  <si>
    <t>Ba triệu năm trăm nghìn kip</t>
  </si>
  <si>
    <t>Ứng tiền USD</t>
  </si>
  <si>
    <t>Ứng tiền Kíp</t>
  </si>
  <si>
    <t>DANH SÁCH  CB-CNV ỨNG LƯƠNG  THÁNG 12 NĂM 2023</t>
  </si>
  <si>
    <t>Dương Văn Việt</t>
  </si>
  <si>
    <t>Tổ trưởng SP</t>
  </si>
  <si>
    <t>Một nghìn một trăm hai mươi lăm Đô la Mỹ</t>
  </si>
  <si>
    <t>ĐỘI 3</t>
  </si>
  <si>
    <t>Huyện Noong, ngày 03 tháng 01 năm 2024</t>
  </si>
  <si>
    <t>BẢNG THANH TOÁN TIỀN THƯỞNG HOÀN THÀNH SẢN LƯỢNG 
CNKT THÁNG 12 NĂM 2023</t>
  </si>
  <si>
    <t xml:space="preserve">BẢNG THANH TOÁN TIỀN THƯỞNG TẾT DƯƠNG LỊCH NĂM 2024 </t>
  </si>
  <si>
    <t>PT. Trám cán</t>
  </si>
  <si>
    <t>Cán bộ quản lý, phục vụ</t>
  </si>
  <si>
    <t>Đôi 2</t>
  </si>
  <si>
    <t>Huyện Noong, ngày 31 tháng 12 năm 2023</t>
  </si>
  <si>
    <t>Truy lãnh lương tháng</t>
  </si>
  <si>
    <t xml:space="preserve">Tháng 8 </t>
  </si>
  <si>
    <t>Tháng 9</t>
  </si>
  <si>
    <t>ĐỘI KHAI THÁC NGƯỜI VIỆT</t>
  </si>
  <si>
    <t>ĐỘI KHAI THÁC NGƯỜI LÀO</t>
  </si>
  <si>
    <t>KÍP</t>
  </si>
  <si>
    <t>Huyện Noong, ngày 03 tháng 01  năm 2024</t>
  </si>
  <si>
    <t>Mường Noong, ngày 31 tháng 12 năm 2023</t>
  </si>
  <si>
    <t>Bằng chữ : Mười  ba triệu bốn trăm nghìn kip</t>
  </si>
  <si>
    <t>Bằng chữ :  Hai nghìn chín trăm tám mươi bảy Đô la Mỹ và chín mươi bảy cent</t>
  </si>
  <si>
    <t xml:space="preserve">            Mười triệu hai trăm bảy mươi hai nghìn không trăm mười chín</t>
  </si>
  <si>
    <t>BẢNG KÊ TRUY LÃNH LƯƠNG  CB.CNV  T7 - T12  NĂM 2023</t>
  </si>
  <si>
    <t>NÔNG TRƯỜNG CAO SU SÔ 3</t>
  </si>
  <si>
    <t>ĐỘI 2</t>
  </si>
  <si>
    <t xml:space="preserve">TỔNG CỘNG </t>
  </si>
  <si>
    <t>Số người</t>
  </si>
  <si>
    <t>Lương đội phó</t>
  </si>
  <si>
    <t>Lương công nhân  khai thác</t>
  </si>
  <si>
    <t>BẢO VỆ</t>
  </si>
  <si>
    <t>3.1</t>
  </si>
  <si>
    <t>3.2</t>
  </si>
  <si>
    <t>Bảo vệ trạm</t>
  </si>
  <si>
    <t>Bằng chữ: Mười tám triệu năm trăm nghìn kíp</t>
  </si>
  <si>
    <t>Tỷ giá Bath qua Kíp</t>
  </si>
  <si>
    <t>(Theo Quyết định số 64/QD-QSG ngày 01/12/2024 về việc ban hành quy chế trả lương của Đội/ Tổ)</t>
  </si>
  <si>
    <t>BẢNG TÍNH LƯƠNG ĐỘI/TỔ TRƯỞNG, ĐỘI/TỔ PHÓ THÁNG 01/2024</t>
  </si>
  <si>
    <t>Xa nhà</t>
  </si>
  <si>
    <t>Truy
 lãnh lương</t>
  </si>
  <si>
    <t>Lương ( USD)</t>
  </si>
  <si>
    <t>Lương theo bậc</t>
  </si>
  <si>
    <t>Lương 
sản lượng thực hiện</t>
  </si>
  <si>
    <t>Lương theo sản lượng</t>
  </si>
  <si>
    <t>Lương theo sản lượng thực hiện</t>
  </si>
  <si>
    <t>BATH -LAK</t>
  </si>
  <si>
    <t xml:space="preserve">Số ngày </t>
  </si>
  <si>
    <t>Đơn giá 
( Kíp)</t>
  </si>
  <si>
    <t xml:space="preserve"> Thành tiền
( Kíp)</t>
  </si>
  <si>
    <t xml:space="preserve">Lương thực hiện trong tháng </t>
  </si>
  <si>
    <t>P.KT -NN</t>
  </si>
  <si>
    <t>P. TC - HC</t>
  </si>
  <si>
    <t xml:space="preserve"> Ghi chú:</t>
  </si>
  <si>
    <t>Nghĩ phép</t>
  </si>
  <si>
    <t>Ngày công đi làm</t>
  </si>
  <si>
    <t>Thủ kho thủ quỹ</t>
  </si>
  <si>
    <t>Ngày công
 trực tết</t>
  </si>
  <si>
    <t>Ngày 
công đi làm</t>
  </si>
  <si>
    <t>Ngày nghĩ phép</t>
  </si>
  <si>
    <t>Mường Noong, ngày 29 tháng 02 năm 2024</t>
  </si>
  <si>
    <t>GIÁM ĐỐC NÔNG TRƯỜNG</t>
  </si>
  <si>
    <t xml:space="preserve">Tổng
 cộng </t>
  </si>
  <si>
    <t>NGƯƠI LẬP</t>
  </si>
  <si>
    <t>Đào Thị Thảo</t>
  </si>
  <si>
    <t>Huyện Noong, ngày 04 tháng 03 năm 2024</t>
  </si>
  <si>
    <t>Tà Học</t>
  </si>
  <si>
    <t>Phò Khọi</t>
  </si>
  <si>
    <t>Phò Luốc</t>
  </si>
  <si>
    <t>BẢNG KÊ CÁC KHOẢN TRÍCH THEO LƯƠNG THÁNG 02/2024</t>
  </si>
  <si>
    <t>BẢNG THANH TOÁN LƯƠNG CB-CNV NGƯỜI VIỆT NAM THÁNG 02 NĂM 2024</t>
  </si>
  <si>
    <t>Viết bằng chữ: Chín nghìn mốt bảy mươi lăm Đô la Mỹ và không chín cent</t>
  </si>
  <si>
    <t>(5)=250*(3)</t>
  </si>
  <si>
    <t>Huyện Noong, ngày 03 tháng 04 năm 2024</t>
  </si>
  <si>
    <t xml:space="preserve"> P.TC - KT</t>
  </si>
  <si>
    <t>(3)=(2)/(1)*100%</t>
  </si>
  <si>
    <t>BẢNG CHẤM CƠM TRỰC TẾT</t>
  </si>
  <si>
    <t>Nguyễn Thi Thu Hiền</t>
  </si>
  <si>
    <t>Tên hàng hoá</t>
  </si>
  <si>
    <t>Số lượng</t>
  </si>
  <si>
    <t>Mua hoa</t>
  </si>
  <si>
    <t>Mua đồ cúng ngày 30, mồng 1, mồng 3</t>
  </si>
  <si>
    <t>Tiền bia</t>
  </si>
  <si>
    <t>BẢNG KÊ CHI PHÍ TRỰC TẾT NGUYÊN ĐÁN NĂM 2024</t>
  </si>
  <si>
    <t>Tiền ăn anh em trực tết</t>
  </si>
  <si>
    <t>Lần</t>
  </si>
  <si>
    <t>Thùng</t>
  </si>
  <si>
    <t>Cặp</t>
  </si>
  <si>
    <t>Mua đồ trực tết</t>
  </si>
  <si>
    <t xml:space="preserve">Hỗ trợ bản </t>
  </si>
  <si>
    <t>Trần Thanh Hải</t>
  </si>
  <si>
    <t>4.1</t>
  </si>
  <si>
    <t>Vườn cây kinh doanh năm 8</t>
  </si>
  <si>
    <t>6.1</t>
  </si>
  <si>
    <t>Thảo Sơm Chay</t>
  </si>
  <si>
    <t>Thảo Lắc</t>
  </si>
  <si>
    <t xml:space="preserve"> Lương công nhân khoán</t>
  </si>
  <si>
    <t>(Bằng chữ:Bảy trăm ba mươi mốt triệu bảy trăm linh bảy nghìu tám trăm bảy mươi lăm kíp)</t>
  </si>
  <si>
    <t>Hoàng Tấn Thảo</t>
  </si>
  <si>
    <t>Phụ trách giám đốc NT</t>
  </si>
  <si>
    <t>TL. KH -NN</t>
  </si>
  <si>
    <t>TL  Bảo vệ</t>
  </si>
  <si>
    <t>Đào Thi Thảo</t>
  </si>
  <si>
    <t>Nguyễn Thị Thu Hiền</t>
  </si>
  <si>
    <t>NV NN</t>
  </si>
  <si>
    <t xml:space="preserve">Bảo vệ </t>
  </si>
  <si>
    <t>Nguyễn Văn Cường</t>
  </si>
  <si>
    <t>Nhân viên NN</t>
  </si>
  <si>
    <t>Bùi Phước Thành</t>
  </si>
  <si>
    <t>Đội trưởng tổ 2 TC</t>
  </si>
  <si>
    <t>Đội trưởng 3</t>
  </si>
  <si>
    <t>Hồ Dũng Cảm</t>
  </si>
  <si>
    <t>Nguyễn Tất Châu</t>
  </si>
  <si>
    <t>Vương Thành Long</t>
  </si>
  <si>
    <t xml:space="preserve">Đội trưởng đội 2 </t>
  </si>
  <si>
    <t>CÔNG TY TNHH CP QUASA - GERUCO LÀO</t>
  </si>
  <si>
    <t xml:space="preserve"> Phò Mừng</t>
  </si>
  <si>
    <t>Phò La Ve</t>
  </si>
  <si>
    <t>Chen</t>
  </si>
  <si>
    <t>Phò A Cữ</t>
  </si>
  <si>
    <t>A Mang</t>
  </si>
  <si>
    <t>Măn</t>
  </si>
  <si>
    <t>Thảo Xin</t>
  </si>
  <si>
    <t>Thảo Nạm</t>
  </si>
  <si>
    <t>Thảo Cẩu</t>
  </si>
  <si>
    <t>Nàng Chao</t>
  </si>
  <si>
    <t>Nàng Viên</t>
  </si>
  <si>
    <t>Thảo Penta</t>
  </si>
  <si>
    <t>Thảo Vy</t>
  </si>
  <si>
    <t>Nàng Thỏng</t>
  </si>
  <si>
    <t>Nàng Măng Lâu</t>
  </si>
  <si>
    <t>Thảo Con Tho</t>
  </si>
  <si>
    <t>Thảo Hách</t>
  </si>
  <si>
    <t>Nàng Bua Khăm</t>
  </si>
  <si>
    <t>Nàng Nâu</t>
  </si>
  <si>
    <t>Thảo Bua Khăm</t>
  </si>
  <si>
    <t>Thảo Nhung</t>
  </si>
  <si>
    <t>Thảo Vông</t>
  </si>
  <si>
    <t>Thảo Nhui</t>
  </si>
  <si>
    <t>Nàng Thong</t>
  </si>
  <si>
    <t>Thảo Von</t>
  </si>
  <si>
    <t>Thảo Xin Xay</t>
  </si>
  <si>
    <t>Thảo Lẹ</t>
  </si>
  <si>
    <t>Thảo Lôi</t>
  </si>
  <si>
    <t>Cha Chiệp</t>
  </si>
  <si>
    <t>Phò Phòm</t>
  </si>
  <si>
    <t>Cha Măn</t>
  </si>
  <si>
    <t>Nhung</t>
  </si>
  <si>
    <t>Phon</t>
  </si>
  <si>
    <t>Minh</t>
  </si>
  <si>
    <t>A Pon</t>
  </si>
  <si>
    <t>Bang</t>
  </si>
  <si>
    <t>Bun Đương</t>
  </si>
  <si>
    <t>Phay</t>
  </si>
  <si>
    <t>Bươi</t>
  </si>
  <si>
    <t>A Bổ</t>
  </si>
  <si>
    <t>Tên lô</t>
  </si>
  <si>
    <t>Tung</t>
  </si>
  <si>
    <t>Tà Lọt</t>
  </si>
  <si>
    <t>A Banh</t>
  </si>
  <si>
    <t>Phò Lấp</t>
  </si>
  <si>
    <t>Phơ</t>
  </si>
  <si>
    <t>A Xeng</t>
  </si>
  <si>
    <t>Nang Pan</t>
  </si>
  <si>
    <t>Phụ cấp khó khăn</t>
  </si>
  <si>
    <t>Nàng Khêm</t>
  </si>
  <si>
    <t xml:space="preserve">Nàng Tim </t>
  </si>
  <si>
    <t>Nàng Tim B</t>
  </si>
  <si>
    <t>Thảo Phao</t>
  </si>
  <si>
    <t>Thảo Thong Veo</t>
  </si>
  <si>
    <t>Thảo Đen</t>
  </si>
  <si>
    <t>Thảo Ký</t>
  </si>
  <si>
    <t>Nàng Nạ</t>
  </si>
  <si>
    <t>Thảo Xy</t>
  </si>
  <si>
    <t>Xơm Mái</t>
  </si>
  <si>
    <t>A Lúc</t>
  </si>
  <si>
    <t>Phò Thưng</t>
  </si>
  <si>
    <t>Xóm Chết</t>
  </si>
  <si>
    <t>Phò Lăng</t>
  </si>
  <si>
    <t>Cha Khuất</t>
  </si>
  <si>
    <t>5.1</t>
  </si>
  <si>
    <t xml:space="preserve"> BẢNG LƯƠNG QUẢN  LÝ VÀ CÔNG NHÂN TRỰC TIẾP NGƯỜI LÀO THÁNG 05 NĂM 2024</t>
  </si>
  <si>
    <t>Thuế TNCN</t>
  </si>
  <si>
    <t>Đã chi trả ngày công</t>
  </si>
  <si>
    <t xml:space="preserve">Phò Nhuận </t>
  </si>
  <si>
    <t>Quoan</t>
  </si>
  <si>
    <t>A Chơn</t>
  </si>
  <si>
    <t>Tòn</t>
  </si>
  <si>
    <t>Xã Ngãi</t>
  </si>
  <si>
    <t>A Bén</t>
  </si>
  <si>
    <t>A Xiu</t>
  </si>
  <si>
    <t xml:space="preserve">A Tày </t>
  </si>
  <si>
    <t xml:space="preserve">A Kẻ </t>
  </si>
  <si>
    <t>Lê Văn Đức</t>
  </si>
  <si>
    <t>Nguyễn Thị Bé</t>
  </si>
  <si>
    <t>Chăn Thô</t>
  </si>
  <si>
    <t>Kợt</t>
  </si>
  <si>
    <t>A Khò</t>
  </si>
  <si>
    <t>Thảo Lã</t>
  </si>
  <si>
    <t>Nọi</t>
  </si>
  <si>
    <t>Thảo Tiềng</t>
  </si>
  <si>
    <t>A Bả</t>
  </si>
  <si>
    <t>(Bằng chữ: Tám triệu tám trăm nghìn kíp chẵn)</t>
  </si>
  <si>
    <t>Tiền lương còn lại</t>
  </si>
  <si>
    <t>CNOL</t>
  </si>
  <si>
    <t>Cha Sơ</t>
  </si>
  <si>
    <t>-----o0o-----</t>
  </si>
  <si>
    <t>Dò</t>
  </si>
  <si>
    <t xml:space="preserve"> Tiền lương lái xe vận chuyển mủ</t>
  </si>
  <si>
    <t>01196</t>
  </si>
  <si>
    <t>Tiền lương cán mủ sơ chế</t>
  </si>
  <si>
    <t>Báo vệ</t>
  </si>
  <si>
    <t>Phò Viên</t>
  </si>
  <si>
    <t>----- o0o-----</t>
  </si>
  <si>
    <t>ĐVT : Kíp</t>
  </si>
  <si>
    <t>Tên Công nhân</t>
  </si>
  <si>
    <t>Chức Vụ</t>
  </si>
  <si>
    <t xml:space="preserve">Lương cơ bản </t>
  </si>
  <si>
    <t>Thuế TNCN</t>
  </si>
  <si>
    <t xml:space="preserve">  PHÒNG TC - KT</t>
  </si>
  <si>
    <t xml:space="preserve">       PHÒNG TC - HC</t>
  </si>
  <si>
    <t xml:space="preserve">       LẬP BIỂU</t>
  </si>
  <si>
    <t xml:space="preserve">Tỷ giá Bath qua Kip: </t>
  </si>
  <si>
    <t>ĐVT: Kip</t>
  </si>
  <si>
    <t>Mã số nhân viên</t>
  </si>
  <si>
    <t>Kí nhận</t>
  </si>
  <si>
    <t>Ngày công</t>
  </si>
  <si>
    <t>Mủ tạp (kg)</t>
  </si>
  <si>
    <t xml:space="preserve">Hạng
kỹ
thuật
</t>
  </si>
  <si>
    <t>Phụ cấp ngày công</t>
  </si>
  <si>
    <t>Phụ cấp ngày chủ nhật</t>
  </si>
  <si>
    <t>PHÒNG TC -HC</t>
  </si>
  <si>
    <t xml:space="preserve">NGƯỜI LẬP </t>
  </si>
  <si>
    <t>Đội 1,2 3</t>
  </si>
  <si>
    <t>lương Đội Lào Phôn +bun khưn</t>
  </si>
  <si>
    <t xml:space="preserve"> ĐƠN VỊ: NÔNG TRƯỜNG 3</t>
  </si>
  <si>
    <t xml:space="preserve">Đã chi trả tiền lương ngày công </t>
  </si>
  <si>
    <t>Tháng 5</t>
  </si>
  <si>
    <t>Tháng 6</t>
  </si>
  <si>
    <t>BẢNG THANH TOÁN PHỤ CẤP XÃ MIỆNG CẠO CHO CÔNG NHÂN KHAI THÁC</t>
  </si>
  <si>
    <t>Mã số nhân viên</t>
  </si>
  <si>
    <t>Tên công nhân</t>
  </si>
  <si>
    <t>Thành tiền(kíp)</t>
  </si>
  <si>
    <t>Kí Nhận</t>
  </si>
  <si>
    <t xml:space="preserve"> ĐỘI 1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</si>
  <si>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</si>
  <si>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</si>
  <si>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Nàng Khiêm</t>
  </si>
  <si>
    <t>Nàng Phít</t>
  </si>
  <si>
    <t>Thảo Đăm</t>
  </si>
  <si>
    <t>Nàng Tím</t>
  </si>
  <si>
    <t>Thảo Chăn Tho</t>
  </si>
  <si>
    <t>Thảo Thoong Veo</t>
  </si>
  <si>
    <t>Thảo Den</t>
  </si>
  <si>
    <t>Thảo Khăm Poong</t>
  </si>
  <si>
    <t>Thảo Phò Mực</t>
  </si>
  <si>
    <t>Thảo Vy Lạp</t>
  </si>
  <si>
    <t>Thảo Pho Lâu A</t>
  </si>
  <si>
    <t>Thảo Pho Lâu B</t>
  </si>
  <si>
    <t>TIỀN LƯƠNG TRỰC TIẾP</t>
  </si>
  <si>
    <t xml:space="preserve">Xếp loại kỹ thuật A </t>
  </si>
  <si>
    <t xml:space="preserve">Xếp loại kỹ thuật B </t>
  </si>
  <si>
    <t xml:space="preserve">Xếp loại kỹ thuật C </t>
  </si>
  <si>
    <t>Tiền lương lái xe</t>
  </si>
  <si>
    <t>TỔNG CỘNG:</t>
  </si>
  <si>
    <t xml:space="preserve">           TỔNG GIÁM ĐỐC</t>
  </si>
  <si>
    <t>Xếp loại kỹ thuật A phụ cấp</t>
  </si>
  <si>
    <t>Xếp loại kỹ thuật B phụ cấp</t>
  </si>
  <si>
    <t xml:space="preserve">Phụ cấp khó khăn </t>
  </si>
  <si>
    <t>Tiền lương KTCB</t>
  </si>
  <si>
    <t>Vươn cây năm 2018</t>
  </si>
  <si>
    <t>BẢNG THANH TOÁN PHỤ CẤP HỌC CẠO CHO CÔNG NHÂN KHAI THÁC</t>
  </si>
  <si>
    <t xml:space="preserve">Đơn giá </t>
  </si>
  <si>
    <t>Thành Tiền</t>
  </si>
  <si>
    <t>Số 
ngày học</t>
  </si>
  <si>
    <t xml:space="preserve">Đã chi trả công ngày </t>
  </si>
  <si>
    <t xml:space="preserve">          TỔNG GIÁM  ĐỐC                         PHÒNG TC - KT                                PHÒNG  TC - HC                </t>
  </si>
  <si>
    <t xml:space="preserve">Thành tiền </t>
  </si>
  <si>
    <t>Mủ dây (kg)</t>
  </si>
  <si>
    <t>Mủ dây  ( kg)</t>
  </si>
  <si>
    <r>
      <t>Phụ cấp ngày công</t>
    </r>
    <r>
      <rPr>
        <b/>
        <sz val="10"/>
        <color theme="0"/>
        <rFont val="Times New Roman"/>
        <family val="1"/>
      </rPr>
      <t xml:space="preserve"> </t>
    </r>
  </si>
  <si>
    <t>Đã chi trả tiền công hằng ngày</t>
  </si>
  <si>
    <t xml:space="preserve">Phụ cấp ngày công chủ nhật </t>
  </si>
  <si>
    <t>Tổng 
tiền lương</t>
  </si>
  <si>
    <t>Phụ cấp ngày công chủ nhật</t>
  </si>
  <si>
    <t>Phụ cấp  vùng khó khăn</t>
  </si>
  <si>
    <t>Đã chi trả tiền lương hằng ngày</t>
  </si>
  <si>
    <t>Qui đổi (Kíp)</t>
  </si>
  <si>
    <t>ĐVT: Kíp</t>
  </si>
  <si>
    <t>Phụ cấp vùng khó khăn</t>
  </si>
  <si>
    <t xml:space="preserve">Tổng tiền 
lương 
</t>
  </si>
  <si>
    <t xml:space="preserve">Tổng 
tiền lương
</t>
  </si>
  <si>
    <t>Lương chăm sóc  (25.000 kíp/ công)</t>
  </si>
  <si>
    <t>Lương chăm sóc
 (25.000 kíp/ công)</t>
  </si>
  <si>
    <t xml:space="preserve"> NÔNG TRƯỜNG CAO SU SỐ 3</t>
  </si>
  <si>
    <t xml:space="preserve">ĐVT
 </t>
  </si>
  <si>
    <t>KIP</t>
  </si>
  <si>
    <t>Văn Viết Chút</t>
  </si>
  <si>
    <t>TL.TC - KT</t>
  </si>
  <si>
    <t>Đội phó Đội 2</t>
  </si>
  <si>
    <t>Đội phó Đội 3</t>
  </si>
  <si>
    <t>Đội phó khai thác</t>
  </si>
  <si>
    <t>Trạm mủ</t>
  </si>
  <si>
    <t>A Liêu</t>
  </si>
  <si>
    <t>A kỷ</t>
  </si>
  <si>
    <t>Tà ướt</t>
  </si>
  <si>
    <t>Phenta</t>
  </si>
  <si>
    <t>A Bạt</t>
  </si>
  <si>
    <t>Võ Thi Nguyên</t>
  </si>
  <si>
    <t>A Khay</t>
  </si>
  <si>
    <t>Nguyễn Thi Thanh Trà</t>
  </si>
  <si>
    <t>Lây</t>
  </si>
  <si>
    <t>phò Lấp</t>
  </si>
  <si>
    <t>Cà Chốt</t>
  </si>
  <si>
    <t>Phò Tom</t>
  </si>
  <si>
    <t>Thảo Bả</t>
  </si>
  <si>
    <t>Thảo Phôm</t>
  </si>
  <si>
    <t>Thảo Lẻ</t>
  </si>
  <si>
    <t>Nàng Lê</t>
  </si>
  <si>
    <t>Si</t>
  </si>
  <si>
    <t>A Mừ</t>
  </si>
  <si>
    <t>Thừng</t>
  </si>
  <si>
    <t>Bô li phăn</t>
  </si>
  <si>
    <t>Sã ốt</t>
  </si>
  <si>
    <t>Thảo Xin (2)</t>
  </si>
  <si>
    <t>Nàng Lem (2)</t>
  </si>
  <si>
    <t>A Phết</t>
  </si>
  <si>
    <t>Nàng Viêng</t>
  </si>
  <si>
    <t>Bun Khẳm</t>
  </si>
  <si>
    <t xml:space="preserve">Thảo Sành </t>
  </si>
  <si>
    <t>Chen Tho</t>
  </si>
  <si>
    <t>A Luốt</t>
  </si>
  <si>
    <t>Măng Lau</t>
  </si>
  <si>
    <t>Con Tho</t>
  </si>
  <si>
    <t>Thăm Den</t>
  </si>
  <si>
    <t xml:space="preserve">Thảo Tươi </t>
  </si>
  <si>
    <t>Thong Veo (2)</t>
  </si>
  <si>
    <t>Thảo Đen  (2)</t>
  </si>
  <si>
    <t>Thảo Săm Lết</t>
  </si>
  <si>
    <t>A Beo</t>
  </si>
  <si>
    <t>Tà Pệc</t>
  </si>
  <si>
    <t>Khăm Phoong</t>
  </si>
  <si>
    <t>Nàng Xy Thong</t>
  </si>
  <si>
    <t>Thảo Sen</t>
  </si>
  <si>
    <t>Thảo Khăm Say</t>
  </si>
  <si>
    <t>Thảo Cho</t>
  </si>
  <si>
    <t>Bun Phết</t>
  </si>
  <si>
    <t>(+) TRẠM MỦ NT</t>
  </si>
  <si>
    <t>CÔNG TY TNHH CỔ PHẦN QUASA- GERUCO LÀO</t>
  </si>
  <si>
    <t>DANH MỤC</t>
  </si>
  <si>
    <t>Tổng khối lượng</t>
  </si>
  <si>
    <t>25.000 kíp</t>
  </si>
  <si>
    <t>10 người * 2,600.000 Kíp/tháng</t>
  </si>
  <si>
    <t>1 người * 2,000.000 Kíp/ tháng</t>
  </si>
  <si>
    <t>TRỢ LÝ TC - KT</t>
  </si>
  <si>
    <t>PHÒNG KH-XDCB</t>
  </si>
  <si>
    <t>Đơn giá 
( 2.000.000 kíp/tháng)</t>
  </si>
  <si>
    <t>Phụ cấp tiền xăng
( 600.000 kíp/tháng)</t>
  </si>
  <si>
    <t>Lương chăm sóc 
( 25.000 kíp/công)</t>
  </si>
  <si>
    <t>03698</t>
  </si>
  <si>
    <t>03710</t>
  </si>
  <si>
    <t>02862</t>
  </si>
  <si>
    <t>03719</t>
  </si>
  <si>
    <t>02875</t>
  </si>
  <si>
    <t>02877</t>
  </si>
  <si>
    <t>03711</t>
  </si>
  <si>
    <t>03705</t>
  </si>
  <si>
    <t>02879</t>
  </si>
  <si>
    <t>03707</t>
  </si>
  <si>
    <t>03729</t>
  </si>
  <si>
    <t>03728</t>
  </si>
  <si>
    <t>02874</t>
  </si>
  <si>
    <t>02861</t>
  </si>
  <si>
    <t>02886</t>
  </si>
  <si>
    <t>02880</t>
  </si>
  <si>
    <t>02872</t>
  </si>
  <si>
    <t>02866</t>
  </si>
  <si>
    <t>03712</t>
  </si>
  <si>
    <t>02863</t>
  </si>
  <si>
    <t>03708</t>
  </si>
  <si>
    <t>03717</t>
  </si>
  <si>
    <t>03718</t>
  </si>
  <si>
    <t>02901</t>
  </si>
  <si>
    <t>03730</t>
  </si>
  <si>
    <t>03723</t>
  </si>
  <si>
    <t>03724</t>
  </si>
  <si>
    <t>02895</t>
  </si>
  <si>
    <t>03727</t>
  </si>
  <si>
    <t>02898</t>
  </si>
  <si>
    <t>03180</t>
  </si>
  <si>
    <t>03731</t>
  </si>
  <si>
    <t>03732</t>
  </si>
  <si>
    <t>03737</t>
  </si>
  <si>
    <t>02939</t>
  </si>
  <si>
    <t>03738</t>
  </si>
  <si>
    <t>03739</t>
  </si>
  <si>
    <t>03740</t>
  </si>
  <si>
    <t>03743</t>
  </si>
  <si>
    <t>03744</t>
  </si>
  <si>
    <t>03745</t>
  </si>
  <si>
    <t>02927</t>
  </si>
  <si>
    <t>02949</t>
  </si>
  <si>
    <t>03746</t>
  </si>
  <si>
    <t>03747</t>
  </si>
  <si>
    <t>03749</t>
  </si>
  <si>
    <t>03750</t>
  </si>
  <si>
    <t>03751</t>
  </si>
  <si>
    <t>03752</t>
  </si>
  <si>
    <t>03753</t>
  </si>
  <si>
    <t>02942</t>
  </si>
  <si>
    <t>03754</t>
  </si>
  <si>
    <t>03755</t>
  </si>
  <si>
    <t>03757</t>
  </si>
  <si>
    <t>03760</t>
  </si>
  <si>
    <t>03759</t>
  </si>
  <si>
    <t>03762</t>
  </si>
  <si>
    <t>03763</t>
  </si>
  <si>
    <t>03764</t>
  </si>
  <si>
    <t>03765</t>
  </si>
  <si>
    <t>02943</t>
  </si>
  <si>
    <t>02938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</si>
  <si>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</si>
  <si>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</si>
  <si>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</si>
  <si>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</si>
  <si>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</si>
  <si>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</si>
  <si>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</si>
  <si>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</si>
  <si>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02953</t>
  </si>
  <si>
    <t>03776</t>
  </si>
  <si>
    <t>03777</t>
  </si>
  <si>
    <t>02929</t>
  </si>
  <si>
    <t>03780</t>
  </si>
  <si>
    <t>03781</t>
  </si>
  <si>
    <t>03782</t>
  </si>
  <si>
    <t>03786</t>
  </si>
  <si>
    <t>03788</t>
  </si>
  <si>
    <t>02969</t>
  </si>
  <si>
    <t>02970</t>
  </si>
  <si>
    <t>02971</t>
  </si>
  <si>
    <t>03789</t>
  </si>
  <si>
    <t>03790</t>
  </si>
  <si>
    <t>03791</t>
  </si>
  <si>
    <t>02925</t>
  </si>
  <si>
    <t>02976</t>
  </si>
  <si>
    <t>03793</t>
  </si>
  <si>
    <t>02979</t>
  </si>
  <si>
    <t>03795</t>
  </si>
  <si>
    <t>02984</t>
  </si>
  <si>
    <t>02983</t>
  </si>
  <si>
    <t>03796</t>
  </si>
  <si>
    <t>03797</t>
  </si>
  <si>
    <t>03798</t>
  </si>
  <si>
    <t>03799</t>
  </si>
  <si>
    <t>02988</t>
  </si>
  <si>
    <t>02989</t>
  </si>
  <si>
    <t>03800</t>
  </si>
  <si>
    <t>02994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</si>
  <si>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</si>
  <si>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</si>
  <si>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</si>
  <si>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</si>
  <si>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</si>
  <si>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</si>
  <si>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</si>
  <si>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</si>
  <si>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03000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</si>
  <si>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</si>
  <si>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</si>
  <si>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</si>
  <si>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</si>
  <si>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</si>
  <si>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</si>
  <si>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</si>
  <si>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</si>
  <si>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</si>
  <si>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</si>
  <si>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</si>
  <si>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</si>
  <si>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</si>
  <si>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03808</t>
  </si>
  <si>
    <t>03809</t>
  </si>
  <si>
    <t>03810</t>
  </si>
  <si>
    <t>03811</t>
  </si>
  <si>
    <t>Mã số 
nhân viên</t>
  </si>
  <si>
    <t>Võ Thị Phượng</t>
  </si>
  <si>
    <t>Tiền lương sau trừ thuế TNCN</t>
  </si>
  <si>
    <t>CÔNG TY TNHH CP  QUASA - GERUCO LÀO</t>
  </si>
  <si>
    <t>BẢNG THEO DÕI SẢN LƯỢNG MỦ TẠP CÔNG NHÂN NÔNG TRƯỜNG THÁNG 07/2024</t>
  </si>
  <si>
    <t>Ngày đi cạo</t>
  </si>
  <si>
    <t xml:space="preserve">Tổng mủ tạp </t>
  </si>
  <si>
    <t>Mủ tạp qui khô</t>
  </si>
  <si>
    <t>Xếp hạng kỷ thuật</t>
  </si>
  <si>
    <t>Ký tên
 CN</t>
  </si>
  <si>
    <t>ĐỘI 1 KX</t>
  </si>
  <si>
    <t>Đội 1 XT</t>
  </si>
  <si>
    <t>ĐỘI 2 TC</t>
  </si>
  <si>
    <t>Đội 2 TP</t>
  </si>
  <si>
    <t>SỐ CÔNG NHÂN</t>
  </si>
  <si>
    <t>HẠNG KỸ THUẬT</t>
  </si>
  <si>
    <t>SẢN LƯỢNG MỦ TẠP ( KG)</t>
  </si>
  <si>
    <t>SẢN LƯỢNG TẠP QUI KHÔ ( KG)</t>
  </si>
  <si>
    <t>CN chính thức</t>
  </si>
  <si>
    <t>CN thay thế</t>
  </si>
  <si>
    <t>Huyện Noong, ngày 31 tháng 07 năm 2024</t>
  </si>
  <si>
    <t>PHÒNG KT- NN</t>
  </si>
  <si>
    <t>TL. TC - KT</t>
  </si>
  <si>
    <t>TL.KH -NN</t>
  </si>
  <si>
    <t xml:space="preserve">     NGƯỜI LẬP</t>
  </si>
  <si>
    <t>ĐỘI 2 TP</t>
  </si>
  <si>
    <t>ĐỘI 1 XT</t>
  </si>
  <si>
    <t xml:space="preserve">      ĐỘI 1 KX</t>
  </si>
  <si>
    <t>Bội 
phận</t>
  </si>
  <si>
    <t xml:space="preserve">Ngày cạo đúp chủ nhật </t>
  </si>
  <si>
    <t>cn</t>
  </si>
  <si>
    <t>Đội 1 KX</t>
  </si>
  <si>
    <t>P. KT -NN</t>
  </si>
  <si>
    <t>TL . KH -NN</t>
  </si>
  <si>
    <t xml:space="preserve">Tổng 
mủ tạp </t>
  </si>
  <si>
    <t>Xếp hạng
 kỷ thuật</t>
  </si>
  <si>
    <t xml:space="preserve"> gốc</t>
  </si>
  <si>
    <t>CÔNG TY TNHH CỔ PHẦN  QUASA - GERUCO LÀO</t>
  </si>
  <si>
    <t>Huyện Noong, ngày 03 tháng 08 năm 2024</t>
  </si>
  <si>
    <t>Mủ dây quy khô (kg)</t>
  </si>
  <si>
    <t>(6)=(4)+(5)</t>
  </si>
  <si>
    <t>NÔNG TRƯỜNG  CAO SU SỐ 3</t>
  </si>
  <si>
    <t xml:space="preserve"> NÔNG TRƯỜNG CAO SU  SỐ 3</t>
  </si>
  <si>
    <t xml:space="preserve"> NÔNG TRƯỜNG CAO SU SỐ  3</t>
  </si>
  <si>
    <t xml:space="preserve">  NÔNG TRƯỜNG CAO SU SỐ 3</t>
  </si>
  <si>
    <t xml:space="preserve">
 Quy
khô ( kg)
</t>
  </si>
  <si>
    <t xml:space="preserve">Quy khô
( kg)
</t>
  </si>
  <si>
    <t xml:space="preserve"> Đội</t>
  </si>
  <si>
    <t>Lương ngày công đi cạo</t>
  </si>
  <si>
    <t>Nguyễn Thị Liệu</t>
  </si>
  <si>
    <t>SẢN LƯỢNG TẠP QUI KHÔ  ( KG)</t>
  </si>
  <si>
    <t>Thảo Chanh</t>
  </si>
  <si>
    <t>Thảo Lốt</t>
  </si>
  <si>
    <t>Thảo Bổn</t>
  </si>
  <si>
    <t>Nàng Păn</t>
  </si>
  <si>
    <t>Thảo chòi</t>
  </si>
  <si>
    <t>Thảo Uổn</t>
  </si>
  <si>
    <t>Thảo Món</t>
  </si>
  <si>
    <t>Nàng Phôn</t>
  </si>
  <si>
    <t>pọng</t>
  </si>
  <si>
    <t>Thảo Ngân</t>
  </si>
  <si>
    <t>Nàng Mau</t>
  </si>
  <si>
    <t>Nàng Văn</t>
  </si>
  <si>
    <t>Thảo la</t>
  </si>
  <si>
    <t>Thảo hôm</t>
  </si>
  <si>
    <t>Nàng Phét</t>
  </si>
  <si>
    <t>A Ngan</t>
  </si>
  <si>
    <t>A Thai</t>
  </si>
  <si>
    <t>Tom</t>
  </si>
  <si>
    <t>A Biu</t>
  </si>
  <si>
    <t>A mang</t>
  </si>
  <si>
    <t>Cha Lơ</t>
  </si>
  <si>
    <t>Bun ma</t>
  </si>
  <si>
    <t>Nghi Lọt</t>
  </si>
  <si>
    <t>Ta ướt</t>
  </si>
  <si>
    <t>Ca Chốt</t>
  </si>
  <si>
    <t>Huyện Noong, ngày 31 tháng 08 năm 2024</t>
  </si>
  <si>
    <t>Bô li Phăn</t>
  </si>
  <si>
    <t>Quy khô</t>
  </si>
  <si>
    <t>Phụ cấp cạo 2 lát</t>
  </si>
  <si>
    <t>Tạp</t>
  </si>
  <si>
    <t>Tạp Đội 1</t>
  </si>
  <si>
    <t>Qui khô</t>
  </si>
  <si>
    <t>Địa điểm và khối lương thực hiện</t>
  </si>
  <si>
    <t>Huyện Noong, ngày 03 tháng 09 năm 2024</t>
  </si>
  <si>
    <t>Xếp loại kỹ thuật D</t>
  </si>
  <si>
    <t>Ký 
tên CN</t>
  </si>
  <si>
    <t xml:space="preserve"> tạp</t>
  </si>
  <si>
    <t xml:space="preserve">Mủ tạp 
quy khô </t>
  </si>
  <si>
    <t>BẢNG THEO DÕI SẢN LƯỢNG MỦ TẠP TRUY TRẢ LẠI CHO CÔNG NHÂN NÔNG TRƯỜNG THÁNG 07/2024</t>
  </si>
  <si>
    <t>BẢNG LƯƠNG KHAI THÁC ĐỘI 1 TRUY LÃNH THÁNG 08 NĂM 2024</t>
  </si>
  <si>
    <t>Tạm ứng lương tháng 7</t>
  </si>
  <si>
    <t>BẢNG TẠM ỨNG LƯƠNG KHAI THÁC ĐỘI 1 THÁNG 07 NĂM 2024</t>
  </si>
  <si>
    <t>Lương phụ cấp ngày công đi cạo</t>
  </si>
  <si>
    <t xml:space="preserve">
 Quy
khô  tạm tính DRC 40%
</t>
  </si>
  <si>
    <t>Bằng chữ :Chín triệu, sáu trăm năm mươi nghìn, tám trăm mười hai kíp</t>
  </si>
  <si>
    <t>BẢNG TẠM ỨNG LƯƠNG KHAI THÁC ĐỘI 2  THÁNG 07 NĂM 2024</t>
  </si>
  <si>
    <t>Lương phụ cấp</t>
  </si>
  <si>
    <t>Quy khô
 tạm tính DRC 40%</t>
  </si>
  <si>
    <t>Bằng chữ : Mười một triệu, hai trăm hai mươi ba nghìn, năm trăm mười chín kíp</t>
  </si>
  <si>
    <t>BẢNG TẠM ỨNG LƯƠNG KHAI THÁC ĐỘI 3 THÁNG 07 NĂM 2024</t>
  </si>
  <si>
    <t>Bằng chữ : Hai triệu, tám trăm chín mươi năm nghìn, bảy trăm hai mươi tám kíp</t>
  </si>
  <si>
    <t>BẢNG LƯƠNG KHAI THÁC ĐỘI 3 TRUY LÃNH THÁNG 08 NĂM 2024</t>
  </si>
  <si>
    <t>BẢNG LƯƠNG KHAI THÁC ĐỘI 2 TRUY LÃNH THÁNG 08 NĂM 2024</t>
  </si>
  <si>
    <t>Tiền lương còn lại tháng 08</t>
  </si>
  <si>
    <t>Tạm ứng lương tháng 07</t>
  </si>
  <si>
    <t>Bằng chữ :Bảy trăm linh chín nghìn ba trăm năm mươi tám kíp</t>
  </si>
  <si>
    <t>Bằng chữ :Tám trăm hai mươi hai nghìn tám trăm năm mươi chín kíp</t>
  </si>
  <si>
    <t>Bằng chữ : Hai trăm mười hai nghìn ba trăm linh hai kíp</t>
  </si>
  <si>
    <t>DRCT7</t>
  </si>
  <si>
    <t>Mủ tạp 
( Kg)</t>
  </si>
  <si>
    <t>Quy khô 
( kg)</t>
  </si>
  <si>
    <t>Mủ tạp 
(kg)</t>
  </si>
  <si>
    <t>Công Ta</t>
  </si>
  <si>
    <t>A Bơ</t>
  </si>
  <si>
    <t>Nguyễn Thị Thanh Trà</t>
  </si>
  <si>
    <t>Thong may</t>
  </si>
  <si>
    <t>Thong may (2)</t>
  </si>
  <si>
    <t>Sản lương</t>
  </si>
  <si>
    <t>Phụ cấp tiền lương</t>
  </si>
  <si>
    <t>Phụ cấp cạo 2 lát ngày bình thường</t>
  </si>
  <si>
    <t>Bằng chữ : Ba trăm tám mươi lăm triệu, sáu trăm tám mươi mốt nghìn, hai trăm bảy mươi tám kíp</t>
  </si>
  <si>
    <t>Hòa Bình -Độc Lập  - Dân Chủ - thống Nhất - Thịnh Vượng</t>
  </si>
  <si>
    <t>Sản lượng mủ dây mủ dây</t>
  </si>
  <si>
    <t>Ký tên</t>
  </si>
  <si>
    <t xml:space="preserve">Tổng </t>
  </si>
  <si>
    <t xml:space="preserve">Tiền lương trạm cán </t>
  </si>
  <si>
    <t>Lương đội phó người Lào</t>
  </si>
  <si>
    <t>Tiền lương kinh doanh</t>
  </si>
  <si>
    <t>Huyện Noong, ngày 03 tháng 10 năm 2024</t>
  </si>
  <si>
    <t>Đội</t>
  </si>
  <si>
    <t>Lương  theo tỷ lệ hoàn thành sản lượng</t>
  </si>
  <si>
    <t>ĐVT : KÍP</t>
  </si>
  <si>
    <t xml:space="preserve">Đơn giá </t>
  </si>
  <si>
    <t xml:space="preserve">Tổng tiền lương
 </t>
  </si>
  <si>
    <t>TIỀN LƯƠNG CB.CNV</t>
  </si>
  <si>
    <t xml:space="preserve">Lương phu cấp CNKT </t>
  </si>
  <si>
    <t>STT/mã cn</t>
  </si>
  <si>
    <t>ĐỘI KX</t>
  </si>
  <si>
    <t>ĐỘI 2 TC+TP</t>
  </si>
  <si>
    <t>Nọi A</t>
  </si>
  <si>
    <t>Hồ Văn Chưa</t>
  </si>
  <si>
    <t>Hồ Văn Tao</t>
  </si>
  <si>
    <t>Hồ Văn Duy</t>
  </si>
  <si>
    <t>A Roa</t>
  </si>
  <si>
    <t>Hồ Xu Pa</t>
  </si>
  <si>
    <t>Hồ Văn Diêu</t>
  </si>
  <si>
    <t>Hồ Văn Doong</t>
  </si>
  <si>
    <t>Hồ Văn Việt</t>
  </si>
  <si>
    <t>Hồ Văn Đan</t>
  </si>
  <si>
    <t>BẢNG LƯƠNG KHAI THÁC ĐỘI 1 THÁNG 10 NĂM 2024</t>
  </si>
  <si>
    <t>CNK</t>
  </si>
  <si>
    <t>Phụ cấp ngày công cây non</t>
  </si>
  <si>
    <t>80k</t>
  </si>
  <si>
    <t>hoc cạo</t>
  </si>
  <si>
    <t>Xã cạo</t>
  </si>
  <si>
    <t>Phụ cấp ngày công cạo cây non</t>
  </si>
  <si>
    <t>Huyện Noong, ngày 03 tháng 11 năm 2024</t>
  </si>
  <si>
    <t>Số tiền bằng chữ: Ba triệu, ba trăm nghìn kíp</t>
  </si>
  <si>
    <t>Phu cấp ngày công cạo cây non</t>
  </si>
  <si>
    <t>Phụ cấp người Việt
 80.000 kip/ ngay</t>
  </si>
  <si>
    <t>Tổng tiền lương</t>
  </si>
  <si>
    <t>Bộ phận</t>
  </si>
  <si>
    <t>Số tiền</t>
  </si>
  <si>
    <t xml:space="preserve"> Ghi chú</t>
  </si>
  <si>
    <t>CHỨC VỤ</t>
  </si>
  <si>
    <t>Huyện Phìn, ngày 03 tháng 11 năm 2024</t>
  </si>
  <si>
    <t>Hồ Văn Phiên</t>
  </si>
  <si>
    <t>Hồ Văn Tim</t>
  </si>
  <si>
    <t>Phụ cấp cây non</t>
  </si>
  <si>
    <t xml:space="preserve">     NÔNG TRƯỜNG CAO SU SỐ  3</t>
  </si>
  <si>
    <t xml:space="preserve">KẾ HOẠCH TỔ CHỨC BƯA ĂN CÔNG ĐOÀN </t>
  </si>
  <si>
    <t xml:space="preserve">Tên đội </t>
  </si>
  <si>
    <t xml:space="preserve"> Thời gian</t>
  </si>
  <si>
    <t>Địa điểm</t>
  </si>
  <si>
    <t>Số lượng 
CN tham gia</t>
  </si>
  <si>
    <t xml:space="preserve">  Kinh phí</t>
  </si>
  <si>
    <t>Đội 1 Khum Xi</t>
  </si>
  <si>
    <t>Đội 1 Xuông Tày</t>
  </si>
  <si>
    <t xml:space="preserve">Đội 2 Trạm chính </t>
  </si>
  <si>
    <t>Đội 2 Trạm phụ</t>
  </si>
  <si>
    <t xml:space="preserve"> Tại nhà Đội</t>
  </si>
  <si>
    <t xml:space="preserve"> Thực đơn bưa ăn công đoàn dự kiến</t>
  </si>
  <si>
    <t>Tên thực phẩm</t>
  </si>
  <si>
    <t>Bò nguyên con</t>
  </si>
  <si>
    <t>Heo nguyên con</t>
  </si>
  <si>
    <t>Xôi</t>
  </si>
  <si>
    <t>Cá rô phi</t>
  </si>
  <si>
    <t>Con</t>
  </si>
  <si>
    <t>14 giờ ngày 7/11/2024</t>
  </si>
  <si>
    <t>Rau màu, gia vị</t>
  </si>
  <si>
    <t>Chén nhựa, tô nhựa, đũa</t>
  </si>
  <si>
    <t>Chi phí tiếp khách</t>
  </si>
  <si>
    <t>Phụ cấp tiền xăng CB.CNV</t>
  </si>
  <si>
    <t>Chi phí công việc khác</t>
  </si>
  <si>
    <t>Chi phí nhiên liệu</t>
  </si>
  <si>
    <t>Phụ cấp trưởng bản và trưởng cụm</t>
  </si>
  <si>
    <t>PHÒNG TC- HC           NÔNG TRƯỜNG 3</t>
  </si>
  <si>
    <t>Ký nhân</t>
  </si>
  <si>
    <t>Ngày chủ nhật 
( cn)</t>
  </si>
  <si>
    <t>Tổng mủ dây</t>
  </si>
  <si>
    <t>5.2</t>
  </si>
  <si>
    <t>Mủ serum</t>
  </si>
  <si>
    <t>Mủ 
serum</t>
  </si>
  <si>
    <t>DRC bình quân</t>
  </si>
  <si>
    <t>Tổng mủ serum</t>
  </si>
  <si>
    <t>Mủ tạp quy khô  DRC công nhân</t>
  </si>
  <si>
    <t>BẢNG TỔNG HỢP LƯƠNG CNKT NGƯỜI VIỆT NAM THÁNG 11/2024</t>
  </si>
  <si>
    <t>Đội 2 TC</t>
  </si>
  <si>
    <t xml:space="preserve">Ký tên
</t>
  </si>
  <si>
    <t>Mủ serun</t>
  </si>
  <si>
    <t xml:space="preserve"> TỔNG GIÁM ĐỐC                PHÒNG TC - KT                 PHÒNG TC - HC                 NÔNG TRƯỜNG 3       </t>
  </si>
  <si>
    <t xml:space="preserve">Bộ phận </t>
  </si>
  <si>
    <t>Đôi 1 XT</t>
  </si>
  <si>
    <t>Đôi 2 TC</t>
  </si>
  <si>
    <t>Trạm cân mủ</t>
  </si>
  <si>
    <t>Cụm bản</t>
  </si>
  <si>
    <t>Bản trong vùng dự án</t>
  </si>
  <si>
    <t>Tông cộng</t>
  </si>
  <si>
    <t>Huyện Noong, ngày 23 tháng 12 năm 2024</t>
  </si>
  <si>
    <t>Số
 lượng</t>
  </si>
  <si>
    <t>DANH SÁCH DỰ KIẾN TẶNG LỊCH XUÂN NĂM 2025</t>
  </si>
  <si>
    <t>Ngày cạo đúp bình thường ( D)</t>
  </si>
  <si>
    <t xml:space="preserve"> -----oOo-----</t>
  </si>
  <si>
    <t>Qui VND tỷ giá 1,18</t>
  </si>
  <si>
    <t>Tháng 12/24</t>
  </si>
  <si>
    <t>Phò  Sa Van</t>
  </si>
  <si>
    <t>Phò Nhạt</t>
  </si>
  <si>
    <t>Cha Rồi</t>
  </si>
  <si>
    <t>Khăm Keo</t>
  </si>
  <si>
    <t>Cha Mặc</t>
  </si>
  <si>
    <t>Pờ Riềng</t>
  </si>
  <si>
    <t>A Lúp</t>
  </si>
  <si>
    <t>Cha Ri</t>
  </si>
  <si>
    <t>Thảo Phau</t>
  </si>
  <si>
    <t>A Lay Pau</t>
  </si>
  <si>
    <t>Cha Hôm</t>
  </si>
  <si>
    <t>Cha Diệp</t>
  </si>
  <si>
    <t>Thảo Chen</t>
  </si>
  <si>
    <t>Phunthong</t>
  </si>
  <si>
    <t>Phò Phay</t>
  </si>
  <si>
    <t>BVTV</t>
  </si>
  <si>
    <t>Ủi bao lô chống cháy</t>
  </si>
  <si>
    <t>Kiểm kê vườn cây</t>
  </si>
  <si>
    <t>8D</t>
  </si>
  <si>
    <t>9D</t>
  </si>
  <si>
    <t>Vươn cây năm 2017</t>
  </si>
  <si>
    <t>Nguyễn Thanh Giang</t>
  </si>
  <si>
    <t>Lê Thi Mai Huân</t>
  </si>
  <si>
    <t>Đội trưởng đội 2 TC</t>
  </si>
  <si>
    <t>Huyện Noong, ngày 01 tháng 02 năm 2025</t>
  </si>
  <si>
    <t>Số ngày
 công</t>
  </si>
  <si>
    <t>Thành
 tiền (Kíp)</t>
  </si>
  <si>
    <t>Đơn
giá ( Kíp)</t>
  </si>
  <si>
    <t>Bằng chữ: Chín mươi bốn triệu, sáu trăm bốn chín nghin, chín trăm chín mươi bốn kíp</t>
  </si>
  <si>
    <t>BẢNG THANH TOÁN HỖ TRỢ  PHỤ CẤP CÔNG NGÀY NGHĨ CẠO THÁNG 01 NĂM 2025</t>
  </si>
  <si>
    <t>Ngày  phụ cấp</t>
  </si>
  <si>
    <t>Ngày đi làm</t>
  </si>
  <si>
    <t xml:space="preserve">Ngày 
công </t>
  </si>
  <si>
    <t>Huyện Noong, ngày 01 tháng 03 năm 2025</t>
  </si>
  <si>
    <t>Huyện Noong, ngày 03 tháng 03 năm 2025</t>
  </si>
  <si>
    <t>Thảo Kỷ</t>
  </si>
  <si>
    <t xml:space="preserve">     NÔNG TRƯỜNG CAO SU SỐ 3</t>
  </si>
  <si>
    <t>BẢNG THANH TOÁN HỖ TRỢ TIỀN XE VỀ BẢN CÔNG NHÂN KHAI THÁC NGƯỜI LÀO</t>
  </si>
  <si>
    <t>4.2</t>
  </si>
  <si>
    <t>Nông trường 3, ngày      tháng        năm 2025</t>
  </si>
  <si>
    <t>Mủ
 serum</t>
  </si>
  <si>
    <t>BẢNG CHẤM CÔNG CÔNG NHÂN NÔNG TRƯỜNG THỰC HIỆN CÔNG TÁC SAU KHI NGƯNG CẠO MỦ</t>
  </si>
  <si>
    <t>1/3</t>
  </si>
  <si>
    <t>2/3</t>
  </si>
  <si>
    <t>3/3</t>
  </si>
  <si>
    <t>26/2</t>
  </si>
  <si>
    <t>27/2</t>
  </si>
  <si>
    <t>28/2</t>
  </si>
  <si>
    <t>Ngày công đi cạo thực tế</t>
  </si>
  <si>
    <t>Ngày công đi làm các công tác sau nghĩ cạo</t>
  </si>
  <si>
    <t>4/3</t>
  </si>
  <si>
    <t>TL. TC- KT</t>
  </si>
  <si>
    <t>PHÒNG KT - NN</t>
  </si>
  <si>
    <t xml:space="preserve">Mủ serum quy khô </t>
  </si>
  <si>
    <t>DRC (%)</t>
  </si>
  <si>
    <t>Huyện Noong, ngày 28 tháng 02 năm 2025</t>
  </si>
  <si>
    <t xml:space="preserve">   PHÒNG TC - HC</t>
  </si>
  <si>
    <t>Ngày đi công</t>
  </si>
  <si>
    <t>BẢNG THEO DÕI SẢN LƯỢNG MỦ SERUM CÔNG NHÂN NÔNG TRƯỜNG THÁNG 02/2025</t>
  </si>
  <si>
    <t xml:space="preserve">Ngày </t>
  </si>
  <si>
    <t>Tỷ lệ hoàn thành công việc (%)</t>
  </si>
  <si>
    <t>Lương tính theo tỷ lệ hoàn thành công việc</t>
  </si>
  <si>
    <t xml:space="preserve"> P.TC -HC</t>
  </si>
  <si>
    <t>PHÒNG TC - HC             NÔNG TRƯỜNG 3</t>
  </si>
  <si>
    <t>Huyện Noong, ngày 01 tháng 04 năm 2025</t>
  </si>
  <si>
    <t>Lê Thị Mai Huân</t>
  </si>
  <si>
    <t>BẢNG LƯƠNG VƯỜN CÂY KHAI THÁC THÁNG 03 NĂM 2025</t>
  </si>
  <si>
    <t>Rút và vệ sinh máng dẫn mủ</t>
  </si>
  <si>
    <t>17K</t>
  </si>
  <si>
    <t>4.3</t>
  </si>
  <si>
    <t>7.1</t>
  </si>
  <si>
    <t xml:space="preserve">        TỔNG GIÁM ĐỐC                                           PHÒNG TC-KT</t>
  </si>
  <si>
    <t>Thổ lá hàng 3m</t>
  </si>
  <si>
    <t>BẢNG LƯƠNG CÔNG NHÂN VƯỜN CÂY KTCB THÁNG 03 NĂM 2025</t>
  </si>
  <si>
    <t>Bằng chữ:Ba triệu, bảy trăm bảy mươi hai nghìn chín trăm mười bảy kíp</t>
  </si>
  <si>
    <t>Bằng chữ: Một trăm hai mươi một triệu, chín trăm sáu mươi tám nghìn, ba trăm ba mươi ba kíp</t>
  </si>
  <si>
    <t>BẢNG CHẤM CÔNG THÁNG 04 NĂM 2025</t>
  </si>
  <si>
    <t xml:space="preserve">     NÔNG TRƯỜNG C3</t>
  </si>
  <si>
    <t>BẢNG CHẤM CÔNG PHỤ CẤP TIỀN XĂNG THÁNG 04 NĂM 2025</t>
  </si>
  <si>
    <t>Huyện Noong, ngày 30 tháng 04 năm 2025</t>
  </si>
  <si>
    <t>BẢNG THANH TOÁN TIỀN HỔ TRỢ XE QUẢN LÝ THÁNG 04 NĂM 2025</t>
  </si>
  <si>
    <t>BẢNG CHẤM CÔNG PHỤ CẤP CHO ĐỘI PHÓ NGƯỜI LÀO THÁNG 04 NĂM 2025</t>
  </si>
  <si>
    <t>04</t>
  </si>
  <si>
    <t>Huyện  Noong, ngày 30 tháng 04 năm 2025</t>
  </si>
  <si>
    <t>Huyện Noong, ngày 01 tháng 05 năm 2025</t>
  </si>
  <si>
    <t>BẢNG THANH TOÁN PHỤ CẤP TIỀN XĂNG CB.CNV THÁNG 04 NĂM 2025</t>
  </si>
  <si>
    <t>Huyện Nong, ngày 01 tháng 05 năm 2025</t>
  </si>
  <si>
    <t>Bằng chữ: Chín triệu ba trăm tám mươi nghìn kíp</t>
  </si>
  <si>
    <t>BẢNG THANH TOÁN TIỀN HỖ TRỢ CÁC CỤM, TRƯỞNG BẢN
 CÓ CÔNG NHÂN LÀM VIỆC THÁNG 04 NĂM 2025</t>
  </si>
  <si>
    <t>BẢNG CHẤM CÔNG CÔNG NHÂN KHAI THÁC NÔNG TRƯỜNG 3 THÁNG 04 NĂM 2025</t>
  </si>
  <si>
    <t>Ngày  công đi cao
(x)</t>
  </si>
  <si>
    <t>A Nhợp</t>
  </si>
  <si>
    <t>A Chan</t>
  </si>
  <si>
    <t>Phò Đùa</t>
  </si>
  <si>
    <t>Xúc</t>
  </si>
  <si>
    <t>A Phơ</t>
  </si>
  <si>
    <t>Nang Xây</t>
  </si>
  <si>
    <t>Nang Sun</t>
  </si>
  <si>
    <t>Thảo Ben</t>
  </si>
  <si>
    <t>Nang Nhăn</t>
  </si>
  <si>
    <t>Phò Thít</t>
  </si>
  <si>
    <t>A Bợp</t>
  </si>
  <si>
    <t>Xa Vạt Đi</t>
  </si>
  <si>
    <t>Thảo Bun Ten</t>
  </si>
  <si>
    <t>Nang Đào</t>
  </si>
  <si>
    <t>Phò Nhạc</t>
  </si>
  <si>
    <t>Thảo Xi</t>
  </si>
  <si>
    <t>Húc</t>
  </si>
  <si>
    <t>Thảo Nét</t>
  </si>
  <si>
    <t>Thảo út</t>
  </si>
  <si>
    <t>A Nghen</t>
  </si>
  <si>
    <t>Thảo Xâm</t>
  </si>
  <si>
    <t>Nang Phen</t>
  </si>
  <si>
    <t>Nang Bun Ten</t>
  </si>
  <si>
    <t>Dã  Lay</t>
  </si>
  <si>
    <t>Thảo Xen</t>
  </si>
  <si>
    <t>BẢNG THEO DÕI SẢN LƯỢNG MỦ TẠP CÔNG NHÂN NÔNG TRƯỜNG THÁNG 04/2025</t>
  </si>
  <si>
    <t>Nàng Ăn</t>
  </si>
  <si>
    <t>Thảo Ơ</t>
  </si>
  <si>
    <t>Thảo Ui</t>
  </si>
  <si>
    <t>Thảo Tin</t>
  </si>
  <si>
    <t>Nàng Xái</t>
  </si>
  <si>
    <t>Thảo Phôn Xay</t>
  </si>
  <si>
    <t>Nàng Phêng</t>
  </si>
  <si>
    <t>Thảo Phíc</t>
  </si>
  <si>
    <t>Nàng Chai</t>
  </si>
  <si>
    <t>Nàng Xanh</t>
  </si>
  <si>
    <t>Thảo Xượm</t>
  </si>
  <si>
    <t>Thảo Tích</t>
  </si>
  <si>
    <t>Nàng Thoong</t>
  </si>
  <si>
    <t>Thảo Xoan Chay</t>
  </si>
  <si>
    <t>Nàng Út</t>
  </si>
  <si>
    <t>Thảo Xay Phôn</t>
  </si>
  <si>
    <t>Nàng Mui</t>
  </si>
  <si>
    <t>Ning Dung</t>
  </si>
  <si>
    <t>Mua Chăn</t>
  </si>
  <si>
    <t>Thảo Chọi 2</t>
  </si>
  <si>
    <t>Thảo Sing</t>
  </si>
  <si>
    <t>Nàng Tịa</t>
  </si>
  <si>
    <t>Thảo Tý</t>
  </si>
  <si>
    <t>Nàng Lếc</t>
  </si>
  <si>
    <t>Nàng Veo</t>
  </si>
  <si>
    <t>Thảo Chọi</t>
  </si>
  <si>
    <t>Thảo Chòi</t>
  </si>
  <si>
    <t>Thảo Sa</t>
  </si>
  <si>
    <t>Thảo Mon</t>
  </si>
  <si>
    <t>Thảo Vông Xay</t>
  </si>
  <si>
    <t>Nàng Lun</t>
  </si>
  <si>
    <t>Thảo Vong</t>
  </si>
  <si>
    <t>Nàng Veng</t>
  </si>
  <si>
    <t>Thảo Đuông Chăn</t>
  </si>
  <si>
    <t>Nàng Peng</t>
  </si>
  <si>
    <t>Thảo Xay Tho</t>
  </si>
  <si>
    <t>Nàng Xia Lô</t>
  </si>
  <si>
    <t>Viêng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</si>
  <si>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</si>
  <si>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</si>
  <si>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</si>
  <si>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</si>
  <si>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</si>
  <si>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</si>
  <si>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</si>
  <si>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</si>
  <si>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</si>
  <si>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</t>
  </si>
  <si>
    <t>Quy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</si>
  <si>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</si>
  <si>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</si>
  <si>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</si>
  <si>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</si>
  <si>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</si>
  <si>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</si>
  <si>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</si>
  <si>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</si>
  <si>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</si>
  <si>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</si>
  <si>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</si>
  <si>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</si>
  <si>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</si>
  <si>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</si>
  <si>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</si>
  <si>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</si>
  <si>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</si>
  <si>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>Phò Lâu</t>
  </si>
  <si>
    <t>Phit</t>
  </si>
  <si>
    <t>Nam</t>
  </si>
  <si>
    <t>Na</t>
  </si>
  <si>
    <t>Vy</t>
  </si>
  <si>
    <t>Vy thong</t>
  </si>
  <si>
    <t>Ta pet</t>
  </si>
  <si>
    <t>Pho mực</t>
  </si>
  <si>
    <t>Thảo Bun Khăm</t>
  </si>
  <si>
    <t xml:space="preserve">A Hôm </t>
  </si>
  <si>
    <t>Cha phau</t>
  </si>
  <si>
    <t>Thảo Sèng</t>
  </si>
  <si>
    <t>A Sen</t>
  </si>
  <si>
    <t>Sim say</t>
  </si>
  <si>
    <t>Khoa</t>
  </si>
  <si>
    <t>Soa</t>
  </si>
  <si>
    <t xml:space="preserve">A Nhăng </t>
  </si>
  <si>
    <t>Săm Lết</t>
  </si>
  <si>
    <t>Phương</t>
  </si>
  <si>
    <t>Xăm Chết</t>
  </si>
  <si>
    <t>Thảo Po Mua</t>
  </si>
  <si>
    <t>Thảo Từn Vàng</t>
  </si>
  <si>
    <t>Thảo Cua Vư</t>
  </si>
  <si>
    <t>Cha</t>
  </si>
  <si>
    <t>Thông Sinh</t>
  </si>
  <si>
    <t>Thọ Tinh</t>
  </si>
  <si>
    <t>Bố Nọi</t>
  </si>
  <si>
    <t>Xì xung</t>
  </si>
  <si>
    <t>Muôi</t>
  </si>
  <si>
    <t>A Hông</t>
  </si>
  <si>
    <t>Ka Văng</t>
  </si>
  <si>
    <t>Xăm Mái</t>
  </si>
  <si>
    <t>Ly</t>
  </si>
  <si>
    <t>BẢNG THEO DÕI SẢN LƯỢNG MỦ DÂY CÔNG NHÂN NÔNG TRƯỜNG THÁNG 04/2025</t>
  </si>
  <si>
    <t>TỶ LỆ % THEO HẠNG KỶ THUẬT</t>
  </si>
  <si>
    <t>Huyện Noong, ngày  30 tháng 04 năm 2025</t>
  </si>
  <si>
    <t>BẢNG THANH TOÁN TIỀN LƯƠNG MỦ DÂY THÁNG 04 NĂM 2025</t>
  </si>
  <si>
    <t>(Từ ngày 01 tháng 04 đến ngày 31 tháng 04 năm 2025)</t>
  </si>
  <si>
    <t>Số tiền bằng chữ: Ba triệu chín trăm năm mươi nghìn kíp</t>
  </si>
  <si>
    <t>BẢNG CHẤM CÔNG PHỤ CẤP CÂY NON NÔNG TRƯỜNG 3 THÁNG 04 NĂM 2025</t>
  </si>
  <si>
    <t>BẢNG LƯƠNG KHAI THÁC ĐỘI 2 THÁNG 04 NĂM 2025</t>
  </si>
  <si>
    <t>BẢNG LƯƠNG KHAI THÁC ĐỘI 1 THÁNG 04 NĂM 2025</t>
  </si>
  <si>
    <t>BẢNG LƯƠNG KHAI THÁC ĐỘI 3 THÁNG 04 NĂM 2025</t>
  </si>
  <si>
    <t>Phụ cấp xã cạo</t>
  </si>
  <si>
    <t>Phụ cấp xả cạo</t>
  </si>
  <si>
    <t>Phụ cấp 
xã cạo</t>
  </si>
  <si>
    <t>Tiền lương 
còn lại</t>
  </si>
  <si>
    <t xml:space="preserve"> BẢNG LƯƠNG CÔNG NHÂN TRỰC TIẾP THÁNG 04 NĂM 2025</t>
  </si>
  <si>
    <t>Lương 
phụ cấp</t>
  </si>
  <si>
    <t>BẢNG LƯƠNG TRẠM MỦ  THÁNG 04 NĂM 2025</t>
  </si>
  <si>
    <t>Số tiền bằng chữ: Hai mươi triệu, bốn trăm chín mươi nghìn, chín trăm kíp</t>
  </si>
  <si>
    <t>BẢNG LƯƠNG BẢO VỆ THÁNG 04 NĂM 2025</t>
  </si>
  <si>
    <t xml:space="preserve">Phụ cấp xã cạo </t>
  </si>
  <si>
    <t>BÁO CÁO  SẢN XUẤT THÁNG 04 NĂM 2025</t>
  </si>
  <si>
    <t>( Từ ngày 01 tháng 04 năm 2025 đến ngày 30 tháng 4 năm 2025 )</t>
  </si>
  <si>
    <t>Mủ tạp (Quy khô)</t>
  </si>
  <si>
    <t>kg</t>
  </si>
  <si>
    <t>Mủ dây ( Quy khô )</t>
  </si>
  <si>
    <t>Mủ Sirum ( Quy khô)</t>
  </si>
  <si>
    <t>thiết kế úp</t>
  </si>
  <si>
    <t>thiết kế ngữa</t>
  </si>
  <si>
    <t>xả cạo úp</t>
  </si>
  <si>
    <t>xẩ cạo ngữa</t>
  </si>
  <si>
    <t>xarcaoj ngửa mới</t>
  </si>
  <si>
    <t>rút máng</t>
  </si>
  <si>
    <t xml:space="preserve">trang bị </t>
  </si>
  <si>
    <t>tổng</t>
  </si>
  <si>
    <t>khôn xí</t>
  </si>
  <si>
    <t>xt</t>
  </si>
  <si>
    <t>Phu cấp ngày công cho công nhân vùng khó khăn</t>
  </si>
  <si>
    <t>đội 2</t>
  </si>
  <si>
    <t>2.4</t>
  </si>
  <si>
    <t>Phu cấp cạo cây non</t>
  </si>
  <si>
    <t>tp</t>
  </si>
  <si>
    <t>Thiết kế miệng cạo ngữa</t>
  </si>
  <si>
    <t>Trang bị vật tư ( Dây, kiềng, chén)</t>
  </si>
  <si>
    <t>Xả miệng cạo, rong mương, đóng máng</t>
  </si>
  <si>
    <t>3.3</t>
  </si>
  <si>
    <t>3.4</t>
  </si>
  <si>
    <t>Xả miệng cạo,rong mương, đóng máng</t>
  </si>
  <si>
    <t>4.4</t>
  </si>
  <si>
    <t>Vườn cây kinh doanh năm 6</t>
  </si>
  <si>
    <t>5.3</t>
  </si>
  <si>
    <t>6.2</t>
  </si>
  <si>
    <t>6.3</t>
  </si>
  <si>
    <t>Thiết kế miệng cạo úp</t>
  </si>
  <si>
    <t>6.4</t>
  </si>
  <si>
    <t>6.5</t>
  </si>
  <si>
    <t>6.6</t>
  </si>
  <si>
    <t>Xả miệng cạo,rong mương, đóng máng ( miệng cạo úp)</t>
  </si>
  <si>
    <t>Xử lý cây háp</t>
  </si>
  <si>
    <t>Xuồng tày</t>
  </si>
  <si>
    <t>Cây</t>
  </si>
  <si>
    <t>X8A</t>
  </si>
  <si>
    <t>X5</t>
  </si>
  <si>
    <t>X22</t>
  </si>
  <si>
    <t>X9B</t>
  </si>
  <si>
    <t>X18</t>
  </si>
  <si>
    <t>X20B</t>
  </si>
  <si>
    <t>8J</t>
  </si>
  <si>
    <t>7J</t>
  </si>
  <si>
    <t>4I</t>
  </si>
  <si>
    <t>8I</t>
  </si>
  <si>
    <t>Trạm phụ</t>
  </si>
  <si>
    <t>14J</t>
  </si>
  <si>
    <t>13K</t>
  </si>
  <si>
    <t>14K</t>
  </si>
  <si>
    <t>15K</t>
  </si>
  <si>
    <t>16I</t>
  </si>
  <si>
    <t>16F</t>
  </si>
  <si>
    <t>17F</t>
  </si>
  <si>
    <t>18A</t>
  </si>
  <si>
    <t>20A</t>
  </si>
  <si>
    <t>Uỉ dọn rẩy</t>
  </si>
  <si>
    <t>Giờ</t>
  </si>
  <si>
    <t>14I</t>
  </si>
  <si>
    <t>15I</t>
  </si>
  <si>
    <t>X20b</t>
  </si>
  <si>
    <t>4H</t>
  </si>
  <si>
    <t>5E</t>
  </si>
  <si>
    <t>12E</t>
  </si>
  <si>
    <t>Vườn cây kinh doanh năm 9</t>
  </si>
  <si>
    <t>7.2</t>
  </si>
  <si>
    <t>7.3</t>
  </si>
  <si>
    <t>7.4</t>
  </si>
  <si>
    <t>7.5</t>
  </si>
  <si>
    <t>Xả miệng cạo,rong mương, đống máng</t>
  </si>
  <si>
    <t>7.6</t>
  </si>
  <si>
    <t>8.1</t>
  </si>
  <si>
    <t>8.2</t>
  </si>
  <si>
    <t>8.3</t>
  </si>
  <si>
    <t>8.4</t>
  </si>
  <si>
    <t>23 người * 2,600.000 Kíp/tháng</t>
  </si>
  <si>
    <t xml:space="preserve">Bốc vật tư xuống xe </t>
  </si>
  <si>
    <t>Vật tư làm nhà + vật tư  ( Gổ, ván , tôn xốp, kiềng , chén )  2 chuyến</t>
  </si>
  <si>
    <t xml:space="preserve">Bốc vật tư lên xuống xe </t>
  </si>
  <si>
    <t>Bốc vật tư để tập kết về các đội  ( máng xốp: 367,000 cái; màng phủ chén 362,596 cái, keo gắn mái 5,784 kg….</t>
  </si>
  <si>
    <t>Đào hố chứa rác</t>
  </si>
  <si>
    <t>Hố</t>
  </si>
  <si>
    <t>TRỢ LÝ KH - NN</t>
  </si>
  <si>
    <t xml:space="preserve">      PHÒNG KT-NN</t>
  </si>
  <si>
    <t>BẢNG THANH TOÁN TIỀN CÔNG VIỆC KHÁC THÁNG 04 NĂM 2025</t>
  </si>
  <si>
    <t>( Bằng chữ: Mười triệu, chín trăm  nghìn kíp )</t>
  </si>
  <si>
    <t>BẢNG PHÂN TOÁN TỔNG HỢP CHI PHÍ KHÁC THÁNG 04 NĂM 2025</t>
  </si>
  <si>
    <t>( Từ ngày 01/04/2025 đến ngày 30/04/2025)</t>
  </si>
  <si>
    <t>Tổng tiền thanh toán KIP : Ba mươi năm triệu , tám trăm tám mươi nghìn kíp</t>
  </si>
  <si>
    <t>Huyện Nong, ngày 30 tháng 04 năm 2025</t>
  </si>
  <si>
    <t xml:space="preserve">    ĐỘI SẢN XUÂT SỐ 6</t>
  </si>
  <si>
    <t>DANH SÁCH TẠM ỨNG TIỀN MUA XĂNG VÀ SỮA CHỮA XE THÁNG 05/2025</t>
  </si>
  <si>
    <t>Số tiền tạm ứng 
( Kíp)</t>
  </si>
  <si>
    <t>Đội 6 trạm 1</t>
  </si>
  <si>
    <t>Đội 6 trạm 2</t>
  </si>
  <si>
    <t>Đội 6 , ngày 01 tháng 05 năm 2025</t>
  </si>
  <si>
    <t>ĐỘI TRƯỞNG</t>
  </si>
  <si>
    <t xml:space="preserve">    ĐỘI SẢN XUÂT SỐ 7</t>
  </si>
  <si>
    <t>Đội 7</t>
  </si>
  <si>
    <t>Đội 7 , ngày 01 tháng 05 năm 2025</t>
  </si>
  <si>
    <t>Ngày học cạo tháng 03/2025</t>
  </si>
  <si>
    <t>Ngày học cạo tháng 4/2025</t>
  </si>
  <si>
    <t>BẢNG CHẤM CÔNG HỌC CẠO CÔNG NHÂN KHAI THÁC NÔNG TRƯỜNG NĂM 2025</t>
  </si>
  <si>
    <t>Nàng Xai</t>
  </si>
  <si>
    <t>Nang út</t>
  </si>
  <si>
    <t>Nàng Suối</t>
  </si>
  <si>
    <t>Thảo Choi</t>
  </si>
  <si>
    <t>Thảo Vong Xay</t>
  </si>
  <si>
    <t>Nang Lun</t>
  </si>
  <si>
    <t>Thao Đuông Chăn</t>
  </si>
  <si>
    <t>Thảo Phôn Xây</t>
  </si>
  <si>
    <t>Thảo Xươn</t>
  </si>
  <si>
    <t>Nang Thong</t>
  </si>
  <si>
    <t>Thảo Xây Phôn</t>
  </si>
  <si>
    <t>Bun Teng</t>
  </si>
  <si>
    <t>Nàng Bun Teng</t>
  </si>
  <si>
    <t>Đào</t>
  </si>
  <si>
    <t>Xâm</t>
  </si>
  <si>
    <t xml:space="preserve">Von </t>
  </si>
  <si>
    <t>Ning Pung</t>
  </si>
  <si>
    <t>Thảo Choi 2</t>
  </si>
  <si>
    <t>Thảo  Sing</t>
  </si>
  <si>
    <t>Thảo Tịa</t>
  </si>
  <si>
    <t>Nàng Lêc</t>
  </si>
  <si>
    <t>A Pên 2</t>
  </si>
  <si>
    <t>A Phêt 1</t>
  </si>
  <si>
    <t>Phò Lâm</t>
  </si>
  <si>
    <t>Măng Lầu</t>
  </si>
  <si>
    <t>A Ben</t>
  </si>
  <si>
    <t>Ta pệc</t>
  </si>
  <si>
    <t>Khăm Phon</t>
  </si>
  <si>
    <t>Xin Say</t>
  </si>
  <si>
    <t>Thảo Seng</t>
  </si>
  <si>
    <t>Khăm Say</t>
  </si>
  <si>
    <t>Lo Thi</t>
  </si>
  <si>
    <t>May Sun</t>
  </si>
  <si>
    <t>Pô Cha</t>
  </si>
  <si>
    <t>Phan Chay</t>
  </si>
  <si>
    <t xml:space="preserve">Tu </t>
  </si>
  <si>
    <t>Ta Mua</t>
  </si>
  <si>
    <t>Tôm Vàng</t>
  </si>
  <si>
    <t>Thảo Khiêm</t>
  </si>
  <si>
    <t>A Lâu</t>
  </si>
  <si>
    <t>Nàng Con Tho</t>
  </si>
  <si>
    <t>Pa Chưa Tho</t>
  </si>
  <si>
    <t>Thông Mau</t>
  </si>
  <si>
    <t xml:space="preserve">Mi Gia </t>
  </si>
  <si>
    <t xml:space="preserve">A Lau 2 </t>
  </si>
  <si>
    <t>Nàng Phit</t>
  </si>
  <si>
    <t>Thông Veo</t>
  </si>
  <si>
    <t>Bua Khăm</t>
  </si>
  <si>
    <t>Nàng Ny</t>
  </si>
  <si>
    <t>Nang Na</t>
  </si>
  <si>
    <t>Nang Xy Thong</t>
  </si>
  <si>
    <t>Nàng Khỏn</t>
  </si>
  <si>
    <t>Thảo Quý</t>
  </si>
  <si>
    <t xml:space="preserve">Nàng Tia </t>
  </si>
  <si>
    <t>Thảo Suy</t>
  </si>
  <si>
    <t xml:space="preserve">Nàng Bồn </t>
  </si>
  <si>
    <t>Đội 4</t>
  </si>
  <si>
    <t>Nhưng</t>
  </si>
  <si>
    <t>Pan</t>
  </si>
  <si>
    <t>Thay</t>
  </si>
  <si>
    <t>Hôm</t>
  </si>
  <si>
    <t>Sing</t>
  </si>
  <si>
    <t>Chiếp</t>
  </si>
  <si>
    <t>A Men</t>
  </si>
  <si>
    <t>A Vư</t>
  </si>
  <si>
    <t>Hông</t>
  </si>
  <si>
    <t xml:space="preserve">Tho </t>
  </si>
  <si>
    <t>Xóm Mái</t>
  </si>
  <si>
    <t>Ka</t>
  </si>
  <si>
    <t>Te</t>
  </si>
  <si>
    <t>Mẹ Ngón</t>
  </si>
  <si>
    <t>Ca</t>
  </si>
  <si>
    <t>Thảo Mục</t>
  </si>
  <si>
    <t>CNGT</t>
  </si>
  <si>
    <t>Số tiền bằng chữ: Ba mươi bảy triệu, tám trăm sáu mươi nghìn kíp</t>
  </si>
  <si>
    <t>Huyện phìn, ngày 30 tháng 04 năm 2025</t>
  </si>
  <si>
    <t>Mủ quy khô ( Kg)</t>
  </si>
  <si>
    <t>Mủ quy khô (Kg)</t>
  </si>
  <si>
    <t>BẢNG THANH TOÁN TIỀN LƯƠNG ĐỘI PHÓ NGƯỜI LÀO THÁNG 04 NĂM 2025</t>
  </si>
  <si>
    <t xml:space="preserve">                               Huyện Noong, ngày 01 tháng 05 năm 2025</t>
  </si>
  <si>
    <t>BẢNG THANH TOÁN TIỀN PHỤ CẤP  THÁNG 04 NĂM 2025</t>
  </si>
  <si>
    <t>Nông trường 3, ngày 03 tháng 05 năm 2025</t>
  </si>
  <si>
    <t>Số tiền bằng chữ: Một triệu hai trăm nghìn kíp</t>
  </si>
  <si>
    <t>BẢNG TÍNH LƯƠNG ĐỘI TRƯỞNG, ĐỘI PHÓ THỰC HIỆN TRONG THÁNG 04/2025</t>
  </si>
  <si>
    <t xml:space="preserve">Bằng chữ : Ba trăm linh bảy triệu, không trăm hai mươi sáu nghìn, chín trăm năm mươi tám kíp </t>
  </si>
  <si>
    <t>Bằng chữ : Hai trăm năm mươi sáu triệu, bốn trăm hai mươi hai nghìn, một trăn năm mươi kíp</t>
  </si>
  <si>
    <t>Bằng chữ : Tám mươi bảy triệu, tám trăm ba mươi tám nghìn, ba trăm chín mươi chín kíp</t>
  </si>
  <si>
    <t>Bằng chữ: Bảy trăm năm mươi bảy triệu, năm trăm bảy mươi tám nghìn, bốn trăm linh tám kíp</t>
  </si>
  <si>
    <t>(Bằng chữ : Tám mươi lăm triệu, tám trăm nghìn kíp)</t>
  </si>
  <si>
    <t>Số tiền bằng chữ: Tám triệu, tám trăm tám mươi bảy nghìn, ba tram ba mươi kíp</t>
  </si>
  <si>
    <t>Tổng tiền thanh toán KIP : Bảy trăm sáu mươi bảy triệu, sáu trăm sáu mươi lăm nghìn, bảy trăm ba mươi tám kíp</t>
  </si>
  <si>
    <t>DANH SÁCH CB.CNV NỘP THUẾ TNCN THÁNG 04/2025</t>
  </si>
  <si>
    <t>Số tiền bằng chữ: Một triệu, hai trăm năm mươi ba nghìn, bốn trăm năm mươi sáu kíp</t>
  </si>
  <si>
    <t xml:space="preserve">                  Huyện Noong, ngày 01 tháng 05 năm 2025</t>
  </si>
  <si>
    <t>BẢNG PHÂN TOÁN TIỀN LƯƠNG THÁNG 04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</si>
</sst>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* #,##0.00_);_(* \(#,##0.00\);_(* &quot;-&quot;??_);_(@_)"/>
    <numFmt numFmtId="189" formatCode="_-* #,##0.00\ _þ_-;\-* #,##0.00\ _þ_-;_-* &quot;-&quot;??\ _þ_-;_-@_-"/>
    <numFmt numFmtId="190" formatCode="_(* #,##0.0_);_(* \(#,##0.0\);_(* &quot;-&quot;??_);_(@_)"/>
    <numFmt numFmtId="191" formatCode="_(* #,##0_);_(* \(#,##0\);_(* &quot;-&quot;??_);_(@_)"/>
    <numFmt numFmtId="192" formatCode="_-* #,##0\ _₫_-;\-* #,##0\ _₫_-;_-* &quot;-&quot;??\ _₫_-;_-@_-"/>
    <numFmt numFmtId="193" formatCode="_(* #,##0.000_);_(* \(#,##0.000\);_(* &quot;-&quot;??_);_(@_)"/>
    <numFmt numFmtId="194" formatCode="0.0"/>
    <numFmt numFmtId="195" formatCode="_(* #,##0.0_);_(* \(#,##0.0\);_(* &quot;-&quot;&quot;?&quot;&quot;?&quot;_);_(@_)"/>
    <numFmt numFmtId="196" formatCode="_(* #,##0.00_);_(* \(#,##0.00\);_(* &quot;-&quot;&quot;?&quot;&quot;?&quot;_);_(@_)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-* #,##0.00\ _₫_-;\-* #,##0.00\ _₫_-;_-* &quot;-&quot;&quot;?&quot;&quot;?&quot;\ _₫_-;_-@_-"/>
    <numFmt numFmtId="200" formatCode="#,##0;[Red]#,##0"/>
    <numFmt numFmtId="201" formatCode="#,##0.00;[Red]#,##0.00"/>
    <numFmt numFmtId="202" formatCode="#,##0.0"/>
    <numFmt numFmtId="203" formatCode="#,##0.0_);\(#,##0.0\)"/>
    <numFmt numFmtId="204" formatCode="_-* #,##0.00\ _€_-;\-* #,##0.00\ _€_-;_-* &quot;-&quot;??\ _€_-;_-@_-"/>
    <numFmt numFmtId="205" formatCode="_(* #,##0.0000_);_(* \(#,##0.0000\);_(* &quot;-&quot;??_);_(@_)"/>
    <numFmt numFmtId="206" formatCode="_-* #,##0.0\ _₫_-;\-* #,##0.0\ _₫_-;_-* &quot;-&quot;??\ _₫_-;_-@_-"/>
    <numFmt numFmtId="207" formatCode="_(* #,##0.0_);_(* \(#,##0.0\);_(* &quot;-&quot;?_);_(@_)"/>
    <numFmt numFmtId="208" formatCode="#,##0_ ;\-#,##0\ "/>
    <numFmt numFmtId="209" formatCode="_(* #,##0.000000_);_(* \(#,##0.000000\);_(* &quot;-&quot;??_);_(@_)"/>
    <numFmt numFmtId="210" formatCode="_(* #,##0.00_);_(* \(#,##0.00\);_(* &quot;-&quot;_);_(@_)"/>
    <numFmt numFmtId="211" formatCode="_-* #,##0.0\ _₫_-;\-* #,##0.0\ _₫_-;_-* &quot;-&quot;?\ _₫_-;_-@_-"/>
    <numFmt numFmtId="212" formatCode="0.0000"/>
    <numFmt numFmtId="213" formatCode="_-* #,##0.0000\ _₫_-;\-* #,##0.0000\ _₫_-;_-* &quot;-&quot;??\ _₫_-;_-@_-"/>
    <numFmt numFmtId="214" formatCode="0_);\(0\)"/>
    <numFmt numFmtId="215" formatCode="_-* #,##0.0\ _₫_-;\-* #,##0.0\ _₫_-;_-* &quot;-&quot;&quot;?&quot;&quot;?&quot;\ _₫_-;_-@_-"/>
    <numFmt numFmtId="216" formatCode="_(* #,##0.000_);_(* \(#,##0.000\);_(* &quot;-&quot;&quot;?&quot;&quot;?&quot;_);_(@_)"/>
    <numFmt numFmtId="217" formatCode="_-* #,##0.0000\ _₫_-;\-* #,##0.0000\ _₫_-;_-* &quot;-&quot;&quot;?&quot;&quot;?&quot;\ _₫_-;_-@_-"/>
    <numFmt numFmtId="218" formatCode="_(* #,##0.0_);_(* \(#,##0.0\);_(* &quot;-&quot;_);_(@_)"/>
    <numFmt numFmtId="219" formatCode="_(* #,##0.000000_);_(* \(#,##0.000000\);_(* &quot;-&quot;_);_(@_)"/>
    <numFmt numFmtId="220" formatCode="_(* #,##0.0000_);_(* \(#,##0.0000\);_(* &quot;-&quot;_);_(@_)"/>
    <numFmt numFmtId="221" formatCode="_(* #,##0.0000000_);_(* \(#,##0.0000000\);_(* &quot;-&quot;??_);_(@_)"/>
    <numFmt numFmtId="222" formatCode="_(* #,##0.00000_);_(* \(#,##0.00000\);_(* &quot;-&quot;??_);_(@_)"/>
    <numFmt numFmtId="223" formatCode="_(* #,##0.000000000_);_(* \(#,##0.000000000\);_(* &quot;-&quot;??_);_(@_)"/>
    <numFmt numFmtId="224" formatCode="_-* #,##0_-;\-* #,##0_-;_-* &quot;-&quot;??_-;_-@_-"/>
    <numFmt numFmtId="225" formatCode="0.00000"/>
  </numFmts>
  <fonts count="257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b/>
      <i/>
      <u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Saysettha Lao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b/>
      <u/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color indexed="8"/>
      <name val="Times New Roman"/>
      <family val="1"/>
      <charset val="163"/>
    </font>
    <font>
      <i/>
      <sz val="11"/>
      <name val="Times New Roman"/>
      <family val="1"/>
    </font>
    <font>
      <b/>
      <sz val="8"/>
      <name val="Saysettha Lao"/>
      <family val="2"/>
    </font>
    <font>
      <b/>
      <sz val="9"/>
      <name val="Times New Roman"/>
      <family val="1"/>
    </font>
    <font>
      <b/>
      <sz val="15"/>
      <name val="Times New Roman"/>
      <family val="1"/>
    </font>
    <font>
      <b/>
      <sz val="10"/>
      <name val="Saysettha Lao"/>
      <family val="2"/>
    </font>
    <font>
      <sz val="10"/>
      <color indexed="63"/>
      <name val="Times New Roman"/>
      <family val="1"/>
    </font>
    <font>
      <sz val="10"/>
      <color indexed="63"/>
      <name val="Saysettha Lao"/>
      <family val="2"/>
    </font>
    <font>
      <sz val="10"/>
      <color indexed="8"/>
      <name val="Saysettha Lao"/>
      <family val="2"/>
    </font>
    <font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9"/>
      <color indexed="10"/>
      <name val="Times New Roman"/>
      <family val="1"/>
    </font>
    <font>
      <sz val="8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indexed="63"/>
      <name val="Times New Roman"/>
      <family val="1"/>
    </font>
    <font>
      <b/>
      <u/>
      <sz val="13"/>
      <name val="Times New Roman"/>
      <family val="1"/>
    </font>
    <font>
      <i/>
      <sz val="10"/>
      <name val="Times New Roman"/>
      <family val="1"/>
    </font>
    <font>
      <b/>
      <i/>
      <u/>
      <sz val="13"/>
      <name val="Times New Roman"/>
      <family val="1"/>
    </font>
    <font>
      <b/>
      <u/>
      <sz val="11"/>
      <name val="Times New Roman"/>
      <family val="1"/>
    </font>
    <font>
      <u/>
      <sz val="12"/>
      <name val="Times New Roman"/>
      <family val="1"/>
    </font>
    <font>
      <sz val="11"/>
      <color indexed="63"/>
      <name val="Calibri"/>
      <family val="2"/>
      <charset val="163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2"/>
      <color indexed="30"/>
      <name val="Times New Roman"/>
      <family val="1"/>
    </font>
    <font>
      <i/>
      <sz val="11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9"/>
      <color indexed="8"/>
      <name val="Saysettha Lao"/>
      <family val="2"/>
    </font>
    <font>
      <sz val="8"/>
      <name val="Arial"/>
      <family val="2"/>
    </font>
    <font>
      <sz val="8"/>
      <name val="Saysettha Lao"/>
      <family val="2"/>
    </font>
    <font>
      <sz val="8"/>
      <name val="Arial"/>
      <family val="2"/>
    </font>
    <font>
      <b/>
      <sz val="14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b/>
      <sz val="9"/>
      <name val="Saysettha Lao"/>
      <family val="2"/>
    </font>
    <font>
      <sz val="16"/>
      <name val="Times New Roman"/>
      <family val="1"/>
    </font>
    <font>
      <b/>
      <i/>
      <sz val="10"/>
      <name val="Times New Roman"/>
      <family val="1"/>
    </font>
    <font>
      <sz val="12"/>
      <name val="VNI-Times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u/>
      <sz val="10"/>
      <name val="Times New Roman"/>
      <family val="1"/>
    </font>
    <font>
      <sz val="11"/>
      <color theme="1"/>
      <name val="Calibri"/>
      <family val="2"/>
      <charset val="163"/>
    </font>
    <font>
      <sz val="10"/>
      <color rgb="FFFF0000"/>
      <name val="Times New Roman"/>
      <family val="1"/>
    </font>
    <font>
      <sz val="10"/>
      <name val="Times New Roman"/>
      <family val="1"/>
      <charset val="163"/>
    </font>
    <font>
      <b/>
      <sz val="10"/>
      <color theme="1"/>
      <name val="Times New Roman"/>
      <family val="1"/>
    </font>
    <font>
      <sz val="10"/>
      <color theme="3" tint="0.59999389629810485"/>
      <name val="Times New Roman"/>
      <family val="1"/>
    </font>
    <font>
      <b/>
      <sz val="14"/>
      <color indexed="63"/>
      <name val="Times New Roman"/>
      <family val="1"/>
    </font>
    <font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63"/>
      <name val="Times New Roman"/>
      <family val="1"/>
    </font>
    <font>
      <b/>
      <i/>
      <sz val="10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24"/>
      <name val="Times New Roman"/>
      <family val="1"/>
    </font>
    <font>
      <b/>
      <sz val="18"/>
      <name val="Times New Roman"/>
      <family val="1"/>
    </font>
    <font>
      <b/>
      <sz val="12"/>
      <name val="Saysettha Lao"/>
      <family val="2"/>
    </font>
    <font>
      <b/>
      <sz val="9"/>
      <color indexed="30"/>
      <name val="Times New Roman"/>
      <family val="1"/>
    </font>
    <font>
      <b/>
      <sz val="11"/>
      <name val="Saysettha Lao"/>
      <family val="2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  <charset val="163"/>
    </font>
    <font>
      <sz val="11"/>
      <color indexed="8"/>
      <name val="Times New Roman"/>
      <family val="1"/>
      <charset val="163"/>
    </font>
    <font>
      <u/>
      <sz val="12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indexed="63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sz val="13"/>
      <color theme="1"/>
      <name val="Times New Roman"/>
      <family val="1"/>
    </font>
    <font>
      <sz val="13"/>
      <name val="Times New Roman"/>
      <family val="1"/>
      <charset val="163"/>
    </font>
    <font>
      <sz val="12"/>
      <color rgb="FFFF0000"/>
      <name val="Tahoma"/>
      <family val="1"/>
      <charset val="163"/>
      <scheme val="major"/>
    </font>
    <font>
      <b/>
      <sz val="11"/>
      <color theme="1"/>
      <name val="Tahoma"/>
      <family val="2"/>
      <scheme val="minor"/>
    </font>
    <font>
      <sz val="12"/>
      <name val="Tahoma"/>
      <family val="1"/>
      <charset val="163"/>
      <scheme val="major"/>
    </font>
    <font>
      <sz val="12"/>
      <color rgb="FF7030A0"/>
      <name val="Times New Roman"/>
      <family val="1"/>
      <charset val="163"/>
    </font>
    <font>
      <b/>
      <sz val="16"/>
      <color theme="1"/>
      <name val="Tahoma"/>
      <family val="2"/>
      <scheme val="minor"/>
    </font>
    <font>
      <b/>
      <sz val="11"/>
      <color theme="1"/>
      <name val="Tahoma"/>
      <family val="2"/>
      <charset val="163"/>
      <scheme val="minor"/>
    </font>
    <font>
      <sz val="14"/>
      <color theme="1"/>
      <name val="Tahoma"/>
      <family val="2"/>
      <scheme val="minor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i/>
      <sz val="14"/>
      <name val="Times New Roman"/>
      <family val="1"/>
      <charset val="163"/>
    </font>
    <font>
      <b/>
      <u/>
      <sz val="14"/>
      <name val="Times New Roman"/>
      <family val="1"/>
      <charset val="163"/>
    </font>
    <font>
      <sz val="10"/>
      <name val="Times New Roman"/>
      <family val="2"/>
      <charset val="163"/>
    </font>
    <font>
      <sz val="8"/>
      <color theme="1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u val="singleAccounting"/>
      <sz val="12"/>
      <name val="Times New Roman"/>
      <family val="1"/>
      <charset val="163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u/>
      <sz val="14"/>
      <name val="Times New Roman"/>
      <family val="1"/>
    </font>
    <font>
      <sz val="11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sz val="11"/>
      <color indexed="8"/>
      <name val="Calibri"/>
      <family val="2"/>
      <charset val="163"/>
    </font>
    <font>
      <sz val="12"/>
      <color indexed="63"/>
      <name val="Times New Roman"/>
      <family val="1"/>
    </font>
    <font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9"/>
      <color indexed="81"/>
      <name val="Tahoma"/>
      <family val="2"/>
      <charset val="163"/>
    </font>
    <font>
      <sz val="11"/>
      <name val="Times New Roman"/>
      <family val="2"/>
      <charset val="163"/>
    </font>
    <font>
      <sz val="11"/>
      <color rgb="FFFF0000"/>
      <name val="Times New Roman"/>
      <family val="2"/>
      <charset val="163"/>
    </font>
    <font>
      <b/>
      <sz val="11"/>
      <color theme="1"/>
      <name val="Times New Roman"/>
      <family val="1"/>
      <charset val="16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indexed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  <charset val="163"/>
    </font>
    <font>
      <i/>
      <sz val="13"/>
      <name val="Times New Roman"/>
      <family val="1"/>
    </font>
    <font>
      <sz val="13"/>
      <color rgb="FF000099"/>
      <name val="Times New Roman"/>
      <family val="1"/>
    </font>
    <font>
      <i/>
      <u/>
      <sz val="13"/>
      <name val="Times New Roman"/>
      <family val="1"/>
    </font>
    <font>
      <sz val="13"/>
      <color rgb="FF000000"/>
      <name val="Times New Roman"/>
      <family val="1"/>
    </font>
    <font>
      <b/>
      <i/>
      <sz val="11"/>
      <name val="Times New Roman"/>
      <family val="1"/>
    </font>
    <font>
      <b/>
      <i/>
      <sz val="13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i/>
      <sz val="11"/>
      <name val="Times New Roman"/>
      <family val="1"/>
      <charset val="163"/>
    </font>
    <font>
      <sz val="12"/>
      <color theme="0"/>
      <name val="Times New Roman"/>
      <family val="1"/>
    </font>
    <font>
      <sz val="10"/>
      <name val="Arial"/>
      <family val="2"/>
      <charset val="163"/>
    </font>
    <font>
      <sz val="10"/>
      <name val="Arial"/>
      <family val="2"/>
      <charset val="163"/>
    </font>
    <font>
      <b/>
      <sz val="12"/>
      <color theme="1"/>
      <name val="Times New Roman"/>
      <family val="1"/>
      <charset val="163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4"/>
      <color rgb="FFFF0000"/>
      <name val="Times New Roman"/>
      <family val="1"/>
    </font>
    <font>
      <sz val="13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10"/>
      <name val="Times New Roman"/>
      <family val="1"/>
    </font>
    <font>
      <sz val="13"/>
      <color indexed="10"/>
      <name val="Times New Roman"/>
      <family val="1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  <charset val="163"/>
    </font>
    <font>
      <i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9"/>
      <color theme="1"/>
      <name val="Times New Roman"/>
      <family val="1"/>
    </font>
    <font>
      <sz val="19"/>
      <color theme="1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sz val="19"/>
      <name val="Times New Roman"/>
      <family val="1"/>
    </font>
    <font>
      <sz val="19"/>
      <color indexed="63"/>
      <name val="Times New Roman"/>
      <family val="1"/>
    </font>
    <font>
      <b/>
      <sz val="19"/>
      <name val="Times New Roman"/>
      <family val="1"/>
    </font>
    <font>
      <i/>
      <sz val="19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i/>
      <sz val="10"/>
      <color theme="1"/>
      <name val="Times New Roman"/>
      <family val="1"/>
    </font>
    <font>
      <i/>
      <sz val="12"/>
      <color indexed="63"/>
      <name val="Times New Roman"/>
      <family val="1"/>
    </font>
    <font>
      <i/>
      <sz val="12"/>
      <color theme="1"/>
      <name val="Times New Roman"/>
      <family val="1"/>
    </font>
    <font>
      <u/>
      <sz val="13"/>
      <name val="Times New Roman"/>
      <family val="1"/>
    </font>
    <font>
      <sz val="13"/>
      <color indexed="63"/>
      <name val="Times New Roman"/>
      <family val="1"/>
    </font>
    <font>
      <sz val="8"/>
      <name val="Arial"/>
      <family val="2"/>
    </font>
    <font>
      <b/>
      <i/>
      <sz val="13"/>
      <color rgb="FFFF0000"/>
      <name val="Times New Roman"/>
      <family val="1"/>
    </font>
    <font>
      <b/>
      <sz val="12"/>
      <color indexed="3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u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b/>
      <i/>
      <u/>
      <sz val="11"/>
      <name val="Times New Roman"/>
      <family val="1"/>
      <charset val="163"/>
    </font>
    <font>
      <i/>
      <sz val="11"/>
      <name val="Times New Roman"/>
      <family val="1"/>
      <charset val="163"/>
    </font>
    <font>
      <sz val="19"/>
      <color theme="1"/>
      <name val="Times New Roman"/>
      <family val="1"/>
      <charset val="163"/>
    </font>
    <font>
      <sz val="11"/>
      <color theme="1"/>
      <name val="Times New Roman"/>
      <family val="2"/>
      <charset val="163"/>
    </font>
    <font>
      <i/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b/>
      <sz val="12"/>
      <color indexed="63"/>
      <name val="Times New Roman"/>
      <family val="1"/>
    </font>
    <font>
      <sz val="13"/>
      <name val="Saysettha Lao"/>
      <family val="2"/>
    </font>
    <font>
      <sz val="9"/>
      <color indexed="10"/>
      <name val="Times New Roman"/>
      <family val="1"/>
    </font>
    <font>
      <b/>
      <sz val="13"/>
      <name val="Saysettha Lao"/>
      <family val="2"/>
    </font>
    <font>
      <b/>
      <i/>
      <sz val="13"/>
      <color indexed="63"/>
      <name val="Times New Roman"/>
      <family val="1"/>
    </font>
    <font>
      <sz val="18"/>
      <name val="Times New Roman"/>
      <family val="1"/>
    </font>
    <font>
      <sz val="18"/>
      <color theme="1"/>
      <name val="Calibri"/>
      <family val="2"/>
      <charset val="163"/>
    </font>
    <font>
      <b/>
      <u/>
      <sz val="18"/>
      <name val="Times New Roman"/>
      <family val="1"/>
    </font>
    <font>
      <sz val="18"/>
      <color theme="0"/>
      <name val="Times New Roman"/>
      <family val="1"/>
    </font>
    <font>
      <b/>
      <sz val="18"/>
      <color indexed="10"/>
      <name val="Times New Roman"/>
      <family val="1"/>
    </font>
    <font>
      <b/>
      <sz val="18"/>
      <color rgb="FFFF000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7"/>
      <name val="Times New Roman"/>
      <family val="1"/>
    </font>
    <font>
      <b/>
      <sz val="10"/>
      <color theme="0"/>
      <name val="Times New Roman"/>
      <family val="1"/>
    </font>
    <font>
      <sz val="11"/>
      <color indexed="8"/>
      <name val="Calibri"/>
      <family val="2"/>
    </font>
    <font>
      <i/>
      <sz val="13"/>
      <name val="Times New Roman"/>
      <family val="1"/>
      <charset val="163"/>
    </font>
    <font>
      <b/>
      <sz val="18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4"/>
      <color rgb="FFFF0000"/>
      <name val="Times New Roman"/>
      <family val="1"/>
      <charset val="163"/>
    </font>
    <font>
      <sz val="11"/>
      <color rgb="FF7030A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sz val="13"/>
      <name val="Arial"/>
      <family val="2"/>
    </font>
    <font>
      <sz val="13"/>
      <color rgb="FF7030A0"/>
      <name val="Times New Roman"/>
      <family val="1"/>
      <charset val="163"/>
    </font>
    <font>
      <sz val="14"/>
      <name val="Arial"/>
      <family val="2"/>
    </font>
    <font>
      <b/>
      <sz val="14"/>
      <color rgb="FFFF0000"/>
      <name val="Times New Roman"/>
      <family val="1"/>
      <charset val="163"/>
    </font>
    <font>
      <b/>
      <sz val="13"/>
      <name val="Arial"/>
      <family val="2"/>
    </font>
    <font>
      <i/>
      <sz val="18"/>
      <name val="Times New Roman"/>
      <family val="1"/>
    </font>
    <font>
      <b/>
      <sz val="18"/>
      <color theme="0"/>
      <name val="Times New Roman"/>
      <family val="1"/>
    </font>
    <font>
      <sz val="18"/>
      <color rgb="FFFF0000"/>
      <name val="Times New Roman"/>
      <family val="1"/>
    </font>
    <font>
      <sz val="11"/>
      <color rgb="FF000000"/>
      <name val="Calibri"/>
      <family val="2"/>
    </font>
    <font>
      <sz val="13"/>
      <color theme="0"/>
      <name val="Times New Roman"/>
      <family val="1"/>
      <charset val="163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7030A0"/>
      <name val="Times New Roman"/>
      <family val="1"/>
    </font>
    <font>
      <i/>
      <sz val="18"/>
      <color theme="1"/>
      <name val="Times New Roman"/>
      <family val="1"/>
    </font>
    <font>
      <sz val="18"/>
      <name val="Times New Roman"/>
      <family val="1"/>
      <charset val="163"/>
    </font>
    <font>
      <b/>
      <i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i/>
      <sz val="13"/>
      <color indexed="63"/>
      <name val="Times New Roman"/>
      <family val="1"/>
      <charset val="163"/>
    </font>
    <font>
      <b/>
      <sz val="10"/>
      <name val="Arial"/>
      <family val="2"/>
    </font>
    <font>
      <sz val="13"/>
      <color indexed="8"/>
      <name val="Calibri"/>
      <family val="2"/>
      <charset val="163"/>
    </font>
    <font>
      <b/>
      <u/>
      <sz val="13"/>
      <color theme="1"/>
      <name val="Times New Roman"/>
      <family val="1"/>
    </font>
    <font>
      <sz val="25"/>
      <name val="Times New Roman"/>
      <family val="1"/>
    </font>
    <font>
      <b/>
      <sz val="25"/>
      <color theme="1"/>
      <name val="Times New Roman"/>
      <family val="1"/>
    </font>
    <font>
      <b/>
      <sz val="25"/>
      <name val="Times New Roman"/>
      <family val="1"/>
    </font>
    <font>
      <i/>
      <sz val="20"/>
      <color theme="1"/>
      <name val="Times New Roman"/>
      <family val="1"/>
    </font>
    <font>
      <b/>
      <sz val="13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2">
    <xf numFmtId="0" fontId="0" fillId="0" borderId="0"/>
    <xf numFmtId="188" fontId="1" fillId="0" borderId="0" applyFont="0" applyFill="0" applyBorder="0" applyAlignment="0" applyProtection="0"/>
    <xf numFmtId="188" fontId="12" fillId="0" borderId="0" applyFont="0" applyFill="0" applyBorder="0" applyAlignment="0" applyProtection="0"/>
    <xf numFmtId="199" fontId="45" fillId="0" borderId="0" applyFont="0" applyFill="0" applyBorder="0" applyAlignment="0" applyProtection="0"/>
    <xf numFmtId="0" fontId="12" fillId="0" borderId="0"/>
    <xf numFmtId="0" fontId="1" fillId="0" borderId="0"/>
    <xf numFmtId="0" fontId="69" fillId="0" borderId="0"/>
    <xf numFmtId="0" fontId="65" fillId="0" borderId="0"/>
    <xf numFmtId="0" fontId="12" fillId="0" borderId="0"/>
    <xf numFmtId="0" fontId="12" fillId="0" borderId="0"/>
    <xf numFmtId="204" fontId="12" fillId="0" borderId="0" applyFont="0" applyFill="0" applyBorder="0" applyAlignment="0" applyProtection="0"/>
    <xf numFmtId="44" fontId="113" fillId="0" borderId="0" applyFont="0" applyFill="0" applyBorder="0" applyAlignment="0" applyProtection="0"/>
    <xf numFmtId="43" fontId="136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63" fillId="0" borderId="0" applyFont="0" applyFill="0" applyBorder="0" applyAlignment="0" applyProtection="0"/>
    <xf numFmtId="0" fontId="176" fillId="0" borderId="0"/>
    <xf numFmtId="43" fontId="205" fillId="0" borderId="0" applyFont="0" applyFill="0" applyBorder="0" applyAlignment="0" applyProtection="0"/>
    <xf numFmtId="199" fontId="45" fillId="0" borderId="0" applyFont="0" applyFill="0" applyBorder="0" applyAlignment="0" applyProtection="0"/>
    <xf numFmtId="0" fontId="223" fillId="0" borderId="0"/>
    <xf numFmtId="0" fontId="239" fillId="0" borderId="0"/>
    <xf numFmtId="43" fontId="4" fillId="0" borderId="0" applyFont="0" applyFill="0" applyBorder="0" applyAlignment="0" applyProtection="0"/>
    <xf numFmtId="202" fontId="12" fillId="0" borderId="0" applyFont="0" applyFill="0" applyBorder="0" applyAlignment="0" applyProtection="0"/>
  </cellStyleXfs>
  <cellXfs count="4866">
    <xf numFmtId="0" fontId="0" fillId="0" borderId="0" xfId="0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90" fontId="4" fillId="0" borderId="0" xfId="1" applyNumberFormat="1" applyFont="1" applyFill="1"/>
    <xf numFmtId="188" fontId="4" fillId="0" borderId="0" xfId="1" applyFont="1" applyFill="1"/>
    <xf numFmtId="188" fontId="7" fillId="0" borderId="0" xfId="1" applyFont="1" applyFill="1"/>
    <xf numFmtId="191" fontId="4" fillId="0" borderId="0" xfId="1" applyNumberFormat="1" applyFont="1" applyFill="1"/>
    <xf numFmtId="0" fontId="2" fillId="0" borderId="0" xfId="0" applyFont="1" applyFill="1"/>
    <xf numFmtId="0" fontId="2" fillId="0" borderId="0" xfId="0" applyNumberFormat="1" applyFont="1" applyFill="1" applyAlignment="1"/>
    <xf numFmtId="0" fontId="4" fillId="0" borderId="1" xfId="0" applyFont="1" applyFill="1" applyBorder="1" applyAlignment="1">
      <alignment horizontal="center"/>
    </xf>
    <xf numFmtId="190" fontId="4" fillId="0" borderId="1" xfId="1" applyNumberFormat="1" applyFont="1" applyFill="1" applyBorder="1" applyAlignment="1"/>
    <xf numFmtId="188" fontId="4" fillId="0" borderId="1" xfId="1" applyFont="1" applyFill="1" applyBorder="1" applyAlignment="1"/>
    <xf numFmtId="188" fontId="7" fillId="0" borderId="1" xfId="1" applyFont="1" applyFill="1" applyBorder="1" applyAlignment="1"/>
    <xf numFmtId="191" fontId="4" fillId="0" borderId="1" xfId="1" applyNumberFormat="1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7" fillId="0" borderId="0" xfId="0" applyFont="1" applyFill="1"/>
    <xf numFmtId="191" fontId="4" fillId="0" borderId="0" xfId="0" applyNumberFormat="1" applyFont="1" applyFill="1"/>
    <xf numFmtId="193" fontId="4" fillId="0" borderId="0" xfId="1" applyNumberFormat="1" applyFont="1" applyFill="1"/>
    <xf numFmtId="0" fontId="7" fillId="0" borderId="0" xfId="4" applyFont="1" applyFill="1" applyAlignment="1"/>
    <xf numFmtId="0" fontId="7" fillId="0" borderId="0" xfId="4" applyFont="1" applyFill="1"/>
    <xf numFmtId="0" fontId="3" fillId="0" borderId="0" xfId="4" applyFont="1" applyFill="1" applyAlignment="1"/>
    <xf numFmtId="0" fontId="3" fillId="0" borderId="0" xfId="4" applyFont="1" applyFill="1"/>
    <xf numFmtId="0" fontId="7" fillId="0" borderId="0" xfId="4" applyFont="1" applyFill="1" applyBorder="1" applyAlignment="1">
      <alignment horizontal="center"/>
    </xf>
    <xf numFmtId="0" fontId="14" fillId="0" borderId="0" xfId="4" applyNumberFormat="1" applyFont="1" applyFill="1"/>
    <xf numFmtId="0" fontId="11" fillId="0" borderId="0" xfId="4" applyFont="1" applyFill="1"/>
    <xf numFmtId="0" fontId="7" fillId="0" borderId="0" xfId="4" applyFont="1" applyFill="1" applyAlignment="1">
      <alignment horizontal="center"/>
    </xf>
    <xf numFmtId="0" fontId="14" fillId="0" borderId="0" xfId="4" applyNumberFormat="1" applyFont="1" applyFill="1" applyAlignment="1">
      <alignment horizontal="right"/>
    </xf>
    <xf numFmtId="0" fontId="11" fillId="0" borderId="0" xfId="4" applyNumberFormat="1" applyFont="1" applyFill="1"/>
    <xf numFmtId="0" fontId="7" fillId="0" borderId="0" xfId="0" applyFont="1"/>
    <xf numFmtId="0" fontId="3" fillId="0" borderId="0" xfId="0" applyFont="1"/>
    <xf numFmtId="0" fontId="4" fillId="0" borderId="0" xfId="0" applyFont="1" applyFill="1" applyAlignment="1"/>
    <xf numFmtId="191" fontId="7" fillId="0" borderId="0" xfId="1" applyNumberFormat="1" applyFont="1"/>
    <xf numFmtId="0" fontId="31" fillId="2" borderId="2" xfId="0" applyFont="1" applyFill="1" applyBorder="1" applyAlignment="1">
      <alignment horizontal="center" vertical="center" wrapText="1"/>
    </xf>
    <xf numFmtId="191" fontId="3" fillId="0" borderId="2" xfId="1" applyNumberFormat="1" applyFont="1" applyFill="1" applyBorder="1" applyAlignment="1">
      <alignment vertical="center" shrinkToFit="1"/>
    </xf>
    <xf numFmtId="0" fontId="32" fillId="0" borderId="0" xfId="4" applyFont="1" applyFill="1"/>
    <xf numFmtId="0" fontId="7" fillId="0" borderId="0" xfId="0" applyFont="1" applyFill="1" applyAlignment="1">
      <alignment vertical="center"/>
    </xf>
    <xf numFmtId="191" fontId="3" fillId="2" borderId="0" xfId="0" applyNumberFormat="1" applyFont="1" applyFill="1" applyAlignment="1">
      <alignment vertical="center"/>
    </xf>
    <xf numFmtId="194" fontId="4" fillId="0" borderId="0" xfId="0" applyNumberFormat="1" applyFont="1" applyFill="1"/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11" fillId="0" borderId="0" xfId="0" applyFont="1" applyFill="1"/>
    <xf numFmtId="0" fontId="26" fillId="0" borderId="0" xfId="0" applyFont="1" applyFill="1" applyAlignment="1">
      <alignment horizontal="center"/>
    </xf>
    <xf numFmtId="0" fontId="3" fillId="0" borderId="2" xfId="0" applyNumberFormat="1" applyFont="1" applyFill="1" applyBorder="1" applyAlignment="1">
      <alignment horizontal="center" vertical="center" shrinkToFit="1"/>
    </xf>
    <xf numFmtId="191" fontId="7" fillId="0" borderId="3" xfId="1" applyNumberFormat="1" applyFont="1" applyFill="1" applyBorder="1" applyAlignment="1">
      <alignment vertical="center" shrinkToFit="1"/>
    </xf>
    <xf numFmtId="191" fontId="7" fillId="0" borderId="4" xfId="1" applyNumberFormat="1" applyFont="1" applyFill="1" applyBorder="1" applyAlignment="1">
      <alignment vertical="center" shrinkToFit="1"/>
    </xf>
    <xf numFmtId="0" fontId="7" fillId="2" borderId="4" xfId="0" quotePrefix="1" applyFont="1" applyFill="1" applyBorder="1" applyAlignment="1">
      <alignment vertical="center" shrinkToFit="1"/>
    </xf>
    <xf numFmtId="191" fontId="7" fillId="0" borderId="5" xfId="1" applyNumberFormat="1" applyFont="1" applyFill="1" applyBorder="1" applyAlignment="1">
      <alignment vertical="center" shrinkToFit="1"/>
    </xf>
    <xf numFmtId="0" fontId="7" fillId="0" borderId="3" xfId="0" applyFont="1" applyFill="1" applyBorder="1" applyAlignment="1">
      <alignment vertical="center" shrinkToFit="1"/>
    </xf>
    <xf numFmtId="0" fontId="9" fillId="0" borderId="4" xfId="0" applyFont="1" applyFill="1" applyBorder="1" applyAlignment="1">
      <alignment vertical="center" shrinkToFit="1"/>
    </xf>
    <xf numFmtId="0" fontId="9" fillId="0" borderId="5" xfId="0" applyFont="1" applyFill="1" applyBorder="1" applyAlignment="1">
      <alignment vertical="center" shrinkToFit="1"/>
    </xf>
    <xf numFmtId="0" fontId="9" fillId="0" borderId="3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90" fontId="4" fillId="0" borderId="0" xfId="1" applyNumberFormat="1" applyFont="1" applyFill="1" applyBorder="1" applyAlignment="1"/>
    <xf numFmtId="188" fontId="4" fillId="0" borderId="0" xfId="1" applyFont="1" applyFill="1" applyBorder="1" applyAlignment="1"/>
    <xf numFmtId="188" fontId="7" fillId="0" borderId="0" xfId="1" applyFont="1" applyFill="1" applyBorder="1" applyAlignment="1"/>
    <xf numFmtId="191" fontId="4" fillId="0" borderId="0" xfId="1" applyNumberFormat="1" applyFont="1" applyFill="1" applyBorder="1"/>
    <xf numFmtId="191" fontId="7" fillId="0" borderId="3" xfId="1" quotePrefix="1" applyNumberFormat="1" applyFont="1" applyFill="1" applyBorder="1" applyAlignment="1">
      <alignment vertical="center" shrinkToFit="1"/>
    </xf>
    <xf numFmtId="191" fontId="7" fillId="0" borderId="4" xfId="1" quotePrefix="1" applyNumberFormat="1" applyFont="1" applyFill="1" applyBorder="1" applyAlignment="1">
      <alignment vertical="center" shrinkToFit="1"/>
    </xf>
    <xf numFmtId="191" fontId="7" fillId="0" borderId="5" xfId="1" quotePrefix="1" applyNumberFormat="1" applyFont="1" applyFill="1" applyBorder="1" applyAlignment="1">
      <alignment vertical="center" shrinkToFit="1"/>
    </xf>
    <xf numFmtId="0" fontId="19" fillId="0" borderId="0" xfId="0" applyFont="1" applyFill="1" applyAlignment="1"/>
    <xf numFmtId="0" fontId="29" fillId="0" borderId="4" xfId="0" quotePrefix="1" applyFont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3" fillId="0" borderId="2" xfId="4" applyFont="1" applyFill="1" applyBorder="1"/>
    <xf numFmtId="1" fontId="3" fillId="0" borderId="2" xfId="4" applyNumberFormat="1" applyFont="1" applyFill="1" applyBorder="1" applyAlignment="1">
      <alignment horizontal="center"/>
    </xf>
    <xf numFmtId="0" fontId="11" fillId="0" borderId="0" xfId="4" applyNumberFormat="1" applyFont="1" applyFill="1" applyAlignment="1"/>
    <xf numFmtId="0" fontId="11" fillId="0" borderId="0" xfId="4" applyFont="1" applyFill="1" applyAlignment="1"/>
    <xf numFmtId="0" fontId="7" fillId="0" borderId="0" xfId="0" applyNumberFormat="1" applyFont="1" applyFill="1" applyBorder="1" applyAlignment="1">
      <alignment horizontal="center" vertical="center" shrinkToFit="1"/>
    </xf>
    <xf numFmtId="0" fontId="7" fillId="0" borderId="6" xfId="4" applyFont="1" applyFill="1" applyBorder="1" applyAlignment="1">
      <alignment horizontal="center"/>
    </xf>
    <xf numFmtId="0" fontId="38" fillId="0" borderId="0" xfId="0" applyFont="1" applyFill="1" applyAlignment="1">
      <alignment horizontal="center"/>
    </xf>
    <xf numFmtId="190" fontId="37" fillId="0" borderId="0" xfId="1" applyNumberFormat="1" applyFont="1" applyFill="1" applyAlignment="1"/>
    <xf numFmtId="0" fontId="37" fillId="0" borderId="0" xfId="0" applyFont="1" applyFill="1" applyAlignment="1"/>
    <xf numFmtId="0" fontId="37" fillId="0" borderId="0" xfId="0" applyNumberFormat="1" applyFont="1" applyFill="1" applyAlignment="1">
      <alignment horizontal="center"/>
    </xf>
    <xf numFmtId="190" fontId="42" fillId="0" borderId="0" xfId="1" applyNumberFormat="1" applyFont="1" applyFill="1" applyAlignment="1"/>
    <xf numFmtId="0" fontId="42" fillId="0" borderId="0" xfId="0" applyFont="1" applyFill="1" applyAlignment="1"/>
    <xf numFmtId="0" fontId="38" fillId="0" borderId="0" xfId="0" applyFont="1" applyFill="1" applyAlignment="1"/>
    <xf numFmtId="190" fontId="38" fillId="0" borderId="0" xfId="1" applyNumberFormat="1" applyFont="1" applyFill="1"/>
    <xf numFmtId="188" fontId="38" fillId="0" borderId="0" xfId="1" applyFont="1" applyFill="1"/>
    <xf numFmtId="191" fontId="38" fillId="0" borderId="0" xfId="1" applyNumberFormat="1" applyFont="1" applyFill="1"/>
    <xf numFmtId="0" fontId="38" fillId="0" borderId="0" xfId="0" applyFont="1" applyFill="1"/>
    <xf numFmtId="0" fontId="37" fillId="0" borderId="0" xfId="0" applyFont="1" applyFill="1"/>
    <xf numFmtId="0" fontId="39" fillId="0" borderId="0" xfId="6" applyFont="1"/>
    <xf numFmtId="0" fontId="39" fillId="0" borderId="0" xfId="6" applyFont="1" applyBorder="1"/>
    <xf numFmtId="0" fontId="48" fillId="0" borderId="0" xfId="6" applyFont="1" applyAlignment="1">
      <alignment horizontal="center"/>
    </xf>
    <xf numFmtId="0" fontId="48" fillId="0" borderId="0" xfId="6" applyFont="1"/>
    <xf numFmtId="0" fontId="37" fillId="0" borderId="0" xfId="5" applyFont="1" applyFill="1" applyAlignment="1"/>
    <xf numFmtId="0" fontId="4" fillId="0" borderId="0" xfId="5" applyFont="1" applyFill="1"/>
    <xf numFmtId="0" fontId="42" fillId="0" borderId="0" xfId="5" applyFont="1" applyFill="1" applyAlignment="1"/>
    <xf numFmtId="0" fontId="22" fillId="0" borderId="0" xfId="5" applyNumberFormat="1" applyFont="1" applyFill="1" applyAlignment="1">
      <alignment horizontal="center"/>
    </xf>
    <xf numFmtId="0" fontId="2" fillId="0" borderId="0" xfId="5" applyNumberFormat="1" applyFont="1" applyFill="1" applyAlignment="1">
      <alignment horizontal="center"/>
    </xf>
    <xf numFmtId="0" fontId="2" fillId="0" borderId="0" xfId="5" applyFont="1" applyFill="1"/>
    <xf numFmtId="0" fontId="2" fillId="0" borderId="0" xfId="5" applyNumberFormat="1" applyFont="1" applyFill="1" applyAlignment="1"/>
    <xf numFmtId="0" fontId="26" fillId="0" borderId="0" xfId="5" applyFont="1" applyFill="1" applyAlignment="1">
      <alignment horizontal="center"/>
    </xf>
    <xf numFmtId="0" fontId="26" fillId="0" borderId="0" xfId="5" applyFont="1" applyFill="1" applyAlignment="1">
      <alignment horizontal="center" vertical="center"/>
    </xf>
    <xf numFmtId="0" fontId="25" fillId="0" borderId="0" xfId="5" applyFont="1" applyFill="1" applyAlignment="1">
      <alignment horizontal="center" vertical="center"/>
    </xf>
    <xf numFmtId="0" fontId="26" fillId="0" borderId="7" xfId="5" applyFont="1" applyFill="1" applyBorder="1" applyAlignment="1">
      <alignment horizontal="center" vertical="center" wrapText="1"/>
    </xf>
    <xf numFmtId="191" fontId="7" fillId="0" borderId="2" xfId="1" applyNumberFormat="1" applyFont="1" applyFill="1" applyBorder="1" applyAlignment="1">
      <alignment vertical="center" shrinkToFit="1"/>
    </xf>
    <xf numFmtId="0" fontId="7" fillId="0" borderId="0" xfId="5" applyFont="1" applyFill="1" applyAlignment="1">
      <alignment vertical="center"/>
    </xf>
    <xf numFmtId="0" fontId="11" fillId="0" borderId="0" xfId="5" applyFont="1" applyFill="1"/>
    <xf numFmtId="0" fontId="7" fillId="0" borderId="0" xfId="5" applyFont="1" applyFill="1"/>
    <xf numFmtId="191" fontId="4" fillId="0" borderId="0" xfId="5" applyNumberFormat="1" applyFont="1" applyFill="1"/>
    <xf numFmtId="194" fontId="4" fillId="0" borderId="0" xfId="5" applyNumberFormat="1" applyFont="1" applyFill="1"/>
    <xf numFmtId="0" fontId="2" fillId="0" borderId="0" xfId="5" applyFont="1" applyFill="1" applyAlignment="1"/>
    <xf numFmtId="0" fontId="7" fillId="0" borderId="4" xfId="0" applyFont="1" applyBorder="1" applyAlignment="1">
      <alignment horizontal="center"/>
    </xf>
    <xf numFmtId="190" fontId="26" fillId="0" borderId="7" xfId="1" applyNumberFormat="1" applyFont="1" applyFill="1" applyBorder="1" applyAlignment="1">
      <alignment horizontal="center" vertical="center" wrapText="1"/>
    </xf>
    <xf numFmtId="191" fontId="35" fillId="0" borderId="7" xfId="1" applyNumberFormat="1" applyFont="1" applyFill="1" applyBorder="1" applyAlignment="1">
      <alignment horizontal="center" vertical="center" wrapText="1"/>
    </xf>
    <xf numFmtId="0" fontId="13" fillId="2" borderId="1" xfId="6" applyFont="1" applyFill="1" applyBorder="1" applyAlignment="1">
      <alignment horizontal="center" vertical="center" wrapText="1" shrinkToFit="1"/>
    </xf>
    <xf numFmtId="188" fontId="4" fillId="0" borderId="0" xfId="0" applyNumberFormat="1" applyFont="1" applyFill="1"/>
    <xf numFmtId="0" fontId="48" fillId="0" borderId="0" xfId="6" applyFont="1" applyAlignment="1"/>
    <xf numFmtId="0" fontId="2" fillId="0" borderId="1" xfId="5" applyNumberFormat="1" applyFont="1" applyFill="1" applyBorder="1" applyAlignment="1">
      <alignment horizontal="center" vertical="center"/>
    </xf>
    <xf numFmtId="191" fontId="7" fillId="0" borderId="4" xfId="1" applyNumberFormat="1" applyFont="1" applyFill="1" applyBorder="1" applyAlignment="1">
      <alignment horizontal="center" vertical="center" shrinkToFit="1"/>
    </xf>
    <xf numFmtId="0" fontId="31" fillId="0" borderId="2" xfId="5" applyFont="1" applyFill="1" applyBorder="1" applyAlignment="1">
      <alignment horizontal="center" vertical="center" wrapText="1"/>
    </xf>
    <xf numFmtId="191" fontId="3" fillId="0" borderId="0" xfId="5" applyNumberFormat="1" applyFont="1" applyFill="1" applyAlignment="1">
      <alignment vertical="center"/>
    </xf>
    <xf numFmtId="191" fontId="3" fillId="0" borderId="2" xfId="5" applyNumberFormat="1" applyFont="1" applyFill="1" applyBorder="1" applyAlignment="1">
      <alignment vertical="center" shrinkToFit="1"/>
    </xf>
    <xf numFmtId="0" fontId="31" fillId="0" borderId="2" xfId="0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horizontal="center" vertical="center" shrinkToFit="1"/>
    </xf>
    <xf numFmtId="0" fontId="30" fillId="0" borderId="4" xfId="0" applyFont="1" applyFill="1" applyBorder="1" applyAlignment="1">
      <alignment horizontal="left" vertical="center"/>
    </xf>
    <xf numFmtId="0" fontId="29" fillId="0" borderId="4" xfId="0" quotePrefix="1" applyFont="1" applyFill="1" applyBorder="1" applyAlignment="1">
      <alignment horizontal="center" vertical="center"/>
    </xf>
    <xf numFmtId="190" fontId="4" fillId="0" borderId="0" xfId="0" applyNumberFormat="1" applyFont="1" applyFill="1"/>
    <xf numFmtId="2" fontId="4" fillId="0" borderId="0" xfId="0" applyNumberFormat="1" applyFont="1" applyFill="1"/>
    <xf numFmtId="2" fontId="7" fillId="0" borderId="0" xfId="0" applyNumberFormat="1" applyFont="1" applyFill="1" applyAlignment="1">
      <alignment vertical="center"/>
    </xf>
    <xf numFmtId="191" fontId="26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7" fillId="0" borderId="4" xfId="0" quotePrefix="1" applyFont="1" applyFill="1" applyBorder="1" applyAlignment="1">
      <alignment horizontal="center" vertical="center" shrinkToFit="1"/>
    </xf>
    <xf numFmtId="0" fontId="7" fillId="0" borderId="5" xfId="0" quotePrefix="1" applyFont="1" applyFill="1" applyBorder="1" applyAlignment="1">
      <alignment horizontal="center" vertical="center" shrinkToFit="1"/>
    </xf>
    <xf numFmtId="200" fontId="21" fillId="0" borderId="2" xfId="0" applyNumberFormat="1" applyFont="1" applyBorder="1" applyAlignment="1">
      <alignment vertical="center"/>
    </xf>
    <xf numFmtId="200" fontId="13" fillId="0" borderId="2" xfId="0" applyNumberFormat="1" applyFont="1" applyBorder="1" applyAlignment="1">
      <alignment horizontal="center" vertical="center"/>
    </xf>
    <xf numFmtId="200" fontId="21" fillId="0" borderId="10" xfId="0" applyNumberFormat="1" applyFont="1" applyBorder="1" applyAlignment="1">
      <alignment vertical="center"/>
    </xf>
    <xf numFmtId="200" fontId="58" fillId="0" borderId="10" xfId="0" applyNumberFormat="1" applyFont="1" applyBorder="1" applyAlignment="1">
      <alignment horizontal="center" vertical="center"/>
    </xf>
    <xf numFmtId="201" fontId="26" fillId="0" borderId="10" xfId="0" applyNumberFormat="1" applyFont="1" applyBorder="1" applyAlignment="1">
      <alignment horizontal="center" vertical="center"/>
    </xf>
    <xf numFmtId="200" fontId="26" fillId="0" borderId="10" xfId="0" applyNumberFormat="1" applyFont="1" applyBorder="1" applyAlignment="1">
      <alignment vertical="center"/>
    </xf>
    <xf numFmtId="200" fontId="21" fillId="0" borderId="9" xfId="0" applyNumberFormat="1" applyFont="1" applyBorder="1" applyAlignment="1">
      <alignment vertical="center"/>
    </xf>
    <xf numFmtId="200" fontId="21" fillId="0" borderId="9" xfId="0" applyNumberFormat="1" applyFont="1" applyBorder="1" applyAlignment="1">
      <alignment horizontal="center" vertical="center"/>
    </xf>
    <xf numFmtId="200" fontId="26" fillId="0" borderId="9" xfId="0" applyNumberFormat="1" applyFont="1" applyBorder="1" applyAlignment="1">
      <alignment horizontal="center" vertical="center"/>
    </xf>
    <xf numFmtId="200" fontId="26" fillId="0" borderId="9" xfId="0" applyNumberFormat="1" applyFont="1" applyBorder="1" applyAlignment="1">
      <alignment vertical="center"/>
    </xf>
    <xf numFmtId="200" fontId="21" fillId="0" borderId="9" xfId="0" applyNumberFormat="1" applyFont="1" applyBorder="1" applyAlignment="1">
      <alignment horizontal="left" vertical="center"/>
    </xf>
    <xf numFmtId="0" fontId="8" fillId="0" borderId="9" xfId="0" applyFont="1" applyFill="1" applyBorder="1"/>
    <xf numFmtId="200" fontId="26" fillId="0" borderId="13" xfId="0" applyNumberFormat="1" applyFont="1" applyBorder="1" applyAlignment="1">
      <alignment vertical="center"/>
    </xf>
    <xf numFmtId="200" fontId="59" fillId="0" borderId="13" xfId="0" applyNumberFormat="1" applyFont="1" applyBorder="1" applyAlignment="1">
      <alignment horizontal="center" vertical="center"/>
    </xf>
    <xf numFmtId="200" fontId="60" fillId="0" borderId="13" xfId="0" applyNumberFormat="1" applyFont="1" applyBorder="1" applyAlignment="1">
      <alignment horizontal="center" vertical="center"/>
    </xf>
    <xf numFmtId="200" fontId="60" fillId="0" borderId="13" xfId="0" applyNumberFormat="1" applyFont="1" applyBorder="1" applyAlignment="1">
      <alignment horizontal="right" vertical="center"/>
    </xf>
    <xf numFmtId="200" fontId="26" fillId="0" borderId="0" xfId="0" applyNumberFormat="1" applyFont="1" applyBorder="1" applyAlignment="1">
      <alignment vertical="center"/>
    </xf>
    <xf numFmtId="200" fontId="59" fillId="0" borderId="0" xfId="0" applyNumberFormat="1" applyFont="1" applyBorder="1" applyAlignment="1">
      <alignment horizontal="center" vertical="center"/>
    </xf>
    <xf numFmtId="200" fontId="60" fillId="0" borderId="0" xfId="0" applyNumberFormat="1" applyFont="1" applyBorder="1" applyAlignment="1">
      <alignment horizontal="center" vertical="center"/>
    </xf>
    <xf numFmtId="200" fontId="60" fillId="0" borderId="0" xfId="0" applyNumberFormat="1" applyFont="1" applyBorder="1" applyAlignment="1">
      <alignment horizontal="right" vertical="center"/>
    </xf>
    <xf numFmtId="200" fontId="26" fillId="0" borderId="0" xfId="0" applyNumberFormat="1" applyFont="1" applyBorder="1" applyAlignment="1">
      <alignment horizontal="center" vertical="center"/>
    </xf>
    <xf numFmtId="200" fontId="22" fillId="0" borderId="2" xfId="0" applyNumberFormat="1" applyFont="1" applyBorder="1" applyAlignment="1">
      <alignment horizontal="center" vertical="center"/>
    </xf>
    <xf numFmtId="200" fontId="62" fillId="0" borderId="12" xfId="0" applyNumberFormat="1" applyFont="1" applyBorder="1" applyAlignment="1">
      <alignment horizontal="center" vertical="center"/>
    </xf>
    <xf numFmtId="0" fontId="8" fillId="0" borderId="0" xfId="0" applyFont="1" applyFill="1"/>
    <xf numFmtId="200" fontId="26" fillId="0" borderId="10" xfId="0" applyNumberFormat="1" applyFont="1" applyBorder="1" applyAlignment="1">
      <alignment horizontal="right" vertical="center"/>
    </xf>
    <xf numFmtId="200" fontId="26" fillId="0" borderId="9" xfId="0" applyNumberFormat="1" applyFont="1" applyBorder="1" applyAlignment="1">
      <alignment horizontal="right" vertical="center"/>
    </xf>
    <xf numFmtId="201" fontId="26" fillId="0" borderId="9" xfId="0" applyNumberFormat="1" applyFont="1" applyBorder="1" applyAlignment="1">
      <alignment horizontal="center" vertical="center"/>
    </xf>
    <xf numFmtId="201" fontId="26" fillId="0" borderId="13" xfId="0" applyNumberFormat="1" applyFont="1" applyBorder="1" applyAlignment="1">
      <alignment horizontal="center" vertical="center"/>
    </xf>
    <xf numFmtId="200" fontId="21" fillId="0" borderId="9" xfId="0" applyNumberFormat="1" applyFont="1" applyBorder="1" applyAlignment="1">
      <alignment horizontal="right" vertical="center"/>
    </xf>
    <xf numFmtId="2" fontId="4" fillId="0" borderId="0" xfId="5" applyNumberFormat="1" applyFont="1" applyFill="1"/>
    <xf numFmtId="0" fontId="7" fillId="0" borderId="4" xfId="4" applyFont="1" applyFill="1" applyBorder="1" applyAlignment="1">
      <alignment vertical="center"/>
    </xf>
    <xf numFmtId="188" fontId="7" fillId="0" borderId="0" xfId="0" applyNumberFormat="1" applyFont="1" applyFill="1" applyAlignment="1">
      <alignment vertical="center"/>
    </xf>
    <xf numFmtId="0" fontId="4" fillId="0" borderId="0" xfId="0" applyFont="1"/>
    <xf numFmtId="0" fontId="7" fillId="0" borderId="4" xfId="0" applyFont="1" applyBorder="1"/>
    <xf numFmtId="191" fontId="7" fillId="0" borderId="4" xfId="1" applyNumberFormat="1" applyFont="1" applyBorder="1"/>
    <xf numFmtId="0" fontId="3" fillId="0" borderId="15" xfId="0" applyFont="1" applyBorder="1"/>
    <xf numFmtId="191" fontId="3" fillId="0" borderId="15" xfId="1" applyNumberFormat="1" applyFont="1" applyBorder="1"/>
    <xf numFmtId="0" fontId="2" fillId="0" borderId="3" xfId="0" applyFont="1" applyBorder="1"/>
    <xf numFmtId="0" fontId="7" fillId="0" borderId="3" xfId="0" applyFont="1" applyBorder="1"/>
    <xf numFmtId="0" fontId="7" fillId="0" borderId="5" xfId="0" applyFont="1" applyBorder="1"/>
    <xf numFmtId="191" fontId="7" fillId="0" borderId="5" xfId="1" applyNumberFormat="1" applyFont="1" applyBorder="1"/>
    <xf numFmtId="0" fontId="2" fillId="0" borderId="3" xfId="0" applyFont="1" applyBorder="1" applyAlignment="1">
      <alignment horizontal="center"/>
    </xf>
    <xf numFmtId="191" fontId="3" fillId="0" borderId="2" xfId="1" applyNumberFormat="1" applyFont="1" applyBorder="1"/>
    <xf numFmtId="188" fontId="4" fillId="0" borderId="0" xfId="5" applyNumberFormat="1" applyFont="1" applyFill="1"/>
    <xf numFmtId="0" fontId="3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vertical="center" shrinkToFit="1"/>
    </xf>
    <xf numFmtId="0" fontId="7" fillId="2" borderId="4" xfId="0" applyFont="1" applyFill="1" applyBorder="1" applyAlignment="1">
      <alignment vertical="center" shrinkToFit="1"/>
    </xf>
    <xf numFmtId="0" fontId="7" fillId="0" borderId="4" xfId="5" quotePrefix="1" applyFont="1" applyFill="1" applyBorder="1" applyAlignment="1">
      <alignment vertical="center" shrinkToFit="1"/>
    </xf>
    <xf numFmtId="0" fontId="7" fillId="2" borderId="5" xfId="0" applyFont="1" applyFill="1" applyBorder="1" applyAlignment="1">
      <alignment vertical="center" shrinkToFit="1"/>
    </xf>
    <xf numFmtId="0" fontId="2" fillId="0" borderId="0" xfId="6" applyFont="1" applyAlignment="1"/>
    <xf numFmtId="0" fontId="4" fillId="0" borderId="0" xfId="6" applyFont="1" applyAlignment="1"/>
    <xf numFmtId="0" fontId="3" fillId="0" borderId="0" xfId="0" applyFont="1" applyFill="1"/>
    <xf numFmtId="191" fontId="3" fillId="0" borderId="0" xfId="0" applyNumberFormat="1" applyFont="1" applyFill="1" applyBorder="1" applyAlignment="1">
      <alignment vertical="center"/>
    </xf>
    <xf numFmtId="191" fontId="64" fillId="0" borderId="0" xfId="0" applyNumberFormat="1" applyFont="1" applyFill="1" applyBorder="1" applyAlignment="1">
      <alignment vertical="center"/>
    </xf>
    <xf numFmtId="191" fontId="3" fillId="0" borderId="0" xfId="0" applyNumberFormat="1" applyFont="1" applyFill="1"/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shrinkToFit="1"/>
    </xf>
    <xf numFmtId="0" fontId="7" fillId="2" borderId="3" xfId="0" quotePrefix="1" applyFont="1" applyFill="1" applyBorder="1" applyAlignment="1">
      <alignment horizontal="center" vertical="center" shrinkToFit="1"/>
    </xf>
    <xf numFmtId="0" fontId="7" fillId="2" borderId="4" xfId="0" quotePrefix="1" applyFont="1" applyFill="1" applyBorder="1" applyAlignment="1">
      <alignment horizontal="center" vertical="center" shrinkToFit="1"/>
    </xf>
    <xf numFmtId="0" fontId="7" fillId="0" borderId="4" xfId="5" quotePrefix="1" applyFont="1" applyFill="1" applyBorder="1" applyAlignment="1">
      <alignment horizontal="center" vertical="center" shrinkToFit="1"/>
    </xf>
    <xf numFmtId="0" fontId="7" fillId="2" borderId="5" xfId="0" quotePrefix="1" applyFont="1" applyFill="1" applyBorder="1" applyAlignment="1">
      <alignment horizontal="center" vertical="center" shrinkToFit="1"/>
    </xf>
    <xf numFmtId="0" fontId="7" fillId="0" borderId="3" xfId="4" applyFont="1" applyFill="1" applyBorder="1" applyAlignment="1">
      <alignment horizontal="left" vertical="center"/>
    </xf>
    <xf numFmtId="0" fontId="7" fillId="0" borderId="4" xfId="4" applyFont="1" applyFill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shrinkToFit="1"/>
    </xf>
    <xf numFmtId="0" fontId="7" fillId="0" borderId="5" xfId="0" applyFont="1" applyFill="1" applyBorder="1" applyAlignment="1">
      <alignment horizontal="left" vertical="center" shrinkToFit="1"/>
    </xf>
    <xf numFmtId="0" fontId="4" fillId="0" borderId="0" xfId="4" applyFont="1" applyFill="1" applyAlignment="1"/>
    <xf numFmtId="0" fontId="4" fillId="0" borderId="0" xfId="4" applyFont="1" applyFill="1"/>
    <xf numFmtId="0" fontId="2" fillId="0" borderId="0" xfId="4" applyFont="1" applyFill="1" applyAlignment="1"/>
    <xf numFmtId="191" fontId="3" fillId="0" borderId="15" xfId="1" applyNumberFormat="1" applyFont="1" applyFill="1" applyBorder="1" applyAlignment="1">
      <alignment horizontal="center" vertical="center" wrapText="1"/>
    </xf>
    <xf numFmtId="0" fontId="38" fillId="0" borderId="0" xfId="0" applyNumberFormat="1" applyFont="1" applyFill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0" xfId="4" applyFont="1" applyFill="1" applyBorder="1" applyAlignment="1">
      <alignment horizontal="center"/>
    </xf>
    <xf numFmtId="1" fontId="3" fillId="0" borderId="0" xfId="4" applyNumberFormat="1" applyFont="1" applyFill="1" applyBorder="1" applyAlignment="1">
      <alignment horizontal="center"/>
    </xf>
    <xf numFmtId="0" fontId="7" fillId="0" borderId="4" xfId="0" applyFont="1" applyFill="1" applyBorder="1"/>
    <xf numFmtId="2" fontId="7" fillId="0" borderId="4" xfId="0" applyNumberFormat="1" applyFont="1" applyFill="1" applyBorder="1"/>
    <xf numFmtId="0" fontId="3" fillId="0" borderId="2" xfId="0" applyFont="1" applyBorder="1" applyAlignment="1">
      <alignment horizontal="center"/>
    </xf>
    <xf numFmtId="0" fontId="7" fillId="0" borderId="2" xfId="0" applyFont="1" applyBorder="1"/>
    <xf numFmtId="0" fontId="3" fillId="0" borderId="2" xfId="0" applyFont="1" applyBorder="1"/>
    <xf numFmtId="188" fontId="11" fillId="0" borderId="4" xfId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3" fillId="0" borderId="0" xfId="0" applyNumberFormat="1" applyFont="1" applyFill="1" applyAlignment="1"/>
    <xf numFmtId="0" fontId="3" fillId="0" borderId="2" xfId="4" applyNumberFormat="1" applyFont="1" applyFill="1" applyBorder="1"/>
    <xf numFmtId="0" fontId="4" fillId="0" borderId="0" xfId="0" applyNumberFormat="1" applyFont="1" applyFill="1" applyBorder="1" applyAlignment="1">
      <alignment horizontal="center" vertical="center"/>
    </xf>
    <xf numFmtId="191" fontId="3" fillId="0" borderId="14" xfId="1" applyNumberFormat="1" applyFont="1" applyFill="1" applyBorder="1" applyAlignment="1">
      <alignment horizontal="center" vertical="center"/>
    </xf>
    <xf numFmtId="0" fontId="31" fillId="0" borderId="4" xfId="5" applyFont="1" applyFill="1" applyBorder="1" applyAlignment="1">
      <alignment horizontal="left" vertical="center" wrapText="1"/>
    </xf>
    <xf numFmtId="37" fontId="7" fillId="0" borderId="3" xfId="1" applyNumberFormat="1" applyFont="1" applyFill="1" applyBorder="1" applyAlignment="1">
      <alignment horizontal="center" vertical="center" wrapText="1"/>
    </xf>
    <xf numFmtId="37" fontId="7" fillId="0" borderId="3" xfId="0" applyNumberFormat="1" applyFont="1" applyFill="1" applyBorder="1" applyAlignment="1">
      <alignment horizontal="center" vertical="center" wrapText="1"/>
    </xf>
    <xf numFmtId="37" fontId="7" fillId="0" borderId="4" xfId="1" applyNumberFormat="1" applyFont="1" applyFill="1" applyBorder="1" applyAlignment="1">
      <alignment horizontal="center" vertical="center" wrapText="1"/>
    </xf>
    <xf numFmtId="37" fontId="7" fillId="0" borderId="4" xfId="0" applyNumberFormat="1" applyFont="1" applyFill="1" applyBorder="1" applyAlignment="1">
      <alignment horizontal="center" vertical="center" wrapText="1"/>
    </xf>
    <xf numFmtId="37" fontId="7" fillId="0" borderId="5" xfId="0" applyNumberFormat="1" applyFont="1" applyFill="1" applyBorder="1" applyAlignment="1">
      <alignment horizontal="center" vertical="center" wrapText="1"/>
    </xf>
    <xf numFmtId="37" fontId="3" fillId="0" borderId="2" xfId="1" applyNumberFormat="1" applyFont="1" applyFill="1" applyBorder="1" applyAlignment="1">
      <alignment horizontal="center" vertical="center" shrinkToFit="1"/>
    </xf>
    <xf numFmtId="0" fontId="7" fillId="0" borderId="0" xfId="4" applyNumberFormat="1" applyFont="1" applyFill="1" applyAlignment="1">
      <alignment horizontal="center"/>
    </xf>
    <xf numFmtId="0" fontId="68" fillId="0" borderId="0" xfId="4" applyNumberFormat="1" applyFont="1" applyFill="1" applyAlignment="1">
      <alignment horizontal="right"/>
    </xf>
    <xf numFmtId="191" fontId="7" fillId="0" borderId="17" xfId="1" applyNumberFormat="1" applyFont="1" applyFill="1" applyBorder="1" applyAlignment="1">
      <alignment vertical="center" shrinkToFit="1"/>
    </xf>
    <xf numFmtId="0" fontId="7" fillId="0" borderId="0" xfId="4" applyFont="1" applyFill="1" applyAlignment="1">
      <alignment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3" fontId="49" fillId="0" borderId="2" xfId="6" applyNumberFormat="1" applyFont="1" applyBorder="1" applyAlignment="1">
      <alignment horizontal="center" vertical="center"/>
    </xf>
    <xf numFmtId="0" fontId="7" fillId="0" borderId="4" xfId="5" applyFont="1" applyFill="1" applyBorder="1" applyAlignment="1">
      <alignment horizontal="center" vertical="center" shrinkToFit="1"/>
    </xf>
    <xf numFmtId="191" fontId="7" fillId="0" borderId="16" xfId="1" applyNumberFormat="1" applyFont="1" applyFill="1" applyBorder="1" applyAlignment="1">
      <alignment vertical="center" shrinkToFit="1"/>
    </xf>
    <xf numFmtId="191" fontId="7" fillId="0" borderId="16" xfId="1" quotePrefix="1" applyNumberFormat="1" applyFont="1" applyFill="1" applyBorder="1" applyAlignment="1">
      <alignment vertical="center" shrinkToFit="1"/>
    </xf>
    <xf numFmtId="0" fontId="7" fillId="0" borderId="0" xfId="4" applyFont="1" applyFill="1" applyBorder="1" applyAlignment="1">
      <alignment horizontal="center" vertical="center"/>
    </xf>
    <xf numFmtId="191" fontId="7" fillId="0" borderId="0" xfId="2" applyNumberFormat="1" applyFont="1" applyFill="1" applyBorder="1" applyAlignment="1">
      <alignment horizontal="center" vertical="center"/>
    </xf>
    <xf numFmtId="1" fontId="7" fillId="0" borderId="0" xfId="4" applyNumberFormat="1" applyFont="1" applyFill="1" applyBorder="1" applyAlignment="1">
      <alignment horizontal="center" vertical="center"/>
    </xf>
    <xf numFmtId="1" fontId="7" fillId="0" borderId="0" xfId="4" applyNumberFormat="1" applyFont="1" applyFill="1" applyBorder="1" applyAlignment="1">
      <alignment vertical="center"/>
    </xf>
    <xf numFmtId="0" fontId="7" fillId="0" borderId="0" xfId="4" applyFont="1" applyFill="1" applyBorder="1" applyAlignment="1">
      <alignment vertical="center"/>
    </xf>
    <xf numFmtId="0" fontId="32" fillId="0" borderId="0" xfId="4" applyFont="1" applyFill="1" applyAlignment="1">
      <alignment vertical="center"/>
    </xf>
    <xf numFmtId="191" fontId="3" fillId="0" borderId="2" xfId="1" applyNumberFormat="1" applyFont="1" applyFill="1" applyBorder="1" applyAlignment="1">
      <alignment horizontal="center" vertical="center" shrinkToFit="1"/>
    </xf>
    <xf numFmtId="0" fontId="19" fillId="0" borderId="0" xfId="5" applyFont="1" applyFill="1" applyAlignment="1">
      <alignment horizontal="center"/>
    </xf>
    <xf numFmtId="0" fontId="7" fillId="0" borderId="5" xfId="5" applyFont="1" applyFill="1" applyBorder="1" applyAlignment="1">
      <alignment horizontal="center" vertical="center" shrinkToFit="1"/>
    </xf>
    <xf numFmtId="0" fontId="7" fillId="0" borderId="17" xfId="0" quotePrefix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shrinkToFit="1"/>
    </xf>
    <xf numFmtId="0" fontId="7" fillId="0" borderId="17" xfId="4" applyFont="1" applyFill="1" applyBorder="1" applyAlignment="1">
      <alignment horizontal="left" vertical="center"/>
    </xf>
    <xf numFmtId="188" fontId="3" fillId="0" borderId="2" xfId="5" applyNumberFormat="1" applyFont="1" applyFill="1" applyBorder="1" applyAlignment="1">
      <alignment horizontal="right" vertical="center" shrinkToFit="1"/>
    </xf>
    <xf numFmtId="191" fontId="11" fillId="0" borderId="0" xfId="8" applyNumberFormat="1" applyFont="1" applyFill="1" applyBorder="1" applyAlignment="1">
      <alignment horizontal="center" vertical="center"/>
    </xf>
    <xf numFmtId="191" fontId="21" fillId="0" borderId="3" xfId="5" applyNumberFormat="1" applyFont="1" applyFill="1" applyBorder="1" applyAlignment="1">
      <alignment horizontal="center" vertical="center" wrapText="1"/>
    </xf>
    <xf numFmtId="0" fontId="21" fillId="0" borderId="3" xfId="5" applyNumberFormat="1" applyFont="1" applyFill="1" applyBorder="1" applyAlignment="1">
      <alignment horizontal="center" vertical="center" shrinkToFit="1"/>
    </xf>
    <xf numFmtId="0" fontId="21" fillId="0" borderId="4" xfId="5" applyFont="1" applyFill="1" applyBorder="1" applyAlignment="1">
      <alignment horizontal="center" vertical="center" wrapText="1"/>
    </xf>
    <xf numFmtId="191" fontId="21" fillId="0" borderId="4" xfId="5" applyNumberFormat="1" applyFont="1" applyFill="1" applyBorder="1" applyAlignment="1">
      <alignment horizontal="center" vertical="center" wrapText="1"/>
    </xf>
    <xf numFmtId="0" fontId="21" fillId="0" borderId="4" xfId="5" applyNumberFormat="1" applyFont="1" applyFill="1" applyBorder="1" applyAlignment="1">
      <alignment horizontal="center" vertical="center" shrinkToFit="1"/>
    </xf>
    <xf numFmtId="0" fontId="21" fillId="0" borderId="3" xfId="5" applyFont="1" applyFill="1" applyBorder="1" applyAlignment="1">
      <alignment vertical="center" wrapText="1"/>
    </xf>
    <xf numFmtId="0" fontId="21" fillId="0" borderId="4" xfId="5" applyFont="1" applyFill="1" applyBorder="1" applyAlignment="1">
      <alignment vertical="center" wrapText="1"/>
    </xf>
    <xf numFmtId="188" fontId="9" fillId="0" borderId="4" xfId="5" applyNumberFormat="1" applyFont="1" applyFill="1" applyBorder="1" applyAlignment="1">
      <alignment vertical="center" shrinkToFit="1"/>
    </xf>
    <xf numFmtId="191" fontId="7" fillId="0" borderId="17" xfId="1" applyNumberFormat="1" applyFont="1" applyFill="1" applyBorder="1" applyAlignment="1">
      <alignment horizontal="center" vertical="center" shrinkToFit="1"/>
    </xf>
    <xf numFmtId="191" fontId="7" fillId="0" borderId="3" xfId="1" applyNumberFormat="1" applyFont="1" applyFill="1" applyBorder="1" applyAlignment="1">
      <alignment horizontal="center" vertical="center" shrinkToFit="1"/>
    </xf>
    <xf numFmtId="191" fontId="7" fillId="0" borderId="2" xfId="1" applyNumberFormat="1" applyFont="1" applyFill="1" applyBorder="1" applyAlignment="1">
      <alignment horizontal="center" vertical="center" shrinkToFit="1"/>
    </xf>
    <xf numFmtId="0" fontId="7" fillId="0" borderId="17" xfId="4" applyFont="1" applyFill="1" applyBorder="1" applyAlignment="1">
      <alignment vertical="center"/>
    </xf>
    <xf numFmtId="191" fontId="7" fillId="0" borderId="17" xfId="1" quotePrefix="1" applyNumberFormat="1" applyFont="1" applyFill="1" applyBorder="1" applyAlignment="1">
      <alignment vertical="center" shrinkToFit="1"/>
    </xf>
    <xf numFmtId="0" fontId="19" fillId="0" borderId="18" xfId="0" applyFont="1" applyBorder="1" applyAlignment="1"/>
    <xf numFmtId="0" fontId="19" fillId="0" borderId="12" xfId="0" applyFont="1" applyBorder="1" applyAlignment="1"/>
    <xf numFmtId="0" fontId="13" fillId="2" borderId="0" xfId="6" applyFont="1" applyFill="1" applyBorder="1" applyAlignment="1">
      <alignment horizontal="center" vertical="center" wrapText="1" shrinkToFit="1"/>
    </xf>
    <xf numFmtId="0" fontId="49" fillId="0" borderId="12" xfId="6" applyFont="1" applyBorder="1" applyAlignment="1">
      <alignment horizontal="center" vertical="center"/>
    </xf>
    <xf numFmtId="0" fontId="48" fillId="0" borderId="0" xfId="6" applyFont="1" applyBorder="1"/>
    <xf numFmtId="0" fontId="47" fillId="2" borderId="0" xfId="6" applyFont="1" applyFill="1" applyBorder="1" applyAlignment="1">
      <alignment horizontal="center" vertical="center" shrinkToFit="1"/>
    </xf>
    <xf numFmtId="0" fontId="39" fillId="0" borderId="0" xfId="6" applyFont="1" applyAlignment="1">
      <alignment vertical="center"/>
    </xf>
    <xf numFmtId="0" fontId="39" fillId="0" borderId="0" xfId="6" applyFont="1" applyBorder="1" applyAlignment="1">
      <alignment vertical="center"/>
    </xf>
    <xf numFmtId="196" fontId="49" fillId="0" borderId="2" xfId="6" applyNumberFormat="1" applyFont="1" applyBorder="1" applyAlignment="1">
      <alignment vertical="center"/>
    </xf>
    <xf numFmtId="198" fontId="49" fillId="0" borderId="2" xfId="6" applyNumberFormat="1" applyFont="1" applyBorder="1" applyAlignment="1">
      <alignment vertical="center"/>
    </xf>
    <xf numFmtId="0" fontId="4" fillId="0" borderId="0" xfId="4" applyNumberFormat="1" applyFont="1" applyFill="1" applyBorder="1" applyAlignment="1">
      <alignment horizontal="center" vertical="justify"/>
    </xf>
    <xf numFmtId="0" fontId="4" fillId="0" borderId="0" xfId="4" applyFont="1" applyFill="1" applyBorder="1" applyAlignment="1">
      <alignment horizontal="center" vertical="justify"/>
    </xf>
    <xf numFmtId="0" fontId="2" fillId="0" borderId="0" xfId="4" applyNumberFormat="1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48" fillId="0" borderId="0" xfId="6" applyFont="1" applyAlignment="1">
      <alignment horizontal="center"/>
    </xf>
    <xf numFmtId="0" fontId="70" fillId="0" borderId="2" xfId="4" applyFont="1" applyFill="1" applyBorder="1" applyAlignment="1">
      <alignment horizontal="center"/>
    </xf>
    <xf numFmtId="0" fontId="67" fillId="0" borderId="2" xfId="7" applyFont="1" applyFill="1" applyBorder="1" applyAlignment="1">
      <alignment horizontal="center" vertical="center"/>
    </xf>
    <xf numFmtId="0" fontId="67" fillId="0" borderId="4" xfId="7" applyFont="1" applyFill="1" applyBorder="1" applyAlignment="1">
      <alignment horizontal="center" vertical="center"/>
    </xf>
    <xf numFmtId="0" fontId="67" fillId="0" borderId="4" xfId="7" applyFont="1" applyFill="1" applyBorder="1" applyAlignment="1">
      <alignment vertical="center"/>
    </xf>
    <xf numFmtId="0" fontId="67" fillId="0" borderId="17" xfId="7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Fill="1" applyBorder="1" applyAlignment="1">
      <alignment vertical="center" shrinkToFit="1"/>
    </xf>
    <xf numFmtId="0" fontId="21" fillId="0" borderId="17" xfId="0" applyFont="1" applyFill="1" applyBorder="1" applyAlignment="1">
      <alignment vertical="center" shrinkToFit="1"/>
    </xf>
    <xf numFmtId="0" fontId="21" fillId="0" borderId="5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3" fillId="0" borderId="0" xfId="4" applyFont="1" applyFill="1" applyBorder="1" applyAlignment="1">
      <alignment vertical="center"/>
    </xf>
    <xf numFmtId="0" fontId="2" fillId="0" borderId="0" xfId="4" applyFont="1" applyFill="1" applyAlignment="1">
      <alignment horizontal="center"/>
    </xf>
    <xf numFmtId="0" fontId="4" fillId="0" borderId="0" xfId="4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188" fontId="35" fillId="0" borderId="2" xfId="1" applyNumberFormat="1" applyFont="1" applyFill="1" applyBorder="1" applyAlignment="1">
      <alignment vertical="center" shrinkToFit="1"/>
    </xf>
    <xf numFmtId="191" fontId="35" fillId="0" borderId="2" xfId="1" applyNumberFormat="1" applyFont="1" applyFill="1" applyBorder="1" applyAlignment="1">
      <alignment vertical="center" shrinkToFit="1"/>
    </xf>
    <xf numFmtId="191" fontId="26" fillId="0" borderId="2" xfId="1" applyNumberFormat="1" applyFont="1" applyFill="1" applyBorder="1" applyAlignment="1">
      <alignment vertical="center" shrinkToFit="1"/>
    </xf>
    <xf numFmtId="0" fontId="53" fillId="2" borderId="2" xfId="0" applyFont="1" applyFill="1" applyBorder="1" applyAlignment="1">
      <alignment horizontal="center" vertical="center" wrapText="1"/>
    </xf>
    <xf numFmtId="0" fontId="3" fillId="0" borderId="0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7" fillId="0" borderId="3" xfId="5" applyFont="1" applyFill="1" applyBorder="1" applyAlignment="1">
      <alignment horizontal="center" vertical="center" wrapText="1"/>
    </xf>
    <xf numFmtId="0" fontId="7" fillId="0" borderId="4" xfId="5" applyFont="1" applyFill="1" applyBorder="1" applyAlignment="1">
      <alignment horizontal="center" vertical="center" wrapText="1"/>
    </xf>
    <xf numFmtId="188" fontId="9" fillId="0" borderId="17" xfId="5" applyNumberFormat="1" applyFont="1" applyFill="1" applyBorder="1" applyAlignment="1">
      <alignment vertical="center" shrinkToFit="1"/>
    </xf>
    <xf numFmtId="0" fontId="7" fillId="0" borderId="16" xfId="5" applyFont="1" applyFill="1" applyBorder="1" applyAlignment="1">
      <alignment horizontal="center" vertical="center" wrapText="1"/>
    </xf>
    <xf numFmtId="188" fontId="9" fillId="0" borderId="16" xfId="5" applyNumberFormat="1" applyFont="1" applyFill="1" applyBorder="1" applyAlignment="1">
      <alignment vertical="center" shrinkToFit="1"/>
    </xf>
    <xf numFmtId="0" fontId="7" fillId="0" borderId="16" xfId="5" applyNumberFormat="1" applyFont="1" applyFill="1" applyBorder="1" applyAlignment="1">
      <alignment horizontal="center" vertical="center" shrinkToFit="1"/>
    </xf>
    <xf numFmtId="191" fontId="7" fillId="0" borderId="16" xfId="1" applyNumberFormat="1" applyFont="1" applyFill="1" applyBorder="1" applyAlignment="1">
      <alignment horizontal="center" vertical="center" shrinkToFit="1"/>
    </xf>
    <xf numFmtId="0" fontId="21" fillId="0" borderId="30" xfId="5" applyFont="1" applyFill="1" applyBorder="1" applyAlignment="1">
      <alignment vertical="center" wrapText="1"/>
    </xf>
    <xf numFmtId="191" fontId="21" fillId="0" borderId="17" xfId="5" applyNumberFormat="1" applyFont="1" applyFill="1" applyBorder="1" applyAlignment="1">
      <alignment horizontal="center" vertical="center" wrapText="1"/>
    </xf>
    <xf numFmtId="0" fontId="21" fillId="0" borderId="17" xfId="5" applyNumberFormat="1" applyFont="1" applyFill="1" applyBorder="1" applyAlignment="1">
      <alignment horizontal="center" vertical="center" shrinkToFit="1"/>
    </xf>
    <xf numFmtId="0" fontId="21" fillId="0" borderId="16" xfId="5" applyFont="1" applyFill="1" applyBorder="1" applyAlignment="1">
      <alignment vertical="center" wrapText="1"/>
    </xf>
    <xf numFmtId="191" fontId="21" fillId="0" borderId="16" xfId="5" applyNumberFormat="1" applyFont="1" applyFill="1" applyBorder="1" applyAlignment="1">
      <alignment horizontal="center" vertical="center" wrapText="1"/>
    </xf>
    <xf numFmtId="0" fontId="21" fillId="0" borderId="16" xfId="5" applyNumberFormat="1" applyFont="1" applyFill="1" applyBorder="1" applyAlignment="1">
      <alignment horizontal="center" vertical="center" shrinkToFit="1"/>
    </xf>
    <xf numFmtId="192" fontId="20" fillId="0" borderId="2" xfId="1" applyNumberFormat="1" applyFont="1" applyFill="1" applyBorder="1" applyAlignment="1">
      <alignment horizontal="center" vertical="center"/>
    </xf>
    <xf numFmtId="3" fontId="7" fillId="0" borderId="4" xfId="0" applyNumberFormat="1" applyFont="1" applyBorder="1"/>
    <xf numFmtId="0" fontId="7" fillId="0" borderId="0" xfId="5" applyFont="1" applyFill="1" applyBorder="1"/>
    <xf numFmtId="0" fontId="7" fillId="0" borderId="0" xfId="5" applyFont="1" applyFill="1" applyBorder="1" applyAlignment="1"/>
    <xf numFmtId="3" fontId="7" fillId="0" borderId="0" xfId="5" applyNumberFormat="1" applyFont="1" applyFill="1" applyAlignment="1">
      <alignment horizontal="center"/>
    </xf>
    <xf numFmtId="0" fontId="63" fillId="0" borderId="0" xfId="5" applyFont="1" applyFill="1" applyAlignment="1">
      <alignment horizontal="center"/>
    </xf>
    <xf numFmtId="3" fontId="63" fillId="0" borderId="0" xfId="5" applyNumberFormat="1" applyFont="1" applyFill="1" applyAlignment="1">
      <alignment horizontal="center"/>
    </xf>
    <xf numFmtId="0" fontId="26" fillId="5" borderId="2" xfId="5" applyFont="1" applyFill="1" applyBorder="1" applyAlignment="1">
      <alignment horizontal="center" vertical="center"/>
    </xf>
    <xf numFmtId="0" fontId="26" fillId="5" borderId="2" xfId="5" applyFont="1" applyFill="1" applyBorder="1" applyAlignment="1">
      <alignment horizontal="left" vertical="center" wrapText="1"/>
    </xf>
    <xf numFmtId="3" fontId="26" fillId="5" borderId="2" xfId="5" applyNumberFormat="1" applyFont="1" applyFill="1" applyBorder="1" applyAlignment="1">
      <alignment horizontal="center" vertical="center"/>
    </xf>
    <xf numFmtId="0" fontId="26" fillId="5" borderId="2" xfId="5" applyFont="1" applyFill="1" applyBorder="1" applyAlignment="1">
      <alignment horizontal="center" vertical="center" wrapText="1"/>
    </xf>
    <xf numFmtId="0" fontId="21" fillId="0" borderId="7" xfId="5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3" fontId="21" fillId="0" borderId="11" xfId="1" applyNumberFormat="1" applyFont="1" applyFill="1" applyBorder="1" applyAlignment="1">
      <alignment horizontal="center" vertical="center"/>
    </xf>
    <xf numFmtId="0" fontId="21" fillId="0" borderId="11" xfId="5" applyFont="1" applyFill="1" applyBorder="1" applyAlignment="1">
      <alignment horizontal="center" vertical="center" wrapText="1"/>
    </xf>
    <xf numFmtId="0" fontId="21" fillId="0" borderId="4" xfId="5" applyFont="1" applyFill="1" applyBorder="1" applyAlignment="1">
      <alignment horizontal="center" vertical="center"/>
    </xf>
    <xf numFmtId="3" fontId="21" fillId="0" borderId="4" xfId="1" applyNumberFormat="1" applyFont="1" applyFill="1" applyBorder="1" applyAlignment="1">
      <alignment horizontal="center" vertical="center"/>
    </xf>
    <xf numFmtId="0" fontId="21" fillId="0" borderId="16" xfId="5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vertical="center"/>
    </xf>
    <xf numFmtId="0" fontId="21" fillId="0" borderId="4" xfId="0" applyFont="1" applyFill="1" applyBorder="1" applyAlignment="1">
      <alignment vertical="center"/>
    </xf>
    <xf numFmtId="3" fontId="26" fillId="5" borderId="2" xfId="0" applyNumberFormat="1" applyFont="1" applyFill="1" applyBorder="1" applyAlignment="1">
      <alignment vertical="center" shrinkToFit="1"/>
    </xf>
    <xf numFmtId="3" fontId="26" fillId="5" borderId="2" xfId="0" applyNumberFormat="1" applyFont="1" applyFill="1" applyBorder="1" applyAlignment="1">
      <alignment horizontal="center" vertical="center" shrinkToFit="1"/>
    </xf>
    <xf numFmtId="0" fontId="26" fillId="5" borderId="2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shrinkToFit="1"/>
    </xf>
    <xf numFmtId="0" fontId="21" fillId="0" borderId="0" xfId="0" applyFont="1" applyFill="1" applyBorder="1" applyAlignment="1">
      <alignment horizontal="center" vertical="center" shrinkToFit="1"/>
    </xf>
    <xf numFmtId="3" fontId="21" fillId="0" borderId="0" xfId="1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Fill="1" applyAlignment="1">
      <alignment horizontal="center"/>
    </xf>
    <xf numFmtId="3" fontId="7" fillId="0" borderId="0" xfId="0" applyNumberFormat="1" applyFont="1" applyFill="1" applyAlignment="1">
      <alignment horizontal="center"/>
    </xf>
    <xf numFmtId="3" fontId="39" fillId="0" borderId="0" xfId="6" applyNumberFormat="1" applyFont="1"/>
    <xf numFmtId="190" fontId="3" fillId="0" borderId="2" xfId="1" applyNumberFormat="1" applyFont="1" applyFill="1" applyBorder="1" applyAlignment="1">
      <alignment vertical="center" shrinkToFit="1"/>
    </xf>
    <xf numFmtId="191" fontId="3" fillId="0" borderId="2" xfId="5" applyNumberFormat="1" applyFont="1" applyFill="1" applyBorder="1" applyAlignment="1">
      <alignment horizontal="right" vertical="center" shrinkToFit="1"/>
    </xf>
    <xf numFmtId="188" fontId="3" fillId="0" borderId="2" xfId="5" applyNumberFormat="1" applyFont="1" applyFill="1" applyBorder="1" applyAlignment="1">
      <alignment horizontal="center" vertical="center" wrapText="1"/>
    </xf>
    <xf numFmtId="188" fontId="7" fillId="0" borderId="7" xfId="5" applyNumberFormat="1" applyFont="1" applyFill="1" applyBorder="1" applyAlignment="1">
      <alignment horizontal="center" vertical="center" wrapText="1"/>
    </xf>
    <xf numFmtId="188" fontId="7" fillId="0" borderId="4" xfId="5" applyNumberFormat="1" applyFont="1" applyFill="1" applyBorder="1" applyAlignment="1">
      <alignment horizontal="center" vertical="center" wrapText="1"/>
    </xf>
    <xf numFmtId="188" fontId="7" fillId="0" borderId="16" xfId="5" applyNumberFormat="1" applyFont="1" applyFill="1" applyBorder="1" applyAlignment="1">
      <alignment horizontal="center" vertical="center" wrapText="1"/>
    </xf>
    <xf numFmtId="0" fontId="3" fillId="0" borderId="0" xfId="5" applyFont="1" applyFill="1" applyAlignment="1"/>
    <xf numFmtId="0" fontId="6" fillId="0" borderId="0" xfId="5" applyFont="1" applyFill="1" applyAlignment="1"/>
    <xf numFmtId="191" fontId="3" fillId="0" borderId="2" xfId="5" applyNumberFormat="1" applyFont="1" applyFill="1" applyBorder="1" applyAlignment="1">
      <alignment horizontal="center" vertical="center" wrapText="1"/>
    </xf>
    <xf numFmtId="191" fontId="7" fillId="0" borderId="7" xfId="0" applyNumberFormat="1" applyFont="1" applyFill="1" applyBorder="1" applyAlignment="1">
      <alignment horizontal="center" vertical="center" wrapText="1"/>
    </xf>
    <xf numFmtId="191" fontId="7" fillId="0" borderId="4" xfId="0" applyNumberFormat="1" applyFont="1" applyFill="1" applyBorder="1" applyAlignment="1">
      <alignment horizontal="center" vertical="center" wrapText="1"/>
    </xf>
    <xf numFmtId="191" fontId="7" fillId="0" borderId="16" xfId="0" applyNumberFormat="1" applyFont="1" applyFill="1" applyBorder="1" applyAlignment="1">
      <alignment horizontal="center" vertical="center" wrapText="1"/>
    </xf>
    <xf numFmtId="191" fontId="7" fillId="0" borderId="0" xfId="5" applyNumberFormat="1" applyFont="1" applyFill="1"/>
    <xf numFmtId="3" fontId="3" fillId="0" borderId="0" xfId="5" applyNumberFormat="1" applyFont="1" applyFill="1" applyAlignment="1">
      <alignment horizontal="right"/>
    </xf>
    <xf numFmtId="3" fontId="6" fillId="0" borderId="0" xfId="5" applyNumberFormat="1" applyFont="1" applyFill="1" applyAlignment="1">
      <alignment horizontal="right"/>
    </xf>
    <xf numFmtId="3" fontId="7" fillId="0" borderId="0" xfId="1" applyNumberFormat="1" applyFont="1" applyFill="1" applyAlignment="1">
      <alignment horizontal="right"/>
    </xf>
    <xf numFmtId="3" fontId="3" fillId="0" borderId="0" xfId="5" applyNumberFormat="1" applyFont="1" applyFill="1" applyBorder="1" applyAlignment="1">
      <alignment horizontal="right" vertical="center"/>
    </xf>
    <xf numFmtId="3" fontId="3" fillId="0" borderId="1" xfId="5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 wrapText="1"/>
    </xf>
    <xf numFmtId="3" fontId="31" fillId="0" borderId="2" xfId="5" applyNumberFormat="1" applyFont="1" applyFill="1" applyBorder="1" applyAlignment="1">
      <alignment horizontal="right" vertical="center" wrapText="1"/>
    </xf>
    <xf numFmtId="3" fontId="3" fillId="0" borderId="2" xfId="5" applyNumberFormat="1" applyFont="1" applyFill="1" applyBorder="1" applyAlignment="1">
      <alignment horizontal="right" vertical="center" shrinkToFit="1"/>
    </xf>
    <xf numFmtId="3" fontId="7" fillId="0" borderId="0" xfId="5" applyNumberFormat="1" applyFont="1" applyFill="1" applyAlignment="1">
      <alignment horizontal="right"/>
    </xf>
    <xf numFmtId="191" fontId="7" fillId="0" borderId="17" xfId="0" applyNumberFormat="1" applyFont="1" applyFill="1" applyBorder="1" applyAlignment="1">
      <alignment horizontal="center" vertical="center" wrapText="1"/>
    </xf>
    <xf numFmtId="191" fontId="7" fillId="0" borderId="2" xfId="0" applyNumberFormat="1" applyFont="1" applyFill="1" applyBorder="1" applyAlignment="1">
      <alignment horizontal="center" vertical="center" wrapText="1"/>
    </xf>
    <xf numFmtId="190" fontId="3" fillId="0" borderId="2" xfId="5" applyNumberFormat="1" applyFont="1" applyFill="1" applyBorder="1" applyAlignment="1">
      <alignment horizontal="center" vertical="center" wrapText="1"/>
    </xf>
    <xf numFmtId="188" fontId="7" fillId="0" borderId="16" xfId="0" applyNumberFormat="1" applyFont="1" applyFill="1" applyBorder="1" applyAlignment="1">
      <alignment horizontal="center" vertical="center" wrapText="1"/>
    </xf>
    <xf numFmtId="0" fontId="3" fillId="0" borderId="0" xfId="5" applyNumberFormat="1" applyFont="1" applyFill="1" applyAlignment="1">
      <alignment horizontal="center"/>
    </xf>
    <xf numFmtId="0" fontId="3" fillId="0" borderId="2" xfId="5" applyNumberFormat="1" applyFont="1" applyFill="1" applyBorder="1" applyAlignment="1">
      <alignment horizontal="center" vertical="center" shrinkToFi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shrinkToFi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4" xfId="0" applyNumberFormat="1" applyFont="1" applyFill="1" applyBorder="1" applyAlignment="1">
      <alignment horizontal="center" vertical="center" shrinkToFit="1"/>
    </xf>
    <xf numFmtId="0" fontId="26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188" fontId="21" fillId="0" borderId="4" xfId="0" applyNumberFormat="1" applyFont="1" applyFill="1" applyBorder="1" applyAlignment="1">
      <alignment horizontal="left" vertical="center" wrapText="1"/>
    </xf>
    <xf numFmtId="0" fontId="21" fillId="0" borderId="4" xfId="0" applyNumberFormat="1" applyFont="1" applyFill="1" applyBorder="1" applyAlignment="1">
      <alignment horizontal="center" vertical="center" shrinkToFit="1"/>
    </xf>
    <xf numFmtId="188" fontId="21" fillId="0" borderId="4" xfId="0" applyNumberFormat="1" applyFont="1" applyFill="1" applyBorder="1" applyAlignment="1">
      <alignment horizontal="center" vertical="center" wrapText="1"/>
    </xf>
    <xf numFmtId="191" fontId="21" fillId="0" borderId="4" xfId="1" applyNumberFormat="1" applyFont="1" applyFill="1" applyBorder="1" applyAlignment="1">
      <alignment vertical="center" shrinkToFit="1"/>
    </xf>
    <xf numFmtId="191" fontId="21" fillId="0" borderId="4" xfId="0" applyNumberFormat="1" applyFont="1" applyFill="1" applyBorder="1" applyAlignment="1">
      <alignment horizontal="center" vertical="center" shrinkToFit="1"/>
    </xf>
    <xf numFmtId="191" fontId="21" fillId="0" borderId="4" xfId="0" applyNumberFormat="1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6" fillId="0" borderId="16" xfId="0" applyNumberFormat="1" applyFont="1" applyFill="1" applyBorder="1" applyAlignment="1">
      <alignment horizontal="center" vertical="center" shrinkToFit="1"/>
    </xf>
    <xf numFmtId="188" fontId="21" fillId="0" borderId="16" xfId="0" applyNumberFormat="1" applyFont="1" applyFill="1" applyBorder="1" applyAlignment="1">
      <alignment horizontal="left" vertical="center" wrapText="1"/>
    </xf>
    <xf numFmtId="0" fontId="21" fillId="0" borderId="16" xfId="0" applyNumberFormat="1" applyFont="1" applyFill="1" applyBorder="1" applyAlignment="1">
      <alignment horizontal="left" vertical="center" shrinkToFit="1"/>
    </xf>
    <xf numFmtId="0" fontId="21" fillId="0" borderId="16" xfId="0" applyNumberFormat="1" applyFont="1" applyFill="1" applyBorder="1" applyAlignment="1">
      <alignment horizontal="center" vertical="center" shrinkToFit="1"/>
    </xf>
    <xf numFmtId="188" fontId="21" fillId="0" borderId="16" xfId="0" applyNumberFormat="1" applyFont="1" applyFill="1" applyBorder="1" applyAlignment="1">
      <alignment horizontal="center" vertical="center" wrapText="1"/>
    </xf>
    <xf numFmtId="191" fontId="21" fillId="0" borderId="16" xfId="1" applyNumberFormat="1" applyFont="1" applyFill="1" applyBorder="1" applyAlignment="1">
      <alignment vertical="center" shrinkToFit="1"/>
    </xf>
    <xf numFmtId="191" fontId="21" fillId="0" borderId="16" xfId="0" applyNumberFormat="1" applyFont="1" applyFill="1" applyBorder="1" applyAlignment="1">
      <alignment horizontal="center" vertical="center" shrinkToFit="1"/>
    </xf>
    <xf numFmtId="0" fontId="26" fillId="0" borderId="16" xfId="0" applyFont="1" applyFill="1" applyBorder="1" applyAlignment="1">
      <alignment horizontal="center" vertical="center" wrapText="1"/>
    </xf>
    <xf numFmtId="191" fontId="21" fillId="0" borderId="16" xfId="0" applyNumberFormat="1" applyFont="1" applyFill="1" applyBorder="1" applyAlignment="1">
      <alignment horizontal="center" vertical="center" wrapText="1"/>
    </xf>
    <xf numFmtId="188" fontId="10" fillId="0" borderId="2" xfId="5" applyNumberFormat="1" applyFont="1" applyFill="1" applyBorder="1" applyAlignment="1">
      <alignment horizontal="center" vertical="center" wrapText="1"/>
    </xf>
    <xf numFmtId="191" fontId="10" fillId="0" borderId="2" xfId="5" applyNumberFormat="1" applyFont="1" applyFill="1" applyBorder="1" applyAlignment="1">
      <alignment horizontal="center" vertical="center" wrapText="1"/>
    </xf>
    <xf numFmtId="191" fontId="10" fillId="0" borderId="2" xfId="1" applyNumberFormat="1" applyFont="1" applyFill="1" applyBorder="1" applyAlignment="1">
      <alignment horizontal="center" vertical="center" shrinkToFit="1"/>
    </xf>
    <xf numFmtId="0" fontId="10" fillId="0" borderId="0" xfId="5" applyFont="1" applyFill="1" applyAlignment="1">
      <alignment horizontal="center" vertical="center"/>
    </xf>
    <xf numFmtId="0" fontId="7" fillId="0" borderId="16" xfId="5" applyFont="1" applyFill="1" applyBorder="1" applyAlignment="1">
      <alignment horizontal="center" vertical="center" shrinkToFit="1"/>
    </xf>
    <xf numFmtId="0" fontId="7" fillId="0" borderId="17" xfId="5" applyFont="1" applyFill="1" applyBorder="1" applyAlignment="1">
      <alignment horizontal="center" vertical="center" shrinkToFit="1"/>
    </xf>
    <xf numFmtId="0" fontId="7" fillId="0" borderId="3" xfId="5" applyFont="1" applyFill="1" applyBorder="1" applyAlignment="1">
      <alignment horizontal="center" vertical="center" shrinkToFit="1"/>
    </xf>
    <xf numFmtId="188" fontId="10" fillId="0" borderId="2" xfId="5" applyNumberFormat="1" applyFont="1" applyFill="1" applyBorder="1" applyAlignment="1">
      <alignment horizontal="center" vertical="center" shrinkToFit="1"/>
    </xf>
    <xf numFmtId="0" fontId="21" fillId="0" borderId="11" xfId="0" applyFont="1" applyFill="1" applyBorder="1" applyAlignment="1">
      <alignment horizontal="center" vertical="center" wrapText="1"/>
    </xf>
    <xf numFmtId="0" fontId="26" fillId="0" borderId="11" xfId="0" applyNumberFormat="1" applyFont="1" applyFill="1" applyBorder="1" applyAlignment="1">
      <alignment horizontal="center" vertical="center" shrinkToFit="1"/>
    </xf>
    <xf numFmtId="188" fontId="21" fillId="2" borderId="11" xfId="5" applyNumberFormat="1" applyFont="1" applyFill="1" applyBorder="1" applyAlignment="1">
      <alignment horizontal="left" vertical="center" wrapText="1"/>
    </xf>
    <xf numFmtId="0" fontId="21" fillId="0" borderId="11" xfId="0" applyNumberFormat="1" applyFont="1" applyFill="1" applyBorder="1" applyAlignment="1">
      <alignment horizontal="left" vertical="center" shrinkToFit="1"/>
    </xf>
    <xf numFmtId="0" fontId="21" fillId="0" borderId="11" xfId="0" applyNumberFormat="1" applyFont="1" applyFill="1" applyBorder="1" applyAlignment="1">
      <alignment horizontal="center" vertical="center" shrinkToFit="1"/>
    </xf>
    <xf numFmtId="188" fontId="21" fillId="0" borderId="11" xfId="0" applyNumberFormat="1" applyFont="1" applyFill="1" applyBorder="1" applyAlignment="1">
      <alignment horizontal="center" vertical="center" wrapText="1"/>
    </xf>
    <xf numFmtId="191" fontId="21" fillId="0" borderId="11" xfId="1" applyNumberFormat="1" applyFont="1" applyFill="1" applyBorder="1" applyAlignment="1">
      <alignment vertical="center" shrinkToFit="1"/>
    </xf>
    <xf numFmtId="191" fontId="21" fillId="0" borderId="11" xfId="0" applyNumberFormat="1" applyFont="1" applyFill="1" applyBorder="1" applyAlignment="1">
      <alignment horizontal="center" vertical="center" shrinkToFit="1"/>
    </xf>
    <xf numFmtId="191" fontId="21" fillId="0" borderId="11" xfId="0" applyNumberFormat="1" applyFont="1" applyFill="1" applyBorder="1" applyAlignment="1">
      <alignment horizontal="center" vertical="center" wrapText="1"/>
    </xf>
    <xf numFmtId="191" fontId="21" fillId="0" borderId="2" xfId="1" applyNumberFormat="1" applyFont="1" applyFill="1" applyBorder="1" applyAlignment="1">
      <alignment vertical="center" shrinkToFit="1"/>
    </xf>
    <xf numFmtId="0" fontId="67" fillId="0" borderId="16" xfId="7" applyFont="1" applyFill="1" applyBorder="1" applyAlignment="1">
      <alignment horizontal="center" vertical="center"/>
    </xf>
    <xf numFmtId="0" fontId="67" fillId="0" borderId="16" xfId="7" applyFont="1" applyFill="1" applyBorder="1" applyAlignment="1">
      <alignment vertical="center"/>
    </xf>
    <xf numFmtId="191" fontId="7" fillId="0" borderId="11" xfId="0" applyNumberFormat="1" applyFont="1" applyFill="1" applyBorder="1" applyAlignment="1">
      <alignment horizontal="center" vertical="center" wrapText="1"/>
    </xf>
    <xf numFmtId="37" fontId="10" fillId="0" borderId="2" xfId="5" applyNumberFormat="1" applyFont="1" applyFill="1" applyBorder="1" applyAlignment="1">
      <alignment horizontal="right" vertical="center" wrapText="1"/>
    </xf>
    <xf numFmtId="4" fontId="4" fillId="0" borderId="0" xfId="0" applyNumberFormat="1" applyFont="1" applyFill="1" applyAlignment="1">
      <alignment horizontal="center"/>
    </xf>
    <xf numFmtId="0" fontId="67" fillId="0" borderId="11" xfId="7" applyFont="1" applyFill="1" applyBorder="1" applyAlignment="1">
      <alignment horizontal="center" vertical="center"/>
    </xf>
    <xf numFmtId="0" fontId="4" fillId="0" borderId="0" xfId="5" applyFont="1" applyFill="1" applyAlignment="1">
      <alignment horizontal="center"/>
    </xf>
    <xf numFmtId="0" fontId="3" fillId="0" borderId="0" xfId="4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3" xfId="0" quotePrefix="1" applyFont="1" applyFill="1" applyBorder="1" applyAlignment="1">
      <alignment horizontal="center" vertical="center" shrinkToFit="1"/>
    </xf>
    <xf numFmtId="191" fontId="22" fillId="0" borderId="0" xfId="8" applyNumberFormat="1" applyFont="1" applyFill="1" applyBorder="1" applyAlignment="1">
      <alignment horizontal="center" vertical="center"/>
    </xf>
    <xf numFmtId="191" fontId="3" fillId="0" borderId="0" xfId="2" applyNumberFormat="1" applyFont="1" applyFill="1" applyBorder="1" applyAlignment="1">
      <alignment horizontal="center" vertical="center"/>
    </xf>
    <xf numFmtId="1" fontId="3" fillId="0" borderId="0" xfId="4" applyNumberFormat="1" applyFont="1" applyFill="1" applyBorder="1" applyAlignment="1">
      <alignment horizontal="center" vertical="center"/>
    </xf>
    <xf numFmtId="1" fontId="3" fillId="0" borderId="0" xfId="4" applyNumberFormat="1" applyFont="1" applyFill="1" applyBorder="1" applyAlignment="1">
      <alignment vertical="center"/>
    </xf>
    <xf numFmtId="0" fontId="34" fillId="0" borderId="0" xfId="4" applyFont="1" applyFill="1" applyAlignment="1">
      <alignment vertical="center"/>
    </xf>
    <xf numFmtId="0" fontId="7" fillId="0" borderId="2" xfId="4" applyFont="1" applyFill="1" applyBorder="1" applyAlignment="1">
      <alignment horizontal="center" vertical="center"/>
    </xf>
    <xf numFmtId="0" fontId="21" fillId="0" borderId="2" xfId="4" applyFont="1" applyFill="1" applyBorder="1" applyAlignment="1">
      <alignment vertical="center"/>
    </xf>
    <xf numFmtId="0" fontId="7" fillId="0" borderId="2" xfId="0" quotePrefix="1" applyFont="1" applyFill="1" applyBorder="1" applyAlignment="1">
      <alignment horizontal="center" vertical="center" shrinkToFit="1"/>
    </xf>
    <xf numFmtId="0" fontId="7" fillId="0" borderId="2" xfId="5" quotePrefix="1" applyFont="1" applyFill="1" applyBorder="1" applyAlignment="1">
      <alignment horizontal="left" vertical="center" shrinkToFit="1"/>
    </xf>
    <xf numFmtId="0" fontId="7" fillId="0" borderId="2" xfId="5" applyFont="1" applyFill="1" applyBorder="1" applyAlignment="1">
      <alignment horizontal="center" vertical="center" shrinkToFit="1"/>
    </xf>
    <xf numFmtId="191" fontId="73" fillId="0" borderId="2" xfId="1" applyNumberFormat="1" applyFont="1" applyFill="1" applyBorder="1" applyAlignment="1">
      <alignment vertical="center" shrinkToFit="1"/>
    </xf>
    <xf numFmtId="191" fontId="7" fillId="0" borderId="2" xfId="1" quotePrefix="1" applyNumberFormat="1" applyFont="1" applyFill="1" applyBorder="1" applyAlignment="1">
      <alignment vertical="center" shrinkToFit="1"/>
    </xf>
    <xf numFmtId="3" fontId="7" fillId="0" borderId="2" xfId="4" applyNumberFormat="1" applyFont="1" applyFill="1" applyBorder="1" applyAlignment="1">
      <alignment horizontal="right" vertical="center"/>
    </xf>
    <xf numFmtId="192" fontId="23" fillId="0" borderId="2" xfId="1" applyNumberFormat="1" applyFont="1" applyFill="1" applyBorder="1" applyAlignment="1">
      <alignment horizontal="center" vertical="center"/>
    </xf>
    <xf numFmtId="0" fontId="53" fillId="0" borderId="3" xfId="5" applyFont="1" applyFill="1" applyBorder="1" applyAlignment="1">
      <alignment horizontal="left" vertical="center" wrapText="1"/>
    </xf>
    <xf numFmtId="0" fontId="7" fillId="0" borderId="3" xfId="5" applyFont="1" applyFill="1" applyBorder="1" applyAlignment="1">
      <alignment horizontal="left" vertical="center" shrinkToFit="1"/>
    </xf>
    <xf numFmtId="191" fontId="73" fillId="0" borderId="3" xfId="1" applyNumberFormat="1" applyFont="1" applyFill="1" applyBorder="1" applyAlignment="1">
      <alignment vertical="center" shrinkToFit="1"/>
    </xf>
    <xf numFmtId="3" fontId="7" fillId="0" borderId="3" xfId="1" quotePrefix="1" applyNumberFormat="1" applyFont="1" applyFill="1" applyBorder="1" applyAlignment="1">
      <alignment horizontal="right" vertical="center" shrinkToFit="1"/>
    </xf>
    <xf numFmtId="0" fontId="7" fillId="0" borderId="3" xfId="5" applyFont="1" applyFill="1" applyBorder="1" applyAlignment="1">
      <alignment vertical="center"/>
    </xf>
    <xf numFmtId="192" fontId="23" fillId="0" borderId="3" xfId="1" applyNumberFormat="1" applyFont="1" applyFill="1" applyBorder="1" applyAlignment="1">
      <alignment horizontal="center" vertical="center"/>
    </xf>
    <xf numFmtId="0" fontId="53" fillId="0" borderId="5" xfId="5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vertical="center"/>
    </xf>
    <xf numFmtId="0" fontId="7" fillId="0" borderId="5" xfId="5" quotePrefix="1" applyFont="1" applyFill="1" applyBorder="1" applyAlignment="1">
      <alignment horizontal="left" vertical="center" shrinkToFit="1"/>
    </xf>
    <xf numFmtId="191" fontId="7" fillId="0" borderId="15" xfId="1" applyNumberFormat="1" applyFont="1" applyFill="1" applyBorder="1" applyAlignment="1">
      <alignment vertical="center" shrinkToFit="1"/>
    </xf>
    <xf numFmtId="191" fontId="73" fillId="0" borderId="5" xfId="1" applyNumberFormat="1" applyFont="1" applyFill="1" applyBorder="1" applyAlignment="1">
      <alignment vertical="center" shrinkToFit="1"/>
    </xf>
    <xf numFmtId="3" fontId="7" fillId="0" borderId="5" xfId="1" quotePrefix="1" applyNumberFormat="1" applyFont="1" applyFill="1" applyBorder="1" applyAlignment="1">
      <alignment horizontal="right" vertical="center" shrinkToFit="1"/>
    </xf>
    <xf numFmtId="191" fontId="7" fillId="0" borderId="15" xfId="1" quotePrefix="1" applyNumberFormat="1" applyFont="1" applyFill="1" applyBorder="1" applyAlignment="1">
      <alignment vertical="center" shrinkToFit="1"/>
    </xf>
    <xf numFmtId="0" fontId="7" fillId="0" borderId="5" xfId="5" applyFont="1" applyFill="1" applyBorder="1" applyAlignment="1">
      <alignment vertical="center"/>
    </xf>
    <xf numFmtId="192" fontId="23" fillId="0" borderId="5" xfId="1" applyNumberFormat="1" applyFont="1" applyFill="1" applyBorder="1" applyAlignment="1">
      <alignment horizontal="center" vertical="center"/>
    </xf>
    <xf numFmtId="0" fontId="7" fillId="0" borderId="2" xfId="4" applyFont="1" applyFill="1" applyBorder="1" applyAlignment="1">
      <alignment horizontal="left" vertical="center"/>
    </xf>
    <xf numFmtId="188" fontId="10" fillId="0" borderId="7" xfId="5" applyNumberFormat="1" applyFont="1" applyFill="1" applyBorder="1" applyAlignment="1">
      <alignment horizontal="center" vertical="center" wrapText="1"/>
    </xf>
    <xf numFmtId="191" fontId="10" fillId="0" borderId="7" xfId="5" applyNumberFormat="1" applyFont="1" applyFill="1" applyBorder="1" applyAlignment="1">
      <alignment horizontal="center" vertical="center" wrapText="1"/>
    </xf>
    <xf numFmtId="191" fontId="10" fillId="0" borderId="7" xfId="1" applyNumberFormat="1" applyFont="1" applyFill="1" applyBorder="1" applyAlignment="1">
      <alignment horizontal="center" vertical="center" shrinkToFit="1"/>
    </xf>
    <xf numFmtId="0" fontId="7" fillId="0" borderId="3" xfId="5" applyNumberFormat="1" applyFont="1" applyFill="1" applyBorder="1" applyAlignment="1">
      <alignment horizontal="left" vertical="center" shrinkToFit="1"/>
    </xf>
    <xf numFmtId="0" fontId="7" fillId="0" borderId="4" xfId="5" applyNumberFormat="1" applyFont="1" applyFill="1" applyBorder="1" applyAlignment="1">
      <alignment horizontal="left" vertical="center" shrinkToFit="1"/>
    </xf>
    <xf numFmtId="0" fontId="7" fillId="0" borderId="17" xfId="5" applyNumberFormat="1" applyFont="1" applyFill="1" applyBorder="1" applyAlignment="1">
      <alignment horizontal="left" vertical="center" shrinkToFit="1"/>
    </xf>
    <xf numFmtId="0" fontId="7" fillId="0" borderId="16" xfId="5" applyNumberFormat="1" applyFont="1" applyFill="1" applyBorder="1" applyAlignment="1">
      <alignment horizontal="left" vertical="center" shrinkToFit="1"/>
    </xf>
    <xf numFmtId="0" fontId="4" fillId="0" borderId="0" xfId="0" applyFont="1" applyFill="1" applyAlignment="1">
      <alignment vertical="center" wrapText="1"/>
    </xf>
    <xf numFmtId="0" fontId="66" fillId="0" borderId="2" xfId="7" applyFont="1" applyFill="1" applyBorder="1" applyAlignment="1">
      <alignment horizontal="center" vertical="center"/>
    </xf>
    <xf numFmtId="0" fontId="66" fillId="0" borderId="2" xfId="7" applyFont="1" applyFill="1" applyBorder="1" applyAlignment="1">
      <alignment vertical="center"/>
    </xf>
    <xf numFmtId="0" fontId="75" fillId="0" borderId="0" xfId="0" applyFont="1" applyFill="1"/>
    <xf numFmtId="0" fontId="66" fillId="0" borderId="4" xfId="7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48" fillId="0" borderId="0" xfId="6" applyFont="1" applyAlignment="1">
      <alignment horizontal="center"/>
    </xf>
    <xf numFmtId="196" fontId="46" fillId="2" borderId="7" xfId="3" applyNumberFormat="1" applyFont="1" applyFill="1" applyBorder="1" applyAlignment="1">
      <alignment horizontal="center" vertical="center" wrapText="1"/>
    </xf>
    <xf numFmtId="195" fontId="46" fillId="2" borderId="2" xfId="3" applyNumberFormat="1" applyFont="1" applyFill="1" applyBorder="1" applyAlignment="1">
      <alignment horizontal="center" vertical="center" wrapText="1"/>
    </xf>
    <xf numFmtId="195" fontId="46" fillId="2" borderId="7" xfId="3" applyNumberFormat="1" applyFont="1" applyFill="1" applyBorder="1" applyAlignment="1">
      <alignment horizontal="center" vertical="center" wrapText="1"/>
    </xf>
    <xf numFmtId="0" fontId="46" fillId="2" borderId="3" xfId="6" applyFont="1" applyFill="1" applyBorder="1" applyAlignment="1">
      <alignment horizontal="center" vertical="center" wrapText="1"/>
    </xf>
    <xf numFmtId="0" fontId="46" fillId="2" borderId="12" xfId="6" applyFont="1" applyFill="1" applyBorder="1" applyAlignment="1">
      <alignment horizontal="center" vertical="center" wrapText="1"/>
    </xf>
    <xf numFmtId="0" fontId="46" fillId="2" borderId="2" xfId="6" applyFont="1" applyFill="1" applyBorder="1" applyAlignment="1">
      <alignment horizontal="center" vertical="center" wrapText="1"/>
    </xf>
    <xf numFmtId="0" fontId="39" fillId="0" borderId="0" xfId="6" applyFont="1" applyAlignment="1">
      <alignment vertical="center" wrapText="1"/>
    </xf>
    <xf numFmtId="0" fontId="7" fillId="0" borderId="16" xfId="0" quotePrefix="1" applyFont="1" applyFill="1" applyBorder="1" applyAlignment="1">
      <alignment horizontal="center" vertical="center" shrinkToFit="1"/>
    </xf>
    <xf numFmtId="0" fontId="7" fillId="0" borderId="17" xfId="0" applyFont="1" applyBorder="1" applyAlignment="1">
      <alignment horizontal="center"/>
    </xf>
    <xf numFmtId="0" fontId="3" fillId="0" borderId="2" xfId="4" applyFont="1" applyFill="1" applyBorder="1" applyAlignment="1">
      <alignment vertical="center"/>
    </xf>
    <xf numFmtId="0" fontId="3" fillId="0" borderId="7" xfId="4" applyNumberFormat="1" applyFont="1" applyFill="1" applyBorder="1" applyAlignment="1">
      <alignment vertical="center"/>
    </xf>
    <xf numFmtId="0" fontId="3" fillId="0" borderId="7" xfId="4" applyFont="1" applyFill="1" applyBorder="1" applyAlignment="1">
      <alignment vertical="center"/>
    </xf>
    <xf numFmtId="3" fontId="3" fillId="0" borderId="2" xfId="4" applyNumberFormat="1" applyFont="1" applyFill="1" applyBorder="1" applyAlignment="1">
      <alignment horizontal="center" vertical="center"/>
    </xf>
    <xf numFmtId="1" fontId="3" fillId="0" borderId="2" xfId="4" applyNumberFormat="1" applyFont="1" applyFill="1" applyBorder="1" applyAlignment="1">
      <alignment horizontal="center" vertical="center"/>
    </xf>
    <xf numFmtId="0" fontId="10" fillId="0" borderId="2" xfId="5" applyFont="1" applyFill="1" applyBorder="1" applyAlignment="1">
      <alignment vertical="center" wrapText="1"/>
    </xf>
    <xf numFmtId="0" fontId="3" fillId="0" borderId="2" xfId="5" applyFont="1" applyFill="1" applyBorder="1" applyAlignment="1">
      <alignment vertical="center" wrapText="1"/>
    </xf>
    <xf numFmtId="188" fontId="3" fillId="0" borderId="2" xfId="5" applyNumberFormat="1" applyFont="1" applyFill="1" applyBorder="1" applyAlignment="1">
      <alignment vertical="center" shrinkToFit="1"/>
    </xf>
    <xf numFmtId="0" fontId="7" fillId="0" borderId="7" xfId="5" applyFont="1" applyFill="1" applyBorder="1" applyAlignment="1">
      <alignment horizontal="center" vertical="center" wrapText="1"/>
    </xf>
    <xf numFmtId="0" fontId="7" fillId="0" borderId="16" xfId="5" quotePrefix="1" applyFont="1" applyFill="1" applyBorder="1" applyAlignment="1">
      <alignment horizontal="center" vertical="center" wrapText="1"/>
    </xf>
    <xf numFmtId="188" fontId="26" fillId="0" borderId="0" xfId="0" applyNumberFormat="1" applyFont="1" applyFill="1" applyAlignment="1">
      <alignment horizontal="center" vertical="center"/>
    </xf>
    <xf numFmtId="188" fontId="21" fillId="0" borderId="4" xfId="0" applyNumberFormat="1" applyFont="1" applyFill="1" applyBorder="1" applyAlignment="1">
      <alignment vertical="center" wrapText="1"/>
    </xf>
    <xf numFmtId="191" fontId="21" fillId="0" borderId="4" xfId="1" applyNumberFormat="1" applyFont="1" applyFill="1" applyBorder="1" applyAlignment="1">
      <alignment horizontal="center" vertical="center" shrinkToFit="1"/>
    </xf>
    <xf numFmtId="0" fontId="21" fillId="4" borderId="3" xfId="0" applyFont="1" applyFill="1" applyBorder="1" applyAlignment="1">
      <alignment vertical="center"/>
    </xf>
    <xf numFmtId="0" fontId="21" fillId="4" borderId="4" xfId="0" applyFont="1" applyFill="1" applyBorder="1" applyAlignment="1">
      <alignment vertical="center"/>
    </xf>
    <xf numFmtId="0" fontId="21" fillId="4" borderId="5" xfId="0" applyFont="1" applyFill="1" applyBorder="1" applyAlignment="1">
      <alignment vertical="center"/>
    </xf>
    <xf numFmtId="0" fontId="21" fillId="0" borderId="5" xfId="0" applyFont="1" applyBorder="1" applyAlignment="1">
      <alignment horizontal="left" vertical="center"/>
    </xf>
    <xf numFmtId="0" fontId="21" fillId="4" borderId="17" xfId="0" applyFont="1" applyFill="1" applyBorder="1"/>
    <xf numFmtId="0" fontId="21" fillId="0" borderId="11" xfId="0" applyFont="1" applyFill="1" applyBorder="1" applyAlignment="1">
      <alignment vertical="center" shrinkToFit="1"/>
    </xf>
    <xf numFmtId="0" fontId="21" fillId="4" borderId="4" xfId="0" applyFont="1" applyFill="1" applyBorder="1"/>
    <xf numFmtId="0" fontId="21" fillId="4" borderId="11" xfId="0" applyFont="1" applyFill="1" applyBorder="1" applyAlignment="1">
      <alignment vertical="center"/>
    </xf>
    <xf numFmtId="0" fontId="21" fillId="4" borderId="4" xfId="4" applyFont="1" applyFill="1" applyBorder="1" applyAlignment="1">
      <alignment vertical="center"/>
    </xf>
    <xf numFmtId="0" fontId="26" fillId="0" borderId="2" xfId="5" applyFont="1" applyFill="1" applyBorder="1" applyAlignment="1">
      <alignment horizontal="center" vertical="center"/>
    </xf>
    <xf numFmtId="0" fontId="7" fillId="0" borderId="0" xfId="5" applyFont="1" applyFill="1" applyBorder="1" applyAlignment="1">
      <alignment horizontal="center"/>
    </xf>
    <xf numFmtId="190" fontId="10" fillId="0" borderId="7" xfId="5" applyNumberFormat="1" applyFont="1" applyFill="1" applyBorder="1" applyAlignment="1">
      <alignment horizontal="center" vertical="center" wrapText="1"/>
    </xf>
    <xf numFmtId="203" fontId="10" fillId="0" borderId="2" xfId="5" applyNumberFormat="1" applyFont="1" applyFill="1" applyBorder="1" applyAlignment="1">
      <alignment horizontal="right" vertical="center" wrapText="1"/>
    </xf>
    <xf numFmtId="190" fontId="7" fillId="0" borderId="16" xfId="0" applyNumberFormat="1" applyFont="1" applyFill="1" applyBorder="1" applyAlignment="1">
      <alignment horizontal="center" vertical="center" wrapText="1"/>
    </xf>
    <xf numFmtId="188" fontId="21" fillId="0" borderId="17" xfId="0" applyNumberFormat="1" applyFont="1" applyFill="1" applyBorder="1" applyAlignment="1">
      <alignment horizontal="left" vertical="center" wrapText="1"/>
    </xf>
    <xf numFmtId="0" fontId="2" fillId="0" borderId="0" xfId="4" applyFont="1" applyFill="1" applyAlignment="1">
      <alignment horizontal="center"/>
    </xf>
    <xf numFmtId="0" fontId="13" fillId="0" borderId="0" xfId="5" applyFont="1" applyFill="1"/>
    <xf numFmtId="188" fontId="13" fillId="0" borderId="0" xfId="5" applyNumberFormat="1" applyFont="1" applyFill="1"/>
    <xf numFmtId="0" fontId="13" fillId="0" borderId="0" xfId="5" applyFont="1" applyFill="1" applyAlignment="1"/>
    <xf numFmtId="0" fontId="75" fillId="0" borderId="0" xfId="5" applyFont="1" applyFill="1"/>
    <xf numFmtId="191" fontId="75" fillId="0" borderId="0" xfId="5" applyNumberFormat="1" applyFont="1" applyFill="1"/>
    <xf numFmtId="188" fontId="75" fillId="0" borderId="0" xfId="5" applyNumberFormat="1" applyFont="1" applyFill="1"/>
    <xf numFmtId="3" fontId="75" fillId="0" borderId="0" xfId="5" applyNumberFormat="1" applyFont="1" applyFill="1" applyAlignment="1">
      <alignment horizontal="right"/>
    </xf>
    <xf numFmtId="3" fontId="75" fillId="0" borderId="0" xfId="5" applyNumberFormat="1" applyFont="1" applyFill="1"/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6" fillId="0" borderId="2" xfId="0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horizontal="center"/>
    </xf>
    <xf numFmtId="0" fontId="37" fillId="0" borderId="0" xfId="0" applyNumberFormat="1" applyFont="1" applyFill="1" applyAlignment="1">
      <alignment horizontal="center"/>
    </xf>
    <xf numFmtId="0" fontId="7" fillId="0" borderId="5" xfId="0" applyFont="1" applyFill="1" applyBorder="1" applyAlignment="1">
      <alignment vertical="center"/>
    </xf>
    <xf numFmtId="191" fontId="26" fillId="0" borderId="7" xfId="1" applyNumberFormat="1" applyFont="1" applyFill="1" applyBorder="1" applyAlignment="1">
      <alignment horizontal="center" vertical="center" wrapText="1"/>
    </xf>
    <xf numFmtId="191" fontId="26" fillId="0" borderId="2" xfId="1" applyNumberFormat="1" applyFont="1" applyFill="1" applyBorder="1" applyAlignment="1">
      <alignment horizontal="center" vertical="center" wrapText="1"/>
    </xf>
    <xf numFmtId="191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center" vertical="center"/>
    </xf>
    <xf numFmtId="0" fontId="13" fillId="0" borderId="0" xfId="5" applyFont="1" applyFill="1" applyAlignment="1">
      <alignment horizontal="center"/>
    </xf>
    <xf numFmtId="0" fontId="75" fillId="0" borderId="0" xfId="5" applyFont="1" applyFill="1" applyAlignment="1">
      <alignment horizontal="center"/>
    </xf>
    <xf numFmtId="0" fontId="7" fillId="0" borderId="0" xfId="5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26" fillId="0" borderId="2" xfId="5" applyNumberFormat="1" applyFont="1" applyFill="1" applyBorder="1" applyAlignment="1">
      <alignment horizontal="center" vertical="center" shrinkToFit="1"/>
    </xf>
    <xf numFmtId="0" fontId="3" fillId="0" borderId="0" xfId="5" applyFont="1" applyFill="1" applyAlignment="1">
      <alignment horizontal="center" vertical="center"/>
    </xf>
    <xf numFmtId="0" fontId="39" fillId="0" borderId="0" xfId="6" applyFont="1" applyFill="1"/>
    <xf numFmtId="0" fontId="48" fillId="0" borderId="0" xfId="6" applyFont="1" applyFill="1"/>
    <xf numFmtId="0" fontId="13" fillId="0" borderId="0" xfId="6" applyFont="1" applyFill="1" applyBorder="1" applyAlignment="1">
      <alignment vertical="center" shrinkToFit="1"/>
    </xf>
    <xf numFmtId="0" fontId="13" fillId="0" borderId="1" xfId="6" applyFont="1" applyFill="1" applyBorder="1" applyAlignment="1">
      <alignment horizontal="center" vertical="center" wrapText="1" shrinkToFit="1"/>
    </xf>
    <xf numFmtId="196" fontId="13" fillId="0" borderId="1" xfId="6" applyNumberFormat="1" applyFont="1" applyFill="1" applyBorder="1" applyAlignment="1">
      <alignment horizontal="center" vertical="center" wrapText="1" shrinkToFit="1"/>
    </xf>
    <xf numFmtId="0" fontId="13" fillId="0" borderId="8" xfId="6" applyFont="1" applyFill="1" applyBorder="1" applyAlignment="1">
      <alignment vertical="center" shrinkToFit="1"/>
    </xf>
    <xf numFmtId="0" fontId="39" fillId="0" borderId="8" xfId="6" applyFont="1" applyFill="1" applyBorder="1"/>
    <xf numFmtId="0" fontId="39" fillId="0" borderId="0" xfId="6" applyFont="1" applyFill="1" applyBorder="1"/>
    <xf numFmtId="196" fontId="48" fillId="0" borderId="2" xfId="6" applyNumberFormat="1" applyFont="1" applyFill="1" applyBorder="1" applyAlignment="1">
      <alignment horizontal="center" vertical="center"/>
    </xf>
    <xf numFmtId="3" fontId="48" fillId="0" borderId="2" xfId="6" applyNumberFormat="1" applyFont="1" applyFill="1" applyBorder="1" applyAlignment="1">
      <alignment horizontal="right" vertical="center"/>
    </xf>
    <xf numFmtId="196" fontId="49" fillId="0" borderId="2" xfId="6" applyNumberFormat="1" applyFont="1" applyFill="1" applyBorder="1" applyAlignment="1">
      <alignment horizontal="center" vertical="center"/>
    </xf>
    <xf numFmtId="196" fontId="39" fillId="0" borderId="0" xfId="6" applyNumberFormat="1" applyFont="1" applyFill="1"/>
    <xf numFmtId="0" fontId="50" fillId="0" borderId="4" xfId="6" applyFont="1" applyFill="1" applyBorder="1" applyAlignment="1">
      <alignment horizontal="left" vertical="center" wrapText="1" indent="1"/>
    </xf>
    <xf numFmtId="191" fontId="26" fillId="0" borderId="2" xfId="1" applyNumberFormat="1" applyFont="1" applyFill="1" applyBorder="1" applyAlignment="1">
      <alignment horizontal="center" vertical="center" wrapText="1"/>
    </xf>
    <xf numFmtId="191" fontId="26" fillId="0" borderId="7" xfId="1" applyNumberFormat="1" applyFont="1" applyFill="1" applyBorder="1" applyAlignment="1">
      <alignment horizontal="center" vertical="center" wrapText="1"/>
    </xf>
    <xf numFmtId="191" fontId="3" fillId="0" borderId="2" xfId="1" applyNumberFormat="1" applyFont="1" applyFill="1" applyBorder="1" applyAlignment="1">
      <alignment horizontal="center" vertical="center" wrapText="1"/>
    </xf>
    <xf numFmtId="0" fontId="3" fillId="0" borderId="2" xfId="4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26" fillId="0" borderId="2" xfId="5" applyNumberFormat="1" applyFont="1" applyFill="1" applyBorder="1" applyAlignment="1">
      <alignment horizontal="center" vertical="center" shrinkToFit="1"/>
    </xf>
    <xf numFmtId="0" fontId="2" fillId="0" borderId="0" xfId="5" applyNumberFormat="1" applyFont="1" applyFill="1" applyBorder="1" applyAlignment="1">
      <alignment horizontal="center" vertical="center"/>
    </xf>
    <xf numFmtId="188" fontId="3" fillId="0" borderId="2" xfId="5" applyNumberFormat="1" applyFont="1" applyFill="1" applyBorder="1" applyAlignment="1">
      <alignment horizontal="center" vertical="center" shrinkToFit="1"/>
    </xf>
    <xf numFmtId="0" fontId="75" fillId="0" borderId="0" xfId="5" applyFont="1" applyFill="1" applyAlignment="1">
      <alignment horizontal="center"/>
    </xf>
    <xf numFmtId="0" fontId="7" fillId="0" borderId="0" xfId="5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0" fontId="3" fillId="0" borderId="0" xfId="5" applyFont="1" applyFill="1" applyAlignment="1">
      <alignment horizontal="center" vertical="center"/>
    </xf>
    <xf numFmtId="200" fontId="62" fillId="0" borderId="0" xfId="0" applyNumberFormat="1" applyFont="1" applyBorder="1" applyAlignment="1">
      <alignment horizontal="center" vertical="center"/>
    </xf>
    <xf numFmtId="200" fontId="57" fillId="0" borderId="0" xfId="0" applyNumberFormat="1" applyFont="1" applyBorder="1" applyAlignment="1">
      <alignment horizontal="center" vertical="center"/>
    </xf>
    <xf numFmtId="200" fontId="26" fillId="0" borderId="8" xfId="0" applyNumberFormat="1" applyFont="1" applyBorder="1" applyAlignment="1">
      <alignment horizontal="right" vertical="center"/>
    </xf>
    <xf numFmtId="200" fontId="21" fillId="0" borderId="8" xfId="0" applyNumberFormat="1" applyFont="1" applyBorder="1" applyAlignment="1">
      <alignment horizontal="center" vertical="center"/>
    </xf>
    <xf numFmtId="200" fontId="26" fillId="0" borderId="8" xfId="0" applyNumberFormat="1" applyFont="1" applyBorder="1" applyAlignment="1">
      <alignment horizontal="center" vertical="center"/>
    </xf>
    <xf numFmtId="200" fontId="60" fillId="0" borderId="8" xfId="0" applyNumberFormat="1" applyFont="1" applyBorder="1" applyAlignment="1">
      <alignment horizontal="right" vertical="center"/>
    </xf>
    <xf numFmtId="200" fontId="26" fillId="0" borderId="8" xfId="0" applyNumberFormat="1" applyFont="1" applyBorder="1" applyAlignment="1">
      <alignment vertical="center"/>
    </xf>
    <xf numFmtId="201" fontId="26" fillId="0" borderId="8" xfId="0" applyNumberFormat="1" applyFont="1" applyBorder="1" applyAlignment="1">
      <alignment horizontal="right" vertical="center"/>
    </xf>
    <xf numFmtId="0" fontId="7" fillId="0" borderId="0" xfId="0" applyFont="1" applyBorder="1"/>
    <xf numFmtId="200" fontId="26" fillId="0" borderId="0" xfId="0" applyNumberFormat="1" applyFont="1" applyBorder="1" applyAlignment="1">
      <alignment horizontal="right" vertical="center"/>
    </xf>
    <xf numFmtId="200" fontId="21" fillId="0" borderId="0" xfId="0" applyNumberFormat="1" applyFont="1" applyBorder="1" applyAlignment="1">
      <alignment horizontal="center" vertical="center"/>
    </xf>
    <xf numFmtId="200" fontId="21" fillId="3" borderId="0" xfId="0" applyNumberFormat="1" applyFont="1" applyFill="1" applyBorder="1" applyAlignment="1">
      <alignment horizontal="center" vertical="center"/>
    </xf>
    <xf numFmtId="201" fontId="26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/>
    <xf numFmtId="200" fontId="21" fillId="0" borderId="0" xfId="0" applyNumberFormat="1" applyFont="1" applyBorder="1" applyAlignment="1">
      <alignment horizontal="right" vertical="center"/>
    </xf>
    <xf numFmtId="0" fontId="7" fillId="0" borderId="30" xfId="0" applyFont="1" applyBorder="1"/>
    <xf numFmtId="200" fontId="26" fillId="0" borderId="30" xfId="0" applyNumberFormat="1" applyFont="1" applyBorder="1" applyAlignment="1">
      <alignment vertical="center"/>
    </xf>
    <xf numFmtId="200" fontId="59" fillId="0" borderId="30" xfId="0" applyNumberFormat="1" applyFont="1" applyBorder="1" applyAlignment="1">
      <alignment horizontal="center" vertical="center"/>
    </xf>
    <xf numFmtId="200" fontId="60" fillId="0" borderId="30" xfId="0" applyNumberFormat="1" applyFont="1" applyBorder="1" applyAlignment="1">
      <alignment horizontal="center" vertical="center"/>
    </xf>
    <xf numFmtId="200" fontId="60" fillId="0" borderId="30" xfId="0" applyNumberFormat="1" applyFont="1" applyBorder="1" applyAlignment="1">
      <alignment horizontal="right" vertical="center"/>
    </xf>
    <xf numFmtId="0" fontId="82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201" fontId="26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200" fontId="21" fillId="0" borderId="0" xfId="0" applyNumberFormat="1" applyFont="1" applyBorder="1" applyAlignment="1">
      <alignment vertical="center"/>
    </xf>
    <xf numFmtId="200" fontId="22" fillId="0" borderId="0" xfId="0" applyNumberFormat="1" applyFont="1" applyBorder="1" applyAlignment="1">
      <alignment horizontal="center" vertical="center"/>
    </xf>
    <xf numFmtId="200" fontId="58" fillId="0" borderId="0" xfId="0" applyNumberFormat="1" applyFont="1" applyBorder="1" applyAlignment="1">
      <alignment horizontal="center" vertical="center"/>
    </xf>
    <xf numFmtId="200" fontId="21" fillId="0" borderId="0" xfId="0" applyNumberFormat="1" applyFont="1" applyBorder="1" applyAlignment="1">
      <alignment horizontal="left" vertical="center"/>
    </xf>
    <xf numFmtId="200" fontId="2" fillId="0" borderId="0" xfId="0" applyNumberFormat="1" applyFont="1" applyFill="1" applyBorder="1" applyAlignment="1">
      <alignment horizontal="center" vertical="center"/>
    </xf>
    <xf numFmtId="200" fontId="21" fillId="0" borderId="30" xfId="0" applyNumberFormat="1" applyFont="1" applyBorder="1" applyAlignment="1">
      <alignment horizontal="center" vertical="center"/>
    </xf>
    <xf numFmtId="200" fontId="84" fillId="0" borderId="12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200" fontId="61" fillId="0" borderId="30" xfId="0" applyNumberFormat="1" applyFont="1" applyBorder="1" applyAlignment="1">
      <alignment horizontal="center" vertical="center"/>
    </xf>
    <xf numFmtId="0" fontId="3" fillId="0" borderId="0" xfId="0" applyFont="1" applyBorder="1"/>
    <xf numFmtId="0" fontId="3" fillId="0" borderId="30" xfId="0" applyFont="1" applyBorder="1"/>
    <xf numFmtId="200" fontId="22" fillId="0" borderId="0" xfId="0" applyNumberFormat="1" applyFont="1" applyBorder="1" applyAlignment="1">
      <alignment horizontal="right" vertical="center"/>
    </xf>
    <xf numFmtId="200" fontId="26" fillId="0" borderId="30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200" fontId="26" fillId="0" borderId="29" xfId="0" applyNumberFormat="1" applyFont="1" applyBorder="1" applyAlignment="1">
      <alignment horizontal="center" vertical="center"/>
    </xf>
    <xf numFmtId="0" fontId="7" fillId="0" borderId="10" xfId="0" applyFont="1" applyBorder="1"/>
    <xf numFmtId="200" fontId="26" fillId="0" borderId="18" xfId="0" applyNumberFormat="1" applyFont="1" applyBorder="1" applyAlignment="1">
      <alignment vertical="center"/>
    </xf>
    <xf numFmtId="200" fontId="26" fillId="0" borderId="6" xfId="0" applyNumberFormat="1" applyFont="1" applyBorder="1" applyAlignment="1">
      <alignment vertical="center"/>
    </xf>
    <xf numFmtId="200" fontId="26" fillId="0" borderId="12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horizontal="center"/>
    </xf>
    <xf numFmtId="37" fontId="7" fillId="0" borderId="0" xfId="0" applyNumberFormat="1" applyFont="1" applyBorder="1" applyAlignment="1">
      <alignment horizontal="center"/>
    </xf>
    <xf numFmtId="0" fontId="3" fillId="0" borderId="31" xfId="0" applyFont="1" applyBorder="1" applyAlignment="1">
      <alignment horizontal="right"/>
    </xf>
    <xf numFmtId="200" fontId="26" fillId="0" borderId="32" xfId="0" applyNumberFormat="1" applyFont="1" applyBorder="1" applyAlignment="1">
      <alignment horizontal="right" vertical="center"/>
    </xf>
    <xf numFmtId="200" fontId="13" fillId="0" borderId="32" xfId="0" applyNumberFormat="1" applyFont="1" applyBorder="1" applyAlignment="1">
      <alignment horizontal="right" vertical="center"/>
    </xf>
    <xf numFmtId="200" fontId="60" fillId="0" borderId="32" xfId="0" applyNumberFormat="1" applyFont="1" applyBorder="1" applyAlignment="1">
      <alignment horizontal="right" vertical="center"/>
    </xf>
    <xf numFmtId="200" fontId="60" fillId="0" borderId="33" xfId="0" applyNumberFormat="1" applyFont="1" applyBorder="1" applyAlignment="1">
      <alignment horizontal="right" vertical="center"/>
    </xf>
    <xf numFmtId="200" fontId="85" fillId="0" borderId="31" xfId="0" applyNumberFormat="1" applyFont="1" applyBorder="1" applyAlignment="1">
      <alignment horizontal="right" vertical="center"/>
    </xf>
    <xf numFmtId="200" fontId="26" fillId="0" borderId="33" xfId="0" applyNumberFormat="1" applyFont="1" applyBorder="1" applyAlignment="1">
      <alignment horizontal="right" vertical="center"/>
    </xf>
    <xf numFmtId="200" fontId="22" fillId="0" borderId="33" xfId="0" applyNumberFormat="1" applyFont="1" applyBorder="1" applyAlignment="1">
      <alignment horizontal="right" vertical="center"/>
    </xf>
    <xf numFmtId="200" fontId="26" fillId="0" borderId="31" xfId="0" applyNumberFormat="1" applyFont="1" applyBorder="1" applyAlignment="1">
      <alignment horizontal="right" vertical="center"/>
    </xf>
    <xf numFmtId="0" fontId="10" fillId="0" borderId="33" xfId="0" applyFont="1" applyFill="1" applyBorder="1" applyAlignment="1">
      <alignment horizontal="right"/>
    </xf>
    <xf numFmtId="200" fontId="60" fillId="0" borderId="34" xfId="0" applyNumberFormat="1" applyFont="1" applyBorder="1" applyAlignment="1">
      <alignment horizontal="right" vertical="center"/>
    </xf>
    <xf numFmtId="0" fontId="3" fillId="0" borderId="33" xfId="0" applyFont="1" applyBorder="1" applyAlignment="1">
      <alignment horizontal="right"/>
    </xf>
    <xf numFmtId="191" fontId="3" fillId="0" borderId="33" xfId="1" applyNumberFormat="1" applyFont="1" applyBorder="1" applyAlignment="1">
      <alignment horizontal="right"/>
    </xf>
    <xf numFmtId="200" fontId="26" fillId="0" borderId="35" xfId="0" applyNumberFormat="1" applyFont="1" applyBorder="1" applyAlignment="1">
      <alignment vertical="center"/>
    </xf>
    <xf numFmtId="200" fontId="59" fillId="0" borderId="35" xfId="0" applyNumberFormat="1" applyFont="1" applyBorder="1" applyAlignment="1">
      <alignment horizontal="center" vertical="center"/>
    </xf>
    <xf numFmtId="200" fontId="60" fillId="0" borderId="35" xfId="0" applyNumberFormat="1" applyFont="1" applyBorder="1" applyAlignment="1">
      <alignment horizontal="center" vertical="center"/>
    </xf>
    <xf numFmtId="200" fontId="21" fillId="0" borderId="36" xfId="0" applyNumberFormat="1" applyFont="1" applyBorder="1" applyAlignment="1">
      <alignment horizontal="center" vertical="center"/>
    </xf>
    <xf numFmtId="200" fontId="26" fillId="0" borderId="37" xfId="0" applyNumberFormat="1" applyFont="1" applyBorder="1" applyAlignment="1">
      <alignment horizontal="center" vertical="center"/>
    </xf>
    <xf numFmtId="200" fontId="62" fillId="0" borderId="37" xfId="0" applyNumberFormat="1" applyFont="1" applyBorder="1" applyAlignment="1">
      <alignment horizontal="center" vertical="center"/>
    </xf>
    <xf numFmtId="200" fontId="26" fillId="0" borderId="37" xfId="0" applyNumberFormat="1" applyFont="1" applyBorder="1" applyAlignment="1">
      <alignment vertical="center"/>
    </xf>
    <xf numFmtId="200" fontId="26" fillId="0" borderId="37" xfId="0" applyNumberFormat="1" applyFont="1" applyBorder="1" applyAlignment="1">
      <alignment horizontal="right" vertical="center"/>
    </xf>
    <xf numFmtId="200" fontId="21" fillId="0" borderId="37" xfId="0" applyNumberFormat="1" applyFont="1" applyBorder="1" applyAlignment="1">
      <alignment horizontal="center" vertical="center"/>
    </xf>
    <xf numFmtId="200" fontId="60" fillId="0" borderId="37" xfId="0" applyNumberFormat="1" applyFont="1" applyBorder="1" applyAlignment="1">
      <alignment horizontal="right" vertical="center"/>
    </xf>
    <xf numFmtId="200" fontId="60" fillId="0" borderId="38" xfId="0" applyNumberFormat="1" applyFont="1" applyBorder="1" applyAlignment="1">
      <alignment horizontal="right" vertical="center"/>
    </xf>
    <xf numFmtId="200" fontId="86" fillId="0" borderId="12" xfId="0" applyNumberFormat="1" applyFont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200" fontId="21" fillId="4" borderId="8" xfId="0" applyNumberFormat="1" applyFont="1" applyFill="1" applyBorder="1" applyAlignment="1">
      <alignment horizontal="center" vertical="center"/>
    </xf>
    <xf numFmtId="200" fontId="26" fillId="4" borderId="9" xfId="0" applyNumberFormat="1" applyFont="1" applyFill="1" applyBorder="1" applyAlignment="1">
      <alignment horizontal="center" vertical="center"/>
    </xf>
    <xf numFmtId="200" fontId="26" fillId="4" borderId="0" xfId="0" applyNumberFormat="1" applyFont="1" applyFill="1" applyBorder="1" applyAlignment="1">
      <alignment horizontal="center" vertical="center"/>
    </xf>
    <xf numFmtId="200" fontId="21" fillId="4" borderId="9" xfId="0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right"/>
    </xf>
    <xf numFmtId="200" fontId="10" fillId="0" borderId="2" xfId="0" applyNumberFormat="1" applyFont="1" applyBorder="1" applyAlignment="1">
      <alignment horizontal="center" vertical="center"/>
    </xf>
    <xf numFmtId="191" fontId="26" fillId="0" borderId="7" xfId="1" applyNumberFormat="1" applyFont="1" applyFill="1" applyBorder="1" applyAlignment="1">
      <alignment horizontal="center" vertical="center" wrapText="1"/>
    </xf>
    <xf numFmtId="191" fontId="26" fillId="0" borderId="2" xfId="1" applyNumberFormat="1" applyFont="1" applyFill="1" applyBorder="1" applyAlignment="1">
      <alignment horizontal="center" vertical="center" wrapText="1"/>
    </xf>
    <xf numFmtId="191" fontId="3" fillId="0" borderId="2" xfId="1" applyNumberFormat="1" applyFont="1" applyFill="1" applyBorder="1" applyAlignment="1">
      <alignment horizontal="center" vertical="center" wrapText="1"/>
    </xf>
    <xf numFmtId="0" fontId="3" fillId="0" borderId="2" xfId="4" applyFont="1" applyFill="1" applyBorder="1" applyAlignment="1">
      <alignment horizontal="center" vertical="center"/>
    </xf>
    <xf numFmtId="0" fontId="7" fillId="0" borderId="0" xfId="5" applyFont="1" applyFill="1" applyAlignment="1">
      <alignment horizontal="center"/>
    </xf>
    <xf numFmtId="0" fontId="75" fillId="0" borderId="0" xfId="5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188" fontId="3" fillId="0" borderId="2" xfId="5" applyNumberFormat="1" applyFont="1" applyFill="1" applyBorder="1" applyAlignment="1">
      <alignment horizontal="center" vertical="center" shrinkToFit="1"/>
    </xf>
    <xf numFmtId="0" fontId="3" fillId="0" borderId="2" xfId="5" applyFont="1" applyFill="1" applyBorder="1" applyAlignment="1">
      <alignment horizontal="center" vertical="center" wrapText="1"/>
    </xf>
    <xf numFmtId="0" fontId="26" fillId="0" borderId="2" xfId="5" applyNumberFormat="1" applyFont="1" applyFill="1" applyBorder="1" applyAlignment="1">
      <alignment horizontal="center" vertical="center" shrinkToFit="1"/>
    </xf>
    <xf numFmtId="0" fontId="2" fillId="0" borderId="0" xfId="5" applyNumberFormat="1" applyFont="1" applyFill="1" applyBorder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43" fontId="4" fillId="0" borderId="0" xfId="0" applyNumberFormat="1" applyFont="1" applyFill="1" applyAlignment="1"/>
    <xf numFmtId="0" fontId="2" fillId="0" borderId="0" xfId="4" applyNumberFormat="1" applyFont="1" applyFill="1" applyAlignment="1"/>
    <xf numFmtId="0" fontId="7" fillId="0" borderId="11" xfId="4" applyFont="1" applyFill="1" applyBorder="1" applyAlignment="1">
      <alignment vertical="center"/>
    </xf>
    <xf numFmtId="4" fontId="48" fillId="0" borderId="0" xfId="6" applyNumberFormat="1" applyFont="1" applyFill="1"/>
    <xf numFmtId="191" fontId="7" fillId="0" borderId="0" xfId="1" applyNumberFormat="1" applyFont="1" applyFill="1"/>
    <xf numFmtId="0" fontId="48" fillId="0" borderId="0" xfId="6" applyFont="1" applyFill="1" applyAlignment="1">
      <alignment horizontal="center"/>
    </xf>
    <xf numFmtId="206" fontId="4" fillId="0" borderId="0" xfId="0" applyNumberFormat="1" applyFont="1" applyFill="1"/>
    <xf numFmtId="192" fontId="2" fillId="0" borderId="0" xfId="0" applyNumberFormat="1" applyFont="1" applyFill="1" applyAlignment="1">
      <alignment horizontal="center"/>
    </xf>
    <xf numFmtId="0" fontId="21" fillId="0" borderId="3" xfId="0" applyNumberFormat="1" applyFont="1" applyFill="1" applyBorder="1" applyAlignment="1">
      <alignment horizontal="center" vertical="center" shrinkToFit="1"/>
    </xf>
    <xf numFmtId="0" fontId="21" fillId="0" borderId="3" xfId="0" applyFont="1" applyFill="1" applyBorder="1" applyAlignment="1">
      <alignment horizontal="center" vertical="center" wrapText="1"/>
    </xf>
    <xf numFmtId="191" fontId="21" fillId="0" borderId="3" xfId="1" applyNumberFormat="1" applyFont="1" applyFill="1" applyBorder="1" applyAlignment="1">
      <alignment vertical="center" shrinkToFit="1"/>
    </xf>
    <xf numFmtId="191" fontId="21" fillId="0" borderId="3" xfId="0" applyNumberFormat="1" applyFont="1" applyFill="1" applyBorder="1" applyAlignment="1">
      <alignment horizontal="center" vertical="center" shrinkToFit="1"/>
    </xf>
    <xf numFmtId="191" fontId="21" fillId="0" borderId="3" xfId="0" applyNumberFormat="1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88" fillId="0" borderId="0" xfId="4" applyFont="1" applyFill="1"/>
    <xf numFmtId="188" fontId="35" fillId="0" borderId="2" xfId="1" applyFont="1" applyFill="1" applyBorder="1" applyAlignment="1">
      <alignment vertical="center" shrinkToFit="1"/>
    </xf>
    <xf numFmtId="0" fontId="26" fillId="0" borderId="3" xfId="0" applyNumberFormat="1" applyFont="1" applyFill="1" applyBorder="1" applyAlignment="1">
      <alignment horizontal="center" vertical="center" shrinkToFit="1"/>
    </xf>
    <xf numFmtId="0" fontId="21" fillId="0" borderId="3" xfId="0" applyNumberFormat="1" applyFont="1" applyFill="1" applyBorder="1" applyAlignment="1">
      <alignment horizontal="left" vertical="center" shrinkToFit="1"/>
    </xf>
    <xf numFmtId="188" fontId="71" fillId="0" borderId="3" xfId="1" applyFont="1" applyFill="1" applyBorder="1" applyAlignment="1">
      <alignment vertical="center"/>
    </xf>
    <xf numFmtId="0" fontId="26" fillId="0" borderId="3" xfId="0" applyFont="1" applyFill="1" applyBorder="1" applyAlignment="1">
      <alignment horizontal="center" vertical="center" wrapText="1"/>
    </xf>
    <xf numFmtId="0" fontId="88" fillId="5" borderId="0" xfId="4" applyFont="1" applyFill="1"/>
    <xf numFmtId="188" fontId="35" fillId="5" borderId="2" xfId="1" applyNumberFormat="1" applyFont="1" applyFill="1" applyBorder="1" applyAlignment="1">
      <alignment vertical="center" shrinkToFit="1"/>
    </xf>
    <xf numFmtId="0" fontId="7" fillId="0" borderId="10" xfId="4" applyFont="1" applyFill="1" applyBorder="1" applyAlignment="1">
      <alignment vertical="center"/>
    </xf>
    <xf numFmtId="0" fontId="7" fillId="0" borderId="9" xfId="4" applyFont="1" applyFill="1" applyBorder="1" applyAlignment="1">
      <alignment vertical="center"/>
    </xf>
    <xf numFmtId="191" fontId="7" fillId="0" borderId="0" xfId="0" applyNumberFormat="1" applyFont="1"/>
    <xf numFmtId="207" fontId="7" fillId="0" borderId="0" xfId="0" applyNumberFormat="1" applyFont="1"/>
    <xf numFmtId="0" fontId="67" fillId="0" borderId="3" xfId="7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 shrinkToFit="1"/>
    </xf>
    <xf numFmtId="0" fontId="7" fillId="0" borderId="9" xfId="0" quotePrefix="1" applyFont="1" applyFill="1" applyBorder="1" applyAlignment="1">
      <alignment horizontal="center" vertical="center" shrinkToFit="1"/>
    </xf>
    <xf numFmtId="0" fontId="29" fillId="0" borderId="9" xfId="0" quotePrefix="1" applyFont="1" applyFill="1" applyBorder="1" applyAlignment="1">
      <alignment horizontal="center" vertical="center"/>
    </xf>
    <xf numFmtId="0" fontId="2" fillId="0" borderId="0" xfId="4" applyNumberFormat="1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7" fillId="0" borderId="3" xfId="4" applyFont="1" applyFill="1" applyBorder="1" applyAlignment="1">
      <alignment horizontal="center" vertical="center"/>
    </xf>
    <xf numFmtId="0" fontId="7" fillId="0" borderId="4" xfId="4" applyFont="1" applyFill="1" applyBorder="1" applyAlignment="1">
      <alignment horizontal="center" vertical="center"/>
    </xf>
    <xf numFmtId="0" fontId="66" fillId="0" borderId="0" xfId="7" applyFont="1" applyFill="1" applyBorder="1" applyAlignment="1">
      <alignment vertical="center"/>
    </xf>
    <xf numFmtId="4" fontId="66" fillId="0" borderId="0" xfId="7" applyNumberFormat="1" applyFont="1" applyFill="1" applyBorder="1" applyAlignment="1">
      <alignment vertical="center"/>
    </xf>
    <xf numFmtId="0" fontId="67" fillId="0" borderId="0" xfId="7" applyFont="1" applyFill="1" applyBorder="1" applyAlignment="1">
      <alignment vertical="center"/>
    </xf>
    <xf numFmtId="4" fontId="67" fillId="0" borderId="0" xfId="7" applyNumberFormat="1" applyFont="1" applyFill="1" applyBorder="1" applyAlignment="1">
      <alignment vertical="center"/>
    </xf>
    <xf numFmtId="4" fontId="66" fillId="0" borderId="2" xfId="1" applyNumberFormat="1" applyFont="1" applyFill="1" applyBorder="1" applyAlignment="1">
      <alignment horizontal="center" vertical="center"/>
    </xf>
    <xf numFmtId="4" fontId="67" fillId="0" borderId="2" xfId="1" applyNumberFormat="1" applyFont="1" applyFill="1" applyBorder="1" applyAlignment="1">
      <alignment horizontal="center" vertical="center"/>
    </xf>
    <xf numFmtId="43" fontId="66" fillId="0" borderId="2" xfId="1" applyNumberFormat="1" applyFont="1" applyFill="1" applyBorder="1" applyAlignment="1">
      <alignment horizontal="right" vertical="center"/>
    </xf>
    <xf numFmtId="4" fontId="66" fillId="0" borderId="2" xfId="1" applyNumberFormat="1" applyFont="1" applyFill="1" applyBorder="1" applyAlignment="1">
      <alignment vertical="center"/>
    </xf>
    <xf numFmtId="192" fontId="67" fillId="0" borderId="3" xfId="1" applyNumberFormat="1" applyFont="1" applyFill="1" applyBorder="1" applyAlignment="1">
      <alignment horizontal="right" vertical="center"/>
    </xf>
    <xf numFmtId="4" fontId="67" fillId="0" borderId="3" xfId="1" applyNumberFormat="1" applyFont="1" applyFill="1" applyBorder="1" applyAlignment="1">
      <alignment horizontal="center" vertical="center"/>
    </xf>
    <xf numFmtId="4" fontId="67" fillId="0" borderId="3" xfId="1" applyNumberFormat="1" applyFont="1" applyFill="1" applyBorder="1" applyAlignment="1">
      <alignment vertical="center"/>
    </xf>
    <xf numFmtId="4" fontId="67" fillId="0" borderId="5" xfId="1" applyNumberFormat="1" applyFont="1" applyFill="1" applyBorder="1" applyAlignment="1">
      <alignment horizontal="center" vertical="center"/>
    </xf>
    <xf numFmtId="43" fontId="67" fillId="0" borderId="2" xfId="1" applyNumberFormat="1" applyFont="1" applyFill="1" applyBorder="1" applyAlignment="1">
      <alignment horizontal="right" vertical="center"/>
    </xf>
    <xf numFmtId="4" fontId="67" fillId="0" borderId="4" xfId="1" applyNumberFormat="1" applyFont="1" applyFill="1" applyBorder="1" applyAlignment="1">
      <alignment vertical="center"/>
    </xf>
    <xf numFmtId="192" fontId="67" fillId="0" borderId="4" xfId="1" applyNumberFormat="1" applyFont="1" applyFill="1" applyBorder="1" applyAlignment="1">
      <alignment horizontal="right" vertical="center"/>
    </xf>
    <xf numFmtId="3" fontId="67" fillId="0" borderId="4" xfId="1" applyNumberFormat="1" applyFont="1" applyFill="1" applyBorder="1" applyAlignment="1">
      <alignment horizontal="center" vertical="center"/>
    </xf>
    <xf numFmtId="43" fontId="67" fillId="0" borderId="4" xfId="1" applyNumberFormat="1" applyFont="1" applyFill="1" applyBorder="1" applyAlignment="1">
      <alignment horizontal="right" vertical="center"/>
    </xf>
    <xf numFmtId="4" fontId="67" fillId="0" borderId="4" xfId="1" applyNumberFormat="1" applyFont="1" applyFill="1" applyBorder="1" applyAlignment="1">
      <alignment horizontal="center" vertical="center"/>
    </xf>
    <xf numFmtId="195" fontId="67" fillId="0" borderId="4" xfId="1" applyNumberFormat="1" applyFont="1" applyFill="1" applyBorder="1" applyAlignment="1">
      <alignment vertical="center"/>
    </xf>
    <xf numFmtId="43" fontId="67" fillId="0" borderId="3" xfId="1" applyNumberFormat="1" applyFont="1" applyFill="1" applyBorder="1" applyAlignment="1">
      <alignment horizontal="right" vertical="center"/>
    </xf>
    <xf numFmtId="3" fontId="67" fillId="0" borderId="3" xfId="1" applyNumberFormat="1" applyFont="1" applyFill="1" applyBorder="1" applyAlignment="1">
      <alignment horizontal="center" vertical="center"/>
    </xf>
    <xf numFmtId="195" fontId="66" fillId="0" borderId="2" xfId="1" applyNumberFormat="1" applyFont="1" applyFill="1" applyBorder="1" applyAlignment="1">
      <alignment vertical="center"/>
    </xf>
    <xf numFmtId="3" fontId="67" fillId="0" borderId="2" xfId="1" applyNumberFormat="1" applyFont="1" applyFill="1" applyBorder="1" applyAlignment="1">
      <alignment horizontal="center" vertical="center"/>
    </xf>
    <xf numFmtId="195" fontId="67" fillId="0" borderId="3" xfId="1" applyNumberFormat="1" applyFont="1" applyFill="1" applyBorder="1" applyAlignment="1">
      <alignment vertical="center"/>
    </xf>
    <xf numFmtId="188" fontId="67" fillId="0" borderId="4" xfId="1" applyFont="1" applyFill="1" applyBorder="1" applyAlignment="1">
      <alignment horizontal="center" vertical="center"/>
    </xf>
    <xf numFmtId="188" fontId="67" fillId="0" borderId="2" xfId="1" applyFont="1" applyFill="1" applyBorder="1" applyAlignment="1">
      <alignment horizontal="center" vertical="center"/>
    </xf>
    <xf numFmtId="4" fontId="67" fillId="0" borderId="0" xfId="1" applyNumberFormat="1" applyFont="1" applyFill="1" applyBorder="1" applyAlignment="1">
      <alignment horizontal="center" vertical="center"/>
    </xf>
    <xf numFmtId="43" fontId="96" fillId="0" borderId="0" xfId="1" applyNumberFormat="1" applyFont="1" applyFill="1" applyBorder="1" applyAlignment="1">
      <alignment horizontal="right" vertical="center"/>
    </xf>
    <xf numFmtId="43" fontId="67" fillId="0" borderId="0" xfId="1" applyNumberFormat="1" applyFont="1" applyFill="1" applyBorder="1" applyAlignment="1">
      <alignment horizontal="center" vertical="center"/>
    </xf>
    <xf numFmtId="43" fontId="67" fillId="0" borderId="0" xfId="1" applyNumberFormat="1" applyFont="1" applyFill="1" applyBorder="1" applyAlignment="1">
      <alignment horizontal="right" vertical="center"/>
    </xf>
    <xf numFmtId="195" fontId="67" fillId="0" borderId="0" xfId="1" applyNumberFormat="1" applyFont="1" applyFill="1" applyBorder="1" applyAlignment="1">
      <alignment vertical="center"/>
    </xf>
    <xf numFmtId="196" fontId="67" fillId="0" borderId="0" xfId="1" applyNumberFormat="1" applyFont="1" applyFill="1" applyBorder="1" applyAlignment="1">
      <alignment vertical="center"/>
    </xf>
    <xf numFmtId="43" fontId="26" fillId="0" borderId="0" xfId="0" applyNumberFormat="1" applyFont="1" applyFill="1" applyAlignment="1">
      <alignment horizontal="center" vertical="center"/>
    </xf>
    <xf numFmtId="0" fontId="2" fillId="0" borderId="0" xfId="4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7" fillId="0" borderId="10" xfId="4" applyFont="1" applyFill="1" applyBorder="1" applyAlignment="1">
      <alignment horizontal="center" vertical="center"/>
    </xf>
    <xf numFmtId="191" fontId="7" fillId="0" borderId="10" xfId="2" applyNumberFormat="1" applyFont="1" applyFill="1" applyBorder="1" applyAlignment="1">
      <alignment horizontal="center" vertical="center"/>
    </xf>
    <xf numFmtId="1" fontId="7" fillId="0" borderId="10" xfId="4" applyNumberFormat="1" applyFont="1" applyFill="1" applyBorder="1" applyAlignment="1">
      <alignment horizontal="center" vertical="center"/>
    </xf>
    <xf numFmtId="1" fontId="7" fillId="0" borderId="10" xfId="4" applyNumberFormat="1" applyFont="1" applyFill="1" applyBorder="1" applyAlignment="1">
      <alignment vertical="center"/>
    </xf>
    <xf numFmtId="0" fontId="7" fillId="0" borderId="9" xfId="4" applyFont="1" applyFill="1" applyBorder="1" applyAlignment="1">
      <alignment horizontal="center" vertical="center"/>
    </xf>
    <xf numFmtId="191" fontId="7" fillId="0" borderId="9" xfId="2" applyNumberFormat="1" applyFont="1" applyFill="1" applyBorder="1" applyAlignment="1">
      <alignment horizontal="center" vertical="center"/>
    </xf>
    <xf numFmtId="1" fontId="7" fillId="0" borderId="9" xfId="4" applyNumberFormat="1" applyFont="1" applyFill="1" applyBorder="1" applyAlignment="1">
      <alignment horizontal="center" vertical="center"/>
    </xf>
    <xf numFmtId="1" fontId="7" fillId="0" borderId="9" xfId="4" applyNumberFormat="1" applyFont="1" applyFill="1" applyBorder="1" applyAlignment="1">
      <alignment vertical="center"/>
    </xf>
    <xf numFmtId="191" fontId="7" fillId="0" borderId="13" xfId="2" applyNumberFormat="1" applyFont="1" applyFill="1" applyBorder="1" applyAlignment="1">
      <alignment horizontal="center" vertical="center"/>
    </xf>
    <xf numFmtId="1" fontId="7" fillId="0" borderId="13" xfId="4" applyNumberFormat="1" applyFont="1" applyFill="1" applyBorder="1" applyAlignment="1">
      <alignment horizontal="center" vertical="center"/>
    </xf>
    <xf numFmtId="1" fontId="7" fillId="0" borderId="13" xfId="4" applyNumberFormat="1" applyFont="1" applyFill="1" applyBorder="1" applyAlignment="1">
      <alignment vertical="center"/>
    </xf>
    <xf numFmtId="0" fontId="7" fillId="0" borderId="13" xfId="4" applyFont="1" applyFill="1" applyBorder="1" applyAlignment="1">
      <alignment vertical="center"/>
    </xf>
    <xf numFmtId="0" fontId="7" fillId="0" borderId="10" xfId="4" applyFont="1" applyFill="1" applyBorder="1" applyAlignment="1">
      <alignment horizontal="center"/>
    </xf>
    <xf numFmtId="191" fontId="11" fillId="0" borderId="10" xfId="8" applyNumberFormat="1" applyFont="1" applyFill="1" applyBorder="1" applyAlignment="1">
      <alignment horizontal="center"/>
    </xf>
    <xf numFmtId="191" fontId="7" fillId="0" borderId="10" xfId="2" applyNumberFormat="1" applyFont="1" applyFill="1" applyBorder="1" applyAlignment="1">
      <alignment horizontal="center"/>
    </xf>
    <xf numFmtId="1" fontId="7" fillId="0" borderId="10" xfId="4" applyNumberFormat="1" applyFont="1" applyFill="1" applyBorder="1" applyAlignment="1">
      <alignment horizontal="center"/>
    </xf>
    <xf numFmtId="1" fontId="7" fillId="0" borderId="10" xfId="4" applyNumberFormat="1" applyFont="1" applyFill="1" applyBorder="1"/>
    <xf numFmtId="0" fontId="7" fillId="0" borderId="10" xfId="4" applyFont="1" applyFill="1" applyBorder="1"/>
    <xf numFmtId="191" fontId="7" fillId="0" borderId="9" xfId="2" applyNumberFormat="1" applyFont="1" applyFill="1" applyBorder="1" applyAlignment="1">
      <alignment horizontal="center"/>
    </xf>
    <xf numFmtId="1" fontId="7" fillId="0" borderId="9" xfId="4" applyNumberFormat="1" applyFont="1" applyFill="1" applyBorder="1" applyAlignment="1">
      <alignment horizontal="center"/>
    </xf>
    <xf numFmtId="1" fontId="7" fillId="0" borderId="9" xfId="4" applyNumberFormat="1" applyFont="1" applyFill="1" applyBorder="1"/>
    <xf numFmtId="0" fontId="7" fillId="0" borderId="9" xfId="4" applyFont="1" applyFill="1" applyBorder="1"/>
    <xf numFmtId="0" fontId="7" fillId="0" borderId="15" xfId="0" applyNumberFormat="1" applyFont="1" applyFill="1" applyBorder="1" applyAlignment="1">
      <alignment horizontal="center" vertical="center" shrinkToFit="1"/>
    </xf>
    <xf numFmtId="0" fontId="7" fillId="0" borderId="11" xfId="0" applyFont="1" applyBorder="1"/>
    <xf numFmtId="188" fontId="7" fillId="0" borderId="11" xfId="1" applyFont="1" applyFill="1" applyBorder="1"/>
    <xf numFmtId="192" fontId="67" fillId="0" borderId="4" xfId="1" applyNumberFormat="1" applyFont="1" applyFill="1" applyBorder="1" applyAlignment="1">
      <alignment horizontal="center" vertical="center"/>
    </xf>
    <xf numFmtId="192" fontId="67" fillId="0" borderId="5" xfId="1" applyNumberFormat="1" applyFont="1" applyFill="1" applyBorder="1" applyAlignment="1">
      <alignment horizontal="center" vertical="center"/>
    </xf>
    <xf numFmtId="0" fontId="93" fillId="0" borderId="4" xfId="7" applyFont="1" applyFill="1" applyBorder="1" applyAlignment="1">
      <alignment horizontal="center" vertical="center"/>
    </xf>
    <xf numFmtId="3" fontId="2" fillId="0" borderId="0" xfId="0" applyNumberFormat="1" applyFont="1" applyFill="1"/>
    <xf numFmtId="0" fontId="7" fillId="0" borderId="10" xfId="0" quotePrefix="1" applyFont="1" applyFill="1" applyBorder="1" applyAlignment="1">
      <alignment horizontal="right" vertical="center" shrinkToFit="1"/>
    </xf>
    <xf numFmtId="0" fontId="7" fillId="0" borderId="9" xfId="0" quotePrefix="1" applyFont="1" applyFill="1" applyBorder="1" applyAlignment="1">
      <alignment horizontal="right" vertical="center" shrinkToFit="1"/>
    </xf>
    <xf numFmtId="0" fontId="7" fillId="0" borderId="9" xfId="4" applyFont="1" applyFill="1" applyBorder="1" applyAlignment="1">
      <alignment horizontal="left" vertical="center"/>
    </xf>
    <xf numFmtId="0" fontId="7" fillId="2" borderId="9" xfId="0" quotePrefix="1" applyFont="1" applyFill="1" applyBorder="1" applyAlignment="1">
      <alignment horizontal="center" vertical="center" shrinkToFit="1"/>
    </xf>
    <xf numFmtId="4" fontId="4" fillId="0" borderId="0" xfId="0" applyNumberFormat="1" applyFont="1" applyFill="1"/>
    <xf numFmtId="0" fontId="2" fillId="0" borderId="0" xfId="4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3" fillId="0" borderId="6" xfId="4" applyNumberFormat="1" applyFont="1" applyFill="1" applyBorder="1" applyAlignment="1">
      <alignment horizontal="center"/>
    </xf>
    <xf numFmtId="0" fontId="7" fillId="0" borderId="6" xfId="4" applyFont="1" applyFill="1" applyBorder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3" fillId="0" borderId="12" xfId="4" applyNumberFormat="1" applyFont="1" applyFill="1" applyBorder="1" applyAlignment="1">
      <alignment horizontal="center" vertical="center"/>
    </xf>
    <xf numFmtId="4" fontId="93" fillId="0" borderId="4" xfId="1" applyNumberFormat="1" applyFont="1" applyFill="1" applyBorder="1" applyAlignment="1">
      <alignment horizontal="center" vertical="center"/>
    </xf>
    <xf numFmtId="4" fontId="67" fillId="0" borderId="2" xfId="1" applyNumberFormat="1" applyFont="1" applyFill="1" applyBorder="1" applyAlignment="1">
      <alignment vertical="center"/>
    </xf>
    <xf numFmtId="43" fontId="67" fillId="0" borderId="4" xfId="1" applyNumberFormat="1" applyFont="1" applyFill="1" applyBorder="1" applyAlignment="1">
      <alignment horizontal="center" vertical="center"/>
    </xf>
    <xf numFmtId="192" fontId="67" fillId="0" borderId="0" xfId="1" applyNumberFormat="1" applyFont="1" applyFill="1" applyBorder="1" applyAlignment="1">
      <alignment horizontal="center" vertical="center"/>
    </xf>
    <xf numFmtId="0" fontId="67" fillId="0" borderId="0" xfId="7" applyFont="1" applyFill="1" applyBorder="1" applyAlignment="1">
      <alignment horizontal="center" vertical="center"/>
    </xf>
    <xf numFmtId="4" fontId="102" fillId="0" borderId="4" xfId="0" applyNumberFormat="1" applyFont="1" applyFill="1" applyBorder="1" applyAlignment="1">
      <alignment horizontal="center" vertical="center" wrapText="1"/>
    </xf>
    <xf numFmtId="4" fontId="100" fillId="0" borderId="4" xfId="0" applyNumberFormat="1" applyFont="1" applyFill="1" applyBorder="1" applyAlignment="1">
      <alignment horizontal="center" vertical="center" wrapText="1"/>
    </xf>
    <xf numFmtId="2" fontId="67" fillId="0" borderId="4" xfId="7" applyNumberFormat="1" applyFont="1" applyFill="1" applyBorder="1" applyAlignment="1">
      <alignment horizontal="center" vertical="center"/>
    </xf>
    <xf numFmtId="2" fontId="93" fillId="0" borderId="4" xfId="7" applyNumberFormat="1" applyFont="1" applyFill="1" applyBorder="1" applyAlignment="1">
      <alignment horizontal="center" vertical="center"/>
    </xf>
    <xf numFmtId="0" fontId="103" fillId="0" borderId="4" xfId="7" applyFont="1" applyFill="1" applyBorder="1" applyAlignment="1">
      <alignment horizontal="center" vertical="center"/>
    </xf>
    <xf numFmtId="188" fontId="103" fillId="0" borderId="4" xfId="1" applyFont="1" applyFill="1" applyBorder="1" applyAlignment="1">
      <alignment horizontal="center" vertical="center"/>
    </xf>
    <xf numFmtId="0" fontId="103" fillId="0" borderId="4" xfId="0" applyFont="1" applyFill="1" applyBorder="1" applyAlignment="1">
      <alignment horizontal="center"/>
    </xf>
    <xf numFmtId="192" fontId="103" fillId="0" borderId="4" xfId="1" applyNumberFormat="1" applyFont="1" applyFill="1" applyBorder="1" applyAlignment="1">
      <alignment horizontal="center"/>
    </xf>
    <xf numFmtId="192" fontId="103" fillId="0" borderId="4" xfId="7" applyNumberFormat="1" applyFont="1" applyFill="1" applyBorder="1" applyAlignment="1">
      <alignment horizontal="center" vertical="center"/>
    </xf>
    <xf numFmtId="43" fontId="103" fillId="0" borderId="4" xfId="0" applyNumberFormat="1" applyFont="1" applyFill="1" applyBorder="1" applyAlignment="1">
      <alignment horizontal="center"/>
    </xf>
    <xf numFmtId="192" fontId="103" fillId="0" borderId="4" xfId="0" applyNumberFormat="1" applyFont="1" applyFill="1" applyBorder="1" applyAlignment="1">
      <alignment horizontal="center"/>
    </xf>
    <xf numFmtId="192" fontId="103" fillId="0" borderId="4" xfId="1" applyNumberFormat="1" applyFont="1" applyFill="1" applyBorder="1" applyAlignment="1">
      <alignment horizontal="center" vertical="center"/>
    </xf>
    <xf numFmtId="0" fontId="105" fillId="0" borderId="7" xfId="0" applyFont="1" applyBorder="1" applyAlignment="1"/>
    <xf numFmtId="4" fontId="66" fillId="0" borderId="2" xfId="7" applyNumberFormat="1" applyFont="1" applyFill="1" applyBorder="1" applyAlignment="1">
      <alignment horizontal="center" vertical="center"/>
    </xf>
    <xf numFmtId="195" fontId="66" fillId="0" borderId="2" xfId="7" applyNumberFormat="1" applyFont="1" applyFill="1" applyBorder="1" applyAlignment="1">
      <alignment horizontal="left" vertical="center"/>
    </xf>
    <xf numFmtId="0" fontId="101" fillId="0" borderId="2" xfId="0" applyFont="1" applyBorder="1"/>
    <xf numFmtId="0" fontId="101" fillId="0" borderId="2" xfId="0" applyFont="1" applyBorder="1" applyAlignment="1"/>
    <xf numFmtId="195" fontId="67" fillId="0" borderId="2" xfId="1" applyNumberFormat="1" applyFont="1" applyFill="1" applyBorder="1" applyAlignment="1">
      <alignment vertical="center"/>
    </xf>
    <xf numFmtId="4" fontId="0" fillId="0" borderId="2" xfId="0" applyNumberFormat="1" applyBorder="1"/>
    <xf numFmtId="192" fontId="67" fillId="0" borderId="3" xfId="1" applyNumberFormat="1" applyFont="1" applyFill="1" applyBorder="1" applyAlignment="1">
      <alignment horizontal="center" vertical="center"/>
    </xf>
    <xf numFmtId="4" fontId="102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102" fillId="0" borderId="5" xfId="0" applyNumberFormat="1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3" xfId="0" applyNumberFormat="1" applyBorder="1"/>
    <xf numFmtId="4" fontId="0" fillId="0" borderId="4" xfId="0" applyNumberFormat="1" applyBorder="1"/>
    <xf numFmtId="0" fontId="66" fillId="0" borderId="4" xfId="7" applyFont="1" applyFill="1" applyBorder="1" applyAlignment="1">
      <alignment vertical="center"/>
    </xf>
    <xf numFmtId="4" fontId="102" fillId="0" borderId="2" xfId="0" applyNumberFormat="1" applyFont="1" applyFill="1" applyBorder="1" applyAlignment="1">
      <alignment horizontal="center" vertical="center" wrapText="1"/>
    </xf>
    <xf numFmtId="195" fontId="103" fillId="0" borderId="3" xfId="1" applyNumberFormat="1" applyFont="1" applyFill="1" applyBorder="1" applyAlignment="1">
      <alignment vertical="center"/>
    </xf>
    <xf numFmtId="0" fontId="103" fillId="0" borderId="3" xfId="7" applyFont="1" applyFill="1" applyBorder="1" applyAlignment="1">
      <alignment horizontal="center" vertical="center"/>
    </xf>
    <xf numFmtId="3" fontId="103" fillId="0" borderId="3" xfId="1" applyNumberFormat="1" applyFont="1" applyFill="1" applyBorder="1" applyAlignment="1">
      <alignment horizontal="center" vertical="center"/>
    </xf>
    <xf numFmtId="188" fontId="67" fillId="0" borderId="5" xfId="1" applyFont="1" applyFill="1" applyBorder="1" applyAlignment="1">
      <alignment horizontal="center" vertical="center"/>
    </xf>
    <xf numFmtId="192" fontId="67" fillId="0" borderId="2" xfId="1" applyNumberFormat="1" applyFont="1" applyFill="1" applyBorder="1" applyAlignment="1">
      <alignment horizontal="center" vertical="center"/>
    </xf>
    <xf numFmtId="4" fontId="105" fillId="0" borderId="2" xfId="0" applyNumberFormat="1" applyFont="1" applyBorder="1"/>
    <xf numFmtId="188" fontId="67" fillId="0" borderId="0" xfId="1" applyFont="1" applyFill="1" applyBorder="1" applyAlignment="1">
      <alignment horizontal="center" vertical="center"/>
    </xf>
    <xf numFmtId="0" fontId="106" fillId="0" borderId="0" xfId="0" applyFont="1"/>
    <xf numFmtId="0" fontId="107" fillId="0" borderId="0" xfId="7" applyFont="1" applyFill="1" applyBorder="1" applyAlignment="1">
      <alignment horizontal="left" vertical="center"/>
    </xf>
    <xf numFmtId="0" fontId="107" fillId="0" borderId="0" xfId="7" applyFont="1" applyFill="1" applyBorder="1" applyAlignment="1">
      <alignment horizontal="center" vertical="center"/>
    </xf>
    <xf numFmtId="0" fontId="108" fillId="0" borderId="0" xfId="7" applyFont="1" applyFill="1" applyBorder="1" applyAlignment="1">
      <alignment vertical="center"/>
    </xf>
    <xf numFmtId="4" fontId="108" fillId="0" borderId="0" xfId="1" applyNumberFormat="1" applyFont="1" applyFill="1" applyBorder="1" applyAlignment="1">
      <alignment horizontal="center" vertical="center"/>
    </xf>
    <xf numFmtId="196" fontId="107" fillId="0" borderId="0" xfId="7" applyNumberFormat="1" applyFont="1" applyFill="1" applyBorder="1" applyAlignment="1">
      <alignment horizontal="center" vertical="center"/>
    </xf>
    <xf numFmtId="43" fontId="107" fillId="0" borderId="0" xfId="1" applyNumberFormat="1" applyFont="1" applyFill="1" applyBorder="1" applyAlignment="1">
      <alignment horizontal="right" vertical="center"/>
    </xf>
    <xf numFmtId="196" fontId="107" fillId="0" borderId="0" xfId="7" applyNumberFormat="1" applyFont="1" applyFill="1" applyBorder="1" applyAlignment="1">
      <alignment vertical="center"/>
    </xf>
    <xf numFmtId="0" fontId="108" fillId="0" borderId="0" xfId="7" applyFont="1" applyFill="1" applyBorder="1" applyAlignment="1">
      <alignment horizontal="center" vertical="center"/>
    </xf>
    <xf numFmtId="4" fontId="107" fillId="0" borderId="0" xfId="7" applyNumberFormat="1" applyFont="1" applyFill="1" applyBorder="1" applyAlignment="1">
      <alignment horizontal="center" vertical="center"/>
    </xf>
    <xf numFmtId="0" fontId="107" fillId="0" borderId="0" xfId="7" applyFont="1" applyFill="1" applyBorder="1" applyAlignment="1">
      <alignment vertical="center"/>
    </xf>
    <xf numFmtId="43" fontId="107" fillId="0" borderId="0" xfId="1" applyNumberFormat="1" applyFont="1" applyFill="1" applyBorder="1" applyAlignment="1">
      <alignment horizontal="center" vertical="center"/>
    </xf>
    <xf numFmtId="4" fontId="107" fillId="0" borderId="0" xfId="1" applyNumberFormat="1" applyFont="1" applyFill="1" applyBorder="1" applyAlignment="1">
      <alignment horizontal="center" vertical="center"/>
    </xf>
    <xf numFmtId="195" fontId="107" fillId="0" borderId="0" xfId="1" applyNumberFormat="1" applyFont="1" applyFill="1" applyBorder="1" applyAlignment="1">
      <alignment vertical="center"/>
    </xf>
    <xf numFmtId="196" fontId="107" fillId="0" borderId="0" xfId="1" applyNumberFormat="1" applyFont="1" applyFill="1" applyBorder="1" applyAlignment="1">
      <alignment vertical="center"/>
    </xf>
    <xf numFmtId="43" fontId="107" fillId="0" borderId="0" xfId="1" applyNumberFormat="1" applyFont="1" applyFill="1" applyBorder="1" applyAlignment="1">
      <alignment vertical="center"/>
    </xf>
    <xf numFmtId="0" fontId="109" fillId="0" borderId="0" xfId="7" applyFont="1" applyFill="1" applyBorder="1" applyAlignment="1">
      <alignment vertical="center"/>
    </xf>
    <xf numFmtId="195" fontId="107" fillId="0" borderId="0" xfId="1" applyNumberFormat="1" applyFont="1" applyFill="1" applyBorder="1" applyAlignment="1">
      <alignment horizontal="center" vertical="center"/>
    </xf>
    <xf numFmtId="0" fontId="110" fillId="0" borderId="0" xfId="7" applyFont="1" applyFill="1" applyBorder="1" applyAlignment="1">
      <alignment horizontal="center" vertical="center"/>
    </xf>
    <xf numFmtId="0" fontId="110" fillId="0" borderId="0" xfId="7" applyFont="1" applyFill="1" applyBorder="1" applyAlignment="1">
      <alignment horizontal="left" vertical="center"/>
    </xf>
    <xf numFmtId="43" fontId="110" fillId="0" borderId="0" xfId="1" applyNumberFormat="1" applyFont="1" applyFill="1" applyBorder="1" applyAlignment="1">
      <alignment horizontal="right" vertical="center"/>
    </xf>
    <xf numFmtId="196" fontId="108" fillId="0" borderId="0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0" fontId="7" fillId="4" borderId="9" xfId="4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0" fontId="58" fillId="2" borderId="2" xfId="0" applyFont="1" applyFill="1" applyBorder="1" applyAlignment="1">
      <alignment horizontal="center" vertical="center" wrapText="1"/>
    </xf>
    <xf numFmtId="188" fontId="26" fillId="0" borderId="2" xfId="1" applyNumberFormat="1" applyFont="1" applyFill="1" applyBorder="1" applyAlignment="1">
      <alignment vertical="center" shrinkToFit="1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6" fillId="0" borderId="2" xfId="0" applyFont="1" applyFill="1" applyBorder="1" applyAlignment="1">
      <alignment horizontal="center" vertical="center" wrapText="1"/>
    </xf>
    <xf numFmtId="0" fontId="7" fillId="0" borderId="11" xfId="0" quotePrefix="1" applyFont="1" applyFill="1" applyBorder="1" applyAlignment="1">
      <alignment horizontal="right" vertical="center" shrinkToFit="1"/>
    </xf>
    <xf numFmtId="191" fontId="7" fillId="0" borderId="11" xfId="2" applyNumberFormat="1" applyFont="1" applyFill="1" applyBorder="1" applyAlignment="1">
      <alignment horizontal="center"/>
    </xf>
    <xf numFmtId="1" fontId="7" fillId="0" borderId="11" xfId="4" applyNumberFormat="1" applyFont="1" applyFill="1" applyBorder="1" applyAlignment="1">
      <alignment horizontal="center"/>
    </xf>
    <xf numFmtId="1" fontId="7" fillId="0" borderId="11" xfId="4" applyNumberFormat="1" applyFont="1" applyFill="1" applyBorder="1"/>
    <xf numFmtId="0" fontId="7" fillId="0" borderId="11" xfId="4" applyFont="1" applyFill="1" applyBorder="1"/>
    <xf numFmtId="0" fontId="87" fillId="0" borderId="2" xfId="4" applyFont="1" applyFill="1" applyBorder="1" applyAlignment="1">
      <alignment horizontal="center"/>
    </xf>
    <xf numFmtId="0" fontId="112" fillId="0" borderId="2" xfId="4" applyFont="1" applyFill="1" applyBorder="1" applyAlignment="1">
      <alignment horizontal="center"/>
    </xf>
    <xf numFmtId="4" fontId="2" fillId="0" borderId="0" xfId="0" applyNumberFormat="1" applyFont="1" applyFill="1"/>
    <xf numFmtId="3" fontId="11" fillId="0" borderId="3" xfId="8" applyNumberFormat="1" applyFont="1" applyBorder="1" applyAlignment="1">
      <alignment horizontal="center" vertical="center"/>
    </xf>
    <xf numFmtId="44" fontId="21" fillId="0" borderId="9" xfId="11" applyFont="1" applyFill="1" applyBorder="1" applyAlignment="1">
      <alignment horizontal="center" vertical="center" wrapText="1"/>
    </xf>
    <xf numFmtId="4" fontId="48" fillId="0" borderId="0" xfId="6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91" fontId="7" fillId="0" borderId="15" xfId="2" applyNumberFormat="1" applyFont="1" applyFill="1" applyBorder="1" applyAlignment="1">
      <alignment horizontal="center" vertical="center"/>
    </xf>
    <xf numFmtId="1" fontId="7" fillId="0" borderId="15" xfId="4" applyNumberFormat="1" applyFont="1" applyFill="1" applyBorder="1" applyAlignment="1">
      <alignment horizontal="center" vertical="center"/>
    </xf>
    <xf numFmtId="1" fontId="7" fillId="0" borderId="15" xfId="4" applyNumberFormat="1" applyFont="1" applyFill="1" applyBorder="1" applyAlignment="1">
      <alignment vertical="center"/>
    </xf>
    <xf numFmtId="0" fontId="7" fillId="0" borderId="15" xfId="4" applyFont="1" applyFill="1" applyBorder="1" applyAlignment="1">
      <alignment vertical="center"/>
    </xf>
    <xf numFmtId="191" fontId="24" fillId="0" borderId="2" xfId="0" applyNumberFormat="1" applyFont="1" applyFill="1" applyBorder="1" applyAlignment="1">
      <alignment horizontal="center"/>
    </xf>
    <xf numFmtId="3" fontId="11" fillId="0" borderId="7" xfId="8" applyNumberFormat="1" applyFont="1" applyBorder="1" applyAlignment="1">
      <alignment horizontal="center" vertical="center"/>
    </xf>
    <xf numFmtId="0" fontId="7" fillId="0" borderId="2" xfId="4" applyFont="1" applyFill="1" applyBorder="1" applyAlignment="1">
      <alignment vertical="center"/>
    </xf>
    <xf numFmtId="0" fontId="21" fillId="0" borderId="18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115" fillId="0" borderId="0" xfId="7" applyFont="1" applyFill="1" applyBorder="1" applyAlignment="1">
      <alignment horizontal="center" vertical="center"/>
    </xf>
    <xf numFmtId="195" fontId="67" fillId="0" borderId="2" xfId="7" applyNumberFormat="1" applyFont="1" applyFill="1" applyBorder="1" applyAlignment="1">
      <alignment horizontal="left" vertical="center"/>
    </xf>
    <xf numFmtId="195" fontId="66" fillId="0" borderId="2" xfId="7" applyNumberFormat="1" applyFont="1" applyFill="1" applyBorder="1" applyAlignment="1">
      <alignment horizontal="center" vertical="center"/>
    </xf>
    <xf numFmtId="0" fontId="96" fillId="0" borderId="0" xfId="7" applyFont="1" applyFill="1" applyBorder="1" applyAlignment="1">
      <alignment horizontal="center" vertical="center"/>
    </xf>
    <xf numFmtId="0" fontId="67" fillId="0" borderId="3" xfId="7" applyFont="1" applyFill="1" applyBorder="1" applyAlignment="1">
      <alignment vertical="center"/>
    </xf>
    <xf numFmtId="4" fontId="66" fillId="0" borderId="3" xfId="1" applyNumberFormat="1" applyFont="1" applyFill="1" applyBorder="1" applyAlignment="1">
      <alignment horizontal="center" vertical="center"/>
    </xf>
    <xf numFmtId="195" fontId="67" fillId="0" borderId="3" xfId="7" applyNumberFormat="1" applyFont="1" applyFill="1" applyBorder="1" applyAlignment="1">
      <alignment horizontal="center" vertical="center"/>
    </xf>
    <xf numFmtId="4" fontId="66" fillId="0" borderId="4" xfId="1" applyNumberFormat="1" applyFont="1" applyFill="1" applyBorder="1" applyAlignment="1">
      <alignment horizontal="center" vertical="center"/>
    </xf>
    <xf numFmtId="195" fontId="67" fillId="0" borderId="4" xfId="7" applyNumberFormat="1" applyFont="1" applyFill="1" applyBorder="1" applyAlignment="1">
      <alignment horizontal="center" vertical="center"/>
    </xf>
    <xf numFmtId="195" fontId="66" fillId="0" borderId="4" xfId="7" applyNumberFormat="1" applyFont="1" applyFill="1" applyBorder="1" applyAlignment="1">
      <alignment horizontal="center" vertical="center"/>
    </xf>
    <xf numFmtId="0" fontId="67" fillId="0" borderId="5" xfId="7" applyFont="1" applyFill="1" applyBorder="1" applyAlignment="1">
      <alignment horizontal="center" vertical="center"/>
    </xf>
    <xf numFmtId="0" fontId="67" fillId="0" borderId="5" xfId="7" applyFont="1" applyFill="1" applyBorder="1" applyAlignment="1">
      <alignment vertical="center"/>
    </xf>
    <xf numFmtId="4" fontId="66" fillId="0" borderId="5" xfId="1" applyNumberFormat="1" applyFont="1" applyFill="1" applyBorder="1" applyAlignment="1">
      <alignment horizontal="center" vertical="center"/>
    </xf>
    <xf numFmtId="195" fontId="66" fillId="0" borderId="5" xfId="7" applyNumberFormat="1" applyFont="1" applyFill="1" applyBorder="1" applyAlignment="1">
      <alignment horizontal="center" vertical="center"/>
    </xf>
    <xf numFmtId="195" fontId="67" fillId="0" borderId="3" xfId="7" quotePrefix="1" applyNumberFormat="1" applyFont="1" applyFill="1" applyBorder="1" applyAlignment="1">
      <alignment horizontal="center" vertical="center"/>
    </xf>
    <xf numFmtId="195" fontId="67" fillId="0" borderId="5" xfId="7" applyNumberFormat="1" applyFont="1" applyFill="1" applyBorder="1" applyAlignment="1">
      <alignment horizontal="center" vertical="center"/>
    </xf>
    <xf numFmtId="0" fontId="117" fillId="0" borderId="2" xfId="7" applyFont="1" applyFill="1" applyBorder="1" applyAlignment="1">
      <alignment horizontal="center" vertical="center"/>
    </xf>
    <xf numFmtId="0" fontId="117" fillId="0" borderId="2" xfId="7" applyFont="1" applyFill="1" applyBorder="1" applyAlignment="1">
      <alignment vertical="center"/>
    </xf>
    <xf numFmtId="0" fontId="96" fillId="0" borderId="2" xfId="7" applyFont="1" applyFill="1" applyBorder="1" applyAlignment="1">
      <alignment horizontal="center" vertical="center"/>
    </xf>
    <xf numFmtId="4" fontId="96" fillId="0" borderId="2" xfId="1" applyNumberFormat="1" applyFont="1" applyFill="1" applyBorder="1" applyAlignment="1">
      <alignment horizontal="center" vertical="center"/>
    </xf>
    <xf numFmtId="195" fontId="96" fillId="0" borderId="2" xfId="7" applyNumberFormat="1" applyFont="1" applyFill="1" applyBorder="1" applyAlignment="1">
      <alignment horizontal="center" vertical="center"/>
    </xf>
    <xf numFmtId="195" fontId="71" fillId="0" borderId="2" xfId="7" applyNumberFormat="1" applyFont="1" applyFill="1" applyBorder="1" applyAlignment="1">
      <alignment vertical="center"/>
    </xf>
    <xf numFmtId="3" fontId="67" fillId="0" borderId="5" xfId="1" applyNumberFormat="1" applyFont="1" applyFill="1" applyBorder="1" applyAlignment="1">
      <alignment horizontal="center" vertical="center"/>
    </xf>
    <xf numFmtId="0" fontId="66" fillId="0" borderId="2" xfId="7" applyFont="1" applyFill="1" applyBorder="1" applyAlignment="1">
      <alignment horizontal="left" vertical="center"/>
    </xf>
    <xf numFmtId="0" fontId="66" fillId="0" borderId="0" xfId="7" applyFont="1" applyFill="1" applyBorder="1" applyAlignment="1">
      <alignment horizontal="left" vertical="center"/>
    </xf>
    <xf numFmtId="195" fontId="66" fillId="0" borderId="0" xfId="1" applyNumberFormat="1" applyFont="1" applyFill="1" applyBorder="1" applyAlignment="1">
      <alignment vertical="center"/>
    </xf>
    <xf numFmtId="43" fontId="66" fillId="0" borderId="0" xfId="1" applyNumberFormat="1" applyFont="1" applyFill="1" applyBorder="1" applyAlignment="1">
      <alignment vertical="center"/>
    </xf>
    <xf numFmtId="0" fontId="96" fillId="0" borderId="0" xfId="7" applyFont="1" applyFill="1" applyBorder="1" applyAlignment="1">
      <alignment vertical="center"/>
    </xf>
    <xf numFmtId="195" fontId="66" fillId="0" borderId="0" xfId="1" applyNumberFormat="1" applyFont="1" applyFill="1" applyBorder="1" applyAlignment="1">
      <alignment horizontal="center" vertical="center"/>
    </xf>
    <xf numFmtId="3" fontId="4" fillId="0" borderId="0" xfId="1" applyNumberFormat="1" applyFont="1" applyFill="1"/>
    <xf numFmtId="0" fontId="81" fillId="0" borderId="0" xfId="0" applyFont="1" applyFill="1"/>
    <xf numFmtId="0" fontId="7" fillId="0" borderId="0" xfId="0" applyFont="1" applyFill="1" applyBorder="1" applyAlignment="1">
      <alignment horizontal="right" shrinkToFit="1"/>
    </xf>
    <xf numFmtId="3" fontId="4" fillId="0" borderId="0" xfId="1" applyNumberFormat="1" applyFont="1" applyFill="1" applyBorder="1" applyAlignment="1"/>
    <xf numFmtId="3" fontId="4" fillId="0" borderId="1" xfId="1" applyNumberFormat="1" applyFont="1" applyFill="1" applyBorder="1" applyAlignment="1"/>
    <xf numFmtId="0" fontId="9" fillId="0" borderId="4" xfId="0" applyFont="1" applyFill="1" applyBorder="1" applyAlignment="1">
      <alignment horizontal="center" vertical="center" shrinkToFit="1"/>
    </xf>
    <xf numFmtId="0" fontId="55" fillId="0" borderId="4" xfId="0" applyFont="1" applyFill="1" applyBorder="1" applyAlignment="1">
      <alignment horizontal="center" vertical="center" shrinkToFit="1"/>
    </xf>
    <xf numFmtId="3" fontId="9" fillId="0" borderId="4" xfId="0" applyNumberFormat="1" applyFont="1" applyFill="1" applyBorder="1" applyAlignment="1">
      <alignment horizontal="center" vertical="center" wrapText="1" shrinkToFit="1"/>
    </xf>
    <xf numFmtId="0" fontId="9" fillId="0" borderId="4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vertical="center"/>
    </xf>
    <xf numFmtId="191" fontId="7" fillId="0" borderId="0" xfId="0" applyNumberFormat="1" applyFont="1" applyFill="1" applyAlignment="1">
      <alignment vertical="center"/>
    </xf>
    <xf numFmtId="0" fontId="70" fillId="0" borderId="0" xfId="0" applyFont="1" applyFill="1" applyAlignment="1">
      <alignment vertical="center"/>
    </xf>
    <xf numFmtId="191" fontId="3" fillId="0" borderId="0" xfId="5" applyNumberFormat="1" applyFont="1" applyFill="1"/>
    <xf numFmtId="191" fontId="7" fillId="0" borderId="0" xfId="1" applyNumberFormat="1" applyFont="1" applyFill="1" applyBorder="1" applyAlignment="1">
      <alignment vertical="center" shrinkToFit="1"/>
    </xf>
    <xf numFmtId="188" fontId="3" fillId="0" borderId="0" xfId="1" applyNumberFormat="1" applyFont="1" applyFill="1" applyBorder="1" applyAlignment="1">
      <alignment vertical="center" shrinkToFit="1"/>
    </xf>
    <xf numFmtId="191" fontId="3" fillId="0" borderId="0" xfId="1" applyNumberFormat="1" applyFont="1" applyFill="1" applyBorder="1" applyAlignment="1">
      <alignment vertical="center" shrinkToFi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3" fontId="4" fillId="0" borderId="0" xfId="1" applyNumberFormat="1" applyFont="1" applyFill="1" applyAlignment="1">
      <alignment horizontal="center"/>
    </xf>
    <xf numFmtId="3" fontId="81" fillId="0" borderId="0" xfId="0" applyNumberFormat="1" applyFont="1" applyFill="1" applyAlignment="1">
      <alignment horizontal="center"/>
    </xf>
    <xf numFmtId="195" fontId="67" fillId="0" borderId="3" xfId="7" applyNumberFormat="1" applyFont="1" applyFill="1" applyBorder="1" applyAlignment="1">
      <alignment horizontal="left" vertical="center"/>
    </xf>
    <xf numFmtId="191" fontId="2" fillId="0" borderId="0" xfId="1" applyNumberFormat="1" applyFont="1" applyAlignment="1">
      <alignment horizontal="center"/>
    </xf>
    <xf numFmtId="192" fontId="4" fillId="0" borderId="10" xfId="1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/>
    </xf>
    <xf numFmtId="191" fontId="4" fillId="0" borderId="2" xfId="1" applyNumberFormat="1" applyFont="1" applyBorder="1" applyAlignment="1"/>
    <xf numFmtId="187" fontId="4" fillId="0" borderId="0" xfId="0" applyNumberFormat="1" applyFont="1" applyFill="1"/>
    <xf numFmtId="187" fontId="3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/>
    </xf>
    <xf numFmtId="195" fontId="71" fillId="0" borderId="4" xfId="7" applyNumberFormat="1" applyFont="1" applyFill="1" applyBorder="1" applyAlignment="1">
      <alignment vertical="center"/>
    </xf>
    <xf numFmtId="0" fontId="38" fillId="0" borderId="9" xfId="0" applyFont="1" applyBorder="1"/>
    <xf numFmtId="0" fontId="13" fillId="0" borderId="0" xfId="0" applyFont="1" applyAlignment="1">
      <alignment horizontal="center"/>
    </xf>
    <xf numFmtId="191" fontId="13" fillId="0" borderId="0" xfId="1" applyNumberFormat="1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191" fontId="10" fillId="0" borderId="2" xfId="1" applyNumberFormat="1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91" fontId="10" fillId="0" borderId="2" xfId="1" applyNumberFormat="1" applyFont="1" applyFill="1" applyBorder="1" applyAlignment="1">
      <alignment horizontal="center" vertical="center" wrapText="1"/>
    </xf>
    <xf numFmtId="208" fontId="2" fillId="0" borderId="10" xfId="1" applyNumberFormat="1" applyFont="1" applyFill="1" applyBorder="1" applyAlignment="1">
      <alignment horizontal="center" vertical="center" shrinkToFit="1"/>
    </xf>
    <xf numFmtId="0" fontId="38" fillId="0" borderId="4" xfId="0" applyFont="1" applyBorder="1"/>
    <xf numFmtId="0" fontId="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92" fontId="4" fillId="0" borderId="2" xfId="1" applyNumberFormat="1" applyFont="1" applyBorder="1" applyAlignment="1">
      <alignment horizontal="center" vertical="center" shrinkToFit="1"/>
    </xf>
    <xf numFmtId="0" fontId="67" fillId="0" borderId="4" xfId="7" applyFont="1" applyFill="1" applyBorder="1" applyAlignment="1">
      <alignment horizontal="left" vertical="center"/>
    </xf>
    <xf numFmtId="4" fontId="66" fillId="0" borderId="0" xfId="7" applyNumberFormat="1" applyFont="1" applyFill="1" applyBorder="1" applyAlignment="1">
      <alignment horizontal="center" vertical="center"/>
    </xf>
    <xf numFmtId="43" fontId="66" fillId="0" borderId="2" xfId="1" applyNumberFormat="1" applyFont="1" applyFill="1" applyBorder="1" applyAlignment="1">
      <alignment horizontal="center" vertical="center" wrapText="1"/>
    </xf>
    <xf numFmtId="0" fontId="66" fillId="0" borderId="2" xfId="7" applyFont="1" applyFill="1" applyBorder="1" applyAlignment="1">
      <alignment horizontal="center" vertical="center" wrapText="1"/>
    </xf>
    <xf numFmtId="4" fontId="67" fillId="0" borderId="3" xfId="7" applyNumberFormat="1" applyFont="1" applyFill="1" applyBorder="1" applyAlignment="1">
      <alignment horizontal="center" vertical="center"/>
    </xf>
    <xf numFmtId="4" fontId="67" fillId="0" borderId="4" xfId="7" applyNumberFormat="1" applyFont="1" applyFill="1" applyBorder="1" applyAlignment="1">
      <alignment horizontal="center" vertical="center"/>
    </xf>
    <xf numFmtId="4" fontId="67" fillId="0" borderId="5" xfId="7" applyNumberFormat="1" applyFont="1" applyFill="1" applyBorder="1" applyAlignment="1">
      <alignment horizontal="center" vertical="center"/>
    </xf>
    <xf numFmtId="4" fontId="67" fillId="0" borderId="2" xfId="7" applyNumberFormat="1" applyFont="1" applyFill="1" applyBorder="1" applyAlignment="1">
      <alignment horizontal="center" vertical="center"/>
    </xf>
    <xf numFmtId="196" fontId="67" fillId="0" borderId="5" xfId="1" applyNumberFormat="1" applyFont="1" applyFill="1" applyBorder="1" applyAlignment="1">
      <alignment vertical="center"/>
    </xf>
    <xf numFmtId="4" fontId="67" fillId="0" borderId="5" xfId="1" applyNumberFormat="1" applyFont="1" applyFill="1" applyBorder="1" applyAlignment="1">
      <alignment vertical="center"/>
    </xf>
    <xf numFmtId="4" fontId="96" fillId="0" borderId="2" xfId="7" applyNumberFormat="1" applyFont="1" applyFill="1" applyBorder="1" applyAlignment="1">
      <alignment horizontal="center" vertical="center"/>
    </xf>
    <xf numFmtId="0" fontId="67" fillId="0" borderId="2" xfId="0" applyFont="1" applyFill="1" applyBorder="1" applyAlignment="1">
      <alignment horizontal="center"/>
    </xf>
    <xf numFmtId="188" fontId="67" fillId="0" borderId="2" xfId="1" applyFont="1" applyFill="1" applyBorder="1"/>
    <xf numFmtId="43" fontId="66" fillId="0" borderId="0" xfId="1" applyNumberFormat="1" applyFont="1" applyFill="1" applyBorder="1" applyAlignment="1">
      <alignment horizontal="center" vertical="center"/>
    </xf>
    <xf numFmtId="4" fontId="66" fillId="0" borderId="0" xfId="1" applyNumberFormat="1" applyFont="1" applyFill="1" applyBorder="1" applyAlignment="1">
      <alignment horizontal="center" vertical="center"/>
    </xf>
    <xf numFmtId="0" fontId="115" fillId="0" borderId="0" xfId="7" applyFont="1" applyFill="1" applyBorder="1" applyAlignment="1">
      <alignment horizontal="left" vertical="center"/>
    </xf>
    <xf numFmtId="0" fontId="87" fillId="4" borderId="0" xfId="0" applyFont="1" applyFill="1"/>
    <xf numFmtId="0" fontId="87" fillId="4" borderId="0" xfId="0" applyFont="1" applyFill="1" applyBorder="1"/>
    <xf numFmtId="0" fontId="70" fillId="4" borderId="0" xfId="0" applyFont="1" applyFill="1" applyBorder="1"/>
    <xf numFmtId="0" fontId="124" fillId="4" borderId="0" xfId="0" applyFont="1" applyFill="1" applyBorder="1" applyAlignment="1">
      <alignment horizontal="center" vertical="center"/>
    </xf>
    <xf numFmtId="0" fontId="72" fillId="4" borderId="0" xfId="0" applyFont="1" applyFill="1" applyBorder="1" applyAlignment="1">
      <alignment horizontal="left" vertical="center"/>
    </xf>
    <xf numFmtId="0" fontId="134" fillId="4" borderId="0" xfId="0" applyFont="1" applyFill="1" applyBorder="1" applyAlignment="1">
      <alignment horizontal="center" vertical="center"/>
    </xf>
    <xf numFmtId="0" fontId="122" fillId="4" borderId="0" xfId="0" applyNumberFormat="1" applyFont="1" applyFill="1" applyBorder="1" applyAlignment="1">
      <alignment horizontal="center" vertical="center"/>
    </xf>
    <xf numFmtId="0" fontId="135" fillId="4" borderId="0" xfId="0" applyNumberFormat="1" applyFont="1" applyFill="1" applyBorder="1" applyAlignment="1">
      <alignment horizontal="center" vertical="center"/>
    </xf>
    <xf numFmtId="0" fontId="120" fillId="4" borderId="0" xfId="0" applyFont="1" applyFill="1"/>
    <xf numFmtId="0" fontId="121" fillId="4" borderId="2" xfId="0" applyFont="1" applyFill="1" applyBorder="1" applyAlignment="1">
      <alignment horizontal="center" vertical="center" wrapText="1"/>
    </xf>
    <xf numFmtId="0" fontId="119" fillId="4" borderId="2" xfId="0" applyFont="1" applyFill="1" applyBorder="1" applyAlignment="1">
      <alignment horizontal="center" vertical="center"/>
    </xf>
    <xf numFmtId="0" fontId="121" fillId="4" borderId="7" xfId="0" quotePrefix="1" applyFont="1" applyFill="1" applyBorder="1" applyAlignment="1">
      <alignment horizontal="center" vertical="center"/>
    </xf>
    <xf numFmtId="0" fontId="121" fillId="4" borderId="7" xfId="0" applyFont="1" applyFill="1" applyBorder="1" applyAlignment="1">
      <alignment horizontal="center" vertical="center"/>
    </xf>
    <xf numFmtId="188" fontId="121" fillId="4" borderId="2" xfId="12" applyNumberFormat="1" applyFont="1" applyFill="1" applyBorder="1" applyAlignment="1">
      <alignment vertical="center"/>
    </xf>
    <xf numFmtId="188" fontId="121" fillId="4" borderId="11" xfId="12" applyNumberFormat="1" applyFont="1" applyFill="1" applyBorder="1" applyAlignment="1">
      <alignment horizontal="right" vertical="center" indent="1"/>
    </xf>
    <xf numFmtId="192" fontId="120" fillId="4" borderId="0" xfId="12" applyNumberFormat="1" applyFont="1" applyFill="1"/>
    <xf numFmtId="0" fontId="120" fillId="4" borderId="0" xfId="0" applyFont="1" applyFill="1" applyAlignment="1">
      <alignment vertical="center"/>
    </xf>
    <xf numFmtId="0" fontId="121" fillId="4" borderId="2" xfId="0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210" fontId="121" fillId="4" borderId="0" xfId="0" applyNumberFormat="1" applyFont="1" applyFill="1" applyAlignment="1">
      <alignment vertical="center"/>
    </xf>
    <xf numFmtId="0" fontId="121" fillId="4" borderId="0" xfId="0" applyFont="1" applyFill="1" applyAlignment="1">
      <alignment vertical="center"/>
    </xf>
    <xf numFmtId="3" fontId="121" fillId="4" borderId="2" xfId="0" applyNumberFormat="1" applyFont="1" applyFill="1" applyBorder="1" applyAlignment="1">
      <alignment vertical="center"/>
    </xf>
    <xf numFmtId="4" fontId="121" fillId="4" borderId="2" xfId="0" applyNumberFormat="1" applyFont="1" applyFill="1" applyBorder="1" applyAlignment="1">
      <alignment vertical="center"/>
    </xf>
    <xf numFmtId="188" fontId="121" fillId="4" borderId="2" xfId="0" applyNumberFormat="1" applyFont="1" applyFill="1" applyBorder="1" applyAlignment="1">
      <alignment vertical="center"/>
    </xf>
    <xf numFmtId="0" fontId="70" fillId="4" borderId="0" xfId="0" applyFont="1" applyFill="1"/>
    <xf numFmtId="0" fontId="98" fillId="4" borderId="0" xfId="0" applyFont="1" applyFill="1"/>
    <xf numFmtId="188" fontId="138" fillId="4" borderId="0" xfId="0" applyNumberFormat="1" applyFont="1" applyFill="1"/>
    <xf numFmtId="199" fontId="98" fillId="4" borderId="0" xfId="3" applyNumberFormat="1" applyFont="1" applyFill="1"/>
    <xf numFmtId="188" fontId="98" fillId="4" borderId="0" xfId="0" applyNumberFormat="1" applyFont="1" applyFill="1"/>
    <xf numFmtId="0" fontId="138" fillId="4" borderId="0" xfId="0" applyFont="1" applyFill="1"/>
    <xf numFmtId="0" fontId="132" fillId="4" borderId="0" xfId="0" applyFont="1" applyFill="1" applyAlignment="1"/>
    <xf numFmtId="0" fontId="132" fillId="4" borderId="0" xfId="0" applyFont="1" applyFill="1"/>
    <xf numFmtId="0" fontId="140" fillId="4" borderId="0" xfId="0" applyFont="1" applyFill="1" applyAlignment="1"/>
    <xf numFmtId="0" fontId="140" fillId="4" borderId="0" xfId="0" applyFont="1" applyFill="1"/>
    <xf numFmtId="3" fontId="98" fillId="4" borderId="0" xfId="0" applyNumberFormat="1" applyFont="1" applyFill="1"/>
    <xf numFmtId="192" fontId="98" fillId="4" borderId="0" xfId="0" applyNumberFormat="1" applyFont="1" applyFill="1"/>
    <xf numFmtId="0" fontId="125" fillId="4" borderId="0" xfId="0" applyFont="1" applyFill="1" applyAlignment="1">
      <alignment horizontal="center" vertical="center"/>
    </xf>
    <xf numFmtId="0" fontId="72" fillId="4" borderId="0" xfId="0" applyFont="1" applyFill="1" applyAlignment="1">
      <alignment horizontal="left" vertical="center"/>
    </xf>
    <xf numFmtId="3" fontId="72" fillId="4" borderId="0" xfId="0" applyNumberFormat="1" applyFont="1" applyFill="1" applyAlignment="1">
      <alignment horizontal="right" vertical="center"/>
    </xf>
    <xf numFmtId="0" fontId="123" fillId="4" borderId="0" xfId="0" applyNumberFormat="1" applyFont="1" applyFill="1" applyAlignment="1">
      <alignment horizontal="center" vertical="center"/>
    </xf>
    <xf numFmtId="0" fontId="133" fillId="7" borderId="0" xfId="0" applyFont="1" applyFill="1"/>
    <xf numFmtId="192" fontId="121" fillId="4" borderId="2" xfId="2" applyNumberFormat="1" applyFont="1" applyFill="1" applyBorder="1" applyAlignment="1">
      <alignment horizontal="center" vertical="center"/>
    </xf>
    <xf numFmtId="192" fontId="121" fillId="4" borderId="2" xfId="2" applyNumberFormat="1" applyFont="1" applyFill="1" applyBorder="1" applyAlignment="1">
      <alignment horizontal="center" vertical="center" wrapText="1"/>
    </xf>
    <xf numFmtId="192" fontId="120" fillId="4" borderId="0" xfId="2" applyNumberFormat="1" applyFont="1" applyFill="1"/>
    <xf numFmtId="192" fontId="121" fillId="4" borderId="2" xfId="2" applyNumberFormat="1" applyFont="1" applyFill="1" applyBorder="1" applyAlignment="1">
      <alignment vertical="center"/>
    </xf>
    <xf numFmtId="210" fontId="120" fillId="4" borderId="0" xfId="0" applyNumberFormat="1" applyFont="1" applyFill="1" applyAlignment="1">
      <alignment vertical="center"/>
    </xf>
    <xf numFmtId="191" fontId="121" fillId="4" borderId="2" xfId="2" applyNumberFormat="1" applyFont="1" applyFill="1" applyBorder="1" applyAlignment="1">
      <alignment horizontal="right" vertical="center" indent="1"/>
    </xf>
    <xf numFmtId="188" fontId="121" fillId="4" borderId="2" xfId="2" applyNumberFormat="1" applyFont="1" applyFill="1" applyBorder="1" applyAlignment="1">
      <alignment horizontal="right" vertical="center" indent="1"/>
    </xf>
    <xf numFmtId="191" fontId="119" fillId="4" borderId="2" xfId="0" applyNumberFormat="1" applyFont="1" applyFill="1" applyBorder="1" applyAlignment="1">
      <alignment vertical="center"/>
    </xf>
    <xf numFmtId="191" fontId="121" fillId="4" borderId="2" xfId="0" applyNumberFormat="1" applyFont="1" applyFill="1" applyBorder="1" applyAlignment="1">
      <alignment vertical="center"/>
    </xf>
    <xf numFmtId="43" fontId="120" fillId="4" borderId="0" xfId="0" applyNumberFormat="1" applyFont="1" applyFill="1" applyAlignment="1">
      <alignment vertical="center"/>
    </xf>
    <xf numFmtId="3" fontId="120" fillId="4" borderId="0" xfId="0" applyNumberFormat="1" applyFont="1" applyFill="1" applyAlignment="1">
      <alignment vertical="center"/>
    </xf>
    <xf numFmtId="192" fontId="120" fillId="4" borderId="0" xfId="0" applyNumberFormat="1" applyFont="1" applyFill="1" applyAlignment="1">
      <alignment vertical="center"/>
    </xf>
    <xf numFmtId="0" fontId="70" fillId="4" borderId="0" xfId="0" applyFont="1" applyFill="1" applyAlignment="1">
      <alignment vertical="center"/>
    </xf>
    <xf numFmtId="4" fontId="70" fillId="4" borderId="0" xfId="0" applyNumberFormat="1" applyFont="1" applyFill="1" applyAlignment="1">
      <alignment vertical="center"/>
    </xf>
    <xf numFmtId="192" fontId="70" fillId="4" borderId="0" xfId="0" applyNumberFormat="1" applyFont="1" applyFill="1" applyAlignment="1">
      <alignment vertical="center"/>
    </xf>
    <xf numFmtId="0" fontId="132" fillId="4" borderId="0" xfId="0" applyFont="1" applyFill="1" applyAlignment="1">
      <alignment horizontal="center"/>
    </xf>
    <xf numFmtId="192" fontId="98" fillId="4" borderId="0" xfId="12" applyNumberFormat="1" applyFont="1" applyFill="1"/>
    <xf numFmtId="191" fontId="4" fillId="2" borderId="4" xfId="0" applyNumberFormat="1" applyFont="1" applyFill="1" applyBorder="1" applyAlignment="1">
      <alignment horizontal="right"/>
    </xf>
    <xf numFmtId="0" fontId="7" fillId="7" borderId="4" xfId="0" applyFont="1" applyFill="1" applyBorder="1" applyAlignment="1">
      <alignment horizontal="center"/>
    </xf>
    <xf numFmtId="191" fontId="39" fillId="4" borderId="0" xfId="6" applyNumberFormat="1" applyFont="1" applyFill="1"/>
    <xf numFmtId="191" fontId="4" fillId="4" borderId="4" xfId="0" applyNumberFormat="1" applyFont="1" applyFill="1" applyBorder="1" applyAlignment="1">
      <alignment horizontal="center"/>
    </xf>
    <xf numFmtId="0" fontId="39" fillId="4" borderId="0" xfId="6" applyFont="1" applyFill="1"/>
    <xf numFmtId="43" fontId="67" fillId="0" borderId="0" xfId="7" applyNumberFormat="1" applyFont="1" applyFill="1" applyBorder="1" applyAlignment="1">
      <alignment horizontal="center" vertical="center"/>
    </xf>
    <xf numFmtId="191" fontId="75" fillId="0" borderId="0" xfId="0" applyNumberFormat="1" applyFont="1" applyFill="1"/>
    <xf numFmtId="0" fontId="120" fillId="5" borderId="0" xfId="0" applyFont="1" applyFill="1" applyAlignment="1">
      <alignment vertical="center"/>
    </xf>
    <xf numFmtId="0" fontId="70" fillId="5" borderId="0" xfId="0" applyFont="1" applyFill="1" applyAlignment="1">
      <alignment vertical="center"/>
    </xf>
    <xf numFmtId="188" fontId="121" fillId="4" borderId="2" xfId="1" applyFont="1" applyFill="1" applyBorder="1" applyAlignment="1">
      <alignment horizontal="right" vertical="center" indent="1"/>
    </xf>
    <xf numFmtId="0" fontId="121" fillId="4" borderId="2" xfId="0" applyFont="1" applyFill="1" applyBorder="1" applyAlignment="1">
      <alignment horizontal="center" vertical="center"/>
    </xf>
    <xf numFmtId="191" fontId="121" fillId="4" borderId="2" xfId="2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6" fillId="0" borderId="2" xfId="0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horizontal="center"/>
    </xf>
    <xf numFmtId="0" fontId="37" fillId="0" borderId="0" xfId="0" applyNumberFormat="1" applyFont="1" applyFill="1" applyAlignment="1">
      <alignment horizontal="center"/>
    </xf>
    <xf numFmtId="191" fontId="7" fillId="0" borderId="0" xfId="0" applyNumberFormat="1" applyFont="1" applyFill="1"/>
    <xf numFmtId="191" fontId="3" fillId="0" borderId="0" xfId="5" applyNumberFormat="1" applyFont="1" applyFill="1" applyAlignment="1">
      <alignment horizontal="center" vertical="center"/>
    </xf>
    <xf numFmtId="191" fontId="26" fillId="0" borderId="0" xfId="5" applyNumberFormat="1" applyFont="1" applyFill="1" applyAlignment="1">
      <alignment horizontal="center" vertical="center"/>
    </xf>
    <xf numFmtId="188" fontId="7" fillId="0" borderId="0" xfId="5" applyNumberFormat="1" applyFont="1" applyFill="1"/>
    <xf numFmtId="0" fontId="8" fillId="0" borderId="0" xfId="5" applyFont="1" applyFill="1" applyAlignment="1">
      <alignment horizontal="right"/>
    </xf>
    <xf numFmtId="188" fontId="8" fillId="0" borderId="0" xfId="5" applyNumberFormat="1" applyFont="1" applyFill="1" applyAlignment="1">
      <alignment horizontal="right"/>
    </xf>
    <xf numFmtId="188" fontId="4" fillId="0" borderId="0" xfId="5" applyNumberFormat="1" applyFont="1" applyFill="1" applyAlignment="1">
      <alignment horizontal="center"/>
    </xf>
    <xf numFmtId="200" fontId="98" fillId="4" borderId="0" xfId="0" applyNumberFormat="1" applyFont="1" applyFill="1"/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141" fillId="0" borderId="0" xfId="0" applyFont="1" applyFill="1" applyAlignment="1">
      <alignment horizontal="center" vertical="center"/>
    </xf>
    <xf numFmtId="0" fontId="142" fillId="0" borderId="0" xfId="0" applyFont="1" applyFill="1" applyAlignment="1">
      <alignment horizontal="center" vertical="center"/>
    </xf>
    <xf numFmtId="0" fontId="141" fillId="0" borderId="0" xfId="0" applyFont="1" applyAlignment="1">
      <alignment vertical="center"/>
    </xf>
    <xf numFmtId="0" fontId="14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 vertical="center"/>
      <protection hidden="1"/>
    </xf>
    <xf numFmtId="0" fontId="8" fillId="0" borderId="2" xfId="0" applyFont="1" applyBorder="1" applyAlignment="1">
      <alignment vertical="center"/>
    </xf>
    <xf numFmtId="14" fontId="131" fillId="0" borderId="0" xfId="0" applyNumberFormat="1" applyFont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192" fontId="67" fillId="0" borderId="3" xfId="1" applyNumberFormat="1" applyFont="1" applyFill="1" applyBorder="1" applyAlignment="1">
      <alignment horizontal="right" vertical="center" shrinkToFit="1"/>
    </xf>
    <xf numFmtId="188" fontId="66" fillId="0" borderId="2" xfId="1" applyFont="1" applyFill="1" applyBorder="1" applyAlignment="1">
      <alignment horizontal="center" vertical="center"/>
    </xf>
    <xf numFmtId="43" fontId="67" fillId="0" borderId="2" xfId="1" applyNumberFormat="1" applyFont="1" applyFill="1" applyBorder="1" applyAlignment="1">
      <alignment vertical="center"/>
    </xf>
    <xf numFmtId="43" fontId="67" fillId="0" borderId="2" xfId="1" applyNumberFormat="1" applyFont="1" applyFill="1" applyBorder="1" applyAlignment="1">
      <alignment horizontal="center" vertical="center"/>
    </xf>
    <xf numFmtId="195" fontId="67" fillId="0" borderId="2" xfId="1" applyNumberFormat="1" applyFont="1" applyFill="1" applyBorder="1" applyAlignment="1">
      <alignment horizontal="center" vertical="center"/>
    </xf>
    <xf numFmtId="188" fontId="67" fillId="0" borderId="4" xfId="1" applyFont="1" applyFill="1" applyBorder="1" applyAlignment="1">
      <alignment vertical="center"/>
    </xf>
    <xf numFmtId="195" fontId="66" fillId="0" borderId="2" xfId="1" applyNumberFormat="1" applyFont="1" applyFill="1" applyBorder="1" applyAlignment="1">
      <alignment horizontal="center" vertical="center"/>
    </xf>
    <xf numFmtId="3" fontId="66" fillId="0" borderId="2" xfId="1" applyNumberFormat="1" applyFont="1" applyFill="1" applyBorder="1" applyAlignment="1">
      <alignment horizontal="center" vertical="center"/>
    </xf>
    <xf numFmtId="0" fontId="67" fillId="4" borderId="2" xfId="7" applyFont="1" applyFill="1" applyBorder="1" applyAlignment="1">
      <alignment horizontal="center" vertical="center"/>
    </xf>
    <xf numFmtId="188" fontId="67" fillId="4" borderId="2" xfId="1" applyFont="1" applyFill="1" applyBorder="1" applyAlignment="1">
      <alignment horizontal="center"/>
    </xf>
    <xf numFmtId="188" fontId="67" fillId="4" borderId="2" xfId="1" applyFont="1" applyFill="1" applyBorder="1" applyAlignment="1">
      <alignment horizontal="center" vertical="center"/>
    </xf>
    <xf numFmtId="0" fontId="66" fillId="0" borderId="10" xfId="7" applyFont="1" applyFill="1" applyBorder="1" applyAlignment="1">
      <alignment horizontal="center" vertical="center"/>
    </xf>
    <xf numFmtId="188" fontId="66" fillId="0" borderId="0" xfId="1" applyFont="1" applyFill="1" applyBorder="1" applyAlignment="1">
      <alignment horizontal="center" vertical="center"/>
    </xf>
    <xf numFmtId="188" fontId="115" fillId="0" borderId="0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shrinkToFit="1"/>
    </xf>
    <xf numFmtId="0" fontId="0" fillId="0" borderId="2" xfId="0" applyBorder="1" applyAlignment="1">
      <alignment shrinkToFit="1"/>
    </xf>
    <xf numFmtId="192" fontId="0" fillId="4" borderId="2" xfId="1" applyNumberFormat="1" applyFont="1" applyFill="1" applyBorder="1" applyAlignment="1">
      <alignment horizontal="center" shrinkToFit="1"/>
    </xf>
    <xf numFmtId="192" fontId="0" fillId="0" borderId="2" xfId="1" applyNumberFormat="1" applyFont="1" applyBorder="1" applyAlignment="1">
      <alignment shrinkToFit="1"/>
    </xf>
    <xf numFmtId="0" fontId="145" fillId="0" borderId="2" xfId="0" applyFont="1" applyBorder="1"/>
    <xf numFmtId="0" fontId="0" fillId="0" borderId="2" xfId="0" applyFill="1" applyBorder="1"/>
    <xf numFmtId="0" fontId="0" fillId="0" borderId="2" xfId="0" applyFill="1" applyBorder="1" applyAlignment="1">
      <alignment horizontal="center" shrinkToFit="1"/>
    </xf>
    <xf numFmtId="0" fontId="0" fillId="0" borderId="2" xfId="0" applyFill="1" applyBorder="1" applyAlignment="1">
      <alignment shrinkToFit="1"/>
    </xf>
    <xf numFmtId="192" fontId="0" fillId="0" borderId="2" xfId="1" applyNumberFormat="1" applyFont="1" applyBorder="1" applyAlignment="1">
      <alignment horizontal="center" shrinkToFit="1"/>
    </xf>
    <xf numFmtId="0" fontId="145" fillId="0" borderId="2" xfId="0" applyFont="1" applyBorder="1" applyAlignment="1">
      <alignment horizontal="center" shrinkToFit="1"/>
    </xf>
    <xf numFmtId="0" fontId="145" fillId="0" borderId="2" xfId="0" applyFont="1" applyBorder="1" applyAlignment="1">
      <alignment shrinkToFit="1"/>
    </xf>
    <xf numFmtId="192" fontId="90" fillId="0" borderId="2" xfId="1" applyNumberFormat="1" applyFont="1" applyBorder="1" applyAlignment="1">
      <alignment horizontal="center" shrinkToFit="1"/>
    </xf>
    <xf numFmtId="0" fontId="146" fillId="0" borderId="2" xfId="0" applyFont="1" applyBorder="1" applyAlignment="1">
      <alignment shrinkToFit="1"/>
    </xf>
    <xf numFmtId="0" fontId="146" fillId="0" borderId="0" xfId="0" applyFont="1"/>
    <xf numFmtId="0" fontId="90" fillId="0" borderId="2" xfId="0" applyFont="1" applyBorder="1" applyAlignment="1">
      <alignment horizontal="center"/>
    </xf>
    <xf numFmtId="192" fontId="145" fillId="0" borderId="2" xfId="1" applyNumberFormat="1" applyFont="1" applyBorder="1" applyAlignment="1">
      <alignment horizontal="center" shrinkToFit="1"/>
    </xf>
    <xf numFmtId="0" fontId="0" fillId="0" borderId="2" xfId="0" quotePrefix="1" applyBorder="1" applyAlignment="1">
      <alignment horizontal="center" shrinkToFit="1"/>
    </xf>
    <xf numFmtId="0" fontId="147" fillId="0" borderId="0" xfId="0" applyFont="1"/>
    <xf numFmtId="188" fontId="7" fillId="0" borderId="0" xfId="1" applyFont="1" applyFill="1" applyBorder="1" applyAlignment="1">
      <alignment horizontal="center"/>
    </xf>
    <xf numFmtId="188" fontId="7" fillId="0" borderId="1" xfId="1" applyFont="1" applyFill="1" applyBorder="1" applyAlignment="1">
      <alignment horizontal="center"/>
    </xf>
    <xf numFmtId="191" fontId="120" fillId="4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146" fillId="0" borderId="2" xfId="0" applyFont="1" applyBorder="1"/>
    <xf numFmtId="43" fontId="4" fillId="0" borderId="0" xfId="5" applyNumberFormat="1" applyFont="1" applyFill="1" applyAlignment="1">
      <alignment horizontal="center"/>
    </xf>
    <xf numFmtId="0" fontId="96" fillId="5" borderId="0" xfId="7" applyFont="1" applyFill="1" applyBorder="1" applyAlignment="1">
      <alignment horizontal="center" vertical="center"/>
    </xf>
    <xf numFmtId="43" fontId="96" fillId="0" borderId="0" xfId="7" applyNumberFormat="1" applyFont="1" applyFill="1" applyBorder="1" applyAlignment="1">
      <alignment horizontal="center" vertical="center"/>
    </xf>
    <xf numFmtId="0" fontId="67" fillId="0" borderId="9" xfId="7" applyFont="1" applyFill="1" applyBorder="1" applyAlignment="1">
      <alignment horizontal="center" vertical="center"/>
    </xf>
    <xf numFmtId="0" fontId="67" fillId="0" borderId="9" xfId="7" applyFont="1" applyFill="1" applyBorder="1" applyAlignment="1">
      <alignment vertical="center"/>
    </xf>
    <xf numFmtId="4" fontId="67" fillId="0" borderId="9" xfId="1" applyNumberFormat="1" applyFont="1" applyFill="1" applyBorder="1" applyAlignment="1">
      <alignment horizontal="center" vertical="center"/>
    </xf>
    <xf numFmtId="188" fontId="67" fillId="0" borderId="9" xfId="1" applyFont="1" applyFill="1" applyBorder="1" applyAlignment="1">
      <alignment vertical="center"/>
    </xf>
    <xf numFmtId="3" fontId="67" fillId="0" borderId="9" xfId="1" applyNumberFormat="1" applyFont="1" applyFill="1" applyBorder="1" applyAlignment="1">
      <alignment horizontal="center" vertical="center"/>
    </xf>
    <xf numFmtId="195" fontId="67" fillId="0" borderId="4" xfId="7" applyNumberFormat="1" applyFont="1" applyFill="1" applyBorder="1" applyAlignment="1">
      <alignment horizontal="left" vertical="center"/>
    </xf>
    <xf numFmtId="188" fontId="67" fillId="0" borderId="4" xfId="1" applyFont="1" applyFill="1" applyBorder="1" applyAlignment="1">
      <alignment horizontal="right" vertical="center"/>
    </xf>
    <xf numFmtId="4" fontId="67" fillId="4" borderId="4" xfId="1" applyNumberFormat="1" applyFont="1" applyFill="1" applyBorder="1" applyAlignment="1">
      <alignment horizontal="center" vertical="center"/>
    </xf>
    <xf numFmtId="195" fontId="67" fillId="0" borderId="17" xfId="7" applyNumberFormat="1" applyFont="1" applyFill="1" applyBorder="1" applyAlignment="1">
      <alignment horizontal="left" vertical="center"/>
    </xf>
    <xf numFmtId="0" fontId="66" fillId="0" borderId="5" xfId="7" applyFont="1" applyFill="1" applyBorder="1" applyAlignment="1">
      <alignment horizontal="center" vertical="center"/>
    </xf>
    <xf numFmtId="0" fontId="66" fillId="0" borderId="5" xfId="7" applyFont="1" applyFill="1" applyBorder="1" applyAlignment="1">
      <alignment vertical="center"/>
    </xf>
    <xf numFmtId="188" fontId="67" fillId="0" borderId="3" xfId="1" applyFont="1" applyFill="1" applyBorder="1" applyAlignment="1">
      <alignment horizontal="center" vertical="center"/>
    </xf>
    <xf numFmtId="195" fontId="71" fillId="0" borderId="3" xfId="7" applyNumberFormat="1" applyFont="1" applyFill="1" applyBorder="1" applyAlignment="1">
      <alignment vertical="center"/>
    </xf>
    <xf numFmtId="196" fontId="66" fillId="0" borderId="0" xfId="7" applyNumberFormat="1" applyFont="1" applyFill="1" applyBorder="1" applyAlignment="1">
      <alignment vertical="center"/>
    </xf>
    <xf numFmtId="206" fontId="67" fillId="0" borderId="3" xfId="1" applyNumberFormat="1" applyFont="1" applyFill="1" applyBorder="1" applyAlignment="1">
      <alignment horizontal="center" vertical="center"/>
    </xf>
    <xf numFmtId="206" fontId="67" fillId="0" borderId="4" xfId="1" applyNumberFormat="1" applyFont="1" applyFill="1" applyBorder="1" applyAlignment="1">
      <alignment horizontal="center" vertical="center"/>
    </xf>
    <xf numFmtId="206" fontId="67" fillId="0" borderId="4" xfId="1" applyNumberFormat="1" applyFont="1" applyFill="1" applyBorder="1" applyAlignment="1">
      <alignment vertical="center"/>
    </xf>
    <xf numFmtId="4" fontId="67" fillId="0" borderId="4" xfId="7" applyNumberFormat="1" applyFont="1" applyFill="1" applyBorder="1" applyAlignment="1">
      <alignment horizontal="right" vertical="center"/>
    </xf>
    <xf numFmtId="4" fontId="67" fillId="0" borderId="4" xfId="1" applyNumberFormat="1" applyFont="1" applyFill="1" applyBorder="1" applyAlignment="1">
      <alignment horizontal="right" vertical="center"/>
    </xf>
    <xf numFmtId="0" fontId="67" fillId="0" borderId="11" xfId="7" applyFont="1" applyFill="1" applyBorder="1" applyAlignment="1">
      <alignment horizontal="left" vertical="center"/>
    </xf>
    <xf numFmtId="4" fontId="67" fillId="4" borderId="4" xfId="7" applyNumberFormat="1" applyFont="1" applyFill="1" applyBorder="1" applyAlignment="1">
      <alignment horizontal="center" vertical="center"/>
    </xf>
    <xf numFmtId="3" fontId="67" fillId="0" borderId="5" xfId="7" applyNumberFormat="1" applyFont="1" applyFill="1" applyBorder="1" applyAlignment="1">
      <alignment horizontal="center" vertical="center"/>
    </xf>
    <xf numFmtId="195" fontId="67" fillId="0" borderId="5" xfId="7" applyNumberFormat="1" applyFont="1" applyFill="1" applyBorder="1" applyAlignment="1">
      <alignment horizontal="left" vertical="center"/>
    </xf>
    <xf numFmtId="192" fontId="66" fillId="0" borderId="2" xfId="1" applyNumberFormat="1" applyFont="1" applyFill="1" applyBorder="1" applyAlignment="1">
      <alignment horizontal="center" vertical="center"/>
    </xf>
    <xf numFmtId="4" fontId="67" fillId="4" borderId="5" xfId="0" applyNumberFormat="1" applyFont="1" applyFill="1" applyBorder="1" applyAlignment="1">
      <alignment horizontal="center" vertical="center" shrinkToFit="1"/>
    </xf>
    <xf numFmtId="188" fontId="67" fillId="4" borderId="5" xfId="1" applyFont="1" applyFill="1" applyBorder="1" applyAlignment="1">
      <alignment horizontal="center" vertical="center" shrinkToFit="1"/>
    </xf>
    <xf numFmtId="188" fontId="118" fillId="0" borderId="2" xfId="1" applyFont="1" applyFill="1" applyBorder="1" applyAlignment="1">
      <alignment horizontal="center" vertical="center"/>
    </xf>
    <xf numFmtId="4" fontId="67" fillId="0" borderId="0" xfId="7" applyNumberFormat="1" applyFont="1" applyFill="1" applyBorder="1" applyAlignment="1">
      <alignment horizontal="center" vertical="center"/>
    </xf>
    <xf numFmtId="188" fontId="96" fillId="0" borderId="0" xfId="7" applyNumberFormat="1" applyFont="1" applyFill="1" applyBorder="1" applyAlignment="1">
      <alignment horizontal="center" vertical="center"/>
    </xf>
    <xf numFmtId="43" fontId="66" fillId="0" borderId="0" xfId="1" applyNumberFormat="1" applyFont="1" applyFill="1" applyBorder="1" applyAlignment="1">
      <alignment horizontal="right" vertical="center" shrinkToFit="1"/>
    </xf>
    <xf numFmtId="43" fontId="66" fillId="0" borderId="2" xfId="1" applyNumberFormat="1" applyFont="1" applyFill="1" applyBorder="1" applyAlignment="1">
      <alignment horizontal="center" vertical="center" shrinkToFit="1"/>
    </xf>
    <xf numFmtId="43" fontId="66" fillId="0" borderId="2" xfId="1" applyNumberFormat="1" applyFont="1" applyFill="1" applyBorder="1" applyAlignment="1">
      <alignment horizontal="right" vertical="center" shrinkToFit="1"/>
    </xf>
    <xf numFmtId="188" fontId="115" fillId="0" borderId="2" xfId="1" applyFont="1" applyFill="1" applyBorder="1" applyAlignment="1">
      <alignment horizontal="center" vertical="center"/>
    </xf>
    <xf numFmtId="188" fontId="115" fillId="0" borderId="3" xfId="1" applyFont="1" applyFill="1" applyBorder="1" applyAlignment="1">
      <alignment horizontal="center" vertical="center"/>
    </xf>
    <xf numFmtId="191" fontId="67" fillId="0" borderId="4" xfId="1" applyNumberFormat="1" applyFont="1" applyFill="1" applyBorder="1" applyAlignment="1">
      <alignment horizontal="right" vertical="center" shrinkToFit="1"/>
    </xf>
    <xf numFmtId="188" fontId="115" fillId="0" borderId="4" xfId="1" applyFont="1" applyFill="1" applyBorder="1" applyAlignment="1">
      <alignment horizontal="center" vertical="center"/>
    </xf>
    <xf numFmtId="191" fontId="67" fillId="0" borderId="5" xfId="1" applyNumberFormat="1" applyFont="1" applyFill="1" applyBorder="1" applyAlignment="1">
      <alignment horizontal="right" vertical="center" shrinkToFit="1"/>
    </xf>
    <xf numFmtId="188" fontId="115" fillId="0" borderId="5" xfId="1" applyFont="1" applyFill="1" applyBorder="1" applyAlignment="1">
      <alignment horizontal="center" vertical="center"/>
    </xf>
    <xf numFmtId="191" fontId="66" fillId="0" borderId="2" xfId="1" applyNumberFormat="1" applyFont="1" applyFill="1" applyBorder="1" applyAlignment="1">
      <alignment horizontal="right" vertical="center" shrinkToFit="1"/>
    </xf>
    <xf numFmtId="191" fontId="67" fillId="0" borderId="3" xfId="1" applyNumberFormat="1" applyFont="1" applyFill="1" applyBorder="1" applyAlignment="1">
      <alignment horizontal="right" vertical="center" shrinkToFit="1"/>
    </xf>
    <xf numFmtId="191" fontId="96" fillId="0" borderId="2" xfId="1" applyNumberFormat="1" applyFont="1" applyFill="1" applyBorder="1" applyAlignment="1">
      <alignment horizontal="right" vertical="center" shrinkToFit="1"/>
    </xf>
    <xf numFmtId="43" fontId="67" fillId="0" borderId="2" xfId="1" applyNumberFormat="1" applyFont="1" applyFill="1" applyBorder="1" applyAlignment="1">
      <alignment horizontal="right" vertical="center" shrinkToFit="1"/>
    </xf>
    <xf numFmtId="192" fontId="67" fillId="0" borderId="4" xfId="1" applyNumberFormat="1" applyFont="1" applyFill="1" applyBorder="1" applyAlignment="1">
      <alignment horizontal="right" vertical="center" shrinkToFit="1"/>
    </xf>
    <xf numFmtId="188" fontId="67" fillId="0" borderId="4" xfId="1" applyFont="1" applyFill="1" applyBorder="1" applyAlignment="1">
      <alignment horizontal="right" vertical="center" shrinkToFit="1"/>
    </xf>
    <xf numFmtId="0" fontId="67" fillId="0" borderId="17" xfId="7" applyFont="1" applyFill="1" applyBorder="1" applyAlignment="1">
      <alignment horizontal="left" vertical="center"/>
    </xf>
    <xf numFmtId="206" fontId="67" fillId="0" borderId="17" xfId="1" applyNumberFormat="1" applyFont="1" applyFill="1" applyBorder="1" applyAlignment="1">
      <alignment vertical="center"/>
    </xf>
    <xf numFmtId="192" fontId="67" fillId="0" borderId="17" xfId="1" applyNumberFormat="1" applyFont="1" applyFill="1" applyBorder="1" applyAlignment="1">
      <alignment horizontal="right" vertical="center" shrinkToFit="1"/>
    </xf>
    <xf numFmtId="3" fontId="67" fillId="0" borderId="17" xfId="1" applyNumberFormat="1" applyFont="1" applyFill="1" applyBorder="1" applyAlignment="1">
      <alignment horizontal="center" vertical="center"/>
    </xf>
    <xf numFmtId="188" fontId="67" fillId="0" borderId="17" xfId="1" applyFont="1" applyFill="1" applyBorder="1" applyAlignment="1">
      <alignment horizontal="center" vertical="center"/>
    </xf>
    <xf numFmtId="206" fontId="67" fillId="0" borderId="16" xfId="1" applyNumberFormat="1" applyFont="1" applyFill="1" applyBorder="1" applyAlignment="1">
      <alignment horizontal="center" vertical="center"/>
    </xf>
    <xf numFmtId="4" fontId="67" fillId="0" borderId="16" xfId="7" applyNumberFormat="1" applyFont="1" applyFill="1" applyBorder="1" applyAlignment="1">
      <alignment horizontal="center" vertical="center"/>
    </xf>
    <xf numFmtId="4" fontId="67" fillId="0" borderId="16" xfId="1" applyNumberFormat="1" applyFont="1" applyFill="1" applyBorder="1" applyAlignment="1">
      <alignment horizontal="center" vertical="center"/>
    </xf>
    <xf numFmtId="192" fontId="67" fillId="0" borderId="16" xfId="1" applyNumberFormat="1" applyFont="1" applyFill="1" applyBorder="1" applyAlignment="1">
      <alignment horizontal="right" vertical="center" shrinkToFit="1"/>
    </xf>
    <xf numFmtId="3" fontId="67" fillId="0" borderId="16" xfId="1" applyNumberFormat="1" applyFont="1" applyFill="1" applyBorder="1" applyAlignment="1">
      <alignment horizontal="center" vertical="center"/>
    </xf>
    <xf numFmtId="188" fontId="67" fillId="0" borderId="16" xfId="1" applyFont="1" applyFill="1" applyBorder="1" applyAlignment="1">
      <alignment horizontal="center" vertical="center"/>
    </xf>
    <xf numFmtId="195" fontId="67" fillId="0" borderId="16" xfId="7" applyNumberFormat="1" applyFont="1" applyFill="1" applyBorder="1" applyAlignment="1">
      <alignment horizontal="left" vertical="center"/>
    </xf>
    <xf numFmtId="192" fontId="96" fillId="0" borderId="0" xfId="7" applyNumberFormat="1" applyFont="1" applyFill="1" applyBorder="1" applyAlignment="1">
      <alignment horizontal="center" vertical="center"/>
    </xf>
    <xf numFmtId="192" fontId="67" fillId="0" borderId="5" xfId="1" applyNumberFormat="1" applyFont="1" applyFill="1" applyBorder="1" applyAlignment="1">
      <alignment horizontal="right" vertical="center" shrinkToFit="1"/>
    </xf>
    <xf numFmtId="0" fontId="67" fillId="0" borderId="15" xfId="7" applyFont="1" applyFill="1" applyBorder="1" applyAlignment="1">
      <alignment horizontal="center" vertical="center"/>
    </xf>
    <xf numFmtId="206" fontId="67" fillId="0" borderId="0" xfId="1" applyNumberFormat="1" applyFont="1" applyFill="1" applyBorder="1" applyAlignment="1">
      <alignment horizontal="center" vertical="center"/>
    </xf>
    <xf numFmtId="188" fontId="67" fillId="0" borderId="3" xfId="1" applyFont="1" applyFill="1" applyBorder="1" applyAlignment="1">
      <alignment horizontal="right" vertical="center" shrinkToFit="1"/>
    </xf>
    <xf numFmtId="195" fontId="67" fillId="0" borderId="16" xfId="1" applyNumberFormat="1" applyFont="1" applyFill="1" applyBorder="1" applyAlignment="1">
      <alignment vertical="center"/>
    </xf>
    <xf numFmtId="0" fontId="67" fillId="0" borderId="4" xfId="0" applyFont="1" applyFill="1" applyBorder="1" applyAlignment="1">
      <alignment horizontal="center" shrinkToFit="1"/>
    </xf>
    <xf numFmtId="2" fontId="67" fillId="0" borderId="4" xfId="1" applyNumberFormat="1" applyFont="1" applyFill="1" applyBorder="1" applyAlignment="1">
      <alignment shrinkToFit="1"/>
    </xf>
    <xf numFmtId="2" fontId="67" fillId="0" borderId="4" xfId="1" applyNumberFormat="1" applyFont="1" applyFill="1" applyBorder="1" applyAlignment="1">
      <alignment horizontal="center" shrinkToFit="1"/>
    </xf>
    <xf numFmtId="43" fontId="67" fillId="0" borderId="4" xfId="1" applyNumberFormat="1" applyFont="1" applyFill="1" applyBorder="1" applyAlignment="1">
      <alignment horizontal="center" shrinkToFit="1"/>
    </xf>
    <xf numFmtId="0" fontId="67" fillId="0" borderId="16" xfId="0" applyFont="1" applyFill="1" applyBorder="1" applyAlignment="1">
      <alignment horizontal="center" shrinkToFit="1"/>
    </xf>
    <xf numFmtId="2" fontId="67" fillId="0" borderId="16" xfId="1" applyNumberFormat="1" applyFont="1" applyFill="1" applyBorder="1" applyAlignment="1">
      <alignment shrinkToFit="1"/>
    </xf>
    <xf numFmtId="43" fontId="67" fillId="0" borderId="16" xfId="1" applyNumberFormat="1" applyFont="1" applyFill="1" applyBorder="1" applyAlignment="1">
      <alignment horizontal="center" shrinkToFit="1"/>
    </xf>
    <xf numFmtId="2" fontId="67" fillId="0" borderId="16" xfId="1" applyNumberFormat="1" applyFont="1" applyFill="1" applyBorder="1" applyAlignment="1">
      <alignment horizontal="center" shrinkToFit="1"/>
    </xf>
    <xf numFmtId="188" fontId="67" fillId="0" borderId="16" xfId="1" applyFont="1" applyFill="1" applyBorder="1" applyAlignment="1">
      <alignment horizontal="right" vertical="center"/>
    </xf>
    <xf numFmtId="188" fontId="67" fillId="0" borderId="4" xfId="1" applyFont="1" applyFill="1" applyBorder="1" applyAlignment="1">
      <alignment shrinkToFit="1"/>
    </xf>
    <xf numFmtId="188" fontId="67" fillId="0" borderId="4" xfId="1" applyFont="1" applyFill="1" applyBorder="1" applyAlignment="1">
      <alignment horizontal="center" vertical="center" shrinkToFit="1"/>
    </xf>
    <xf numFmtId="4" fontId="67" fillId="0" borderId="4" xfId="0" applyNumberFormat="1" applyFont="1" applyFill="1" applyBorder="1" applyAlignment="1">
      <alignment horizontal="center" vertical="center" shrinkToFit="1"/>
    </xf>
    <xf numFmtId="0" fontId="67" fillId="0" borderId="4" xfId="0" applyFont="1" applyFill="1" applyBorder="1" applyAlignment="1">
      <alignment horizontal="center"/>
    </xf>
    <xf numFmtId="188" fontId="67" fillId="0" borderId="4" xfId="1" applyFont="1" applyFill="1" applyBorder="1"/>
    <xf numFmtId="3" fontId="67" fillId="0" borderId="4" xfId="2" applyNumberFormat="1" applyFont="1" applyFill="1" applyBorder="1" applyAlignment="1">
      <alignment horizontal="center" vertical="center" shrinkToFit="1"/>
    </xf>
    <xf numFmtId="0" fontId="67" fillId="0" borderId="4" xfId="7" applyFont="1" applyFill="1" applyBorder="1" applyAlignment="1">
      <alignment horizontal="center" vertical="center" shrinkToFit="1"/>
    </xf>
    <xf numFmtId="188" fontId="67" fillId="0" borderId="4" xfId="1" applyFont="1" applyFill="1" applyBorder="1" applyAlignment="1">
      <alignment horizontal="center" shrinkToFit="1"/>
    </xf>
    <xf numFmtId="0" fontId="67" fillId="0" borderId="0" xfId="0" applyFont="1" applyFill="1" applyBorder="1" applyAlignment="1">
      <alignment horizontal="center" shrinkToFit="1"/>
    </xf>
    <xf numFmtId="2" fontId="67" fillId="0" borderId="0" xfId="1" applyNumberFormat="1" applyFont="1" applyFill="1" applyBorder="1" applyAlignment="1">
      <alignment shrinkToFit="1"/>
    </xf>
    <xf numFmtId="4" fontId="93" fillId="0" borderId="4" xfId="7" applyNumberFormat="1" applyFont="1" applyFill="1" applyBorder="1" applyAlignment="1">
      <alignment horizontal="center" vertical="center" shrinkToFit="1"/>
    </xf>
    <xf numFmtId="4" fontId="67" fillId="4" borderId="4" xfId="0" applyNumberFormat="1" applyFont="1" applyFill="1" applyBorder="1" applyAlignment="1">
      <alignment horizontal="center" vertical="center" shrinkToFit="1"/>
    </xf>
    <xf numFmtId="188" fontId="67" fillId="4" borderId="4" xfId="1" applyFont="1" applyFill="1" applyBorder="1" applyAlignment="1">
      <alignment horizontal="center" vertical="center" shrinkToFit="1"/>
    </xf>
    <xf numFmtId="0" fontId="67" fillId="4" borderId="4" xfId="7" applyFont="1" applyFill="1" applyBorder="1" applyAlignment="1">
      <alignment horizontal="center" vertical="center" shrinkToFit="1"/>
    </xf>
    <xf numFmtId="43" fontId="66" fillId="0" borderId="4" xfId="1" applyNumberFormat="1" applyFont="1" applyFill="1" applyBorder="1" applyAlignment="1">
      <alignment horizontal="right" vertical="center" shrinkToFit="1"/>
    </xf>
    <xf numFmtId="188" fontId="118" fillId="0" borderId="4" xfId="1" applyFont="1" applyFill="1" applyBorder="1" applyAlignment="1">
      <alignment horizontal="center" vertical="center"/>
    </xf>
    <xf numFmtId="0" fontId="67" fillId="4" borderId="4" xfId="7" applyFont="1" applyFill="1" applyBorder="1" applyAlignment="1">
      <alignment horizontal="center" vertical="center"/>
    </xf>
    <xf numFmtId="3" fontId="67" fillId="0" borderId="5" xfId="2" applyNumberFormat="1" applyFont="1" applyFill="1" applyBorder="1" applyAlignment="1">
      <alignment horizontal="center" vertical="center" shrinkToFit="1"/>
    </xf>
    <xf numFmtId="188" fontId="67" fillId="0" borderId="5" xfId="1" applyFont="1" applyFill="1" applyBorder="1" applyAlignment="1">
      <alignment horizontal="center" vertical="center" shrinkToFit="1"/>
    </xf>
    <xf numFmtId="4" fontId="67" fillId="0" borderId="5" xfId="0" applyNumberFormat="1" applyFont="1" applyFill="1" applyBorder="1" applyAlignment="1">
      <alignment horizontal="center" vertical="center" shrinkToFit="1"/>
    </xf>
    <xf numFmtId="43" fontId="66" fillId="0" borderId="5" xfId="1" applyNumberFormat="1" applyFont="1" applyFill="1" applyBorder="1" applyAlignment="1">
      <alignment horizontal="right" vertical="center" shrinkToFit="1"/>
    </xf>
    <xf numFmtId="188" fontId="118" fillId="0" borderId="5" xfId="1" applyFont="1" applyFill="1" applyBorder="1" applyAlignment="1">
      <alignment horizontal="center" vertical="center"/>
    </xf>
    <xf numFmtId="43" fontId="67" fillId="0" borderId="3" xfId="1" applyNumberFormat="1" applyFont="1" applyFill="1" applyBorder="1" applyAlignment="1">
      <alignment horizontal="right" vertical="center" shrinkToFit="1"/>
    </xf>
    <xf numFmtId="0" fontId="67" fillId="0" borderId="3" xfId="7" applyFont="1" applyFill="1" applyBorder="1" applyAlignment="1">
      <alignment horizontal="left" vertical="center"/>
    </xf>
    <xf numFmtId="43" fontId="67" fillId="0" borderId="4" xfId="1" applyNumberFormat="1" applyFont="1" applyFill="1" applyBorder="1" applyAlignment="1">
      <alignment horizontal="right" vertical="center" shrinkToFit="1"/>
    </xf>
    <xf numFmtId="4" fontId="67" fillId="0" borderId="45" xfId="7" applyNumberFormat="1" applyFont="1" applyFill="1" applyBorder="1" applyAlignment="1">
      <alignment horizontal="left" vertical="center"/>
    </xf>
    <xf numFmtId="4" fontId="67" fillId="0" borderId="39" xfId="7" applyNumberFormat="1" applyFont="1" applyFill="1" applyBorder="1" applyAlignment="1">
      <alignment horizontal="left" vertical="center"/>
    </xf>
    <xf numFmtId="43" fontId="67" fillId="0" borderId="46" xfId="1" applyNumberFormat="1" applyFont="1" applyFill="1" applyBorder="1" applyAlignment="1">
      <alignment horizontal="right" vertical="center" shrinkToFit="1"/>
    </xf>
    <xf numFmtId="0" fontId="67" fillId="0" borderId="39" xfId="7" applyFont="1" applyFill="1" applyBorder="1" applyAlignment="1">
      <alignment horizontal="center" vertical="center"/>
    </xf>
    <xf numFmtId="0" fontId="67" fillId="0" borderId="15" xfId="7" applyFont="1" applyFill="1" applyBorder="1" applyAlignment="1">
      <alignment horizontal="left" vertical="center"/>
    </xf>
    <xf numFmtId="192" fontId="67" fillId="0" borderId="3" xfId="1" applyNumberFormat="1" applyFont="1" applyFill="1" applyBorder="1" applyAlignment="1">
      <alignment horizontal="center" vertical="center" shrinkToFit="1"/>
    </xf>
    <xf numFmtId="0" fontId="67" fillId="0" borderId="5" xfId="7" applyFont="1" applyFill="1" applyBorder="1" applyAlignment="1">
      <alignment horizontal="left" vertical="center"/>
    </xf>
    <xf numFmtId="196" fontId="66" fillId="0" borderId="0" xfId="7" applyNumberFormat="1" applyFont="1" applyFill="1" applyBorder="1" applyAlignment="1">
      <alignment vertical="center" shrinkToFit="1"/>
    </xf>
    <xf numFmtId="43" fontId="115" fillId="0" borderId="0" xfId="1" applyNumberFormat="1" applyFont="1" applyFill="1" applyBorder="1" applyAlignment="1">
      <alignment horizontal="right" vertical="center" shrinkToFit="1"/>
    </xf>
    <xf numFmtId="43" fontId="67" fillId="0" borderId="0" xfId="1" applyNumberFormat="1" applyFont="1" applyFill="1" applyBorder="1" applyAlignment="1">
      <alignment horizontal="right" vertical="center" shrinkToFit="1"/>
    </xf>
    <xf numFmtId="188" fontId="67" fillId="0" borderId="0" xfId="7" applyNumberFormat="1" applyFont="1" applyFill="1" applyBorder="1" applyAlignment="1">
      <alignment horizontal="center" vertical="center"/>
    </xf>
    <xf numFmtId="0" fontId="47" fillId="0" borderId="4" xfId="6" applyFont="1" applyFill="1" applyBorder="1" applyAlignment="1">
      <alignment horizontal="center" vertical="center"/>
    </xf>
    <xf numFmtId="188" fontId="8" fillId="0" borderId="4" xfId="6" applyNumberFormat="1" applyFont="1" applyFill="1" applyBorder="1" applyAlignment="1">
      <alignment vertical="center" shrinkToFit="1"/>
    </xf>
    <xf numFmtId="196" fontId="46" fillId="0" borderId="4" xfId="3" applyNumberFormat="1" applyFont="1" applyFill="1" applyBorder="1" applyAlignment="1">
      <alignment horizontal="center" vertical="center" wrapText="1"/>
    </xf>
    <xf numFmtId="188" fontId="67" fillId="0" borderId="4" xfId="1" applyFont="1" applyFill="1" applyBorder="1" applyAlignment="1">
      <alignment horizontal="left" vertical="center"/>
    </xf>
    <xf numFmtId="198" fontId="91" fillId="0" borderId="4" xfId="3" applyNumberFormat="1" applyFont="1" applyFill="1" applyBorder="1" applyAlignment="1">
      <alignment horizontal="center" vertical="center" wrapText="1"/>
    </xf>
    <xf numFmtId="188" fontId="8" fillId="0" borderId="4" xfId="6" applyNumberFormat="1" applyFont="1" applyBorder="1" applyAlignment="1">
      <alignment horizontal="left" shrinkToFit="1"/>
    </xf>
    <xf numFmtId="4" fontId="39" fillId="0" borderId="0" xfId="6" applyNumberFormat="1" applyFont="1" applyFill="1"/>
    <xf numFmtId="0" fontId="67" fillId="0" borderId="0" xfId="7" applyFont="1" applyFill="1" applyBorder="1" applyAlignment="1">
      <alignment horizontal="center" vertical="center"/>
    </xf>
    <xf numFmtId="0" fontId="66" fillId="0" borderId="0" xfId="7" applyFont="1" applyFill="1" applyBorder="1" applyAlignment="1">
      <alignment horizontal="center" vertical="center"/>
    </xf>
    <xf numFmtId="196" fontId="66" fillId="0" borderId="0" xfId="7" applyNumberFormat="1" applyFont="1" applyFill="1" applyBorder="1" applyAlignment="1">
      <alignment horizontal="center" vertical="center"/>
    </xf>
    <xf numFmtId="43" fontId="66" fillId="0" borderId="2" xfId="1" applyNumberFormat="1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horizontal="left"/>
    </xf>
    <xf numFmtId="0" fontId="11" fillId="0" borderId="0" xfId="0" applyFont="1" applyFill="1" applyBorder="1" applyAlignment="1">
      <alignment horizontal="left"/>
    </xf>
    <xf numFmtId="0" fontId="150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/>
    <xf numFmtId="0" fontId="4" fillId="0" borderId="0" xfId="0" applyFont="1" applyFill="1" applyBorder="1" applyAlignment="1">
      <alignment shrinkToFit="1"/>
    </xf>
    <xf numFmtId="190" fontId="4" fillId="0" borderId="0" xfId="3" applyNumberFormat="1" applyFont="1" applyFill="1" applyBorder="1"/>
    <xf numFmtId="0" fontId="7" fillId="0" borderId="0" xfId="0" applyFont="1" applyFill="1" applyBorder="1"/>
    <xf numFmtId="0" fontId="67" fillId="6" borderId="0" xfId="7" applyFont="1" applyFill="1" applyBorder="1" applyAlignment="1">
      <alignment horizontal="center" vertical="center"/>
    </xf>
    <xf numFmtId="0" fontId="67" fillId="6" borderId="4" xfId="7" applyFont="1" applyFill="1" applyBorder="1" applyAlignment="1">
      <alignment horizontal="center" vertical="center"/>
    </xf>
    <xf numFmtId="0" fontId="67" fillId="6" borderId="4" xfId="7" applyFont="1" applyFill="1" applyBorder="1" applyAlignment="1">
      <alignment horizontal="left" vertical="center"/>
    </xf>
    <xf numFmtId="188" fontId="67" fillId="6" borderId="4" xfId="1" applyFont="1" applyFill="1" applyBorder="1" applyAlignment="1">
      <alignment vertical="center"/>
    </xf>
    <xf numFmtId="4" fontId="67" fillId="6" borderId="4" xfId="7" applyNumberFormat="1" applyFont="1" applyFill="1" applyBorder="1" applyAlignment="1">
      <alignment horizontal="center" vertical="center"/>
    </xf>
    <xf numFmtId="4" fontId="67" fillId="6" borderId="4" xfId="1" applyNumberFormat="1" applyFont="1" applyFill="1" applyBorder="1" applyAlignment="1">
      <alignment horizontal="center" vertical="center"/>
    </xf>
    <xf numFmtId="188" fontId="67" fillId="6" borderId="4" xfId="1" applyFont="1" applyFill="1" applyBorder="1" applyAlignment="1">
      <alignment horizontal="right" vertical="center" shrinkToFit="1"/>
    </xf>
    <xf numFmtId="3" fontId="67" fillId="6" borderId="4" xfId="1" applyNumberFormat="1" applyFont="1" applyFill="1" applyBorder="1" applyAlignment="1">
      <alignment horizontal="center" vertical="center"/>
    </xf>
    <xf numFmtId="188" fontId="67" fillId="6" borderId="4" xfId="1" applyFont="1" applyFill="1" applyBorder="1" applyAlignment="1">
      <alignment horizontal="center" vertical="center"/>
    </xf>
    <xf numFmtId="195" fontId="67" fillId="6" borderId="4" xfId="7" applyNumberFormat="1" applyFont="1" applyFill="1" applyBorder="1" applyAlignment="1">
      <alignment horizontal="left" vertical="center"/>
    </xf>
    <xf numFmtId="43" fontId="67" fillId="6" borderId="0" xfId="7" applyNumberFormat="1" applyFont="1" applyFill="1" applyBorder="1" applyAlignment="1">
      <alignment horizontal="center" vertical="center"/>
    </xf>
    <xf numFmtId="0" fontId="67" fillId="6" borderId="4" xfId="7" applyFont="1" applyFill="1" applyBorder="1" applyAlignment="1">
      <alignment vertical="center"/>
    </xf>
    <xf numFmtId="3" fontId="67" fillId="6" borderId="4" xfId="7" applyNumberFormat="1" applyFont="1" applyFill="1" applyBorder="1" applyAlignment="1">
      <alignment horizontal="center" vertical="center"/>
    </xf>
    <xf numFmtId="192" fontId="67" fillId="6" borderId="4" xfId="1" applyNumberFormat="1" applyFont="1" applyFill="1" applyBorder="1" applyAlignment="1">
      <alignment horizontal="right" vertical="center" shrinkToFit="1"/>
    </xf>
    <xf numFmtId="0" fontId="67" fillId="6" borderId="5" xfId="7" applyFont="1" applyFill="1" applyBorder="1" applyAlignment="1">
      <alignment horizontal="center" vertical="center"/>
    </xf>
    <xf numFmtId="0" fontId="67" fillId="6" borderId="5" xfId="7" applyFont="1" applyFill="1" applyBorder="1" applyAlignment="1">
      <alignment vertical="center"/>
    </xf>
    <xf numFmtId="3" fontId="67" fillId="6" borderId="5" xfId="7" applyNumberFormat="1" applyFont="1" applyFill="1" applyBorder="1" applyAlignment="1">
      <alignment horizontal="center" vertical="center"/>
    </xf>
    <xf numFmtId="4" fontId="67" fillId="6" borderId="5" xfId="7" applyNumberFormat="1" applyFont="1" applyFill="1" applyBorder="1" applyAlignment="1">
      <alignment horizontal="center" vertical="center"/>
    </xf>
    <xf numFmtId="4" fontId="67" fillId="6" borderId="5" xfId="1" applyNumberFormat="1" applyFont="1" applyFill="1" applyBorder="1" applyAlignment="1">
      <alignment horizontal="center" vertical="center"/>
    </xf>
    <xf numFmtId="192" fontId="67" fillId="6" borderId="5" xfId="1" applyNumberFormat="1" applyFont="1" applyFill="1" applyBorder="1" applyAlignment="1">
      <alignment horizontal="right" vertical="center" shrinkToFit="1"/>
    </xf>
    <xf numFmtId="3" fontId="67" fillId="6" borderId="5" xfId="1" applyNumberFormat="1" applyFont="1" applyFill="1" applyBorder="1" applyAlignment="1">
      <alignment horizontal="center" vertical="center"/>
    </xf>
    <xf numFmtId="188" fontId="67" fillId="6" borderId="5" xfId="1" applyFont="1" applyFill="1" applyBorder="1" applyAlignment="1">
      <alignment horizontal="center" vertical="center"/>
    </xf>
    <xf numFmtId="195" fontId="67" fillId="6" borderId="5" xfId="7" applyNumberFormat="1" applyFont="1" applyFill="1" applyBorder="1" applyAlignment="1">
      <alignment horizontal="left" vertical="center"/>
    </xf>
    <xf numFmtId="4" fontId="67" fillId="6" borderId="4" xfId="7" applyNumberFormat="1" applyFont="1" applyFill="1" applyBorder="1" applyAlignment="1">
      <alignment horizontal="right" vertical="center"/>
    </xf>
    <xf numFmtId="4" fontId="67" fillId="6" borderId="4" xfId="1" applyNumberFormat="1" applyFont="1" applyFill="1" applyBorder="1" applyAlignment="1">
      <alignment horizontal="right" vertical="center"/>
    </xf>
    <xf numFmtId="195" fontId="71" fillId="6" borderId="4" xfId="7" applyNumberFormat="1" applyFont="1" applyFill="1" applyBorder="1" applyAlignment="1">
      <alignment vertical="center"/>
    </xf>
    <xf numFmtId="206" fontId="67" fillId="6" borderId="4" xfId="1" applyNumberFormat="1" applyFont="1" applyFill="1" applyBorder="1" applyAlignment="1">
      <alignment vertical="center"/>
    </xf>
    <xf numFmtId="4" fontId="67" fillId="0" borderId="17" xfId="1" applyNumberFormat="1" applyFont="1" applyFill="1" applyBorder="1" applyAlignment="1">
      <alignment horizontal="center" vertical="center"/>
    </xf>
    <xf numFmtId="4" fontId="67" fillId="0" borderId="17" xfId="7" applyNumberFormat="1" applyFont="1" applyFill="1" applyBorder="1" applyAlignment="1">
      <alignment horizontal="center" vertical="center"/>
    </xf>
    <xf numFmtId="0" fontId="96" fillId="0" borderId="11" xfId="7" applyFont="1" applyFill="1" applyBorder="1" applyAlignment="1">
      <alignment horizontal="center" vertical="center"/>
    </xf>
    <xf numFmtId="198" fontId="47" fillId="0" borderId="4" xfId="3" applyNumberFormat="1" applyFont="1" applyFill="1" applyBorder="1" applyAlignment="1">
      <alignment horizontal="center" vertical="center" wrapText="1"/>
    </xf>
    <xf numFmtId="198" fontId="48" fillId="0" borderId="2" xfId="6" applyNumberFormat="1" applyFont="1" applyFill="1" applyBorder="1" applyAlignment="1">
      <alignment horizontal="right" vertical="center"/>
    </xf>
    <xf numFmtId="191" fontId="121" fillId="4" borderId="2" xfId="1" applyNumberFormat="1" applyFont="1" applyFill="1" applyBorder="1" applyAlignment="1">
      <alignment vertical="center"/>
    </xf>
    <xf numFmtId="191" fontId="121" fillId="4" borderId="2" xfId="1" applyNumberFormat="1" applyFont="1" applyFill="1" applyBorder="1" applyAlignment="1">
      <alignment vertical="center" shrinkToFit="1"/>
    </xf>
    <xf numFmtId="188" fontId="121" fillId="4" borderId="2" xfId="1" applyFont="1" applyFill="1" applyBorder="1" applyAlignment="1">
      <alignment vertical="center" shrinkToFit="1"/>
    </xf>
    <xf numFmtId="0" fontId="120" fillId="0" borderId="0" xfId="0" applyFont="1" applyFill="1" applyAlignment="1">
      <alignment vertical="center"/>
    </xf>
    <xf numFmtId="210" fontId="120" fillId="0" borderId="0" xfId="0" applyNumberFormat="1" applyFont="1" applyFill="1" applyAlignment="1">
      <alignment vertical="center"/>
    </xf>
    <xf numFmtId="0" fontId="121" fillId="0" borderId="0" xfId="0" applyFont="1" applyFill="1" applyAlignment="1">
      <alignment vertical="center"/>
    </xf>
    <xf numFmtId="210" fontId="121" fillId="0" borderId="0" xfId="0" applyNumberFormat="1" applyFont="1" applyFill="1" applyAlignment="1">
      <alignment vertical="center"/>
    </xf>
    <xf numFmtId="188" fontId="7" fillId="0" borderId="4" xfId="0" applyNumberFormat="1" applyFont="1" applyFill="1" applyBorder="1"/>
    <xf numFmtId="0" fontId="67" fillId="0" borderId="4" xfId="7" applyFont="1" applyFill="1" applyBorder="1" applyAlignment="1">
      <alignment horizontal="left" vertical="center" shrinkToFit="1"/>
    </xf>
    <xf numFmtId="188" fontId="121" fillId="4" borderId="2" xfId="1" applyFont="1" applyFill="1" applyBorder="1" applyAlignment="1">
      <alignment vertical="center"/>
    </xf>
    <xf numFmtId="0" fontId="120" fillId="8" borderId="0" xfId="0" applyFont="1" applyFill="1" applyAlignment="1">
      <alignment vertical="center"/>
    </xf>
    <xf numFmtId="188" fontId="3" fillId="0" borderId="0" xfId="1" applyFont="1" applyFill="1" applyAlignment="1">
      <alignment vertical="center"/>
    </xf>
    <xf numFmtId="2" fontId="120" fillId="4" borderId="2" xfId="0" applyNumberFormat="1" applyFont="1" applyFill="1" applyBorder="1" applyAlignment="1">
      <alignment vertical="center"/>
    </xf>
    <xf numFmtId="0" fontId="12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 wrapText="1"/>
    </xf>
    <xf numFmtId="191" fontId="120" fillId="4" borderId="3" xfId="1" applyNumberFormat="1" applyFont="1" applyFill="1" applyBorder="1" applyAlignment="1">
      <alignment vertical="center"/>
    </xf>
    <xf numFmtId="1" fontId="120" fillId="4" borderId="3" xfId="0" applyNumberFormat="1" applyFont="1" applyFill="1" applyBorder="1" applyAlignment="1">
      <alignment vertical="center"/>
    </xf>
    <xf numFmtId="200" fontId="4" fillId="4" borderId="3" xfId="6" applyNumberFormat="1" applyFont="1" applyFill="1" applyBorder="1" applyAlignment="1">
      <alignment vertical="center"/>
    </xf>
    <xf numFmtId="191" fontId="4" fillId="4" borderId="3" xfId="1" applyNumberFormat="1" applyFont="1" applyFill="1" applyBorder="1" applyAlignment="1">
      <alignment horizontal="right" vertical="center"/>
    </xf>
    <xf numFmtId="188" fontId="120" fillId="4" borderId="3" xfId="1" applyNumberFormat="1" applyFont="1" applyFill="1" applyBorder="1" applyAlignment="1">
      <alignment vertical="center"/>
    </xf>
    <xf numFmtId="3" fontId="4" fillId="0" borderId="3" xfId="12" applyNumberFormat="1" applyFont="1" applyFill="1" applyBorder="1" applyAlignment="1">
      <alignment horizontal="right" vertical="center"/>
    </xf>
    <xf numFmtId="2" fontId="120" fillId="4" borderId="3" xfId="0" applyNumberFormat="1" applyFont="1" applyFill="1" applyBorder="1" applyAlignment="1">
      <alignment vertical="center"/>
    </xf>
    <xf numFmtId="0" fontId="120" fillId="4" borderId="3" xfId="0" applyFont="1" applyFill="1" applyBorder="1" applyAlignment="1">
      <alignment vertical="center" wrapText="1"/>
    </xf>
    <xf numFmtId="3" fontId="4" fillId="0" borderId="4" xfId="12" applyNumberFormat="1" applyFont="1" applyFill="1" applyBorder="1" applyAlignment="1">
      <alignment horizontal="right" vertical="center"/>
    </xf>
    <xf numFmtId="2" fontId="120" fillId="4" borderId="4" xfId="0" applyNumberFormat="1" applyFont="1" applyFill="1" applyBorder="1" applyAlignment="1">
      <alignment vertical="center"/>
    </xf>
    <xf numFmtId="0" fontId="120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left" vertical="center" wrapText="1"/>
    </xf>
    <xf numFmtId="191" fontId="4" fillId="4" borderId="4" xfId="1" applyNumberFormat="1" applyFont="1" applyFill="1" applyBorder="1" applyAlignment="1">
      <alignment vertical="center"/>
    </xf>
    <xf numFmtId="200" fontId="4" fillId="4" borderId="4" xfId="6" applyNumberFormat="1" applyFont="1" applyFill="1" applyBorder="1" applyAlignment="1">
      <alignment vertical="center"/>
    </xf>
    <xf numFmtId="191" fontId="4" fillId="4" borderId="4" xfId="1" applyNumberFormat="1" applyFont="1" applyFill="1" applyBorder="1" applyAlignment="1">
      <alignment horizontal="right" vertical="center"/>
    </xf>
    <xf numFmtId="188" fontId="120" fillId="4" borderId="4" xfId="1" applyNumberFormat="1" applyFont="1" applyFill="1" applyBorder="1" applyAlignment="1">
      <alignment vertical="center"/>
    </xf>
    <xf numFmtId="2" fontId="4" fillId="4" borderId="4" xfId="6" applyNumberFormat="1" applyFont="1" applyFill="1" applyBorder="1" applyAlignment="1">
      <alignment vertical="center"/>
    </xf>
    <xf numFmtId="188" fontId="120" fillId="4" borderId="4" xfId="0" applyNumberFormat="1" applyFont="1" applyFill="1" applyBorder="1" applyAlignment="1">
      <alignment vertical="center"/>
    </xf>
    <xf numFmtId="188" fontId="81" fillId="4" borderId="4" xfId="12" applyNumberFormat="1" applyFont="1" applyFill="1" applyBorder="1" applyAlignment="1">
      <alignment horizontal="right" vertical="center"/>
    </xf>
    <xf numFmtId="187" fontId="4" fillId="4" borderId="4" xfId="0" applyNumberFormat="1" applyFont="1" applyFill="1" applyBorder="1" applyAlignment="1">
      <alignment horizontal="left" vertical="center" wrapText="1" shrinkToFit="1"/>
    </xf>
    <xf numFmtId="0" fontId="120" fillId="4" borderId="4" xfId="0" applyFont="1" applyFill="1" applyBorder="1" applyAlignment="1">
      <alignment vertical="center" wrapText="1"/>
    </xf>
    <xf numFmtId="191" fontId="120" fillId="4" borderId="4" xfId="1" applyNumberFormat="1" applyFont="1" applyFill="1" applyBorder="1" applyAlignment="1">
      <alignment vertical="center"/>
    </xf>
    <xf numFmtId="1" fontId="120" fillId="4" borderId="4" xfId="0" applyNumberFormat="1" applyFont="1" applyFill="1" applyBorder="1" applyAlignment="1">
      <alignment vertical="center"/>
    </xf>
    <xf numFmtId="0" fontId="120" fillId="4" borderId="4" xfId="0" applyFont="1" applyFill="1" applyBorder="1" applyAlignment="1">
      <alignment vertical="center"/>
    </xf>
    <xf numFmtId="0" fontId="120" fillId="4" borderId="4" xfId="0" applyFont="1" applyFill="1" applyBorder="1" applyAlignment="1">
      <alignment horizontal="left" vertical="center"/>
    </xf>
    <xf numFmtId="201" fontId="4" fillId="4" borderId="4" xfId="6" applyNumberFormat="1" applyFont="1" applyFill="1" applyBorder="1" applyAlignment="1">
      <alignment vertical="center"/>
    </xf>
    <xf numFmtId="188" fontId="4" fillId="4" borderId="4" xfId="1" applyFont="1" applyFill="1" applyBorder="1" applyAlignment="1">
      <alignment vertical="center"/>
    </xf>
    <xf numFmtId="0" fontId="137" fillId="4" borderId="4" xfId="0" applyFont="1" applyFill="1" applyBorder="1" applyAlignment="1">
      <alignment vertical="center"/>
    </xf>
    <xf numFmtId="0" fontId="137" fillId="4" borderId="4" xfId="0" applyFont="1" applyFill="1" applyBorder="1" applyAlignment="1">
      <alignment horizontal="left" vertical="center"/>
    </xf>
    <xf numFmtId="188" fontId="4" fillId="4" borderId="4" xfId="6" applyNumberFormat="1" applyFont="1" applyFill="1" applyBorder="1" applyAlignment="1">
      <alignment vertical="center"/>
    </xf>
    <xf numFmtId="0" fontId="120" fillId="4" borderId="5" xfId="0" applyFont="1" applyFill="1" applyBorder="1" applyAlignment="1">
      <alignment horizontal="center" vertical="center"/>
    </xf>
    <xf numFmtId="191" fontId="4" fillId="4" borderId="5" xfId="1" applyNumberFormat="1" applyFont="1" applyFill="1" applyBorder="1" applyAlignment="1">
      <alignment vertical="center"/>
    </xf>
    <xf numFmtId="200" fontId="4" fillId="4" borderId="5" xfId="6" applyNumberFormat="1" applyFont="1" applyFill="1" applyBorder="1" applyAlignment="1">
      <alignment vertical="center"/>
    </xf>
    <xf numFmtId="2" fontId="120" fillId="4" borderId="5" xfId="0" applyNumberFormat="1" applyFont="1" applyFill="1" applyBorder="1" applyAlignment="1">
      <alignment vertical="center"/>
    </xf>
    <xf numFmtId="188" fontId="81" fillId="4" borderId="5" xfId="12" applyNumberFormat="1" applyFont="1" applyFill="1" applyBorder="1" applyAlignment="1">
      <alignment horizontal="right" vertical="center"/>
    </xf>
    <xf numFmtId="1" fontId="120" fillId="4" borderId="4" xfId="1" applyNumberFormat="1" applyFont="1" applyFill="1" applyBorder="1" applyAlignment="1">
      <alignment horizontal="center" vertical="center"/>
    </xf>
    <xf numFmtId="0" fontId="4" fillId="4" borderId="4" xfId="6" applyFont="1" applyFill="1" applyBorder="1" applyAlignment="1">
      <alignment horizontal="left" vertical="center"/>
    </xf>
    <xf numFmtId="191" fontId="4" fillId="4" borderId="4" xfId="1" applyNumberFormat="1" applyFont="1" applyFill="1" applyBorder="1" applyAlignment="1">
      <alignment horizontal="center" vertical="center"/>
    </xf>
    <xf numFmtId="200" fontId="4" fillId="4" borderId="4" xfId="6" applyNumberFormat="1" applyFont="1" applyFill="1" applyBorder="1" applyAlignment="1">
      <alignment horizontal="right" vertical="center"/>
    </xf>
    <xf numFmtId="2" fontId="120" fillId="4" borderId="5" xfId="0" applyNumberFormat="1" applyFont="1" applyFill="1" applyBorder="1" applyAlignment="1">
      <alignment horizontal="right" vertical="center"/>
    </xf>
    <xf numFmtId="2" fontId="4" fillId="4" borderId="4" xfId="6" applyNumberFormat="1" applyFont="1" applyFill="1" applyBorder="1" applyAlignment="1">
      <alignment horizontal="right" vertical="center"/>
    </xf>
    <xf numFmtId="0" fontId="7" fillId="0" borderId="17" xfId="0" applyFont="1" applyBorder="1"/>
    <xf numFmtId="2" fontId="7" fillId="0" borderId="11" xfId="0" applyNumberFormat="1" applyFont="1" applyFill="1" applyBorder="1"/>
    <xf numFmtId="191" fontId="120" fillId="4" borderId="0" xfId="1" applyNumberFormat="1" applyFont="1" applyFill="1" applyAlignment="1">
      <alignment vertical="center"/>
    </xf>
    <xf numFmtId="191" fontId="4" fillId="0" borderId="0" xfId="0" applyNumberFormat="1" applyFont="1" applyFill="1" applyBorder="1"/>
    <xf numFmtId="0" fontId="47" fillId="0" borderId="5" xfId="6" applyFont="1" applyFill="1" applyBorder="1" applyAlignment="1">
      <alignment horizontal="center" vertical="center"/>
    </xf>
    <xf numFmtId="188" fontId="8" fillId="0" borderId="5" xfId="6" applyNumberFormat="1" applyFont="1" applyBorder="1" applyAlignment="1">
      <alignment horizontal="left" shrinkToFit="1"/>
    </xf>
    <xf numFmtId="188" fontId="8" fillId="0" borderId="5" xfId="6" applyNumberFormat="1" applyFont="1" applyFill="1" applyBorder="1" applyAlignment="1">
      <alignment vertical="center" shrinkToFit="1"/>
    </xf>
    <xf numFmtId="198" fontId="91" fillId="0" borderId="5" xfId="3" applyNumberFormat="1" applyFont="1" applyFill="1" applyBorder="1" applyAlignment="1">
      <alignment horizontal="center" vertical="center" wrapText="1"/>
    </xf>
    <xf numFmtId="198" fontId="47" fillId="0" borderId="5" xfId="3" applyNumberFormat="1" applyFont="1" applyFill="1" applyBorder="1" applyAlignment="1">
      <alignment horizontal="center" vertical="center" wrapText="1"/>
    </xf>
    <xf numFmtId="196" fontId="46" fillId="0" borderId="5" xfId="3" applyNumberFormat="1" applyFont="1" applyFill="1" applyBorder="1" applyAlignment="1">
      <alignment horizontal="center" vertical="center" wrapText="1"/>
    </xf>
    <xf numFmtId="188" fontId="48" fillId="0" borderId="2" xfId="1" applyFont="1" applyFill="1" applyBorder="1" applyAlignment="1">
      <alignment horizontal="right" vertical="center"/>
    </xf>
    <xf numFmtId="191" fontId="119" fillId="4" borderId="3" xfId="0" applyNumberFormat="1" applyFont="1" applyFill="1" applyBorder="1" applyAlignment="1">
      <alignment vertical="center"/>
    </xf>
    <xf numFmtId="0" fontId="4" fillId="0" borderId="4" xfId="6" applyFont="1" applyFill="1" applyBorder="1" applyAlignment="1">
      <alignment horizontal="left" vertical="center"/>
    </xf>
    <xf numFmtId="200" fontId="4" fillId="4" borderId="17" xfId="6" applyNumberFormat="1" applyFont="1" applyFill="1" applyBorder="1" applyAlignment="1">
      <alignment horizontal="right" vertical="center"/>
    </xf>
    <xf numFmtId="192" fontId="7" fillId="4" borderId="4" xfId="12" applyNumberFormat="1" applyFont="1" applyFill="1" applyBorder="1" applyAlignment="1">
      <alignment horizontal="left" vertical="center" wrapText="1"/>
    </xf>
    <xf numFmtId="3" fontId="4" fillId="4" borderId="4" xfId="12" applyNumberFormat="1" applyFont="1" applyFill="1" applyBorder="1" applyAlignment="1">
      <alignment horizontal="right" vertical="center"/>
    </xf>
    <xf numFmtId="0" fontId="120" fillId="4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200" fontId="4" fillId="4" borderId="2" xfId="6" applyNumberFormat="1" applyFont="1" applyFill="1" applyBorder="1" applyAlignment="1">
      <alignment vertical="center"/>
    </xf>
    <xf numFmtId="200" fontId="4" fillId="4" borderId="2" xfId="6" applyNumberFormat="1" applyFont="1" applyFill="1" applyBorder="1" applyAlignment="1">
      <alignment horizontal="right" vertical="center"/>
    </xf>
    <xf numFmtId="191" fontId="120" fillId="4" borderId="2" xfId="1" applyNumberFormat="1" applyFont="1" applyFill="1" applyBorder="1" applyAlignment="1">
      <alignment vertical="center"/>
    </xf>
    <xf numFmtId="3" fontId="4" fillId="4" borderId="2" xfId="12" applyNumberFormat="1" applyFont="1" applyFill="1" applyBorder="1" applyAlignment="1">
      <alignment horizontal="right" vertical="center"/>
    </xf>
    <xf numFmtId="2" fontId="4" fillId="4" borderId="2" xfId="6" applyNumberFormat="1" applyFont="1" applyFill="1" applyBorder="1" applyAlignment="1">
      <alignment vertical="center"/>
    </xf>
    <xf numFmtId="192" fontId="7" fillId="4" borderId="2" xfId="12" applyNumberFormat="1" applyFont="1" applyFill="1" applyBorder="1" applyAlignment="1">
      <alignment horizontal="left" vertical="center" wrapText="1"/>
    </xf>
    <xf numFmtId="0" fontId="4" fillId="0" borderId="4" xfId="0" applyFont="1" applyBorder="1"/>
    <xf numFmtId="191" fontId="121" fillId="4" borderId="2" xfId="12" applyNumberFormat="1" applyFont="1" applyFill="1" applyBorder="1" applyAlignment="1">
      <alignment vertical="center" shrinkToFit="1"/>
    </xf>
    <xf numFmtId="190" fontId="121" fillId="4" borderId="2" xfId="1" applyNumberFormat="1" applyFont="1" applyFill="1" applyBorder="1" applyAlignment="1">
      <alignment vertical="center" shrinkToFit="1"/>
    </xf>
    <xf numFmtId="190" fontId="120" fillId="4" borderId="3" xfId="1" applyNumberFormat="1" applyFont="1" applyFill="1" applyBorder="1" applyAlignment="1">
      <alignment vertical="center"/>
    </xf>
    <xf numFmtId="0" fontId="119" fillId="4" borderId="7" xfId="0" applyFont="1" applyFill="1" applyBorder="1" applyAlignment="1">
      <alignment horizontal="center" vertical="center"/>
    </xf>
    <xf numFmtId="188" fontId="121" fillId="4" borderId="2" xfId="1" applyNumberFormat="1" applyFont="1" applyFill="1" applyBorder="1" applyAlignment="1">
      <alignment vertical="center" shrinkToFit="1"/>
    </xf>
    <xf numFmtId="188" fontId="121" fillId="4" borderId="2" xfId="1" applyNumberFormat="1" applyFont="1" applyFill="1" applyBorder="1" applyAlignment="1">
      <alignment vertical="center"/>
    </xf>
    <xf numFmtId="0" fontId="120" fillId="4" borderId="2" xfId="0" applyFont="1" applyFill="1" applyBorder="1" applyAlignment="1">
      <alignment horizontal="center" vertical="center"/>
    </xf>
    <xf numFmtId="0" fontId="4" fillId="0" borderId="2" xfId="6" applyFont="1" applyFill="1" applyBorder="1" applyAlignment="1">
      <alignment horizontal="left" vertical="center"/>
    </xf>
    <xf numFmtId="0" fontId="4" fillId="0" borderId="2" xfId="6" applyFont="1" applyFill="1" applyBorder="1" applyAlignment="1">
      <alignment horizontal="left" vertical="center" wrapText="1"/>
    </xf>
    <xf numFmtId="4" fontId="4" fillId="0" borderId="3" xfId="6" applyNumberFormat="1" applyFont="1" applyFill="1" applyBorder="1" applyAlignment="1">
      <alignment horizontal="left" vertical="center"/>
    </xf>
    <xf numFmtId="4" fontId="4" fillId="4" borderId="3" xfId="0" applyNumberFormat="1" applyFont="1" applyFill="1" applyBorder="1" applyAlignment="1">
      <alignment vertical="center"/>
    </xf>
    <xf numFmtId="4" fontId="81" fillId="4" borderId="3" xfId="0" applyNumberFormat="1" applyFont="1" applyFill="1" applyBorder="1" applyAlignment="1">
      <alignment vertical="center"/>
    </xf>
    <xf numFmtId="4" fontId="81" fillId="0" borderId="4" xfId="6" applyNumberFormat="1" applyFont="1" applyFill="1" applyBorder="1" applyAlignment="1">
      <alignment horizontal="left" vertical="center"/>
    </xf>
    <xf numFmtId="4" fontId="4" fillId="0" borderId="4" xfId="6" applyNumberFormat="1" applyFont="1" applyFill="1" applyBorder="1" applyAlignment="1">
      <alignment horizontal="left" vertical="center"/>
    </xf>
    <xf numFmtId="4" fontId="81" fillId="4" borderId="4" xfId="0" applyNumberFormat="1" applyFont="1" applyFill="1" applyBorder="1" applyAlignment="1">
      <alignment vertical="center"/>
    </xf>
    <xf numFmtId="4" fontId="4" fillId="0" borderId="4" xfId="0" applyNumberFormat="1" applyFont="1" applyFill="1" applyBorder="1" applyAlignment="1">
      <alignment vertical="center"/>
    </xf>
    <xf numFmtId="4" fontId="81" fillId="0" borderId="4" xfId="0" applyNumberFormat="1" applyFont="1" applyFill="1" applyBorder="1" applyAlignment="1">
      <alignment vertical="center"/>
    </xf>
    <xf numFmtId="4" fontId="4" fillId="0" borderId="5" xfId="6" applyNumberFormat="1" applyFont="1" applyFill="1" applyBorder="1" applyAlignment="1">
      <alignment horizontal="left" vertical="center"/>
    </xf>
    <xf numFmtId="4" fontId="81" fillId="0" borderId="5" xfId="0" applyNumberFormat="1" applyFont="1" applyFill="1" applyBorder="1" applyAlignment="1">
      <alignment vertical="center"/>
    </xf>
    <xf numFmtId="3" fontId="120" fillId="4" borderId="3" xfId="0" applyNumberFormat="1" applyFont="1" applyFill="1" applyBorder="1" applyAlignment="1">
      <alignment horizontal="center" vertical="center"/>
    </xf>
    <xf numFmtId="3" fontId="120" fillId="4" borderId="4" xfId="0" applyNumberFormat="1" applyFont="1" applyFill="1" applyBorder="1" applyAlignment="1">
      <alignment horizontal="center" vertical="center"/>
    </xf>
    <xf numFmtId="191" fontId="121" fillId="4" borderId="3" xfId="1" applyNumberFormat="1" applyFont="1" applyFill="1" applyBorder="1" applyAlignment="1">
      <alignment vertical="center" shrinkToFit="1"/>
    </xf>
    <xf numFmtId="188" fontId="121" fillId="4" borderId="3" xfId="1" applyFont="1" applyFill="1" applyBorder="1" applyAlignment="1">
      <alignment vertical="center" shrinkToFit="1"/>
    </xf>
    <xf numFmtId="191" fontId="4" fillId="4" borderId="2" xfId="1" applyNumberFormat="1" applyFont="1" applyFill="1" applyBorder="1" applyAlignment="1">
      <alignment horizontal="center" vertical="center"/>
    </xf>
    <xf numFmtId="191" fontId="4" fillId="4" borderId="3" xfId="1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 vertical="center"/>
    </xf>
    <xf numFmtId="0" fontId="98" fillId="0" borderId="0" xfId="0" applyFont="1"/>
    <xf numFmtId="0" fontId="38" fillId="0" borderId="0" xfId="0" applyFont="1" applyFill="1" applyAlignment="1">
      <alignment horizontal="left"/>
    </xf>
    <xf numFmtId="188" fontId="153" fillId="0" borderId="0" xfId="1" applyFont="1" applyFill="1" applyAlignment="1"/>
    <xf numFmtId="0" fontId="37" fillId="0" borderId="0" xfId="0" applyFont="1" applyFill="1" applyAlignment="1">
      <alignment horizontal="left"/>
    </xf>
    <xf numFmtId="196" fontId="38" fillId="0" borderId="0" xfId="0" applyNumberFormat="1" applyFont="1" applyFill="1"/>
    <xf numFmtId="0" fontId="154" fillId="0" borderId="0" xfId="0" applyFont="1" applyFill="1"/>
    <xf numFmtId="191" fontId="38" fillId="5" borderId="0" xfId="1" applyNumberFormat="1" applyFont="1" applyFill="1" applyAlignment="1">
      <alignment horizontal="left"/>
    </xf>
    <xf numFmtId="205" fontId="38" fillId="5" borderId="0" xfId="1" applyNumberFormat="1" applyFont="1" applyFill="1" applyAlignment="1">
      <alignment horizontal="left"/>
    </xf>
    <xf numFmtId="198" fontId="38" fillId="0" borderId="0" xfId="0" applyNumberFormat="1" applyFont="1" applyFill="1"/>
    <xf numFmtId="0" fontId="38" fillId="0" borderId="0" xfId="0" applyNumberFormat="1" applyFont="1" applyFill="1" applyAlignment="1">
      <alignment horizontal="right"/>
    </xf>
    <xf numFmtId="212" fontId="38" fillId="0" borderId="0" xfId="0" applyNumberFormat="1" applyFont="1" applyFill="1" applyAlignment="1">
      <alignment horizontal="left"/>
    </xf>
    <xf numFmtId="0" fontId="155" fillId="0" borderId="0" xfId="0" applyNumberFormat="1" applyFont="1" applyFill="1" applyBorder="1" applyAlignment="1">
      <alignment horizontal="center"/>
    </xf>
    <xf numFmtId="0" fontId="37" fillId="0" borderId="2" xfId="0" applyNumberFormat="1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horizontal="center" vertical="center"/>
    </xf>
    <xf numFmtId="0" fontId="37" fillId="0" borderId="12" xfId="0" applyFont="1" applyFill="1" applyBorder="1" applyAlignment="1">
      <alignment vertical="center"/>
    </xf>
    <xf numFmtId="0" fontId="132" fillId="0" borderId="2" xfId="0" applyFont="1" applyBorder="1"/>
    <xf numFmtId="1" fontId="38" fillId="0" borderId="3" xfId="0" applyNumberFormat="1" applyFont="1" applyFill="1" applyBorder="1" applyAlignment="1">
      <alignment vertical="center"/>
    </xf>
    <xf numFmtId="2" fontId="4" fillId="0" borderId="3" xfId="6" applyNumberFormat="1" applyFont="1" applyFill="1" applyBorder="1" applyAlignment="1">
      <alignment horizontal="left" vertical="center"/>
    </xf>
    <xf numFmtId="1" fontId="38" fillId="0" borderId="4" xfId="0" applyNumberFormat="1" applyFont="1" applyFill="1" applyBorder="1" applyAlignment="1">
      <alignment vertical="center"/>
    </xf>
    <xf numFmtId="2" fontId="81" fillId="0" borderId="4" xfId="6" applyNumberFormat="1" applyFont="1" applyFill="1" applyBorder="1" applyAlignment="1">
      <alignment horizontal="left" vertical="center"/>
    </xf>
    <xf numFmtId="2" fontId="4" fillId="0" borderId="4" xfId="6" applyNumberFormat="1" applyFont="1" applyFill="1" applyBorder="1" applyAlignment="1">
      <alignment horizontal="left" vertical="center"/>
    </xf>
    <xf numFmtId="2" fontId="4" fillId="0" borderId="4" xfId="0" applyNumberFormat="1" applyFont="1" applyFill="1" applyBorder="1" applyAlignment="1">
      <alignment vertical="center"/>
    </xf>
    <xf numFmtId="1" fontId="38" fillId="0" borderId="5" xfId="0" applyNumberFormat="1" applyFont="1" applyFill="1" applyBorder="1" applyAlignment="1">
      <alignment vertical="center"/>
    </xf>
    <xf numFmtId="2" fontId="4" fillId="0" borderId="5" xfId="6" applyNumberFormat="1" applyFont="1" applyFill="1" applyBorder="1" applyAlignment="1">
      <alignment horizontal="left" vertical="center"/>
    </xf>
    <xf numFmtId="0" fontId="132" fillId="0" borderId="12" xfId="0" applyFont="1" applyBorder="1" applyAlignment="1"/>
    <xf numFmtId="0" fontId="98" fillId="0" borderId="2" xfId="0" applyFont="1" applyBorder="1"/>
    <xf numFmtId="0" fontId="98" fillId="0" borderId="3" xfId="0" applyFont="1" applyBorder="1"/>
    <xf numFmtId="3" fontId="156" fillId="0" borderId="49" xfId="0" applyNumberFormat="1" applyFont="1" applyFill="1" applyBorder="1" applyAlignment="1">
      <alignment horizontal="right" vertical="top" shrinkToFit="1"/>
    </xf>
    <xf numFmtId="0" fontId="98" fillId="0" borderId="4" xfId="0" applyFont="1" applyBorder="1"/>
    <xf numFmtId="3" fontId="156" fillId="0" borderId="50" xfId="0" applyNumberFormat="1" applyFont="1" applyFill="1" applyBorder="1" applyAlignment="1">
      <alignment horizontal="right" vertical="top" shrinkToFit="1"/>
    </xf>
    <xf numFmtId="0" fontId="98" fillId="0" borderId="5" xfId="0" applyFont="1" applyBorder="1"/>
    <xf numFmtId="3" fontId="156" fillId="0" borderId="51" xfId="0" applyNumberFormat="1" applyFont="1" applyFill="1" applyBorder="1" applyAlignment="1">
      <alignment horizontal="right" vertical="top" shrinkToFit="1"/>
    </xf>
    <xf numFmtId="0" fontId="132" fillId="0" borderId="6" xfId="0" applyFont="1" applyBorder="1" applyAlignment="1"/>
    <xf numFmtId="0" fontId="8" fillId="0" borderId="2" xfId="0" applyFont="1" applyFill="1" applyBorder="1" applyAlignment="1">
      <alignment vertical="center"/>
    </xf>
    <xf numFmtId="0" fontId="157" fillId="0" borderId="2" xfId="0" applyNumberFormat="1" applyFont="1" applyFill="1" applyBorder="1" applyAlignment="1">
      <alignment vertical="center"/>
    </xf>
    <xf numFmtId="0" fontId="24" fillId="0" borderId="0" xfId="0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157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1" fontId="98" fillId="0" borderId="3" xfId="1" applyNumberFormat="1" applyFont="1" applyBorder="1" applyAlignment="1">
      <alignment shrinkToFit="1"/>
    </xf>
    <xf numFmtId="188" fontId="98" fillId="0" borderId="3" xfId="1" applyNumberFormat="1" applyFont="1" applyBorder="1" applyAlignment="1">
      <alignment shrinkToFit="1"/>
    </xf>
    <xf numFmtId="1" fontId="98" fillId="0" borderId="4" xfId="1" applyNumberFormat="1" applyFont="1" applyBorder="1" applyAlignment="1">
      <alignment shrinkToFit="1"/>
    </xf>
    <xf numFmtId="188" fontId="98" fillId="0" borderId="3" xfId="1" applyFont="1" applyBorder="1" applyAlignment="1">
      <alignment shrinkToFit="1"/>
    </xf>
    <xf numFmtId="2" fontId="98" fillId="0" borderId="4" xfId="0" applyNumberFormat="1" applyFont="1" applyBorder="1" applyAlignment="1">
      <alignment shrinkToFit="1"/>
    </xf>
    <xf numFmtId="1" fontId="98" fillId="0" borderId="5" xfId="0" applyNumberFormat="1" applyFont="1" applyBorder="1" applyAlignment="1">
      <alignment shrinkToFit="1"/>
    </xf>
    <xf numFmtId="2" fontId="98" fillId="0" borderId="5" xfId="0" applyNumberFormat="1" applyFont="1" applyBorder="1" applyAlignment="1">
      <alignment shrinkToFit="1"/>
    </xf>
    <xf numFmtId="0" fontId="98" fillId="0" borderId="3" xfId="0" applyFont="1" applyBorder="1" applyAlignment="1">
      <alignment shrinkToFit="1"/>
    </xf>
    <xf numFmtId="0" fontId="98" fillId="0" borderId="4" xfId="0" applyFont="1" applyBorder="1" applyAlignment="1">
      <alignment shrinkToFit="1"/>
    </xf>
    <xf numFmtId="0" fontId="98" fillId="0" borderId="5" xfId="0" applyFont="1" applyBorder="1" applyAlignment="1">
      <alignment shrinkToFit="1"/>
    </xf>
    <xf numFmtId="2" fontId="98" fillId="0" borderId="3" xfId="0" applyNumberFormat="1" applyFont="1" applyBorder="1" applyAlignment="1">
      <alignment shrinkToFit="1"/>
    </xf>
    <xf numFmtId="188" fontId="2" fillId="0" borderId="2" xfId="1" applyNumberFormat="1" applyFont="1" applyFill="1" applyBorder="1" applyAlignment="1">
      <alignment vertical="center" shrinkToFit="1"/>
    </xf>
    <xf numFmtId="188" fontId="2" fillId="0" borderId="2" xfId="1" applyFont="1" applyFill="1" applyBorder="1" applyAlignment="1">
      <alignment vertical="center" shrinkToFit="1"/>
    </xf>
    <xf numFmtId="0" fontId="10" fillId="0" borderId="2" xfId="0" applyFont="1" applyFill="1" applyBorder="1" applyAlignment="1">
      <alignment vertical="center"/>
    </xf>
    <xf numFmtId="0" fontId="132" fillId="0" borderId="3" xfId="0" applyFont="1" applyBorder="1"/>
    <xf numFmtId="188" fontId="98" fillId="0" borderId="4" xfId="1" applyNumberFormat="1" applyFont="1" applyBorder="1" applyAlignment="1">
      <alignment shrinkToFit="1"/>
    </xf>
    <xf numFmtId="188" fontId="98" fillId="0" borderId="4" xfId="1" applyFont="1" applyBorder="1" applyAlignment="1">
      <alignment shrinkToFit="1"/>
    </xf>
    <xf numFmtId="0" fontId="132" fillId="0" borderId="4" xfId="0" applyFont="1" applyBorder="1"/>
    <xf numFmtId="190" fontId="98" fillId="0" borderId="4" xfId="1" applyNumberFormat="1" applyFont="1" applyBorder="1" applyAlignment="1">
      <alignment shrinkToFit="1"/>
    </xf>
    <xf numFmtId="191" fontId="98" fillId="0" borderId="4" xfId="1" applyNumberFormat="1" applyFont="1" applyBorder="1" applyAlignment="1">
      <alignment shrinkToFit="1"/>
    </xf>
    <xf numFmtId="191" fontId="4" fillId="4" borderId="5" xfId="0" applyNumberFormat="1" applyFont="1" applyFill="1" applyBorder="1" applyAlignment="1">
      <alignment vertical="center" shrinkToFit="1"/>
    </xf>
    <xf numFmtId="1" fontId="98" fillId="0" borderId="5" xfId="1" applyNumberFormat="1" applyFont="1" applyBorder="1" applyAlignment="1">
      <alignment shrinkToFit="1"/>
    </xf>
    <xf numFmtId="188" fontId="98" fillId="0" borderId="5" xfId="1" applyFont="1" applyBorder="1" applyAlignment="1">
      <alignment shrinkToFit="1"/>
    </xf>
    <xf numFmtId="0" fontId="38" fillId="0" borderId="3" xfId="0" applyFont="1" applyFill="1" applyBorder="1" applyAlignment="1">
      <alignment vertical="center" shrinkToFit="1"/>
    </xf>
    <xf numFmtId="0" fontId="38" fillId="0" borderId="4" xfId="0" applyFont="1" applyFill="1" applyBorder="1" applyAlignment="1">
      <alignment vertical="center" shrinkToFit="1"/>
    </xf>
    <xf numFmtId="0" fontId="98" fillId="0" borderId="4" xfId="0" applyFont="1" applyBorder="1" applyAlignment="1"/>
    <xf numFmtId="0" fontId="4" fillId="0" borderId="5" xfId="6" applyFont="1" applyFill="1" applyBorder="1" applyAlignment="1">
      <alignment horizontal="left" vertical="center"/>
    </xf>
    <xf numFmtId="190" fontId="98" fillId="0" borderId="5" xfId="1" applyNumberFormat="1" applyFont="1" applyBorder="1" applyAlignment="1">
      <alignment shrinkToFit="1"/>
    </xf>
    <xf numFmtId="191" fontId="132" fillId="0" borderId="2" xfId="1" applyNumberFormat="1" applyFont="1" applyBorder="1" applyAlignment="1">
      <alignment shrinkToFit="1"/>
    </xf>
    <xf numFmtId="188" fontId="38" fillId="0" borderId="3" xfId="1" applyFont="1" applyFill="1" applyBorder="1" applyAlignment="1">
      <alignment horizontal="right" vertical="center" shrinkToFit="1"/>
    </xf>
    <xf numFmtId="188" fontId="38" fillId="0" borderId="4" xfId="1" applyFont="1" applyFill="1" applyBorder="1" applyAlignment="1">
      <alignment horizontal="right" vertical="center" shrinkToFit="1"/>
    </xf>
    <xf numFmtId="188" fontId="38" fillId="0" borderId="5" xfId="1" applyFont="1" applyFill="1" applyBorder="1" applyAlignment="1">
      <alignment horizontal="right" vertical="center" shrinkToFit="1"/>
    </xf>
    <xf numFmtId="0" fontId="8" fillId="0" borderId="2" xfId="0" applyNumberFormat="1" applyFont="1" applyFill="1" applyBorder="1" applyAlignment="1">
      <alignment vertical="center" shrinkToFit="1"/>
    </xf>
    <xf numFmtId="188" fontId="98" fillId="0" borderId="0" xfId="0" applyNumberFormat="1" applyFont="1"/>
    <xf numFmtId="1" fontId="120" fillId="4" borderId="3" xfId="1" applyNumberFormat="1" applyFont="1" applyFill="1" applyBorder="1" applyAlignment="1">
      <alignment horizontal="center" vertical="center"/>
    </xf>
    <xf numFmtId="192" fontId="7" fillId="4" borderId="3" xfId="12" applyNumberFormat="1" applyFont="1" applyFill="1" applyBorder="1" applyAlignment="1">
      <alignment horizontal="left" vertical="center" wrapText="1"/>
    </xf>
    <xf numFmtId="0" fontId="121" fillId="4" borderId="2" xfId="0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left" vertical="center"/>
    </xf>
    <xf numFmtId="191" fontId="121" fillId="4" borderId="11" xfId="1" applyNumberFormat="1" applyFont="1" applyFill="1" applyBorder="1" applyAlignment="1">
      <alignment horizontal="right" vertical="center" indent="1" shrinkToFit="1"/>
    </xf>
    <xf numFmtId="0" fontId="120" fillId="4" borderId="2" xfId="0" applyFont="1" applyFill="1" applyBorder="1"/>
    <xf numFmtId="0" fontId="120" fillId="4" borderId="2" xfId="0" applyFont="1" applyFill="1" applyBorder="1" applyAlignment="1">
      <alignment vertical="center"/>
    </xf>
    <xf numFmtId="0" fontId="121" fillId="4" borderId="2" xfId="0" applyFont="1" applyFill="1" applyBorder="1" applyAlignment="1">
      <alignment vertical="center"/>
    </xf>
    <xf numFmtId="191" fontId="4" fillId="4" borderId="3" xfId="1" applyNumberFormat="1" applyFont="1" applyFill="1" applyBorder="1" applyAlignment="1">
      <alignment vertical="center"/>
    </xf>
    <xf numFmtId="191" fontId="121" fillId="4" borderId="11" xfId="1" applyNumberFormat="1" applyFont="1" applyFill="1" applyBorder="1" applyAlignment="1">
      <alignment vertical="center"/>
    </xf>
    <xf numFmtId="0" fontId="120" fillId="4" borderId="3" xfId="0" applyFont="1" applyFill="1" applyBorder="1" applyAlignment="1">
      <alignment vertical="center"/>
    </xf>
    <xf numFmtId="0" fontId="120" fillId="0" borderId="4" xfId="0" applyFont="1" applyFill="1" applyBorder="1" applyAlignment="1">
      <alignment vertical="center"/>
    </xf>
    <xf numFmtId="3" fontId="120" fillId="4" borderId="5" xfId="0" applyNumberFormat="1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right" vertical="center"/>
    </xf>
    <xf numFmtId="0" fontId="120" fillId="0" borderId="5" xfId="0" applyFont="1" applyFill="1" applyBorder="1" applyAlignment="1">
      <alignment vertical="center"/>
    </xf>
    <xf numFmtId="0" fontId="121" fillId="4" borderId="3" xfId="0" applyFont="1" applyFill="1" applyBorder="1" applyAlignment="1">
      <alignment vertical="center"/>
    </xf>
    <xf numFmtId="191" fontId="119" fillId="0" borderId="5" xfId="0" applyNumberFormat="1" applyFont="1" applyFill="1" applyBorder="1" applyAlignment="1">
      <alignment vertical="center"/>
    </xf>
    <xf numFmtId="0" fontId="121" fillId="0" borderId="5" xfId="0" applyFont="1" applyFill="1" applyBorder="1" applyAlignment="1">
      <alignment vertical="center"/>
    </xf>
    <xf numFmtId="191" fontId="3" fillId="0" borderId="2" xfId="1" applyNumberFormat="1" applyFont="1" applyFill="1" applyBorder="1" applyAlignment="1">
      <alignment vertical="center" shrinkToFit="1"/>
    </xf>
    <xf numFmtId="0" fontId="7" fillId="0" borderId="0" xfId="0" applyFont="1" applyFill="1" applyAlignment="1">
      <alignment vertical="center"/>
    </xf>
    <xf numFmtId="191" fontId="7" fillId="0" borderId="4" xfId="1" applyNumberFormat="1" applyFont="1" applyFill="1" applyBorder="1" applyAlignment="1">
      <alignment vertical="center" shrinkToFit="1"/>
    </xf>
    <xf numFmtId="188" fontId="7" fillId="0" borderId="0" xfId="0" applyNumberFormat="1" applyFont="1" applyFill="1" applyAlignment="1">
      <alignment vertical="center"/>
    </xf>
    <xf numFmtId="191" fontId="7" fillId="0" borderId="0" xfId="0" applyNumberFormat="1" applyFont="1" applyFill="1" applyAlignment="1">
      <alignment vertical="center"/>
    </xf>
    <xf numFmtId="191" fontId="3" fillId="0" borderId="2" xfId="5" applyNumberFormat="1" applyFont="1" applyFill="1" applyBorder="1" applyAlignment="1">
      <alignment horizontal="center" vertical="center" shrinkToFit="1"/>
    </xf>
    <xf numFmtId="3" fontId="121" fillId="0" borderId="2" xfId="0" applyNumberFormat="1" applyFont="1" applyFill="1" applyBorder="1" applyAlignment="1">
      <alignment vertical="center"/>
    </xf>
    <xf numFmtId="191" fontId="24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7" fillId="0" borderId="2" xfId="0" applyNumberFormat="1" applyFont="1" applyFill="1" applyBorder="1" applyAlignment="1">
      <alignment horizontal="center" vertical="center"/>
    </xf>
    <xf numFmtId="191" fontId="120" fillId="4" borderId="3" xfId="1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center" vertical="center" shrinkToFit="1"/>
    </xf>
    <xf numFmtId="43" fontId="38" fillId="0" borderId="0" xfId="0" applyNumberFormat="1" applyFont="1" applyFill="1" applyAlignment="1"/>
    <xf numFmtId="188" fontId="38" fillId="0" borderId="0" xfId="0" applyNumberFormat="1" applyFont="1" applyFill="1"/>
    <xf numFmtId="191" fontId="38" fillId="0" borderId="0" xfId="0" applyNumberFormat="1" applyFont="1" applyFill="1"/>
    <xf numFmtId="0" fontId="7" fillId="4" borderId="0" xfId="0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48" fillId="0" borderId="0" xfId="6" applyFont="1" applyFill="1" applyAlignment="1">
      <alignment horizontal="center"/>
    </xf>
    <xf numFmtId="191" fontId="72" fillId="4" borderId="0" xfId="1" applyNumberFormat="1" applyFont="1" applyFill="1" applyBorder="1" applyAlignment="1">
      <alignment horizontal="center" vertical="center"/>
    </xf>
    <xf numFmtId="205" fontId="72" fillId="4" borderId="0" xfId="1" applyNumberFormat="1" applyFont="1" applyFill="1" applyBorder="1" applyAlignment="1">
      <alignment horizontal="center" vertical="center"/>
    </xf>
    <xf numFmtId="191" fontId="7" fillId="0" borderId="0" xfId="1" applyNumberFormat="1" applyFont="1" applyFill="1" applyAlignment="1">
      <alignment vertical="center"/>
    </xf>
    <xf numFmtId="0" fontId="70" fillId="0" borderId="4" xfId="0" applyFont="1" applyFill="1" applyBorder="1"/>
    <xf numFmtId="191" fontId="4" fillId="0" borderId="0" xfId="1" applyNumberFormat="1" applyFont="1" applyFill="1" applyAlignment="1">
      <alignment horizontal="center"/>
    </xf>
    <xf numFmtId="188" fontId="75" fillId="0" borderId="0" xfId="5" applyNumberFormat="1" applyFont="1" applyFill="1" applyAlignment="1">
      <alignment horizontal="center"/>
    </xf>
    <xf numFmtId="0" fontId="75" fillId="0" borderId="0" xfId="5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188" fontId="8" fillId="0" borderId="0" xfId="1" applyFont="1" applyFill="1" applyAlignment="1">
      <alignment horizontal="right"/>
    </xf>
    <xf numFmtId="190" fontId="8" fillId="0" borderId="0" xfId="1" applyNumberFormat="1" applyFont="1" applyFill="1" applyAlignment="1">
      <alignment horizontal="right"/>
    </xf>
    <xf numFmtId="0" fontId="2" fillId="0" borderId="0" xfId="5" applyFont="1" applyFill="1" applyAlignment="1">
      <alignment horizontal="center"/>
    </xf>
    <xf numFmtId="188" fontId="8" fillId="0" borderId="0" xfId="1" applyNumberFormat="1" applyFont="1" applyFill="1" applyAlignment="1">
      <alignment horizontal="right"/>
    </xf>
    <xf numFmtId="191" fontId="2" fillId="0" borderId="0" xfId="5" applyNumberFormat="1" applyFont="1" applyFill="1" applyAlignment="1">
      <alignment horizontal="center"/>
    </xf>
    <xf numFmtId="193" fontId="8" fillId="0" borderId="0" xfId="1" applyNumberFormat="1" applyFont="1" applyFill="1" applyAlignment="1">
      <alignment horizontal="right"/>
    </xf>
    <xf numFmtId="0" fontId="7" fillId="0" borderId="52" xfId="4" applyFont="1" applyFill="1" applyBorder="1" applyAlignment="1">
      <alignment vertical="center"/>
    </xf>
    <xf numFmtId="191" fontId="8" fillId="0" borderId="2" xfId="12" applyNumberFormat="1" applyFont="1" applyBorder="1" applyAlignment="1">
      <alignment horizontal="center" vertical="center"/>
    </xf>
    <xf numFmtId="43" fontId="4" fillId="0" borderId="0" xfId="0" applyNumberFormat="1" applyFont="1" applyFill="1"/>
    <xf numFmtId="191" fontId="152" fillId="0" borderId="7" xfId="5" applyNumberFormat="1" applyFont="1" applyFill="1" applyBorder="1" applyAlignment="1">
      <alignment horizontal="center" vertical="center" wrapText="1"/>
    </xf>
    <xf numFmtId="0" fontId="7" fillId="0" borderId="2" xfId="5" applyFont="1" applyFill="1" applyBorder="1" applyAlignment="1">
      <alignment vertical="center"/>
    </xf>
    <xf numFmtId="191" fontId="3" fillId="4" borderId="2" xfId="5" applyNumberFormat="1" applyFont="1" applyFill="1" applyBorder="1" applyAlignment="1">
      <alignment horizontal="center" vertical="center" shrinkToFit="1"/>
    </xf>
    <xf numFmtId="191" fontId="3" fillId="4" borderId="2" xfId="1" applyNumberFormat="1" applyFont="1" applyFill="1" applyBorder="1" applyAlignment="1">
      <alignment horizontal="right" vertical="center" shrinkToFit="1"/>
    </xf>
    <xf numFmtId="191" fontId="121" fillId="4" borderId="2" xfId="1" applyNumberFormat="1" applyFont="1" applyFill="1" applyBorder="1" applyAlignment="1">
      <alignment horizontal="right" vertical="center" shrinkToFit="1"/>
    </xf>
    <xf numFmtId="193" fontId="4" fillId="0" borderId="0" xfId="0" applyNumberFormat="1" applyFont="1" applyFill="1"/>
    <xf numFmtId="0" fontId="121" fillId="4" borderId="2" xfId="0" applyFont="1" applyFill="1" applyBorder="1" applyAlignment="1">
      <alignment horizontal="center" vertical="center"/>
    </xf>
    <xf numFmtId="188" fontId="7" fillId="0" borderId="0" xfId="0" applyNumberFormat="1" applyFont="1"/>
    <xf numFmtId="187" fontId="7" fillId="4" borderId="0" xfId="0" applyNumberFormat="1" applyFont="1" applyFill="1" applyAlignment="1">
      <alignment vertical="center"/>
    </xf>
    <xf numFmtId="188" fontId="3" fillId="4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center" vertical="center" shrinkToFit="1"/>
    </xf>
    <xf numFmtId="191" fontId="3" fillId="4" borderId="0" xfId="5" applyNumberFormat="1" applyFont="1" applyFill="1" applyAlignment="1">
      <alignment horizontal="center" vertical="center"/>
    </xf>
    <xf numFmtId="0" fontId="3" fillId="4" borderId="0" xfId="5" applyFont="1" applyFill="1" applyAlignment="1">
      <alignment horizontal="center" vertical="center"/>
    </xf>
    <xf numFmtId="191" fontId="26" fillId="4" borderId="0" xfId="5" applyNumberFormat="1" applyFont="1" applyFill="1" applyAlignment="1">
      <alignment horizontal="center" vertical="center"/>
    </xf>
    <xf numFmtId="191" fontId="3" fillId="4" borderId="0" xfId="5" applyNumberFormat="1" applyFont="1" applyFill="1" applyAlignment="1">
      <alignment vertical="center"/>
    </xf>
    <xf numFmtId="0" fontId="7" fillId="4" borderId="0" xfId="5" applyFont="1" applyFill="1" applyAlignment="1">
      <alignment vertical="center"/>
    </xf>
    <xf numFmtId="0" fontId="78" fillId="0" borderId="0" xfId="0" applyNumberFormat="1" applyFont="1" applyFill="1" applyBorder="1" applyAlignment="1">
      <alignment horizontal="center" vertical="center" shrinkToFit="1"/>
    </xf>
    <xf numFmtId="3" fontId="4" fillId="4" borderId="4" xfId="12" applyNumberFormat="1" applyFont="1" applyFill="1" applyBorder="1" applyAlignment="1">
      <alignment vertical="center"/>
    </xf>
    <xf numFmtId="188" fontId="120" fillId="4" borderId="5" xfId="1" applyNumberFormat="1" applyFont="1" applyFill="1" applyBorder="1" applyAlignment="1">
      <alignment vertical="center"/>
    </xf>
    <xf numFmtId="191" fontId="2" fillId="0" borderId="0" xfId="0" applyNumberFormat="1" applyFont="1" applyFill="1" applyAlignment="1"/>
    <xf numFmtId="191" fontId="4" fillId="0" borderId="0" xfId="1" applyNumberFormat="1" applyFont="1" applyFill="1" applyAlignment="1">
      <alignment horizontal="center"/>
    </xf>
    <xf numFmtId="0" fontId="17" fillId="0" borderId="0" xfId="5" applyNumberFormat="1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2" fillId="0" borderId="0" xfId="5" applyFont="1" applyFill="1" applyAlignment="1">
      <alignment horizontal="center"/>
    </xf>
    <xf numFmtId="191" fontId="4" fillId="0" borderId="0" xfId="1" applyNumberFormat="1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0" fontId="13" fillId="0" borderId="0" xfId="5" applyFont="1" applyFill="1" applyAlignment="1">
      <alignment horizontal="left"/>
    </xf>
    <xf numFmtId="188" fontId="75" fillId="0" borderId="0" xfId="5" applyNumberFormat="1" applyFont="1" applyFill="1" applyAlignment="1">
      <alignment horizontal="center"/>
    </xf>
    <xf numFmtId="0" fontId="75" fillId="0" borderId="0" xfId="5" applyFont="1" applyFill="1" applyAlignment="1">
      <alignment horizontal="center"/>
    </xf>
    <xf numFmtId="0" fontId="3" fillId="0" borderId="2" xfId="5" applyFont="1" applyFill="1" applyBorder="1" applyAlignment="1">
      <alignment horizontal="center" vertical="center" wrapText="1"/>
    </xf>
    <xf numFmtId="188" fontId="8" fillId="0" borderId="0" xfId="1" applyFont="1" applyFill="1" applyAlignment="1">
      <alignment horizontal="right"/>
    </xf>
    <xf numFmtId="190" fontId="8" fillId="0" borderId="0" xfId="1" applyNumberFormat="1" applyFont="1" applyFill="1" applyAlignment="1">
      <alignment horizontal="right"/>
    </xf>
    <xf numFmtId="0" fontId="2" fillId="0" borderId="0" xfId="5" applyFont="1" applyFill="1" applyAlignment="1">
      <alignment horizontal="center"/>
    </xf>
    <xf numFmtId="188" fontId="8" fillId="0" borderId="0" xfId="1" applyNumberFormat="1" applyFont="1" applyFill="1" applyAlignment="1">
      <alignment horizontal="right"/>
    </xf>
    <xf numFmtId="191" fontId="2" fillId="0" borderId="0" xfId="5" applyNumberFormat="1" applyFont="1" applyFill="1" applyAlignment="1">
      <alignment horizontal="center"/>
    </xf>
    <xf numFmtId="193" fontId="8" fillId="0" borderId="0" xfId="1" applyNumberFormat="1" applyFont="1" applyFill="1" applyAlignment="1">
      <alignment horizontal="right"/>
    </xf>
    <xf numFmtId="0" fontId="7" fillId="0" borderId="0" xfId="5" applyFont="1" applyFill="1" applyAlignment="1">
      <alignment horizontal="center"/>
    </xf>
    <xf numFmtId="0" fontId="4" fillId="0" borderId="0" xfId="5" applyFont="1" applyFill="1" applyAlignment="1">
      <alignment horizontal="center"/>
    </xf>
    <xf numFmtId="3" fontId="4" fillId="4" borderId="3" xfId="12" applyNumberFormat="1" applyFont="1" applyFill="1" applyBorder="1" applyAlignment="1">
      <alignment vertical="center"/>
    </xf>
    <xf numFmtId="2" fontId="4" fillId="4" borderId="3" xfId="6" applyNumberFormat="1" applyFont="1" applyFill="1" applyBorder="1" applyAlignment="1">
      <alignment vertical="center"/>
    </xf>
    <xf numFmtId="0" fontId="4" fillId="4" borderId="5" xfId="6" applyFont="1" applyFill="1" applyBorder="1" applyAlignment="1">
      <alignment vertical="center"/>
    </xf>
    <xf numFmtId="0" fontId="4" fillId="4" borderId="5" xfId="6" applyFont="1" applyFill="1" applyBorder="1" applyAlignment="1">
      <alignment horizontal="left" vertical="center"/>
    </xf>
    <xf numFmtId="191" fontId="4" fillId="4" borderId="5" xfId="1" applyNumberFormat="1" applyFont="1" applyFill="1" applyBorder="1" applyAlignment="1">
      <alignment horizontal="center" vertical="center"/>
    </xf>
    <xf numFmtId="200" fontId="4" fillId="4" borderId="5" xfId="6" applyNumberFormat="1" applyFont="1" applyFill="1" applyBorder="1" applyAlignment="1">
      <alignment horizontal="right" vertical="center"/>
    </xf>
    <xf numFmtId="3" fontId="4" fillId="4" borderId="5" xfId="12" applyNumberFormat="1" applyFont="1" applyFill="1" applyBorder="1" applyAlignment="1">
      <alignment horizontal="right" vertical="center"/>
    </xf>
    <xf numFmtId="2" fontId="4" fillId="4" borderId="5" xfId="6" applyNumberFormat="1" applyFont="1" applyFill="1" applyBorder="1" applyAlignment="1">
      <alignment horizontal="right" vertical="center"/>
    </xf>
    <xf numFmtId="191" fontId="66" fillId="0" borderId="0" xfId="5" applyNumberFormat="1" applyFont="1" applyFill="1" applyBorder="1" applyAlignment="1">
      <alignment vertical="center"/>
    </xf>
    <xf numFmtId="1" fontId="120" fillId="4" borderId="17" xfId="1" applyNumberFormat="1" applyFont="1" applyFill="1" applyBorder="1" applyAlignment="1">
      <alignment horizontal="left" vertical="center"/>
    </xf>
    <xf numFmtId="191" fontId="120" fillId="4" borderId="17" xfId="1" applyNumberFormat="1" applyFont="1" applyFill="1" applyBorder="1" applyAlignment="1">
      <alignment horizontal="center" vertical="center"/>
    </xf>
    <xf numFmtId="200" fontId="4" fillId="4" borderId="17" xfId="6" applyNumberFormat="1" applyFont="1" applyFill="1" applyBorder="1" applyAlignment="1">
      <alignment vertical="center"/>
    </xf>
    <xf numFmtId="192" fontId="7" fillId="4" borderId="17" xfId="12" applyNumberFormat="1" applyFont="1" applyFill="1" applyBorder="1" applyAlignment="1">
      <alignment horizontal="left" vertical="center" wrapText="1"/>
    </xf>
    <xf numFmtId="0" fontId="121" fillId="4" borderId="2" xfId="0" applyFont="1" applyFill="1" applyBorder="1" applyAlignment="1">
      <alignment horizontal="center" vertical="center"/>
    </xf>
    <xf numFmtId="0" fontId="121" fillId="4" borderId="2" xfId="0" applyFont="1" applyFill="1" applyBorder="1" applyAlignment="1">
      <alignment horizontal="center" vertical="center" wrapText="1"/>
    </xf>
    <xf numFmtId="192" fontId="121" fillId="4" borderId="2" xfId="12" applyNumberFormat="1" applyFont="1" applyFill="1" applyBorder="1" applyAlignment="1">
      <alignment horizontal="center" vertical="center" wrapText="1"/>
    </xf>
    <xf numFmtId="0" fontId="121" fillId="4" borderId="7" xfId="0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vertical="center"/>
    </xf>
    <xf numFmtId="3" fontId="4" fillId="4" borderId="9" xfId="0" applyNumberFormat="1" applyFont="1" applyFill="1" applyBorder="1" applyAlignment="1">
      <alignment vertical="center"/>
    </xf>
    <xf numFmtId="0" fontId="48" fillId="0" borderId="0" xfId="6" applyFont="1" applyFill="1" applyAlignment="1">
      <alignment horizontal="center"/>
    </xf>
    <xf numFmtId="188" fontId="67" fillId="0" borderId="0" xfId="1" applyFont="1" applyFill="1"/>
    <xf numFmtId="0" fontId="67" fillId="0" borderId="0" xfId="5" applyFont="1" applyFill="1"/>
    <xf numFmtId="0" fontId="67" fillId="0" borderId="0" xfId="0" applyFont="1"/>
    <xf numFmtId="0" fontId="67" fillId="0" borderId="2" xfId="0" applyFont="1" applyBorder="1"/>
    <xf numFmtId="191" fontId="67" fillId="0" borderId="2" xfId="1" applyNumberFormat="1" applyFont="1" applyBorder="1"/>
    <xf numFmtId="0" fontId="66" fillId="0" borderId="2" xfId="0" applyFont="1" applyBorder="1" applyAlignment="1">
      <alignment horizontal="center" vertical="center"/>
    </xf>
    <xf numFmtId="0" fontId="48" fillId="0" borderId="0" xfId="6" applyFont="1" applyFill="1" applyAlignment="1"/>
    <xf numFmtId="0" fontId="51" fillId="0" borderId="0" xfId="6" applyFont="1" applyFill="1" applyBorder="1" applyAlignment="1"/>
    <xf numFmtId="0" fontId="67" fillId="0" borderId="2" xfId="0" applyFont="1" applyBorder="1" applyAlignment="1">
      <alignment horizontal="center"/>
    </xf>
    <xf numFmtId="0" fontId="37" fillId="0" borderId="2" xfId="0" applyNumberFormat="1" applyFont="1" applyFill="1" applyBorder="1" applyAlignment="1">
      <alignment horizontal="center" vertical="center"/>
    </xf>
    <xf numFmtId="188" fontId="37" fillId="0" borderId="12" xfId="1" applyNumberFormat="1" applyFont="1" applyFill="1" applyBorder="1" applyAlignment="1">
      <alignment horizontal="center" vertical="center"/>
    </xf>
    <xf numFmtId="3" fontId="21" fillId="5" borderId="0" xfId="0" applyNumberFormat="1" applyFont="1" applyFill="1" applyAlignment="1">
      <alignment horizontal="center" vertical="center"/>
    </xf>
    <xf numFmtId="3" fontId="26" fillId="0" borderId="52" xfId="0" applyNumberFormat="1" applyFont="1" applyFill="1" applyBorder="1" applyAlignment="1">
      <alignment horizontal="center" vertical="center"/>
    </xf>
    <xf numFmtId="3" fontId="21" fillId="0" borderId="2" xfId="0" applyNumberFormat="1" applyFont="1" applyFill="1" applyBorder="1" applyAlignment="1">
      <alignment vertical="center"/>
    </xf>
    <xf numFmtId="3" fontId="22" fillId="4" borderId="2" xfId="0" applyNumberFormat="1" applyFont="1" applyFill="1" applyBorder="1" applyAlignment="1">
      <alignment horizontal="center" vertical="center"/>
    </xf>
    <xf numFmtId="3" fontId="26" fillId="0" borderId="2" xfId="0" quotePrefix="1" applyNumberFormat="1" applyFont="1" applyFill="1" applyBorder="1" applyAlignment="1">
      <alignment horizontal="center" vertical="center"/>
    </xf>
    <xf numFmtId="3" fontId="62" fillId="0" borderId="52" xfId="0" applyNumberFormat="1" applyFont="1" applyFill="1" applyBorder="1" applyAlignment="1">
      <alignment horizontal="center" vertical="center"/>
    </xf>
    <xf numFmtId="3" fontId="22" fillId="0" borderId="52" xfId="0" applyNumberFormat="1" applyFont="1" applyFill="1" applyBorder="1" applyAlignment="1">
      <alignment vertical="center"/>
    </xf>
    <xf numFmtId="3" fontId="58" fillId="0" borderId="2" xfId="0" applyNumberFormat="1" applyFont="1" applyFill="1" applyBorder="1" applyAlignment="1">
      <alignment horizontal="center" vertical="center"/>
    </xf>
    <xf numFmtId="4" fontId="26" fillId="0" borderId="2" xfId="0" applyNumberFormat="1" applyFont="1" applyFill="1" applyBorder="1" applyAlignment="1">
      <alignment vertical="center"/>
    </xf>
    <xf numFmtId="3" fontId="26" fillId="0" borderId="2" xfId="0" applyNumberFormat="1" applyFont="1" applyFill="1" applyBorder="1" applyAlignment="1">
      <alignment vertical="center"/>
    </xf>
    <xf numFmtId="3" fontId="26" fillId="0" borderId="11" xfId="0" applyNumberFormat="1" applyFont="1" applyFill="1" applyBorder="1" applyAlignment="1">
      <alignment vertical="center"/>
    </xf>
    <xf numFmtId="3" fontId="26" fillId="0" borderId="52" xfId="0" applyNumberFormat="1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3" fontId="21" fillId="0" borderId="11" xfId="0" applyNumberFormat="1" applyFont="1" applyFill="1" applyBorder="1" applyAlignment="1">
      <alignment vertical="center"/>
    </xf>
    <xf numFmtId="3" fontId="21" fillId="0" borderId="52" xfId="0" applyNumberFormat="1" applyFont="1" applyFill="1" applyBorder="1" applyAlignment="1">
      <alignment vertical="center"/>
    </xf>
    <xf numFmtId="3" fontId="21" fillId="0" borderId="11" xfId="0" applyNumberFormat="1" applyFont="1" applyFill="1" applyBorder="1" applyAlignment="1">
      <alignment horizontal="right" vertical="center"/>
    </xf>
    <xf numFmtId="3" fontId="21" fillId="0" borderId="11" xfId="0" applyNumberFormat="1" applyFont="1" applyFill="1" applyBorder="1" applyAlignment="1">
      <alignment horizontal="center" vertical="center"/>
    </xf>
    <xf numFmtId="3" fontId="21" fillId="0" borderId="52" xfId="0" applyNumberFormat="1" applyFont="1" applyFill="1" applyBorder="1" applyAlignment="1">
      <alignment horizontal="center" vertical="center"/>
    </xf>
    <xf numFmtId="3" fontId="21" fillId="0" borderId="2" xfId="0" applyNumberFormat="1" applyFont="1" applyFill="1" applyBorder="1" applyAlignment="1">
      <alignment horizontal="left" vertical="center"/>
    </xf>
    <xf numFmtId="3" fontId="26" fillId="0" borderId="11" xfId="0" applyNumberFormat="1" applyFont="1" applyFill="1" applyBorder="1" applyAlignment="1">
      <alignment horizontal="right" vertical="center"/>
    </xf>
    <xf numFmtId="4" fontId="60" fillId="0" borderId="2" xfId="0" applyNumberFormat="1" applyFont="1" applyFill="1" applyBorder="1" applyAlignment="1">
      <alignment vertical="center"/>
    </xf>
    <xf numFmtId="3" fontId="60" fillId="0" borderId="2" xfId="0" applyNumberFormat="1" applyFont="1" applyFill="1" applyBorder="1" applyAlignment="1">
      <alignment vertical="center"/>
    </xf>
    <xf numFmtId="3" fontId="60" fillId="0" borderId="11" xfId="0" applyNumberFormat="1" applyFont="1" applyFill="1" applyBorder="1" applyAlignment="1">
      <alignment horizontal="right" vertical="center"/>
    </xf>
    <xf numFmtId="3" fontId="60" fillId="0" borderId="52" xfId="0" applyNumberFormat="1" applyFont="1" applyFill="1" applyBorder="1" applyAlignment="1">
      <alignment horizontal="right" vertical="center"/>
    </xf>
    <xf numFmtId="3" fontId="26" fillId="0" borderId="0" xfId="0" applyNumberFormat="1" applyFont="1" applyFill="1" applyBorder="1" applyAlignment="1">
      <alignment vertical="center"/>
    </xf>
    <xf numFmtId="3" fontId="21" fillId="0" borderId="0" xfId="0" applyNumberFormat="1" applyFont="1" applyFill="1" applyBorder="1" applyAlignment="1">
      <alignment horizontal="center" vertical="center"/>
    </xf>
    <xf numFmtId="4" fontId="60" fillId="0" borderId="0" xfId="0" applyNumberFormat="1" applyFont="1" applyFill="1" applyBorder="1" applyAlignment="1">
      <alignment horizontal="center" vertical="center"/>
    </xf>
    <xf numFmtId="3" fontId="60" fillId="0" borderId="0" xfId="0" applyNumberFormat="1" applyFont="1" applyFill="1" applyBorder="1" applyAlignment="1">
      <alignment horizontal="right" vertical="center"/>
    </xf>
    <xf numFmtId="3" fontId="21" fillId="0" borderId="14" xfId="0" applyNumberFormat="1" applyFont="1" applyFill="1" applyBorder="1" applyAlignment="1">
      <alignment horizontal="center" vertical="center"/>
    </xf>
    <xf numFmtId="4" fontId="26" fillId="0" borderId="14" xfId="0" applyNumberFormat="1" applyFont="1" applyFill="1" applyBorder="1" applyAlignment="1">
      <alignment horizontal="center" vertical="center"/>
    </xf>
    <xf numFmtId="3" fontId="26" fillId="0" borderId="14" xfId="0" applyNumberFormat="1" applyFont="1" applyFill="1" applyBorder="1" applyAlignment="1">
      <alignment horizontal="center" vertical="center"/>
    </xf>
    <xf numFmtId="3" fontId="21" fillId="0" borderId="24" xfId="0" applyNumberFormat="1" applyFont="1" applyFill="1" applyBorder="1" applyAlignment="1">
      <alignment horizontal="center" vertical="center"/>
    </xf>
    <xf numFmtId="3" fontId="26" fillId="0" borderId="24" xfId="0" applyNumberFormat="1" applyFont="1" applyFill="1" applyBorder="1" applyAlignment="1">
      <alignment horizontal="center" vertical="center"/>
    </xf>
    <xf numFmtId="4" fontId="60" fillId="0" borderId="0" xfId="0" applyNumberFormat="1" applyFont="1" applyFill="1" applyBorder="1" applyAlignment="1">
      <alignment vertical="center"/>
    </xf>
    <xf numFmtId="3" fontId="60" fillId="0" borderId="0" xfId="0" applyNumberFormat="1" applyFont="1" applyFill="1" applyBorder="1" applyAlignment="1">
      <alignment vertical="center"/>
    </xf>
    <xf numFmtId="0" fontId="25" fillId="0" borderId="2" xfId="0" applyFont="1" applyFill="1" applyBorder="1" applyAlignment="1">
      <alignment horizontal="center" vertical="center"/>
    </xf>
    <xf numFmtId="192" fontId="121" fillId="4" borderId="2" xfId="2" applyNumberFormat="1" applyFont="1" applyFill="1" applyBorder="1" applyAlignment="1">
      <alignment horizontal="center" vertical="center" wrapText="1"/>
    </xf>
    <xf numFmtId="188" fontId="121" fillId="4" borderId="2" xfId="1" applyFont="1" applyFill="1" applyBorder="1" applyAlignment="1">
      <alignment horizontal="right" vertical="center" shrinkToFit="1"/>
    </xf>
    <xf numFmtId="188" fontId="121" fillId="4" borderId="2" xfId="2" applyNumberFormat="1" applyFont="1" applyFill="1" applyBorder="1" applyAlignment="1">
      <alignment horizontal="right" vertical="center" shrinkToFit="1"/>
    </xf>
    <xf numFmtId="188" fontId="121" fillId="4" borderId="2" xfId="0" applyNumberFormat="1" applyFont="1" applyFill="1" applyBorder="1" applyAlignment="1">
      <alignment vertical="center" shrinkToFit="1"/>
    </xf>
    <xf numFmtId="188" fontId="119" fillId="4" borderId="2" xfId="0" applyNumberFormat="1" applyFont="1" applyFill="1" applyBorder="1" applyAlignment="1">
      <alignment vertical="center" shrinkToFit="1"/>
    </xf>
    <xf numFmtId="188" fontId="120" fillId="4" borderId="0" xfId="1" applyFont="1" applyFill="1" applyAlignment="1">
      <alignment vertical="center" shrinkToFit="1"/>
    </xf>
    <xf numFmtId="3" fontId="120" fillId="4" borderId="0" xfId="0" applyNumberFormat="1" applyFont="1" applyFill="1" applyAlignment="1">
      <alignment vertical="center" shrinkToFit="1"/>
    </xf>
    <xf numFmtId="4" fontId="70" fillId="4" borderId="0" xfId="0" applyNumberFormat="1" applyFont="1" applyFill="1" applyAlignment="1">
      <alignment vertical="center" shrinkToFit="1"/>
    </xf>
    <xf numFmtId="0" fontId="67" fillId="4" borderId="4" xfId="7" applyFont="1" applyFill="1" applyBorder="1" applyAlignment="1">
      <alignment vertical="center" shrinkToFit="1"/>
    </xf>
    <xf numFmtId="212" fontId="72" fillId="4" borderId="0" xfId="0" applyNumberFormat="1" applyFont="1" applyFill="1" applyAlignment="1">
      <alignment horizontal="right" vertical="center"/>
    </xf>
    <xf numFmtId="0" fontId="166" fillId="0" borderId="0" xfId="0" applyFont="1" applyFill="1" applyBorder="1" applyAlignment="1"/>
    <xf numFmtId="0" fontId="151" fillId="0" borderId="0" xfId="0" applyFont="1" applyFill="1" applyBorder="1"/>
    <xf numFmtId="197" fontId="151" fillId="0" borderId="0" xfId="3" applyNumberFormat="1" applyFont="1" applyFill="1" applyBorder="1"/>
    <xf numFmtId="0" fontId="7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3" fontId="20" fillId="0" borderId="0" xfId="0" applyNumberFormat="1" applyFont="1" applyFill="1" applyBorder="1" applyAlignment="1">
      <alignment horizontal="left" vertical="center"/>
    </xf>
    <xf numFmtId="197" fontId="76" fillId="0" borderId="0" xfId="3" applyNumberFormat="1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left" vertical="center"/>
    </xf>
    <xf numFmtId="212" fontId="76" fillId="0" borderId="0" xfId="0" applyNumberFormat="1" applyFont="1" applyFill="1" applyBorder="1" applyAlignment="1">
      <alignment horizontal="left" vertical="center"/>
    </xf>
    <xf numFmtId="0" fontId="76" fillId="0" borderId="2" xfId="0" applyFont="1" applyFill="1" applyBorder="1" applyAlignment="1">
      <alignment horizontal="center" vertical="center"/>
    </xf>
    <xf numFmtId="0" fontId="76" fillId="0" borderId="2" xfId="0" applyFont="1" applyFill="1" applyBorder="1" applyAlignment="1">
      <alignment horizontal="center" vertical="center" wrapText="1"/>
    </xf>
    <xf numFmtId="37" fontId="76" fillId="0" borderId="2" xfId="3" applyNumberFormat="1" applyFont="1" applyFill="1" applyBorder="1" applyAlignment="1">
      <alignment horizontal="center" vertical="center" wrapText="1"/>
    </xf>
    <xf numFmtId="197" fontId="76" fillId="0" borderId="2" xfId="3" applyNumberFormat="1" applyFont="1" applyFill="1" applyBorder="1" applyAlignment="1">
      <alignment horizontal="center" vertical="center" wrapText="1"/>
    </xf>
    <xf numFmtId="197" fontId="76" fillId="0" borderId="2" xfId="3" applyNumberFormat="1" applyFont="1" applyFill="1" applyBorder="1" applyAlignment="1">
      <alignment horizontal="center" vertical="center"/>
    </xf>
    <xf numFmtId="0" fontId="170" fillId="0" borderId="2" xfId="0" applyFont="1" applyFill="1" applyBorder="1" applyAlignment="1">
      <alignment horizontal="center" vertical="center"/>
    </xf>
    <xf numFmtId="197" fontId="170" fillId="0" borderId="2" xfId="3" applyNumberFormat="1" applyFont="1" applyFill="1" applyBorder="1" applyAlignment="1">
      <alignment vertical="center"/>
    </xf>
    <xf numFmtId="0" fontId="172" fillId="0" borderId="0" xfId="0" applyFont="1" applyFill="1" applyBorder="1"/>
    <xf numFmtId="197" fontId="172" fillId="0" borderId="0" xfId="3" applyNumberFormat="1" applyFont="1" applyFill="1" applyBorder="1"/>
    <xf numFmtId="0" fontId="151" fillId="0" borderId="0" xfId="0" applyFont="1" applyFill="1"/>
    <xf numFmtId="197" fontId="151" fillId="0" borderId="0" xfId="3" applyNumberFormat="1" applyFont="1" applyFill="1"/>
    <xf numFmtId="0" fontId="76" fillId="0" borderId="0" xfId="0" quotePrefix="1" applyFont="1" applyFill="1" applyBorder="1" applyAlignment="1"/>
    <xf numFmtId="199" fontId="167" fillId="0" borderId="0" xfId="3" applyFont="1" applyFill="1" applyBorder="1" applyAlignment="1">
      <alignment horizontal="center"/>
    </xf>
    <xf numFmtId="0" fontId="167" fillId="0" borderId="0" xfId="0" applyFont="1" applyFill="1" applyBorder="1" applyAlignment="1">
      <alignment horizontal="center"/>
    </xf>
    <xf numFmtId="0" fontId="32" fillId="0" borderId="0" xfId="0" applyFont="1" applyFill="1" applyBorder="1"/>
    <xf numFmtId="199" fontId="166" fillId="0" borderId="0" xfId="3" applyFont="1" applyFill="1" applyBorder="1" applyAlignment="1">
      <alignment horizontal="center"/>
    </xf>
    <xf numFmtId="0" fontId="166" fillId="0" borderId="0" xfId="0" applyFont="1" applyFill="1" applyBorder="1" applyAlignment="1">
      <alignment horizontal="center"/>
    </xf>
    <xf numFmtId="199" fontId="151" fillId="0" borderId="0" xfId="3" applyFont="1" applyFill="1" applyBorder="1"/>
    <xf numFmtId="199" fontId="76" fillId="0" borderId="0" xfId="3" applyFont="1" applyFill="1" applyBorder="1" applyAlignment="1">
      <alignment horizontal="center" vertical="center"/>
    </xf>
    <xf numFmtId="0" fontId="76" fillId="0" borderId="0" xfId="0" applyNumberFormat="1" applyFont="1" applyFill="1" applyBorder="1" applyAlignment="1">
      <alignment horizontal="center" vertical="center"/>
    </xf>
    <xf numFmtId="0" fontId="173" fillId="0" borderId="0" xfId="0" applyNumberFormat="1" applyFont="1" applyFill="1" applyBorder="1" applyAlignment="1">
      <alignment horizontal="center" vertical="center"/>
    </xf>
    <xf numFmtId="0" fontId="170" fillId="0" borderId="0" xfId="0" applyFont="1" applyFill="1"/>
    <xf numFmtId="0" fontId="170" fillId="0" borderId="0" xfId="0" applyFont="1" applyFill="1" applyBorder="1"/>
    <xf numFmtId="197" fontId="170" fillId="0" borderId="0" xfId="3" applyNumberFormat="1" applyFont="1" applyFill="1" applyBorder="1"/>
    <xf numFmtId="199" fontId="170" fillId="0" borderId="0" xfId="3" applyFont="1" applyFill="1" applyBorder="1"/>
    <xf numFmtId="0" fontId="174" fillId="0" borderId="0" xfId="0" applyFont="1" applyFill="1" applyBorder="1"/>
    <xf numFmtId="0" fontId="167" fillId="0" borderId="0" xfId="0" applyFont="1" applyFill="1"/>
    <xf numFmtId="0" fontId="76" fillId="0" borderId="0" xfId="0" applyFont="1" applyFill="1" applyAlignment="1">
      <alignment horizontal="center" vertical="center" wrapText="1"/>
    </xf>
    <xf numFmtId="0" fontId="76" fillId="0" borderId="0" xfId="0" applyFont="1" applyFill="1" applyAlignment="1">
      <alignment horizontal="center" vertical="center"/>
    </xf>
    <xf numFmtId="0" fontId="167" fillId="0" borderId="0" xfId="0" applyFont="1" applyFill="1" applyAlignment="1">
      <alignment horizontal="center"/>
    </xf>
    <xf numFmtId="9" fontId="167" fillId="0" borderId="0" xfId="14" applyFont="1" applyFill="1" applyAlignment="1">
      <alignment horizontal="center"/>
    </xf>
    <xf numFmtId="0" fontId="170" fillId="0" borderId="2" xfId="0" applyFont="1" applyFill="1" applyBorder="1" applyAlignment="1">
      <alignment horizontal="center" vertical="center" wrapText="1"/>
    </xf>
    <xf numFmtId="0" fontId="170" fillId="0" borderId="2" xfId="0" quotePrefix="1" applyFont="1" applyFill="1" applyBorder="1" applyAlignment="1">
      <alignment horizontal="center" vertical="center" wrapText="1"/>
    </xf>
    <xf numFmtId="214" fontId="170" fillId="0" borderId="2" xfId="3" applyNumberFormat="1" applyFont="1" applyFill="1" applyBorder="1" applyAlignment="1">
      <alignment horizontal="center" vertical="center" wrapText="1"/>
    </xf>
    <xf numFmtId="214" fontId="170" fillId="0" borderId="2" xfId="3" quotePrefix="1" applyNumberFormat="1" applyFont="1" applyFill="1" applyBorder="1" applyAlignment="1">
      <alignment horizontal="center" vertical="center" wrapText="1"/>
    </xf>
    <xf numFmtId="214" fontId="170" fillId="0" borderId="2" xfId="0" applyNumberFormat="1" applyFont="1" applyFill="1" applyBorder="1" applyAlignment="1">
      <alignment horizontal="center" vertical="center" wrapText="1"/>
    </xf>
    <xf numFmtId="214" fontId="170" fillId="0" borderId="2" xfId="12" applyNumberFormat="1" applyFont="1" applyFill="1" applyBorder="1" applyAlignment="1">
      <alignment horizontal="center" vertical="center"/>
    </xf>
    <xf numFmtId="3" fontId="75" fillId="0" borderId="2" xfId="0" applyNumberFormat="1" applyFont="1" applyFill="1" applyBorder="1" applyAlignment="1">
      <alignment horizontal="center" vertical="center" wrapText="1"/>
    </xf>
    <xf numFmtId="0" fontId="76" fillId="0" borderId="2" xfId="0" applyFont="1" applyFill="1" applyBorder="1" applyAlignment="1">
      <alignment horizontal="left" vertical="center"/>
    </xf>
    <xf numFmtId="1" fontId="170" fillId="0" borderId="2" xfId="0" applyNumberFormat="1" applyFont="1" applyFill="1" applyBorder="1" applyAlignment="1">
      <alignment horizontal="center" vertical="center"/>
    </xf>
    <xf numFmtId="1" fontId="75" fillId="0" borderId="2" xfId="0" applyNumberFormat="1" applyFont="1" applyFill="1" applyBorder="1" applyAlignment="1">
      <alignment vertical="center" wrapText="1"/>
    </xf>
    <xf numFmtId="1" fontId="75" fillId="0" borderId="2" xfId="0" applyNumberFormat="1" applyFont="1" applyFill="1" applyBorder="1" applyAlignment="1">
      <alignment horizontal="center" vertical="center" wrapText="1"/>
    </xf>
    <xf numFmtId="1" fontId="170" fillId="0" borderId="2" xfId="0" applyNumberFormat="1" applyFont="1" applyFill="1" applyBorder="1" applyAlignment="1">
      <alignment horizontal="center"/>
    </xf>
    <xf numFmtId="0" fontId="170" fillId="0" borderId="0" xfId="0" applyFont="1" applyFill="1" applyAlignment="1">
      <alignment vertical="center"/>
    </xf>
    <xf numFmtId="197" fontId="167" fillId="0" borderId="0" xfId="3" applyNumberFormat="1" applyFont="1" applyFill="1" applyAlignment="1">
      <alignment vertical="center"/>
    </xf>
    <xf numFmtId="197" fontId="167" fillId="0" borderId="0" xfId="0" applyNumberFormat="1" applyFont="1" applyFill="1" applyAlignment="1">
      <alignment vertical="center"/>
    </xf>
    <xf numFmtId="0" fontId="167" fillId="0" borderId="0" xfId="0" applyFont="1" applyFill="1" applyAlignment="1">
      <alignment vertical="center"/>
    </xf>
    <xf numFmtId="1" fontId="75" fillId="0" borderId="2" xfId="6" applyNumberFormat="1" applyFont="1" applyFill="1" applyBorder="1" applyAlignment="1">
      <alignment horizontal="left" vertical="center"/>
    </xf>
    <xf numFmtId="1" fontId="75" fillId="0" borderId="2" xfId="0" applyNumberFormat="1" applyFont="1" applyFill="1" applyBorder="1" applyAlignment="1">
      <alignment vertical="center"/>
    </xf>
    <xf numFmtId="215" fontId="167" fillId="0" borderId="0" xfId="3" applyNumberFormat="1" applyFont="1" applyFill="1" applyAlignment="1">
      <alignment vertical="center"/>
    </xf>
    <xf numFmtId="1" fontId="76" fillId="0" borderId="2" xfId="0" applyNumberFormat="1" applyFont="1" applyFill="1" applyBorder="1" applyAlignment="1">
      <alignment vertical="center"/>
    </xf>
    <xf numFmtId="1" fontId="76" fillId="0" borderId="2" xfId="3" applyNumberFormat="1" applyFont="1" applyFill="1" applyBorder="1" applyAlignment="1">
      <alignment vertical="center"/>
    </xf>
    <xf numFmtId="4" fontId="170" fillId="0" borderId="0" xfId="0" applyNumberFormat="1" applyFont="1" applyFill="1" applyAlignment="1">
      <alignment vertical="center"/>
    </xf>
    <xf numFmtId="0" fontId="170" fillId="0" borderId="2" xfId="0" applyFont="1" applyFill="1" applyBorder="1"/>
    <xf numFmtId="197" fontId="170" fillId="0" borderId="2" xfId="3" applyNumberFormat="1" applyFont="1" applyFill="1" applyBorder="1"/>
    <xf numFmtId="0" fontId="172" fillId="0" borderId="0" xfId="0" applyFont="1" applyFill="1"/>
    <xf numFmtId="3" fontId="170" fillId="0" borderId="2" xfId="3" applyNumberFormat="1" applyFont="1" applyFill="1" applyBorder="1"/>
    <xf numFmtId="199" fontId="170" fillId="0" borderId="2" xfId="3" applyFont="1" applyFill="1" applyBorder="1"/>
    <xf numFmtId="0" fontId="174" fillId="0" borderId="2" xfId="0" applyFont="1" applyFill="1" applyBorder="1"/>
    <xf numFmtId="3" fontId="170" fillId="0" borderId="0" xfId="0" applyNumberFormat="1" applyFont="1" applyFill="1"/>
    <xf numFmtId="197" fontId="76" fillId="0" borderId="0" xfId="3" applyNumberFormat="1" applyFont="1" applyFill="1" applyAlignment="1"/>
    <xf numFmtId="0" fontId="76" fillId="0" borderId="0" xfId="0" applyFont="1" applyFill="1" applyAlignment="1"/>
    <xf numFmtId="0" fontId="76" fillId="0" borderId="0" xfId="0" applyFont="1" applyFill="1"/>
    <xf numFmtId="0" fontId="166" fillId="0" borderId="0" xfId="0" applyFont="1" applyFill="1"/>
    <xf numFmtId="197" fontId="170" fillId="0" borderId="0" xfId="3" applyNumberFormat="1" applyFont="1" applyFill="1"/>
    <xf numFmtId="199" fontId="170" fillId="0" borderId="0" xfId="3" applyFont="1" applyFill="1"/>
    <xf numFmtId="0" fontId="174" fillId="0" borderId="0" xfId="0" applyFont="1" applyFill="1"/>
    <xf numFmtId="197" fontId="172" fillId="0" borderId="0" xfId="3" applyNumberFormat="1" applyFont="1" applyFill="1"/>
    <xf numFmtId="199" fontId="172" fillId="0" borderId="0" xfId="3" applyFont="1" applyFill="1"/>
    <xf numFmtId="0" fontId="175" fillId="0" borderId="0" xfId="0" applyFont="1" applyFill="1"/>
    <xf numFmtId="3" fontId="175" fillId="0" borderId="0" xfId="0" applyNumberFormat="1" applyFont="1" applyFill="1"/>
    <xf numFmtId="3" fontId="172" fillId="0" borderId="0" xfId="0" applyNumberFormat="1" applyFont="1" applyFill="1"/>
    <xf numFmtId="9" fontId="175" fillId="0" borderId="0" xfId="0" applyNumberFormat="1" applyFont="1" applyFill="1"/>
    <xf numFmtId="197" fontId="175" fillId="0" borderId="0" xfId="3" applyNumberFormat="1" applyFont="1" applyFill="1"/>
    <xf numFmtId="192" fontId="172" fillId="0" borderId="0" xfId="0" applyNumberFormat="1" applyFont="1" applyFill="1"/>
    <xf numFmtId="0" fontId="170" fillId="0" borderId="0" xfId="0" applyFont="1" applyFill="1" applyBorder="1" applyAlignment="1">
      <alignment vertical="center"/>
    </xf>
    <xf numFmtId="0" fontId="76" fillId="0" borderId="0" xfId="0" applyFont="1" applyFill="1" applyBorder="1"/>
    <xf numFmtId="0" fontId="76" fillId="0" borderId="0" xfId="0" applyFont="1" applyFill="1" applyBorder="1" applyAlignment="1">
      <alignment horizontal="center" vertical="center" wrapText="1"/>
    </xf>
    <xf numFmtId="9" fontId="167" fillId="0" borderId="0" xfId="14" applyFont="1" applyFill="1" applyBorder="1" applyAlignment="1">
      <alignment horizontal="center"/>
    </xf>
    <xf numFmtId="197" fontId="165" fillId="0" borderId="0" xfId="0" applyNumberFormat="1" applyFont="1" applyFill="1" applyBorder="1" applyAlignment="1">
      <alignment horizontal="center" vertical="center"/>
    </xf>
    <xf numFmtId="0" fontId="165" fillId="0" borderId="0" xfId="0" applyFont="1" applyFill="1" applyBorder="1" applyAlignment="1">
      <alignment vertical="center"/>
    </xf>
    <xf numFmtId="197" fontId="167" fillId="0" borderId="0" xfId="0" applyNumberFormat="1" applyFont="1" applyFill="1" applyBorder="1" applyAlignment="1">
      <alignment vertical="center"/>
    </xf>
    <xf numFmtId="0" fontId="165" fillId="0" borderId="0" xfId="0" applyFont="1" applyFill="1" applyBorder="1" applyAlignment="1">
      <alignment horizontal="center" vertical="center" wrapText="1"/>
    </xf>
    <xf numFmtId="9" fontId="172" fillId="0" borderId="0" xfId="14" applyFont="1" applyFill="1" applyBorder="1"/>
    <xf numFmtId="199" fontId="151" fillId="0" borderId="0" xfId="3" applyFont="1" applyFill="1"/>
    <xf numFmtId="0" fontId="32" fillId="0" borderId="0" xfId="0" applyFont="1" applyFill="1"/>
    <xf numFmtId="1" fontId="75" fillId="0" borderId="2" xfId="0" applyNumberFormat="1" applyFont="1" applyFill="1" applyBorder="1" applyAlignment="1">
      <alignment vertical="center" shrinkToFit="1"/>
    </xf>
    <xf numFmtId="9" fontId="75" fillId="0" borderId="2" xfId="1" applyNumberFormat="1" applyFont="1" applyFill="1" applyBorder="1" applyAlignment="1">
      <alignment vertical="center" shrinkToFit="1"/>
    </xf>
    <xf numFmtId="9" fontId="75" fillId="0" borderId="2" xfId="14" applyFont="1" applyFill="1" applyBorder="1" applyAlignment="1">
      <alignment vertical="center" shrinkToFit="1"/>
    </xf>
    <xf numFmtId="197" fontId="170" fillId="0" borderId="2" xfId="3" applyNumberFormat="1" applyFont="1" applyFill="1" applyBorder="1" applyAlignment="1">
      <alignment vertical="center" shrinkToFit="1"/>
    </xf>
    <xf numFmtId="197" fontId="75" fillId="0" borderId="2" xfId="3" applyNumberFormat="1" applyFont="1" applyFill="1" applyBorder="1" applyAlignment="1">
      <alignment vertical="center" shrinkToFit="1"/>
    </xf>
    <xf numFmtId="197" fontId="125" fillId="0" borderId="2" xfId="3" applyNumberFormat="1" applyFont="1" applyFill="1" applyBorder="1" applyAlignment="1">
      <alignment vertical="center" shrinkToFit="1"/>
    </xf>
    <xf numFmtId="3" fontId="75" fillId="0" borderId="2" xfId="3" applyNumberFormat="1" applyFont="1" applyFill="1" applyBorder="1" applyAlignment="1">
      <alignment vertical="center" shrinkToFit="1"/>
    </xf>
    <xf numFmtId="4" fontId="174" fillId="0" borderId="2" xfId="3" applyNumberFormat="1" applyFont="1" applyFill="1" applyBorder="1" applyAlignment="1">
      <alignment horizontal="right" vertical="center" shrinkToFit="1"/>
    </xf>
    <xf numFmtId="1" fontId="76" fillId="0" borderId="2" xfId="0" applyNumberFormat="1" applyFont="1" applyFill="1" applyBorder="1" applyAlignment="1">
      <alignment horizontal="center" vertical="center" shrinkToFit="1"/>
    </xf>
    <xf numFmtId="197" fontId="76" fillId="0" borderId="2" xfId="3" applyNumberFormat="1" applyFont="1" applyFill="1" applyBorder="1" applyAlignment="1">
      <alignment vertical="center" shrinkToFit="1"/>
    </xf>
    <xf numFmtId="3" fontId="76" fillId="0" borderId="2" xfId="3" applyNumberFormat="1" applyFont="1" applyFill="1" applyBorder="1" applyAlignment="1">
      <alignment vertical="center" shrinkToFit="1"/>
    </xf>
    <xf numFmtId="3" fontId="174" fillId="0" borderId="2" xfId="3" applyNumberFormat="1" applyFont="1" applyFill="1" applyBorder="1" applyAlignment="1">
      <alignment horizontal="right" vertical="center" shrinkToFit="1"/>
    </xf>
    <xf numFmtId="188" fontId="75" fillId="0" borderId="2" xfId="1" applyFont="1" applyFill="1" applyBorder="1" applyAlignment="1">
      <alignment horizontal="right" vertical="center" shrinkToFit="1"/>
    </xf>
    <xf numFmtId="188" fontId="76" fillId="0" borderId="2" xfId="1" applyFont="1" applyFill="1" applyBorder="1" applyAlignment="1">
      <alignment horizontal="center" vertical="center" wrapText="1"/>
    </xf>
    <xf numFmtId="188" fontId="76" fillId="0" borderId="2" xfId="1" applyFont="1" applyFill="1" applyBorder="1" applyAlignment="1">
      <alignment vertical="center" shrinkToFit="1"/>
    </xf>
    <xf numFmtId="192" fontId="121" fillId="4" borderId="2" xfId="2" applyNumberFormat="1" applyFont="1" applyFill="1" applyBorder="1" applyAlignment="1">
      <alignment horizontal="center" vertical="center" wrapText="1"/>
    </xf>
    <xf numFmtId="0" fontId="76" fillId="0" borderId="2" xfId="0" applyFont="1" applyFill="1" applyBorder="1" applyAlignment="1">
      <alignment horizontal="center" vertical="center" wrapText="1"/>
    </xf>
    <xf numFmtId="0" fontId="76" fillId="0" borderId="2" xfId="0" applyFont="1" applyFill="1" applyBorder="1" applyAlignment="1">
      <alignment horizontal="center" vertical="center"/>
    </xf>
    <xf numFmtId="197" fontId="76" fillId="0" borderId="2" xfId="3" applyNumberFormat="1" applyFont="1" applyFill="1" applyBorder="1" applyAlignment="1">
      <alignment horizontal="center" vertical="center" wrapText="1"/>
    </xf>
    <xf numFmtId="1" fontId="76" fillId="0" borderId="2" xfId="0" applyNumberFormat="1" applyFont="1" applyFill="1" applyBorder="1" applyAlignment="1">
      <alignment horizontal="center" vertical="center"/>
    </xf>
    <xf numFmtId="9" fontId="171" fillId="0" borderId="2" xfId="14" applyFont="1" applyFill="1" applyBorder="1" applyAlignment="1">
      <alignment vertical="center" wrapText="1"/>
    </xf>
    <xf numFmtId="0" fontId="76" fillId="0" borderId="0" xfId="0" applyFont="1" applyFill="1" applyBorder="1" applyAlignment="1">
      <alignment horizontal="center"/>
    </xf>
    <xf numFmtId="0" fontId="76" fillId="0" borderId="0" xfId="0" applyFont="1" applyFill="1" applyBorder="1" applyAlignment="1"/>
    <xf numFmtId="1" fontId="76" fillId="0" borderId="2" xfId="3" applyNumberFormat="1" applyFont="1" applyFill="1" applyBorder="1" applyAlignment="1">
      <alignment vertical="center" shrinkToFit="1"/>
    </xf>
    <xf numFmtId="191" fontId="26" fillId="0" borderId="0" xfId="0" applyNumberFormat="1" applyFont="1" applyFill="1" applyAlignment="1">
      <alignment horizontal="center" vertical="center"/>
    </xf>
    <xf numFmtId="1" fontId="170" fillId="0" borderId="3" xfId="0" applyNumberFormat="1" applyFont="1" applyFill="1" applyBorder="1" applyAlignment="1">
      <alignment horizontal="center" vertical="center"/>
    </xf>
    <xf numFmtId="1" fontId="75" fillId="0" borderId="3" xfId="0" applyNumberFormat="1" applyFont="1" applyFill="1" applyBorder="1" applyAlignment="1">
      <alignment vertical="center" wrapText="1"/>
    </xf>
    <xf numFmtId="1" fontId="75" fillId="0" borderId="3" xfId="0" applyNumberFormat="1" applyFont="1" applyFill="1" applyBorder="1" applyAlignment="1">
      <alignment horizontal="center" vertical="center" wrapText="1"/>
    </xf>
    <xf numFmtId="10" fontId="171" fillId="0" borderId="3" xfId="14" applyNumberFormat="1" applyFont="1" applyFill="1" applyBorder="1" applyAlignment="1">
      <alignment vertical="center" wrapText="1"/>
    </xf>
    <xf numFmtId="197" fontId="170" fillId="0" borderId="3" xfId="3" applyNumberFormat="1" applyFont="1" applyFill="1" applyBorder="1" applyAlignment="1">
      <alignment vertical="center"/>
    </xf>
    <xf numFmtId="197" fontId="75" fillId="0" borderId="3" xfId="3" applyNumberFormat="1" applyFont="1" applyFill="1" applyBorder="1" applyAlignment="1">
      <alignment vertical="center"/>
    </xf>
    <xf numFmtId="199" fontId="75" fillId="0" borderId="3" xfId="3" applyNumberFormat="1" applyFont="1" applyFill="1" applyBorder="1" applyAlignment="1">
      <alignment vertical="center"/>
    </xf>
    <xf numFmtId="197" fontId="75" fillId="0" borderId="3" xfId="3" applyNumberFormat="1" applyFont="1" applyFill="1" applyBorder="1" applyAlignment="1">
      <alignment horizontal="right" vertical="center"/>
    </xf>
    <xf numFmtId="191" fontId="75" fillId="0" borderId="3" xfId="1" applyNumberFormat="1" applyFont="1" applyFill="1" applyBorder="1" applyAlignment="1">
      <alignment vertical="center"/>
    </xf>
    <xf numFmtId="191" fontId="75" fillId="0" borderId="3" xfId="1" applyNumberFormat="1" applyFont="1" applyFill="1" applyBorder="1" applyAlignment="1">
      <alignment horizontal="right" vertical="center"/>
    </xf>
    <xf numFmtId="1" fontId="170" fillId="0" borderId="3" xfId="0" applyNumberFormat="1" applyFont="1" applyFill="1" applyBorder="1" applyAlignment="1">
      <alignment horizontal="center"/>
    </xf>
    <xf numFmtId="1" fontId="170" fillId="0" borderId="4" xfId="0" applyNumberFormat="1" applyFont="1" applyFill="1" applyBorder="1" applyAlignment="1">
      <alignment horizontal="center" vertical="center"/>
    </xf>
    <xf numFmtId="0" fontId="170" fillId="0" borderId="4" xfId="0" applyFont="1" applyFill="1" applyBorder="1" applyAlignment="1">
      <alignment vertical="center"/>
    </xf>
    <xf numFmtId="1" fontId="75" fillId="0" borderId="4" xfId="0" applyNumberFormat="1" applyFont="1" applyFill="1" applyBorder="1" applyAlignment="1">
      <alignment vertical="center" wrapText="1"/>
    </xf>
    <xf numFmtId="1" fontId="75" fillId="0" borderId="4" xfId="0" applyNumberFormat="1" applyFont="1" applyFill="1" applyBorder="1" applyAlignment="1">
      <alignment horizontal="center" vertical="center" wrapText="1"/>
    </xf>
    <xf numFmtId="10" fontId="171" fillId="0" borderId="4" xfId="14" applyNumberFormat="1" applyFont="1" applyFill="1" applyBorder="1" applyAlignment="1">
      <alignment vertical="center" wrapText="1"/>
    </xf>
    <xf numFmtId="197" fontId="170" fillId="0" borderId="4" xfId="3" applyNumberFormat="1" applyFont="1" applyFill="1" applyBorder="1" applyAlignment="1">
      <alignment vertical="center"/>
    </xf>
    <xf numFmtId="197" fontId="75" fillId="0" borderId="4" xfId="3" applyNumberFormat="1" applyFont="1" applyFill="1" applyBorder="1" applyAlignment="1">
      <alignment vertical="center"/>
    </xf>
    <xf numFmtId="199" fontId="75" fillId="0" borderId="4" xfId="3" applyNumberFormat="1" applyFont="1" applyFill="1" applyBorder="1" applyAlignment="1">
      <alignment vertical="center"/>
    </xf>
    <xf numFmtId="191" fontId="75" fillId="0" borderId="4" xfId="1" applyNumberFormat="1" applyFont="1" applyFill="1" applyBorder="1" applyAlignment="1">
      <alignment horizontal="right" vertical="center"/>
    </xf>
    <xf numFmtId="1" fontId="170" fillId="0" borderId="4" xfId="0" applyNumberFormat="1" applyFont="1" applyFill="1" applyBorder="1" applyAlignment="1">
      <alignment horizontal="center"/>
    </xf>
    <xf numFmtId="1" fontId="170" fillId="0" borderId="5" xfId="0" applyNumberFormat="1" applyFont="1" applyFill="1" applyBorder="1" applyAlignment="1">
      <alignment horizontal="center" vertical="center"/>
    </xf>
    <xf numFmtId="1" fontId="75" fillId="0" borderId="5" xfId="6" applyNumberFormat="1" applyFont="1" applyFill="1" applyBorder="1" applyAlignment="1">
      <alignment horizontal="left" vertical="center"/>
    </xf>
    <xf numFmtId="1" fontId="75" fillId="0" borderId="5" xfId="0" applyNumberFormat="1" applyFont="1" applyFill="1" applyBorder="1" applyAlignment="1">
      <alignment vertical="center" wrapText="1"/>
    </xf>
    <xf numFmtId="1" fontId="75" fillId="0" borderId="5" xfId="0" applyNumberFormat="1" applyFont="1" applyFill="1" applyBorder="1" applyAlignment="1">
      <alignment horizontal="center" vertical="center" wrapText="1"/>
    </xf>
    <xf numFmtId="10" fontId="171" fillId="0" borderId="5" xfId="14" applyNumberFormat="1" applyFont="1" applyFill="1" applyBorder="1" applyAlignment="1">
      <alignment vertical="center" wrapText="1"/>
    </xf>
    <xf numFmtId="197" fontId="75" fillId="0" borderId="5" xfId="3" applyNumberFormat="1" applyFont="1" applyFill="1" applyBorder="1" applyAlignment="1">
      <alignment vertical="center"/>
    </xf>
    <xf numFmtId="199" fontId="75" fillId="0" borderId="5" xfId="3" applyNumberFormat="1" applyFont="1" applyFill="1" applyBorder="1" applyAlignment="1">
      <alignment vertical="center"/>
    </xf>
    <xf numFmtId="191" fontId="75" fillId="0" borderId="5" xfId="1" applyNumberFormat="1" applyFont="1" applyFill="1" applyBorder="1" applyAlignment="1">
      <alignment vertical="center"/>
    </xf>
    <xf numFmtId="191" fontId="75" fillId="0" borderId="5" xfId="1" applyNumberFormat="1" applyFont="1" applyFill="1" applyBorder="1" applyAlignment="1">
      <alignment horizontal="right" vertical="center"/>
    </xf>
    <xf numFmtId="1" fontId="75" fillId="0" borderId="5" xfId="0" applyNumberFormat="1" applyFont="1" applyFill="1" applyBorder="1" applyAlignment="1">
      <alignment vertical="center"/>
    </xf>
    <xf numFmtId="0" fontId="170" fillId="0" borderId="3" xfId="0" applyFont="1" applyFill="1" applyBorder="1" applyAlignment="1">
      <alignment vertical="center"/>
    </xf>
    <xf numFmtId="3" fontId="170" fillId="0" borderId="3" xfId="3" applyNumberFormat="1" applyFont="1" applyFill="1" applyBorder="1"/>
    <xf numFmtId="0" fontId="75" fillId="0" borderId="5" xfId="0" applyFont="1" applyFill="1" applyBorder="1" applyAlignment="1">
      <alignment vertical="center" wrapText="1"/>
    </xf>
    <xf numFmtId="3" fontId="170" fillId="0" borderId="5" xfId="3" applyNumberFormat="1" applyFont="1" applyFill="1" applyBorder="1"/>
    <xf numFmtId="188" fontId="4" fillId="4" borderId="5" xfId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vertical="center"/>
    </xf>
    <xf numFmtId="4" fontId="4" fillId="4" borderId="3" xfId="0" applyNumberFormat="1" applyFont="1" applyFill="1" applyBorder="1" applyAlignment="1">
      <alignment vertical="center" shrinkToFit="1"/>
    </xf>
    <xf numFmtId="3" fontId="4" fillId="4" borderId="4" xfId="0" applyNumberFormat="1" applyFont="1" applyFill="1" applyBorder="1" applyAlignment="1">
      <alignment vertical="center"/>
    </xf>
    <xf numFmtId="4" fontId="4" fillId="4" borderId="4" xfId="0" applyNumberFormat="1" applyFont="1" applyFill="1" applyBorder="1" applyAlignment="1">
      <alignment vertical="center" shrinkToFit="1"/>
    </xf>
    <xf numFmtId="4" fontId="4" fillId="4" borderId="4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4" fontId="4" fillId="4" borderId="5" xfId="0" applyNumberFormat="1" applyFont="1" applyFill="1" applyBorder="1" applyAlignment="1">
      <alignment vertical="center" shrinkToFit="1"/>
    </xf>
    <xf numFmtId="4" fontId="4" fillId="4" borderId="5" xfId="0" applyNumberFormat="1" applyFont="1" applyFill="1" applyBorder="1" applyAlignment="1">
      <alignment vertical="center"/>
    </xf>
    <xf numFmtId="4" fontId="4" fillId="4" borderId="3" xfId="6" applyNumberFormat="1" applyFont="1" applyFill="1" applyBorder="1" applyAlignment="1">
      <alignment horizontal="left" vertical="center"/>
    </xf>
    <xf numFmtId="4" fontId="4" fillId="0" borderId="5" xfId="0" applyNumberFormat="1" applyFont="1" applyFill="1" applyBorder="1" applyAlignment="1">
      <alignment vertical="center"/>
    </xf>
    <xf numFmtId="192" fontId="121" fillId="4" borderId="2" xfId="2" applyNumberFormat="1" applyFont="1" applyFill="1" applyBorder="1" applyAlignment="1">
      <alignment horizontal="center" vertical="center" wrapText="1"/>
    </xf>
    <xf numFmtId="190" fontId="4" fillId="4" borderId="7" xfId="1" applyNumberFormat="1" applyFont="1" applyFill="1" applyBorder="1" applyAlignment="1">
      <alignment vertical="center"/>
    </xf>
    <xf numFmtId="188" fontId="4" fillId="4" borderId="3" xfId="1" applyFont="1" applyFill="1" applyBorder="1" applyAlignment="1">
      <alignment vertical="center"/>
    </xf>
    <xf numFmtId="188" fontId="4" fillId="4" borderId="4" xfId="1" applyFont="1" applyFill="1" applyBorder="1" applyAlignment="1">
      <alignment horizontal="right" vertical="center"/>
    </xf>
    <xf numFmtId="1" fontId="121" fillId="4" borderId="11" xfId="1" applyNumberFormat="1" applyFont="1" applyFill="1" applyBorder="1" applyAlignment="1">
      <alignment horizontal="right" vertical="center" indent="1"/>
    </xf>
    <xf numFmtId="188" fontId="75" fillId="0" borderId="4" xfId="1" applyFont="1" applyFill="1" applyBorder="1" applyAlignment="1">
      <alignment horizontal="right" vertical="center"/>
    </xf>
    <xf numFmtId="188" fontId="75" fillId="0" borderId="3" xfId="1" applyFont="1" applyFill="1" applyBorder="1" applyAlignment="1">
      <alignment horizontal="right" vertical="center"/>
    </xf>
    <xf numFmtId="0" fontId="4" fillId="0" borderId="3" xfId="5" applyFont="1" applyFill="1" applyBorder="1" applyAlignment="1">
      <alignment horizontal="center" vertical="center" wrapText="1"/>
    </xf>
    <xf numFmtId="0" fontId="4" fillId="0" borderId="3" xfId="6" applyFont="1" applyFill="1" applyBorder="1" applyAlignment="1">
      <alignment vertical="center" wrapText="1"/>
    </xf>
    <xf numFmtId="206" fontId="4" fillId="0" borderId="3" xfId="1" applyNumberFormat="1" applyFont="1" applyFill="1" applyBorder="1" applyAlignment="1">
      <alignment horizontal="left" vertical="center"/>
    </xf>
    <xf numFmtId="0" fontId="4" fillId="0" borderId="3" xfId="0" quotePrefix="1" applyFont="1" applyFill="1" applyBorder="1" applyAlignment="1">
      <alignment vertical="center"/>
    </xf>
    <xf numFmtId="0" fontId="4" fillId="0" borderId="3" xfId="5" applyNumberFormat="1" applyFont="1" applyFill="1" applyBorder="1" applyAlignment="1">
      <alignment horizontal="center" vertical="center" shrinkToFit="1"/>
    </xf>
    <xf numFmtId="0" fontId="4" fillId="0" borderId="4" xfId="5" applyFont="1" applyFill="1" applyBorder="1" applyAlignment="1">
      <alignment horizontal="center" vertical="center" wrapText="1"/>
    </xf>
    <xf numFmtId="0" fontId="4" fillId="0" borderId="4" xfId="6" applyFont="1" applyFill="1" applyBorder="1" applyAlignment="1">
      <alignment vertical="center" wrapText="1"/>
    </xf>
    <xf numFmtId="206" fontId="4" fillId="0" borderId="4" xfId="1" applyNumberFormat="1" applyFont="1" applyFill="1" applyBorder="1" applyAlignment="1">
      <alignment horizontal="left" vertical="center"/>
    </xf>
    <xf numFmtId="0" fontId="4" fillId="0" borderId="4" xfId="0" quotePrefix="1" applyFont="1" applyFill="1" applyBorder="1" applyAlignment="1">
      <alignment vertical="center"/>
    </xf>
    <xf numFmtId="0" fontId="4" fillId="0" borderId="4" xfId="5" applyNumberFormat="1" applyFont="1" applyFill="1" applyBorder="1" applyAlignment="1">
      <alignment horizontal="center" vertical="center" shrinkToFit="1"/>
    </xf>
    <xf numFmtId="0" fontId="4" fillId="0" borderId="5" xfId="5" applyFont="1" applyFill="1" applyBorder="1" applyAlignment="1">
      <alignment horizontal="center" vertical="center" wrapText="1"/>
    </xf>
    <xf numFmtId="0" fontId="4" fillId="0" borderId="5" xfId="6" applyFont="1" applyFill="1" applyBorder="1" applyAlignment="1">
      <alignment vertical="center" wrapText="1"/>
    </xf>
    <xf numFmtId="0" fontId="4" fillId="0" borderId="5" xfId="0" quotePrefix="1" applyFont="1" applyFill="1" applyBorder="1" applyAlignment="1">
      <alignment vertical="center"/>
    </xf>
    <xf numFmtId="0" fontId="4" fillId="0" borderId="5" xfId="5" applyNumberFormat="1" applyFont="1" applyFill="1" applyBorder="1" applyAlignment="1">
      <alignment horizontal="center" vertical="center" shrinkToFit="1"/>
    </xf>
    <xf numFmtId="190" fontId="4" fillId="0" borderId="3" xfId="1" applyNumberFormat="1" applyFont="1" applyFill="1" applyBorder="1" applyAlignment="1">
      <alignment horizontal="center" vertical="center" shrinkToFit="1"/>
    </xf>
    <xf numFmtId="190" fontId="4" fillId="0" borderId="4" xfId="1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94" fontId="4" fillId="0" borderId="3" xfId="5" applyNumberFormat="1" applyFont="1" applyFill="1" applyBorder="1" applyAlignment="1">
      <alignment horizontal="right" vertical="center" shrinkToFit="1"/>
    </xf>
    <xf numFmtId="194" fontId="4" fillId="0" borderId="4" xfId="5" applyNumberFormat="1" applyFont="1" applyFill="1" applyBorder="1" applyAlignment="1">
      <alignment horizontal="right" vertical="center" shrinkToFit="1"/>
    </xf>
    <xf numFmtId="194" fontId="4" fillId="0" borderId="5" xfId="5" applyNumberFormat="1" applyFont="1" applyFill="1" applyBorder="1" applyAlignment="1">
      <alignment horizontal="right" vertical="center" shrinkToFit="1"/>
    </xf>
    <xf numFmtId="0" fontId="4" fillId="0" borderId="3" xfId="5" applyFont="1" applyFill="1" applyBorder="1" applyAlignment="1">
      <alignment horizontal="right" vertical="center" wrapText="1"/>
    </xf>
    <xf numFmtId="0" fontId="4" fillId="0" borderId="3" xfId="6" applyFont="1" applyFill="1" applyBorder="1" applyAlignment="1">
      <alignment horizontal="right" vertical="center" wrapText="1"/>
    </xf>
    <xf numFmtId="0" fontId="4" fillId="0" borderId="3" xfId="0" quotePrefix="1" applyFont="1" applyFill="1" applyBorder="1" applyAlignment="1">
      <alignment horizontal="right" vertical="center"/>
    </xf>
    <xf numFmtId="191" fontId="4" fillId="0" borderId="3" xfId="1" applyNumberFormat="1" applyFont="1" applyFill="1" applyBorder="1" applyAlignment="1">
      <alignment horizontal="right" vertical="center" shrinkToFit="1"/>
    </xf>
    <xf numFmtId="0" fontId="4" fillId="0" borderId="4" xfId="5" applyFont="1" applyFill="1" applyBorder="1" applyAlignment="1">
      <alignment horizontal="right" vertical="center" wrapText="1"/>
    </xf>
    <xf numFmtId="0" fontId="4" fillId="0" borderId="4" xfId="6" applyFont="1" applyFill="1" applyBorder="1" applyAlignment="1">
      <alignment horizontal="right" vertical="center" wrapText="1"/>
    </xf>
    <xf numFmtId="0" fontId="4" fillId="0" borderId="4" xfId="0" quotePrefix="1" applyFont="1" applyFill="1" applyBorder="1" applyAlignment="1">
      <alignment horizontal="right" vertical="center"/>
    </xf>
    <xf numFmtId="191" fontId="4" fillId="0" borderId="4" xfId="1" applyNumberFormat="1" applyFont="1" applyFill="1" applyBorder="1" applyAlignment="1">
      <alignment horizontal="right" vertical="center" shrinkToFit="1"/>
    </xf>
    <xf numFmtId="188" fontId="121" fillId="4" borderId="11" xfId="1" applyFont="1" applyFill="1" applyBorder="1" applyAlignment="1">
      <alignment horizontal="right" vertical="center" indent="1"/>
    </xf>
    <xf numFmtId="188" fontId="4" fillId="4" borderId="5" xfId="1" applyFont="1" applyFill="1" applyBorder="1" applyAlignment="1">
      <alignment vertical="center" shrinkToFit="1"/>
    </xf>
    <xf numFmtId="3" fontId="7" fillId="0" borderId="0" xfId="0" applyNumberFormat="1" applyFont="1" applyFill="1" applyAlignment="1">
      <alignment vertical="center"/>
    </xf>
    <xf numFmtId="0" fontId="3" fillId="0" borderId="2" xfId="5" applyFont="1" applyFill="1" applyBorder="1" applyAlignment="1">
      <alignment horizontal="center" vertical="center" wrapText="1"/>
    </xf>
    <xf numFmtId="0" fontId="75" fillId="0" borderId="0" xfId="5" applyFont="1" applyFill="1" applyAlignment="1">
      <alignment horizontal="center"/>
    </xf>
    <xf numFmtId="0" fontId="4" fillId="0" borderId="0" xfId="5" applyFont="1" applyFill="1" applyAlignment="1">
      <alignment horizontal="center"/>
    </xf>
    <xf numFmtId="191" fontId="66" fillId="0" borderId="0" xfId="5" applyNumberFormat="1" applyFont="1" applyFill="1" applyBorder="1" applyAlignment="1">
      <alignment horizontal="center" vertical="center"/>
    </xf>
    <xf numFmtId="191" fontId="121" fillId="4" borderId="2" xfId="1" applyNumberFormat="1" applyFont="1" applyFill="1" applyBorder="1" applyAlignment="1">
      <alignment horizontal="right" vertical="center" indent="1"/>
    </xf>
    <xf numFmtId="191" fontId="4" fillId="4" borderId="2" xfId="1" applyNumberFormat="1" applyFont="1" applyFill="1" applyBorder="1" applyAlignment="1">
      <alignment vertical="center"/>
    </xf>
    <xf numFmtId="38" fontId="13" fillId="0" borderId="2" xfId="3" applyNumberFormat="1" applyFont="1" applyFill="1" applyBorder="1" applyAlignment="1">
      <alignment horizontal="right" vertical="center" wrapText="1"/>
    </xf>
    <xf numFmtId="0" fontId="170" fillId="0" borderId="4" xfId="0" applyFont="1" applyFill="1" applyBorder="1" applyAlignment="1">
      <alignment horizontal="center" vertical="center"/>
    </xf>
    <xf numFmtId="0" fontId="75" fillId="0" borderId="4" xfId="0" applyFont="1" applyFill="1" applyBorder="1" applyAlignment="1">
      <alignment vertical="center" wrapText="1"/>
    </xf>
    <xf numFmtId="188" fontId="75" fillId="0" borderId="5" xfId="1" applyFont="1" applyFill="1" applyBorder="1" applyAlignment="1">
      <alignment horizontal="right" vertical="center"/>
    </xf>
    <xf numFmtId="197" fontId="75" fillId="0" borderId="3" xfId="3" applyNumberFormat="1" applyFont="1" applyFill="1" applyBorder="1" applyAlignment="1">
      <alignment vertical="center" shrinkToFit="1"/>
    </xf>
    <xf numFmtId="197" fontId="75" fillId="0" borderId="5" xfId="3" applyNumberFormat="1" applyFont="1" applyFill="1" applyBorder="1" applyAlignment="1">
      <alignment vertical="center" shrinkToFit="1"/>
    </xf>
    <xf numFmtId="197" fontId="170" fillId="0" borderId="3" xfId="3" applyNumberFormat="1" applyFont="1" applyFill="1" applyBorder="1" applyAlignment="1">
      <alignment vertical="center" shrinkToFit="1"/>
    </xf>
    <xf numFmtId="197" fontId="170" fillId="0" borderId="5" xfId="3" applyNumberFormat="1" applyFont="1" applyFill="1" applyBorder="1" applyAlignment="1">
      <alignment vertical="center" shrinkToFit="1"/>
    </xf>
    <xf numFmtId="0" fontId="8" fillId="0" borderId="0" xfId="5" applyFont="1" applyFill="1" applyAlignment="1">
      <alignment horizontal="center"/>
    </xf>
    <xf numFmtId="188" fontId="8" fillId="0" borderId="0" xfId="5" applyNumberFormat="1" applyFont="1" applyFill="1" applyAlignment="1">
      <alignment horizontal="center"/>
    </xf>
    <xf numFmtId="3" fontId="66" fillId="0" borderId="0" xfId="5" applyNumberFormat="1" applyFont="1" applyFill="1" applyAlignment="1">
      <alignment horizontal="center"/>
    </xf>
    <xf numFmtId="0" fontId="2" fillId="0" borderId="2" xfId="5" applyNumberFormat="1" applyFont="1" applyFill="1" applyBorder="1" applyAlignment="1">
      <alignment horizontal="center" vertical="center" shrinkToFit="1"/>
    </xf>
    <xf numFmtId="188" fontId="13" fillId="0" borderId="2" xfId="1" applyFont="1" applyFill="1" applyBorder="1" applyAlignment="1">
      <alignment horizontal="right" vertical="center" wrapText="1"/>
    </xf>
    <xf numFmtId="191" fontId="121" fillId="4" borderId="2" xfId="0" applyNumberFormat="1" applyFont="1" applyFill="1" applyBorder="1" applyAlignment="1">
      <alignment horizontal="center" vertical="center"/>
    </xf>
    <xf numFmtId="0" fontId="138" fillId="4" borderId="0" xfId="0" applyFont="1" applyFill="1" applyAlignment="1">
      <alignment horizontal="center"/>
    </xf>
    <xf numFmtId="191" fontId="152" fillId="4" borderId="2" xfId="5" applyNumberFormat="1" applyFont="1" applyFill="1" applyBorder="1" applyAlignment="1">
      <alignment horizontal="center" vertical="center" shrinkToFit="1"/>
    </xf>
    <xf numFmtId="190" fontId="4" fillId="0" borderId="3" xfId="1" applyNumberFormat="1" applyFont="1" applyFill="1" applyBorder="1" applyAlignment="1">
      <alignment horizontal="right" vertical="center" shrinkToFit="1"/>
    </xf>
    <xf numFmtId="190" fontId="4" fillId="0" borderId="4" xfId="1" applyNumberFormat="1" applyFont="1" applyFill="1" applyBorder="1" applyAlignment="1">
      <alignment horizontal="right" vertical="center" shrinkToFit="1"/>
    </xf>
    <xf numFmtId="0" fontId="75" fillId="0" borderId="3" xfId="0" applyFont="1" applyFill="1" applyBorder="1" applyAlignment="1">
      <alignment vertical="center" wrapText="1"/>
    </xf>
    <xf numFmtId="191" fontId="4" fillId="0" borderId="5" xfId="1" applyNumberFormat="1" applyFont="1" applyFill="1" applyBorder="1" applyAlignment="1">
      <alignment horizontal="center" vertical="center" wrapText="1"/>
    </xf>
    <xf numFmtId="0" fontId="138" fillId="4" borderId="0" xfId="0" applyFont="1" applyFill="1" applyAlignment="1"/>
    <xf numFmtId="0" fontId="178" fillId="4" borderId="0" xfId="0" applyFont="1" applyFill="1" applyAlignment="1">
      <alignment horizontal="center"/>
    </xf>
    <xf numFmtId="0" fontId="178" fillId="4" borderId="0" xfId="0" applyFont="1" applyFill="1" applyAlignment="1"/>
    <xf numFmtId="0" fontId="179" fillId="4" borderId="0" xfId="0" applyFont="1" applyFill="1" applyAlignment="1">
      <alignment horizontal="center"/>
    </xf>
    <xf numFmtId="4" fontId="4" fillId="0" borderId="45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 shrinkToFit="1"/>
    </xf>
    <xf numFmtId="0" fontId="2" fillId="0" borderId="2" xfId="5" applyNumberFormat="1" applyFont="1" applyFill="1" applyBorder="1" applyAlignment="1">
      <alignment horizontal="center" vertical="center" shrinkToFit="1"/>
    </xf>
    <xf numFmtId="0" fontId="2" fillId="0" borderId="2" xfId="5" applyFont="1" applyFill="1" applyBorder="1" applyAlignment="1">
      <alignment horizontal="center" vertical="center" shrinkToFit="1"/>
    </xf>
    <xf numFmtId="0" fontId="2" fillId="0" borderId="0" xfId="5" applyFont="1" applyFill="1" applyAlignment="1">
      <alignment horizontal="center"/>
    </xf>
    <xf numFmtId="198" fontId="38" fillId="0" borderId="4" xfId="0" applyNumberFormat="1" applyFont="1" applyFill="1" applyBorder="1" applyAlignment="1">
      <alignment horizontal="right"/>
    </xf>
    <xf numFmtId="198" fontId="38" fillId="0" borderId="3" xfId="0" applyNumberFormat="1" applyFont="1" applyFill="1" applyBorder="1" applyAlignment="1">
      <alignment horizontal="right"/>
    </xf>
    <xf numFmtId="198" fontId="38" fillId="0" borderId="5" xfId="0" applyNumberFormat="1" applyFont="1" applyFill="1" applyBorder="1" applyAlignment="1">
      <alignment horizontal="right"/>
    </xf>
    <xf numFmtId="43" fontId="87" fillId="4" borderId="0" xfId="0" applyNumberFormat="1" applyFont="1" applyFill="1"/>
    <xf numFmtId="0" fontId="4" fillId="0" borderId="3" xfId="5" applyNumberFormat="1" applyFont="1" applyFill="1" applyBorder="1" applyAlignment="1">
      <alignment horizontal="left" vertical="center" shrinkToFit="1"/>
    </xf>
    <xf numFmtId="0" fontId="4" fillId="0" borderId="3" xfId="5" applyFont="1" applyFill="1" applyBorder="1" applyAlignment="1">
      <alignment horizontal="center" vertical="center" shrinkToFit="1"/>
    </xf>
    <xf numFmtId="191" fontId="4" fillId="0" borderId="3" xfId="0" applyNumberFormat="1" applyFont="1" applyFill="1" applyBorder="1" applyAlignment="1">
      <alignment horizontal="center" vertical="center" wrapText="1"/>
    </xf>
    <xf numFmtId="0" fontId="4" fillId="0" borderId="4" xfId="5" applyNumberFormat="1" applyFont="1" applyFill="1" applyBorder="1" applyAlignment="1">
      <alignment horizontal="left" vertical="center" shrinkToFit="1"/>
    </xf>
    <xf numFmtId="0" fontId="4" fillId="0" borderId="4" xfId="5" applyFont="1" applyFill="1" applyBorder="1" applyAlignment="1">
      <alignment horizontal="center" vertical="center" shrinkToFit="1"/>
    </xf>
    <xf numFmtId="191" fontId="4" fillId="0" borderId="4" xfId="0" applyNumberFormat="1" applyFont="1" applyFill="1" applyBorder="1" applyAlignment="1">
      <alignment horizontal="center" vertical="center" wrapText="1"/>
    </xf>
    <xf numFmtId="206" fontId="4" fillId="0" borderId="5" xfId="1" applyNumberFormat="1" applyFont="1" applyFill="1" applyBorder="1" applyAlignment="1">
      <alignment horizontal="left" vertical="center"/>
    </xf>
    <xf numFmtId="0" fontId="4" fillId="0" borderId="5" xfId="5" applyNumberFormat="1" applyFont="1" applyFill="1" applyBorder="1" applyAlignment="1">
      <alignment horizontal="left" vertical="center" shrinkToFit="1"/>
    </xf>
    <xf numFmtId="0" fontId="4" fillId="0" borderId="5" xfId="5" applyFont="1" applyFill="1" applyBorder="1" applyAlignment="1">
      <alignment horizontal="center" vertical="center" shrinkToFit="1"/>
    </xf>
    <xf numFmtId="191" fontId="4" fillId="0" borderId="5" xfId="0" applyNumberFormat="1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shrinkToFit="1"/>
    </xf>
    <xf numFmtId="191" fontId="2" fillId="0" borderId="2" xfId="0" applyNumberFormat="1" applyFont="1" applyFill="1" applyBorder="1" applyAlignment="1">
      <alignment horizontal="center" vertical="center" wrapText="1"/>
    </xf>
    <xf numFmtId="0" fontId="4" fillId="0" borderId="2" xfId="5" applyNumberFormat="1" applyFont="1" applyFill="1" applyBorder="1" applyAlignment="1">
      <alignment horizontal="center" vertical="center" shrinkToFit="1"/>
    </xf>
    <xf numFmtId="0" fontId="4" fillId="0" borderId="16" xfId="5" applyFont="1" applyFill="1" applyBorder="1" applyAlignment="1">
      <alignment horizontal="center" vertical="center" wrapText="1"/>
    </xf>
    <xf numFmtId="0" fontId="4" fillId="0" borderId="16" xfId="6" applyFont="1" applyFill="1" applyBorder="1" applyAlignment="1">
      <alignment vertical="center" wrapText="1"/>
    </xf>
    <xf numFmtId="206" fontId="4" fillId="0" borderId="16" xfId="1" applyNumberFormat="1" applyFont="1" applyFill="1" applyBorder="1" applyAlignment="1">
      <alignment horizontal="left" vertical="center"/>
    </xf>
    <xf numFmtId="0" fontId="4" fillId="0" borderId="16" xfId="5" applyNumberFormat="1" applyFont="1" applyFill="1" applyBorder="1" applyAlignment="1">
      <alignment horizontal="left" vertical="center" shrinkToFit="1"/>
    </xf>
    <xf numFmtId="0" fontId="4" fillId="0" borderId="16" xfId="5" applyFont="1" applyFill="1" applyBorder="1" applyAlignment="1">
      <alignment horizontal="center" vertical="center" shrinkToFit="1"/>
    </xf>
    <xf numFmtId="191" fontId="4" fillId="0" borderId="16" xfId="0" applyNumberFormat="1" applyFont="1" applyFill="1" applyBorder="1" applyAlignment="1">
      <alignment horizontal="center" vertical="center" wrapText="1"/>
    </xf>
    <xf numFmtId="0" fontId="4" fillId="0" borderId="16" xfId="5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vertical="center"/>
    </xf>
    <xf numFmtId="0" fontId="4" fillId="0" borderId="11" xfId="5" applyFont="1" applyFill="1" applyBorder="1" applyAlignment="1">
      <alignment horizontal="center" vertical="center" wrapText="1"/>
    </xf>
    <xf numFmtId="0" fontId="4" fillId="0" borderId="17" xfId="6" applyFont="1" applyFill="1" applyBorder="1" applyAlignment="1">
      <alignment vertical="center" wrapText="1"/>
    </xf>
    <xf numFmtId="206" fontId="4" fillId="0" borderId="17" xfId="1" applyNumberFormat="1" applyFont="1" applyFill="1" applyBorder="1" applyAlignment="1">
      <alignment horizontal="left" vertical="center"/>
    </xf>
    <xf numFmtId="0" fontId="4" fillId="0" borderId="17" xfId="5" applyNumberFormat="1" applyFont="1" applyFill="1" applyBorder="1" applyAlignment="1">
      <alignment horizontal="left" vertical="center" shrinkToFit="1"/>
    </xf>
    <xf numFmtId="0" fontId="4" fillId="0" borderId="11" xfId="5" applyFont="1" applyFill="1" applyBorder="1" applyAlignment="1">
      <alignment horizontal="center" vertical="center" shrinkToFit="1"/>
    </xf>
    <xf numFmtId="191" fontId="4" fillId="0" borderId="11" xfId="0" applyNumberFormat="1" applyFont="1" applyFill="1" applyBorder="1" applyAlignment="1">
      <alignment horizontal="center" vertical="center" wrapText="1"/>
    </xf>
    <xf numFmtId="0" fontId="4" fillId="0" borderId="17" xfId="5" applyNumberFormat="1" applyFont="1" applyFill="1" applyBorder="1" applyAlignment="1">
      <alignment horizontal="center" vertical="center" shrinkToFit="1"/>
    </xf>
    <xf numFmtId="0" fontId="2" fillId="0" borderId="48" xfId="5" applyFont="1" applyFill="1" applyBorder="1" applyAlignment="1">
      <alignment vertical="center" wrapText="1"/>
    </xf>
    <xf numFmtId="0" fontId="4" fillId="0" borderId="48" xfId="5" applyFont="1" applyFill="1" applyBorder="1" applyAlignment="1">
      <alignment vertical="center" wrapText="1"/>
    </xf>
    <xf numFmtId="191" fontId="2" fillId="0" borderId="4" xfId="5" applyNumberFormat="1" applyFont="1" applyFill="1" applyBorder="1" applyAlignment="1">
      <alignment horizontal="center" vertical="center" wrapText="1"/>
    </xf>
    <xf numFmtId="191" fontId="2" fillId="0" borderId="2" xfId="5" applyNumberFormat="1" applyFont="1" applyFill="1" applyBorder="1" applyAlignment="1">
      <alignment horizontal="center" vertical="center" wrapText="1"/>
    </xf>
    <xf numFmtId="191" fontId="2" fillId="0" borderId="2" xfId="1" applyNumberFormat="1" applyFont="1" applyFill="1" applyBorder="1" applyAlignment="1">
      <alignment vertical="center" shrinkToFit="1"/>
    </xf>
    <xf numFmtId="191" fontId="4" fillId="0" borderId="4" xfId="1" applyNumberFormat="1" applyFont="1" applyFill="1" applyBorder="1" applyAlignment="1">
      <alignment vertical="center" shrinkToFit="1"/>
    </xf>
    <xf numFmtId="191" fontId="4" fillId="0" borderId="3" xfId="1" applyNumberFormat="1" applyFont="1" applyFill="1" applyBorder="1" applyAlignment="1">
      <alignment vertical="center" shrinkToFit="1"/>
    </xf>
    <xf numFmtId="188" fontId="4" fillId="0" borderId="4" xfId="1" applyFont="1" applyFill="1" applyBorder="1" applyAlignment="1">
      <alignment vertical="center" wrapText="1"/>
    </xf>
    <xf numFmtId="191" fontId="4" fillId="0" borderId="5" xfId="1" applyNumberFormat="1" applyFont="1" applyFill="1" applyBorder="1" applyAlignment="1">
      <alignment vertical="center" shrinkToFit="1"/>
    </xf>
    <xf numFmtId="191" fontId="4" fillId="0" borderId="2" xfId="1" applyNumberFormat="1" applyFont="1" applyFill="1" applyBorder="1" applyAlignment="1">
      <alignment vertical="center" shrinkToFit="1"/>
    </xf>
    <xf numFmtId="0" fontId="4" fillId="0" borderId="5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90" fontId="4" fillId="0" borderId="4" xfId="1" applyNumberFormat="1" applyFont="1" applyFill="1" applyBorder="1" applyAlignment="1">
      <alignment vertical="center" wrapText="1"/>
    </xf>
    <xf numFmtId="190" fontId="4" fillId="0" borderId="5" xfId="1" applyNumberFormat="1" applyFont="1" applyFill="1" applyBorder="1" applyAlignment="1">
      <alignment vertical="center" wrapText="1"/>
    </xf>
    <xf numFmtId="190" fontId="4" fillId="0" borderId="16" xfId="1" applyNumberFormat="1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/>
    </xf>
    <xf numFmtId="0" fontId="4" fillId="0" borderId="11" xfId="5" applyNumberFormat="1" applyFont="1" applyFill="1" applyBorder="1" applyAlignment="1">
      <alignment horizontal="left" vertical="center" shrinkToFit="1"/>
    </xf>
    <xf numFmtId="191" fontId="4" fillId="0" borderId="16" xfId="1" applyNumberFormat="1" applyFont="1" applyFill="1" applyBorder="1" applyAlignment="1">
      <alignment vertical="center" shrinkToFit="1"/>
    </xf>
    <xf numFmtId="0" fontId="4" fillId="0" borderId="17" xfId="5" applyFont="1" applyFill="1" applyBorder="1" applyAlignment="1">
      <alignment horizontal="center" vertical="center" wrapText="1"/>
    </xf>
    <xf numFmtId="190" fontId="4" fillId="0" borderId="17" xfId="1" applyNumberFormat="1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/>
    </xf>
    <xf numFmtId="191" fontId="4" fillId="0" borderId="17" xfId="1" applyNumberFormat="1" applyFont="1" applyFill="1" applyBorder="1" applyAlignment="1">
      <alignment vertical="center" shrinkToFit="1"/>
    </xf>
    <xf numFmtId="0" fontId="4" fillId="0" borderId="2" xfId="5" applyFont="1" applyFill="1" applyBorder="1" applyAlignment="1">
      <alignment vertical="center"/>
    </xf>
    <xf numFmtId="191" fontId="2" fillId="4" borderId="2" xfId="1" applyNumberFormat="1" applyFont="1" applyFill="1" applyBorder="1" applyAlignment="1">
      <alignment horizontal="right" vertical="center" shrinkToFit="1"/>
    </xf>
    <xf numFmtId="191" fontId="2" fillId="0" borderId="2" xfId="5" applyNumberFormat="1" applyFont="1" applyFill="1" applyBorder="1" applyAlignment="1">
      <alignment horizontal="right" vertical="center" shrinkToFit="1"/>
    </xf>
    <xf numFmtId="0" fontId="2" fillId="0" borderId="14" xfId="5" applyNumberFormat="1" applyFont="1" applyFill="1" applyBorder="1" applyAlignment="1">
      <alignment vertical="center" shrinkToFit="1"/>
    </xf>
    <xf numFmtId="191" fontId="18" fillId="0" borderId="0" xfId="1" applyNumberFormat="1" applyFont="1" applyFill="1" applyBorder="1" applyAlignment="1">
      <alignment horizontal="center" vertical="center" shrinkToFit="1"/>
    </xf>
    <xf numFmtId="3" fontId="2" fillId="0" borderId="0" xfId="5" applyNumberFormat="1" applyFont="1" applyFill="1" applyAlignment="1">
      <alignment horizontal="center"/>
    </xf>
    <xf numFmtId="0" fontId="2" fillId="0" borderId="0" xfId="5" applyFont="1" applyFill="1" applyAlignment="1">
      <alignment horizontal="left"/>
    </xf>
    <xf numFmtId="0" fontId="67" fillId="0" borderId="48" xfId="5" applyFont="1" applyFill="1" applyBorder="1" applyAlignment="1">
      <alignment vertical="center" wrapText="1"/>
    </xf>
    <xf numFmtId="0" fontId="181" fillId="4" borderId="0" xfId="0" applyFont="1" applyFill="1"/>
    <xf numFmtId="0" fontId="181" fillId="4" borderId="0" xfId="0" applyFont="1" applyFill="1" applyBorder="1"/>
    <xf numFmtId="0" fontId="182" fillId="4" borderId="0" xfId="0" applyFont="1" applyFill="1" applyBorder="1"/>
    <xf numFmtId="0" fontId="180" fillId="4" borderId="0" xfId="0" applyFont="1" applyFill="1" applyBorder="1" applyAlignment="1">
      <alignment horizontal="center" vertical="center"/>
    </xf>
    <xf numFmtId="0" fontId="180" fillId="4" borderId="0" xfId="0" applyFont="1" applyFill="1" applyBorder="1" applyAlignment="1">
      <alignment horizontal="left" vertical="center"/>
    </xf>
    <xf numFmtId="191" fontId="180" fillId="4" borderId="0" xfId="1" applyNumberFormat="1" applyFont="1" applyFill="1" applyBorder="1" applyAlignment="1">
      <alignment horizontal="center" vertical="center"/>
    </xf>
    <xf numFmtId="0" fontId="183" fillId="4" borderId="0" xfId="0" applyFont="1" applyFill="1" applyBorder="1" applyAlignment="1">
      <alignment horizontal="center" vertical="center"/>
    </xf>
    <xf numFmtId="205" fontId="180" fillId="4" borderId="0" xfId="1" applyNumberFormat="1" applyFont="1" applyFill="1" applyBorder="1" applyAlignment="1">
      <alignment horizontal="center" vertical="center"/>
    </xf>
    <xf numFmtId="0" fontId="180" fillId="4" borderId="0" xfId="0" applyNumberFormat="1" applyFont="1" applyFill="1" applyBorder="1" applyAlignment="1">
      <alignment horizontal="center" vertical="center"/>
    </xf>
    <xf numFmtId="0" fontId="183" fillId="4" borderId="0" xfId="0" applyNumberFormat="1" applyFont="1" applyFill="1" applyBorder="1" applyAlignment="1">
      <alignment horizontal="center" vertical="center"/>
    </xf>
    <xf numFmtId="0" fontId="180" fillId="4" borderId="12" xfId="0" applyFont="1" applyFill="1" applyBorder="1" applyAlignment="1">
      <alignment horizontal="center" vertical="center" wrapText="1"/>
    </xf>
    <xf numFmtId="192" fontId="180" fillId="4" borderId="2" xfId="12" applyNumberFormat="1" applyFont="1" applyFill="1" applyBorder="1" applyAlignment="1">
      <alignment horizontal="center" vertical="center" wrapText="1"/>
    </xf>
    <xf numFmtId="192" fontId="180" fillId="4" borderId="2" xfId="12" applyNumberFormat="1" applyFont="1" applyFill="1" applyBorder="1" applyAlignment="1">
      <alignment vertical="center" wrapText="1"/>
    </xf>
    <xf numFmtId="0" fontId="180" fillId="4" borderId="7" xfId="0" quotePrefix="1" applyFont="1" applyFill="1" applyBorder="1" applyAlignment="1">
      <alignment horizontal="center" vertical="center"/>
    </xf>
    <xf numFmtId="0" fontId="180" fillId="4" borderId="7" xfId="0" applyFont="1" applyFill="1" applyBorder="1" applyAlignment="1">
      <alignment horizontal="center" vertical="center"/>
    </xf>
    <xf numFmtId="191" fontId="180" fillId="4" borderId="2" xfId="12" applyNumberFormat="1" applyFont="1" applyFill="1" applyBorder="1" applyAlignment="1">
      <alignment vertical="center" shrinkToFit="1"/>
    </xf>
    <xf numFmtId="188" fontId="180" fillId="4" borderId="2" xfId="1" applyFont="1" applyFill="1" applyBorder="1" applyAlignment="1">
      <alignment vertical="center" shrinkToFit="1"/>
    </xf>
    <xf numFmtId="191" fontId="180" fillId="4" borderId="2" xfId="1" applyNumberFormat="1" applyFont="1" applyFill="1" applyBorder="1" applyAlignment="1">
      <alignment vertical="center" shrinkToFit="1"/>
    </xf>
    <xf numFmtId="188" fontId="180" fillId="4" borderId="2" xfId="12" applyNumberFormat="1" applyFont="1" applyFill="1" applyBorder="1" applyAlignment="1">
      <alignment vertical="center"/>
    </xf>
    <xf numFmtId="188" fontId="180" fillId="4" borderId="11" xfId="12" applyNumberFormat="1" applyFont="1" applyFill="1" applyBorder="1" applyAlignment="1">
      <alignment horizontal="right" vertical="center" indent="1"/>
    </xf>
    <xf numFmtId="192" fontId="181" fillId="4" borderId="0" xfId="12" applyNumberFormat="1" applyFont="1" applyFill="1"/>
    <xf numFmtId="0" fontId="181" fillId="4" borderId="3" xfId="0" applyFont="1" applyFill="1" applyBorder="1" applyAlignment="1">
      <alignment horizontal="center" vertical="center"/>
    </xf>
    <xf numFmtId="0" fontId="184" fillId="4" borderId="3" xfId="0" applyFont="1" applyFill="1" applyBorder="1" applyAlignment="1">
      <alignment vertical="center" wrapText="1"/>
    </xf>
    <xf numFmtId="0" fontId="184" fillId="4" borderId="3" xfId="0" applyFont="1" applyFill="1" applyBorder="1" applyAlignment="1">
      <alignment horizontal="left" vertical="center" wrapText="1"/>
    </xf>
    <xf numFmtId="191" fontId="181" fillId="4" borderId="3" xfId="1" applyNumberFormat="1" applyFont="1" applyFill="1" applyBorder="1" applyAlignment="1">
      <alignment vertical="center"/>
    </xf>
    <xf numFmtId="200" fontId="184" fillId="4" borderId="3" xfId="6" applyNumberFormat="1" applyFont="1" applyFill="1" applyBorder="1" applyAlignment="1">
      <alignment vertical="center"/>
    </xf>
    <xf numFmtId="188" fontId="181" fillId="4" borderId="3" xfId="1" applyNumberFormat="1" applyFont="1" applyFill="1" applyBorder="1" applyAlignment="1">
      <alignment vertical="center"/>
    </xf>
    <xf numFmtId="3" fontId="184" fillId="0" borderId="3" xfId="12" applyNumberFormat="1" applyFont="1" applyFill="1" applyBorder="1" applyAlignment="1">
      <alignment horizontal="right" vertical="center"/>
    </xf>
    <xf numFmtId="190" fontId="181" fillId="4" borderId="3" xfId="1" applyNumberFormat="1" applyFont="1" applyFill="1" applyBorder="1" applyAlignment="1">
      <alignment vertical="center"/>
    </xf>
    <xf numFmtId="2" fontId="181" fillId="4" borderId="3" xfId="0" applyNumberFormat="1" applyFont="1" applyFill="1" applyBorder="1" applyAlignment="1">
      <alignment vertical="center"/>
    </xf>
    <xf numFmtId="191" fontId="181" fillId="4" borderId="3" xfId="1" applyNumberFormat="1" applyFont="1" applyFill="1" applyBorder="1" applyAlignment="1">
      <alignment vertical="center" shrinkToFit="1"/>
    </xf>
    <xf numFmtId="10" fontId="181" fillId="4" borderId="3" xfId="0" applyNumberFormat="1" applyFont="1" applyFill="1" applyBorder="1" applyAlignment="1">
      <alignment vertical="center" wrapText="1"/>
    </xf>
    <xf numFmtId="0" fontId="181" fillId="4" borderId="0" xfId="0" applyFont="1" applyFill="1" applyAlignment="1">
      <alignment vertical="center"/>
    </xf>
    <xf numFmtId="191" fontId="181" fillId="4" borderId="0" xfId="1" applyNumberFormat="1" applyFont="1" applyFill="1" applyAlignment="1">
      <alignment vertical="center"/>
    </xf>
    <xf numFmtId="0" fontId="181" fillId="4" borderId="4" xfId="0" applyFont="1" applyFill="1" applyBorder="1" applyAlignment="1">
      <alignment horizontal="center" vertical="center"/>
    </xf>
    <xf numFmtId="0" fontId="185" fillId="4" borderId="4" xfId="0" applyFont="1" applyFill="1" applyBorder="1" applyAlignment="1">
      <alignment vertical="center"/>
    </xf>
    <xf numFmtId="0" fontId="185" fillId="4" borderId="4" xfId="0" applyFont="1" applyFill="1" applyBorder="1" applyAlignment="1">
      <alignment horizontal="left" vertical="center"/>
    </xf>
    <xf numFmtId="191" fontId="184" fillId="4" borderId="4" xfId="1" applyNumberFormat="1" applyFont="1" applyFill="1" applyBorder="1" applyAlignment="1">
      <alignment vertical="center"/>
    </xf>
    <xf numFmtId="191" fontId="181" fillId="4" borderId="4" xfId="1" applyNumberFormat="1" applyFont="1" applyFill="1" applyBorder="1" applyAlignment="1">
      <alignment vertical="center"/>
    </xf>
    <xf numFmtId="200" fontId="184" fillId="4" borderId="4" xfId="6" applyNumberFormat="1" applyFont="1" applyFill="1" applyBorder="1" applyAlignment="1">
      <alignment vertical="center"/>
    </xf>
    <xf numFmtId="188" fontId="181" fillId="4" borderId="4" xfId="1" applyNumberFormat="1" applyFont="1" applyFill="1" applyBorder="1" applyAlignment="1">
      <alignment vertical="center"/>
    </xf>
    <xf numFmtId="3" fontId="184" fillId="0" borderId="4" xfId="12" applyNumberFormat="1" applyFont="1" applyFill="1" applyBorder="1" applyAlignment="1">
      <alignment horizontal="right" vertical="center"/>
    </xf>
    <xf numFmtId="2" fontId="181" fillId="4" borderId="4" xfId="0" applyNumberFormat="1" applyFont="1" applyFill="1" applyBorder="1" applyAlignment="1">
      <alignment vertical="center"/>
    </xf>
    <xf numFmtId="2" fontId="184" fillId="4" borderId="4" xfId="6" applyNumberFormat="1" applyFont="1" applyFill="1" applyBorder="1" applyAlignment="1">
      <alignment vertical="center"/>
    </xf>
    <xf numFmtId="10" fontId="181" fillId="4" borderId="4" xfId="0" applyNumberFormat="1" applyFont="1" applyFill="1" applyBorder="1" applyAlignment="1">
      <alignment vertical="center" wrapText="1"/>
    </xf>
    <xf numFmtId="4" fontId="182" fillId="0" borderId="4" xfId="6" applyNumberFormat="1" applyFont="1" applyFill="1" applyBorder="1" applyAlignment="1">
      <alignment horizontal="left" vertical="center"/>
    </xf>
    <xf numFmtId="0" fontId="184" fillId="4" borderId="4" xfId="0" applyFont="1" applyFill="1" applyBorder="1" applyAlignment="1">
      <alignment horizontal="left" vertical="center" wrapText="1"/>
    </xf>
    <xf numFmtId="3" fontId="184" fillId="4" borderId="4" xfId="12" applyNumberFormat="1" applyFont="1" applyFill="1" applyBorder="1" applyAlignment="1">
      <alignment vertical="center"/>
    </xf>
    <xf numFmtId="0" fontId="184" fillId="4" borderId="4" xfId="0" applyFont="1" applyFill="1" applyBorder="1" applyAlignment="1">
      <alignment vertical="center" wrapText="1"/>
    </xf>
    <xf numFmtId="187" fontId="184" fillId="4" borderId="4" xfId="0" applyNumberFormat="1" applyFont="1" applyFill="1" applyBorder="1" applyAlignment="1">
      <alignment horizontal="left" vertical="center" wrapText="1" shrinkToFit="1"/>
    </xf>
    <xf numFmtId="0" fontId="181" fillId="4" borderId="4" xfId="0" applyFont="1" applyFill="1" applyBorder="1" applyAlignment="1">
      <alignment vertical="center" wrapText="1"/>
    </xf>
    <xf numFmtId="0" fontId="181" fillId="4" borderId="4" xfId="0" applyFont="1" applyFill="1" applyBorder="1" applyAlignment="1">
      <alignment vertical="center"/>
    </xf>
    <xf numFmtId="0" fontId="181" fillId="4" borderId="4" xfId="0" applyFont="1" applyFill="1" applyBorder="1" applyAlignment="1">
      <alignment horizontal="left" vertical="center"/>
    </xf>
    <xf numFmtId="10" fontId="184" fillId="4" borderId="4" xfId="12" applyNumberFormat="1" applyFont="1" applyFill="1" applyBorder="1" applyAlignment="1">
      <alignment horizontal="right" vertical="center" wrapText="1"/>
    </xf>
    <xf numFmtId="0" fontId="181" fillId="4" borderId="5" xfId="0" applyFont="1" applyFill="1" applyBorder="1" applyAlignment="1">
      <alignment horizontal="center" vertical="center"/>
    </xf>
    <xf numFmtId="0" fontId="185" fillId="4" borderId="5" xfId="0" applyFont="1" applyFill="1" applyBorder="1" applyAlignment="1">
      <alignment vertical="center"/>
    </xf>
    <xf numFmtId="0" fontId="185" fillId="4" borderId="5" xfId="0" applyFont="1" applyFill="1" applyBorder="1" applyAlignment="1">
      <alignment horizontal="left" vertical="center"/>
    </xf>
    <xf numFmtId="191" fontId="184" fillId="4" borderId="5" xfId="1" applyNumberFormat="1" applyFont="1" applyFill="1" applyBorder="1" applyAlignment="1">
      <alignment vertical="center"/>
    </xf>
    <xf numFmtId="191" fontId="181" fillId="4" borderId="5" xfId="1" applyNumberFormat="1" applyFont="1" applyFill="1" applyBorder="1" applyAlignment="1">
      <alignment vertical="center"/>
    </xf>
    <xf numFmtId="188" fontId="184" fillId="4" borderId="5" xfId="1" applyFont="1" applyFill="1" applyBorder="1" applyAlignment="1">
      <alignment vertical="center"/>
    </xf>
    <xf numFmtId="200" fontId="184" fillId="4" borderId="5" xfId="6" applyNumberFormat="1" applyFont="1" applyFill="1" applyBorder="1" applyAlignment="1">
      <alignment vertical="center"/>
    </xf>
    <xf numFmtId="188" fontId="181" fillId="4" borderId="5" xfId="1" applyNumberFormat="1" applyFont="1" applyFill="1" applyBorder="1" applyAlignment="1">
      <alignment vertical="center"/>
    </xf>
    <xf numFmtId="3" fontId="184" fillId="0" borderId="5" xfId="12" applyNumberFormat="1" applyFont="1" applyFill="1" applyBorder="1" applyAlignment="1">
      <alignment horizontal="right" vertical="center"/>
    </xf>
    <xf numFmtId="2" fontId="181" fillId="4" borderId="5" xfId="0" applyNumberFormat="1" applyFont="1" applyFill="1" applyBorder="1" applyAlignment="1">
      <alignment vertical="center"/>
    </xf>
    <xf numFmtId="2" fontId="184" fillId="4" borderId="5" xfId="6" applyNumberFormat="1" applyFont="1" applyFill="1" applyBorder="1" applyAlignment="1">
      <alignment vertical="center"/>
    </xf>
    <xf numFmtId="10" fontId="181" fillId="4" borderId="5" xfId="0" applyNumberFormat="1" applyFont="1" applyFill="1" applyBorder="1" applyAlignment="1">
      <alignment vertical="center" wrapText="1"/>
    </xf>
    <xf numFmtId="0" fontId="180" fillId="4" borderId="2" xfId="0" applyFont="1" applyFill="1" applyBorder="1" applyAlignment="1">
      <alignment horizontal="center" vertical="center"/>
    </xf>
    <xf numFmtId="0" fontId="186" fillId="4" borderId="2" xfId="0" applyNumberFormat="1" applyFont="1" applyFill="1" applyBorder="1" applyAlignment="1">
      <alignment horizontal="left" vertical="center"/>
    </xf>
    <xf numFmtId="0" fontId="186" fillId="4" borderId="2" xfId="0" applyFont="1" applyFill="1" applyBorder="1" applyAlignment="1">
      <alignment horizontal="left" vertical="center"/>
    </xf>
    <xf numFmtId="0" fontId="180" fillId="4" borderId="0" xfId="0" applyFont="1" applyFill="1" applyAlignment="1">
      <alignment vertical="center"/>
    </xf>
    <xf numFmtId="191" fontId="181" fillId="4" borderId="35" xfId="1" applyNumberFormat="1" applyFont="1" applyFill="1" applyBorder="1" applyAlignment="1">
      <alignment vertical="center"/>
    </xf>
    <xf numFmtId="0" fontId="180" fillId="4" borderId="35" xfId="0" applyFont="1" applyFill="1" applyBorder="1" applyAlignment="1">
      <alignment vertical="center"/>
    </xf>
    <xf numFmtId="0" fontId="181" fillId="4" borderId="48" xfId="0" applyFont="1" applyFill="1" applyBorder="1" applyAlignment="1">
      <alignment vertical="center"/>
    </xf>
    <xf numFmtId="191" fontId="181" fillId="4" borderId="48" xfId="1" applyNumberFormat="1" applyFont="1" applyFill="1" applyBorder="1" applyAlignment="1">
      <alignment vertical="center"/>
    </xf>
    <xf numFmtId="0" fontId="181" fillId="4" borderId="30" xfId="0" applyFont="1" applyFill="1" applyBorder="1" applyAlignment="1">
      <alignment vertical="center"/>
    </xf>
    <xf numFmtId="191" fontId="181" fillId="4" borderId="30" xfId="1" applyNumberFormat="1" applyFont="1" applyFill="1" applyBorder="1" applyAlignment="1">
      <alignment vertical="center"/>
    </xf>
    <xf numFmtId="188" fontId="180" fillId="4" borderId="2" xfId="1" applyNumberFormat="1" applyFont="1" applyFill="1" applyBorder="1" applyAlignment="1">
      <alignment vertical="center" shrinkToFit="1"/>
    </xf>
    <xf numFmtId="0" fontId="181" fillId="4" borderId="2" xfId="0" applyFont="1" applyFill="1" applyBorder="1" applyAlignment="1">
      <alignment horizontal="center" vertical="center"/>
    </xf>
    <xf numFmtId="0" fontId="184" fillId="0" borderId="4" xfId="0" applyFont="1" applyBorder="1"/>
    <xf numFmtId="0" fontId="184" fillId="4" borderId="2" xfId="0" applyFont="1" applyFill="1" applyBorder="1" applyAlignment="1">
      <alignment vertical="center" wrapText="1"/>
    </xf>
    <xf numFmtId="191" fontId="181" fillId="4" borderId="2" xfId="1" applyNumberFormat="1" applyFont="1" applyFill="1" applyBorder="1" applyAlignment="1">
      <alignment vertical="center" shrinkToFit="1"/>
    </xf>
    <xf numFmtId="200" fontId="184" fillId="4" borderId="2" xfId="6" applyNumberFormat="1" applyFont="1" applyFill="1" applyBorder="1" applyAlignment="1">
      <alignment vertical="center" shrinkToFit="1"/>
    </xf>
    <xf numFmtId="1" fontId="181" fillId="4" borderId="10" xfId="0" applyNumberFormat="1" applyFont="1" applyFill="1" applyBorder="1" applyAlignment="1">
      <alignment vertical="center"/>
    </xf>
    <xf numFmtId="191" fontId="181" fillId="4" borderId="10" xfId="1" applyNumberFormat="1" applyFont="1" applyFill="1" applyBorder="1" applyAlignment="1">
      <alignment vertical="center"/>
    </xf>
    <xf numFmtId="200" fontId="184" fillId="4" borderId="3" xfId="6" applyNumberFormat="1" applyFont="1" applyFill="1" applyBorder="1" applyAlignment="1">
      <alignment vertical="center" shrinkToFit="1"/>
    </xf>
    <xf numFmtId="2" fontId="181" fillId="4" borderId="3" xfId="0" applyNumberFormat="1" applyFont="1" applyFill="1" applyBorder="1" applyAlignment="1">
      <alignment vertical="center" shrinkToFit="1"/>
    </xf>
    <xf numFmtId="3" fontId="184" fillId="4" borderId="2" xfId="12" applyNumberFormat="1" applyFont="1" applyFill="1" applyBorder="1" applyAlignment="1">
      <alignment horizontal="right" vertical="center" shrinkToFit="1"/>
    </xf>
    <xf numFmtId="2" fontId="181" fillId="4" borderId="2" xfId="0" applyNumberFormat="1" applyFont="1" applyFill="1" applyBorder="1" applyAlignment="1">
      <alignment vertical="center" shrinkToFit="1"/>
    </xf>
    <xf numFmtId="2" fontId="184" fillId="4" borderId="2" xfId="6" applyNumberFormat="1" applyFont="1" applyFill="1" applyBorder="1" applyAlignment="1">
      <alignment vertical="center" shrinkToFit="1"/>
    </xf>
    <xf numFmtId="188" fontId="181" fillId="4" borderId="4" xfId="1" applyNumberFormat="1" applyFont="1" applyFill="1" applyBorder="1" applyAlignment="1">
      <alignment vertical="center" shrinkToFit="1"/>
    </xf>
    <xf numFmtId="10" fontId="181" fillId="4" borderId="10" xfId="0" applyNumberFormat="1" applyFont="1" applyFill="1" applyBorder="1" applyAlignment="1">
      <alignment vertical="center" wrapText="1"/>
    </xf>
    <xf numFmtId="0" fontId="181" fillId="8" borderId="0" xfId="0" applyFont="1" applyFill="1" applyAlignment="1">
      <alignment vertical="center"/>
    </xf>
    <xf numFmtId="4" fontId="180" fillId="4" borderId="2" xfId="0" applyNumberFormat="1" applyFont="1" applyFill="1" applyBorder="1" applyAlignment="1">
      <alignment vertical="center" shrinkToFit="1"/>
    </xf>
    <xf numFmtId="3" fontId="180" fillId="4" borderId="2" xfId="0" applyNumberFormat="1" applyFont="1" applyFill="1" applyBorder="1" applyAlignment="1">
      <alignment vertical="center" shrinkToFit="1"/>
    </xf>
    <xf numFmtId="0" fontId="181" fillId="4" borderId="1" xfId="0" applyFont="1" applyFill="1" applyBorder="1" applyAlignment="1">
      <alignment vertical="center"/>
    </xf>
    <xf numFmtId="0" fontId="182" fillId="4" borderId="0" xfId="0" applyFont="1" applyFill="1"/>
    <xf numFmtId="188" fontId="182" fillId="4" borderId="0" xfId="0" applyNumberFormat="1" applyFont="1" applyFill="1"/>
    <xf numFmtId="199" fontId="181" fillId="4" borderId="0" xfId="3" applyNumberFormat="1" applyFont="1" applyFill="1"/>
    <xf numFmtId="188" fontId="181" fillId="4" borderId="0" xfId="0" applyNumberFormat="1" applyFont="1" applyFill="1"/>
    <xf numFmtId="0" fontId="180" fillId="4" borderId="0" xfId="0" applyFont="1" applyFill="1" applyAlignment="1"/>
    <xf numFmtId="0" fontId="180" fillId="4" borderId="0" xfId="0" applyFont="1" applyFill="1"/>
    <xf numFmtId="0" fontId="183" fillId="4" borderId="0" xfId="0" applyFont="1" applyFill="1" applyAlignment="1"/>
    <xf numFmtId="0" fontId="183" fillId="4" borderId="0" xfId="0" applyFont="1" applyFill="1"/>
    <xf numFmtId="3" fontId="181" fillId="4" borderId="0" xfId="0" applyNumberFormat="1" applyFont="1" applyFill="1"/>
    <xf numFmtId="192" fontId="181" fillId="4" borderId="0" xfId="0" applyNumberFormat="1" applyFont="1" applyFill="1"/>
    <xf numFmtId="200" fontId="181" fillId="4" borderId="0" xfId="0" applyNumberFormat="1" applyFont="1" applyFill="1"/>
    <xf numFmtId="0" fontId="132" fillId="4" borderId="0" xfId="0" applyFont="1" applyFill="1" applyAlignment="1">
      <alignment horizontal="center"/>
    </xf>
    <xf numFmtId="0" fontId="121" fillId="4" borderId="2" xfId="0" applyFont="1" applyFill="1" applyBorder="1" applyAlignment="1">
      <alignment horizontal="center" vertical="center"/>
    </xf>
    <xf numFmtId="0" fontId="139" fillId="4" borderId="0" xfId="0" applyFont="1" applyFill="1" applyAlignment="1">
      <alignment horizontal="right" vertical="center"/>
    </xf>
    <xf numFmtId="0" fontId="2" fillId="0" borderId="0" xfId="0" applyNumberFormat="1" applyFont="1" applyFill="1" applyAlignment="1">
      <alignment horizontal="center"/>
    </xf>
    <xf numFmtId="0" fontId="132" fillId="4" borderId="0" xfId="0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180" fillId="4" borderId="0" xfId="0" applyFont="1" applyFill="1" applyBorder="1" applyAlignment="1">
      <alignment horizontal="center" vertical="center"/>
    </xf>
    <xf numFmtId="0" fontId="166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98" fillId="4" borderId="0" xfId="0" applyFont="1" applyFill="1" applyAlignment="1">
      <alignment horizontal="center"/>
    </xf>
    <xf numFmtId="0" fontId="4" fillId="0" borderId="0" xfId="5" applyFont="1" applyFill="1" applyAlignment="1">
      <alignment horizontal="center"/>
    </xf>
    <xf numFmtId="0" fontId="124" fillId="4" borderId="0" xfId="0" applyFont="1" applyFill="1" applyAlignment="1">
      <alignment horizontal="center" vertical="center"/>
    </xf>
    <xf numFmtId="0" fontId="134" fillId="4" borderId="0" xfId="0" applyFont="1" applyFill="1" applyAlignment="1">
      <alignment horizontal="center" vertical="center"/>
    </xf>
    <xf numFmtId="0" fontId="135" fillId="4" borderId="0" xfId="0" applyFont="1" applyFill="1" applyAlignment="1">
      <alignment horizontal="center" vertical="center"/>
    </xf>
    <xf numFmtId="0" fontId="164" fillId="4" borderId="6" xfId="0" applyFont="1" applyFill="1" applyBorder="1" applyAlignment="1">
      <alignment horizontal="center" vertical="center" wrapText="1"/>
    </xf>
    <xf numFmtId="0" fontId="164" fillId="4" borderId="2" xfId="0" applyFont="1" applyFill="1" applyBorder="1" applyAlignment="1">
      <alignment horizontal="center" vertical="center" wrapText="1"/>
    </xf>
    <xf numFmtId="192" fontId="164" fillId="4" borderId="18" xfId="12" applyNumberFormat="1" applyFont="1" applyFill="1" applyBorder="1" applyAlignment="1">
      <alignment horizontal="center" vertical="center" wrapText="1"/>
    </xf>
    <xf numFmtId="188" fontId="120" fillId="4" borderId="3" xfId="1" applyFont="1" applyFill="1" applyBorder="1" applyAlignment="1">
      <alignment vertical="center"/>
    </xf>
    <xf numFmtId="188" fontId="120" fillId="4" borderId="4" xfId="1" applyFont="1" applyFill="1" applyBorder="1" applyAlignment="1">
      <alignment vertical="center"/>
    </xf>
    <xf numFmtId="0" fontId="4" fillId="4" borderId="4" xfId="6" applyFont="1" applyFill="1" applyBorder="1" applyAlignment="1">
      <alignment vertical="center"/>
    </xf>
    <xf numFmtId="1" fontId="120" fillId="4" borderId="5" xfId="1" applyNumberFormat="1" applyFont="1" applyFill="1" applyBorder="1" applyAlignment="1">
      <alignment horizontal="center" vertical="center"/>
    </xf>
    <xf numFmtId="0" fontId="137" fillId="4" borderId="5" xfId="0" applyFont="1" applyFill="1" applyBorder="1" applyAlignment="1">
      <alignment vertical="center"/>
    </xf>
    <xf numFmtId="0" fontId="137" fillId="4" borderId="5" xfId="0" applyFont="1" applyFill="1" applyBorder="1" applyAlignment="1">
      <alignment horizontal="left" vertical="center"/>
    </xf>
    <xf numFmtId="188" fontId="4" fillId="4" borderId="5" xfId="6" applyNumberFormat="1" applyFont="1" applyFill="1" applyBorder="1" applyAlignment="1">
      <alignment vertical="center"/>
    </xf>
    <xf numFmtId="191" fontId="120" fillId="4" borderId="5" xfId="1" applyNumberFormat="1" applyFont="1" applyFill="1" applyBorder="1" applyAlignment="1">
      <alignment vertical="center"/>
    </xf>
    <xf numFmtId="190" fontId="120" fillId="4" borderId="5" xfId="1" applyNumberFormat="1" applyFont="1" applyFill="1" applyBorder="1" applyAlignment="1">
      <alignment vertical="center"/>
    </xf>
    <xf numFmtId="188" fontId="120" fillId="4" borderId="5" xfId="1" applyFont="1" applyFill="1" applyBorder="1" applyAlignment="1">
      <alignment vertical="center"/>
    </xf>
    <xf numFmtId="1" fontId="164" fillId="4" borderId="15" xfId="1" applyNumberFormat="1" applyFont="1" applyFill="1" applyBorder="1" applyAlignment="1">
      <alignment horizontal="center" vertical="center"/>
    </xf>
    <xf numFmtId="0" fontId="94" fillId="4" borderId="18" xfId="0" applyFont="1" applyFill="1" applyBorder="1" applyAlignment="1">
      <alignment vertical="center"/>
    </xf>
    <xf numFmtId="0" fontId="94" fillId="4" borderId="12" xfId="0" applyFont="1" applyFill="1" applyBorder="1" applyAlignment="1">
      <alignment vertical="center"/>
    </xf>
    <xf numFmtId="0" fontId="137" fillId="4" borderId="2" xfId="0" applyFont="1" applyFill="1" applyBorder="1" applyAlignment="1">
      <alignment horizontal="left" vertical="center"/>
    </xf>
    <xf numFmtId="188" fontId="81" fillId="4" borderId="2" xfId="12" applyNumberFormat="1" applyFont="1" applyFill="1" applyBorder="1" applyAlignment="1">
      <alignment horizontal="right" vertical="center"/>
    </xf>
    <xf numFmtId="188" fontId="81" fillId="4" borderId="3" xfId="12" applyNumberFormat="1" applyFont="1" applyFill="1" applyBorder="1" applyAlignment="1">
      <alignment horizontal="right" vertical="center"/>
    </xf>
    <xf numFmtId="191" fontId="120" fillId="4" borderId="3" xfId="0" applyNumberFormat="1" applyFont="1" applyFill="1" applyBorder="1" applyAlignment="1">
      <alignment vertical="center"/>
    </xf>
    <xf numFmtId="191" fontId="120" fillId="4" borderId="4" xfId="0" applyNumberFormat="1" applyFont="1" applyFill="1" applyBorder="1" applyAlignment="1">
      <alignment vertical="center"/>
    </xf>
    <xf numFmtId="1" fontId="120" fillId="4" borderId="3" xfId="1" applyNumberFormat="1" applyFont="1" applyFill="1" applyBorder="1" applyAlignment="1">
      <alignment horizontal="center" vertical="center" shrinkToFit="1"/>
    </xf>
    <xf numFmtId="0" fontId="137" fillId="4" borderId="3" xfId="0" applyFont="1" applyFill="1" applyBorder="1" applyAlignment="1">
      <alignment vertical="center" shrinkToFit="1"/>
    </xf>
    <xf numFmtId="0" fontId="137" fillId="4" borderId="3" xfId="0" applyFont="1" applyFill="1" applyBorder="1" applyAlignment="1">
      <alignment horizontal="left" vertical="center" shrinkToFit="1"/>
    </xf>
    <xf numFmtId="191" fontId="4" fillId="4" borderId="3" xfId="1" applyNumberFormat="1" applyFont="1" applyFill="1" applyBorder="1" applyAlignment="1">
      <alignment vertical="center" shrinkToFit="1"/>
    </xf>
    <xf numFmtId="188" fontId="4" fillId="4" borderId="3" xfId="6" applyNumberFormat="1" applyFont="1" applyFill="1" applyBorder="1" applyAlignment="1">
      <alignment vertical="center" shrinkToFit="1"/>
    </xf>
    <xf numFmtId="191" fontId="120" fillId="4" borderId="3" xfId="1" applyNumberFormat="1" applyFont="1" applyFill="1" applyBorder="1" applyAlignment="1">
      <alignment vertical="center" shrinkToFit="1"/>
    </xf>
    <xf numFmtId="190" fontId="120" fillId="4" borderId="3" xfId="1" applyNumberFormat="1" applyFont="1" applyFill="1" applyBorder="1" applyAlignment="1">
      <alignment vertical="center" shrinkToFit="1"/>
    </xf>
    <xf numFmtId="200" fontId="4" fillId="4" borderId="3" xfId="6" applyNumberFormat="1" applyFont="1" applyFill="1" applyBorder="1" applyAlignment="1">
      <alignment vertical="center" shrinkToFit="1"/>
    </xf>
    <xf numFmtId="1" fontId="120" fillId="4" borderId="5" xfId="1" applyNumberFormat="1" applyFont="1" applyFill="1" applyBorder="1" applyAlignment="1">
      <alignment horizontal="center" vertical="center" shrinkToFit="1"/>
    </xf>
    <xf numFmtId="0" fontId="137" fillId="4" borderId="5" xfId="0" applyFont="1" applyFill="1" applyBorder="1" applyAlignment="1">
      <alignment vertical="center" shrinkToFit="1"/>
    </xf>
    <xf numFmtId="0" fontId="137" fillId="4" borderId="5" xfId="0" applyFont="1" applyFill="1" applyBorder="1" applyAlignment="1">
      <alignment horizontal="left" vertical="center" shrinkToFit="1"/>
    </xf>
    <xf numFmtId="191" fontId="4" fillId="4" borderId="5" xfId="1" applyNumberFormat="1" applyFont="1" applyFill="1" applyBorder="1" applyAlignment="1">
      <alignment vertical="center" shrinkToFit="1"/>
    </xf>
    <xf numFmtId="188" fontId="4" fillId="4" borderId="5" xfId="6" applyNumberFormat="1" applyFont="1" applyFill="1" applyBorder="1" applyAlignment="1">
      <alignment vertical="center" shrinkToFit="1"/>
    </xf>
    <xf numFmtId="191" fontId="120" fillId="4" borderId="5" xfId="1" applyNumberFormat="1" applyFont="1" applyFill="1" applyBorder="1" applyAlignment="1">
      <alignment vertical="center" shrinkToFit="1"/>
    </xf>
    <xf numFmtId="190" fontId="120" fillId="4" borderId="5" xfId="1" applyNumberFormat="1" applyFont="1" applyFill="1" applyBorder="1" applyAlignment="1">
      <alignment vertical="center" shrinkToFit="1"/>
    </xf>
    <xf numFmtId="200" fontId="4" fillId="4" borderId="5" xfId="6" applyNumberFormat="1" applyFont="1" applyFill="1" applyBorder="1" applyAlignment="1">
      <alignment vertical="center" shrinkToFit="1"/>
    </xf>
    <xf numFmtId="191" fontId="2" fillId="4" borderId="15" xfId="1" applyNumberFormat="1" applyFont="1" applyFill="1" applyBorder="1" applyAlignment="1">
      <alignment vertical="center"/>
    </xf>
    <xf numFmtId="0" fontId="4" fillId="0" borderId="3" xfId="6" applyFont="1" applyFill="1" applyBorder="1" applyAlignment="1">
      <alignment horizontal="left" vertical="center"/>
    </xf>
    <xf numFmtId="191" fontId="119" fillId="4" borderId="4" xfId="0" applyNumberFormat="1" applyFont="1" applyFill="1" applyBorder="1" applyAlignment="1">
      <alignment vertical="center"/>
    </xf>
    <xf numFmtId="191" fontId="4" fillId="4" borderId="5" xfId="1" applyNumberFormat="1" applyFont="1" applyFill="1" applyBorder="1" applyAlignment="1">
      <alignment horizontal="right" vertical="center"/>
    </xf>
    <xf numFmtId="1" fontId="120" fillId="4" borderId="0" xfId="1" applyNumberFormat="1" applyFont="1" applyFill="1" applyBorder="1" applyAlignment="1">
      <alignment horizontal="center" vertical="center" shrinkToFit="1"/>
    </xf>
    <xf numFmtId="0" fontId="137" fillId="4" borderId="0" xfId="0" applyFont="1" applyFill="1" applyBorder="1" applyAlignment="1">
      <alignment vertical="center" shrinkToFit="1"/>
    </xf>
    <xf numFmtId="191" fontId="120" fillId="4" borderId="14" xfId="1" applyNumberFormat="1" applyFont="1" applyFill="1" applyBorder="1" applyAlignment="1">
      <alignment vertical="center" shrinkToFit="1"/>
    </xf>
    <xf numFmtId="200" fontId="4" fillId="4" borderId="14" xfId="6" applyNumberFormat="1" applyFont="1" applyFill="1" applyBorder="1" applyAlignment="1">
      <alignment vertical="center" shrinkToFit="1"/>
    </xf>
    <xf numFmtId="188" fontId="81" fillId="4" borderId="14" xfId="12" applyNumberFormat="1" applyFont="1" applyFill="1" applyBorder="1" applyAlignment="1">
      <alignment horizontal="right" vertical="center"/>
    </xf>
    <xf numFmtId="0" fontId="121" fillId="4" borderId="0" xfId="0" applyFont="1" applyFill="1" applyAlignment="1"/>
    <xf numFmtId="0" fontId="132" fillId="4" borderId="0" xfId="0" applyFont="1" applyFill="1" applyBorder="1" applyAlignment="1"/>
    <xf numFmtId="191" fontId="7" fillId="4" borderId="4" xfId="1" applyNumberFormat="1" applyFont="1" applyFill="1" applyBorder="1" applyAlignment="1">
      <alignment vertical="center" shrinkToFit="1"/>
    </xf>
    <xf numFmtId="188" fontId="120" fillId="4" borderId="17" xfId="1" applyFont="1" applyFill="1" applyBorder="1" applyAlignment="1">
      <alignment vertical="center"/>
    </xf>
    <xf numFmtId="187" fontId="70" fillId="0" borderId="0" xfId="0" applyNumberFormat="1" applyFont="1" applyFill="1" applyAlignment="1">
      <alignment vertical="center"/>
    </xf>
    <xf numFmtId="187" fontId="7" fillId="0" borderId="0" xfId="0" applyNumberFormat="1" applyFont="1" applyFill="1" applyAlignment="1">
      <alignment vertical="center"/>
    </xf>
    <xf numFmtId="188" fontId="7" fillId="0" borderId="0" xfId="1" applyFont="1" applyFill="1" applyAlignment="1">
      <alignment vertical="center"/>
    </xf>
    <xf numFmtId="0" fontId="7" fillId="0" borderId="0" xfId="5" applyFont="1" applyFill="1" applyAlignment="1"/>
    <xf numFmtId="0" fontId="22" fillId="0" borderId="0" xfId="5" applyNumberFormat="1" applyFont="1" applyFill="1" applyAlignment="1"/>
    <xf numFmtId="0" fontId="4" fillId="0" borderId="0" xfId="0" applyNumberFormat="1" applyFont="1" applyFill="1" applyAlignment="1"/>
    <xf numFmtId="0" fontId="160" fillId="0" borderId="0" xfId="5" applyNumberFormat="1" applyFont="1" applyFill="1" applyBorder="1" applyAlignment="1">
      <alignment horizontal="center" vertical="center" shrinkToFit="1"/>
    </xf>
    <xf numFmtId="0" fontId="98" fillId="4" borderId="0" xfId="0" applyFont="1" applyFill="1" applyBorder="1"/>
    <xf numFmtId="0" fontId="138" fillId="4" borderId="0" xfId="0" applyFont="1" applyFill="1" applyBorder="1"/>
    <xf numFmtId="0" fontId="172" fillId="0" borderId="0" xfId="0" applyFont="1" applyFill="1" applyBorder="1" applyAlignment="1"/>
    <xf numFmtId="199" fontId="172" fillId="0" borderId="0" xfId="3" applyFont="1" applyFill="1" applyBorder="1" applyAlignment="1">
      <alignment horizontal="center"/>
    </xf>
    <xf numFmtId="0" fontId="172" fillId="0" borderId="0" xfId="0" applyFont="1" applyFill="1" applyBorder="1" applyAlignment="1">
      <alignment horizontal="center"/>
    </xf>
    <xf numFmtId="0" fontId="175" fillId="0" borderId="0" xfId="0" applyFont="1" applyFill="1" applyBorder="1"/>
    <xf numFmtId="0" fontId="37" fillId="0" borderId="0" xfId="0" applyNumberFormat="1" applyFont="1" applyFill="1" applyAlignment="1"/>
    <xf numFmtId="188" fontId="42" fillId="0" borderId="0" xfId="0" applyNumberFormat="1" applyFont="1" applyFill="1" applyAlignment="1"/>
    <xf numFmtId="3" fontId="42" fillId="0" borderId="0" xfId="0" applyNumberFormat="1" applyFont="1" applyFill="1" applyAlignment="1"/>
    <xf numFmtId="188" fontId="38" fillId="0" borderId="0" xfId="1" applyFont="1" applyFill="1" applyAlignment="1">
      <alignment horizontal="center"/>
    </xf>
    <xf numFmtId="3" fontId="38" fillId="0" borderId="0" xfId="1" applyNumberFormat="1" applyFont="1" applyFill="1"/>
    <xf numFmtId="0" fontId="166" fillId="0" borderId="0" xfId="0" quotePrefix="1" applyFont="1" applyFill="1" applyBorder="1" applyAlignment="1"/>
    <xf numFmtId="0" fontId="193" fillId="0" borderId="0" xfId="6" applyFont="1" applyFill="1"/>
    <xf numFmtId="0" fontId="37" fillId="2" borderId="0" xfId="6" applyFont="1" applyFill="1" applyAlignment="1"/>
    <xf numFmtId="0" fontId="40" fillId="2" borderId="0" xfId="6" applyFont="1" applyFill="1" applyAlignment="1"/>
    <xf numFmtId="191" fontId="2" fillId="4" borderId="15" xfId="1" applyNumberFormat="1" applyFont="1" applyFill="1" applyBorder="1" applyAlignment="1">
      <alignment vertical="center" shrinkToFit="1"/>
    </xf>
    <xf numFmtId="191" fontId="2" fillId="4" borderId="2" xfId="1" applyNumberFormat="1" applyFont="1" applyFill="1" applyBorder="1" applyAlignment="1">
      <alignment vertical="center" shrinkToFit="1"/>
    </xf>
    <xf numFmtId="0" fontId="132" fillId="4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14" fillId="4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91" fontId="4" fillId="0" borderId="0" xfId="1" applyNumberFormat="1" applyFont="1" applyFill="1" applyAlignment="1">
      <alignment horizontal="center"/>
    </xf>
    <xf numFmtId="188" fontId="4" fillId="0" borderId="0" xfId="0" applyNumberFormat="1" applyFont="1" applyFill="1" applyAlignment="1">
      <alignment horizontal="center"/>
    </xf>
    <xf numFmtId="191" fontId="81" fillId="0" borderId="0" xfId="0" applyNumberFormat="1" applyFont="1" applyFill="1" applyAlignment="1">
      <alignment horizontal="center"/>
    </xf>
    <xf numFmtId="0" fontId="37" fillId="0" borderId="0" xfId="0" applyNumberFormat="1" applyFont="1" applyFill="1" applyAlignment="1">
      <alignment horizontal="center"/>
    </xf>
    <xf numFmtId="0" fontId="42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191" fontId="2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37" fillId="0" borderId="0" xfId="0" applyFont="1" applyFill="1" applyAlignment="1">
      <alignment vertical="center"/>
    </xf>
    <xf numFmtId="0" fontId="38" fillId="0" borderId="0" xfId="0" applyFont="1" applyFill="1" applyAlignment="1">
      <alignment vertical="center"/>
    </xf>
    <xf numFmtId="191" fontId="38" fillId="0" borderId="0" xfId="0" applyNumberFormat="1" applyFont="1" applyFill="1" applyAlignment="1">
      <alignment vertical="center"/>
    </xf>
    <xf numFmtId="0" fontId="4" fillId="0" borderId="3" xfId="0" applyNumberFormat="1" applyFont="1" applyFill="1" applyBorder="1" applyAlignment="1">
      <alignment horizontal="center" vertical="center" shrinkToFit="1"/>
    </xf>
    <xf numFmtId="0" fontId="50" fillId="0" borderId="3" xfId="6" applyFont="1" applyFill="1" applyBorder="1" applyAlignment="1">
      <alignment vertical="center" wrapText="1"/>
    </xf>
    <xf numFmtId="0" fontId="4" fillId="0" borderId="3" xfId="5" quotePrefix="1" applyFont="1" applyFill="1" applyBorder="1" applyAlignment="1">
      <alignment horizontal="center" vertical="center" shrinkToFit="1"/>
    </xf>
    <xf numFmtId="191" fontId="4" fillId="0" borderId="3" xfId="0" applyNumberFormat="1" applyFont="1" applyFill="1" applyBorder="1" applyAlignment="1">
      <alignment vertical="center"/>
    </xf>
    <xf numFmtId="0" fontId="2" fillId="0" borderId="2" xfId="0" quotePrefix="1" applyFont="1" applyFill="1" applyBorder="1" applyAlignment="1">
      <alignment vertical="center" shrinkToFit="1"/>
    </xf>
    <xf numFmtId="0" fontId="4" fillId="0" borderId="11" xfId="0" applyNumberFormat="1" applyFont="1" applyFill="1" applyBorder="1" applyAlignment="1">
      <alignment horizontal="center" vertical="center" shrinkToFit="1"/>
    </xf>
    <xf numFmtId="0" fontId="4" fillId="0" borderId="11" xfId="0" quotePrefix="1" applyFont="1" applyFill="1" applyBorder="1" applyAlignment="1">
      <alignment horizontal="center" vertical="center"/>
    </xf>
    <xf numFmtId="0" fontId="4" fillId="0" borderId="11" xfId="5" quotePrefix="1" applyFont="1" applyFill="1" applyBorder="1" applyAlignment="1">
      <alignment horizontal="center" vertical="center" shrinkToFit="1"/>
    </xf>
    <xf numFmtId="0" fontId="50" fillId="0" borderId="0" xfId="6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shrinkToFit="1"/>
    </xf>
    <xf numFmtId="0" fontId="4" fillId="0" borderId="4" xfId="0" applyNumberFormat="1" applyFont="1" applyFill="1" applyBorder="1" applyAlignment="1">
      <alignment vertical="center" shrinkToFit="1"/>
    </xf>
    <xf numFmtId="0" fontId="2" fillId="0" borderId="18" xfId="5" applyNumberFormat="1" applyFont="1" applyFill="1" applyBorder="1" applyAlignment="1">
      <alignment vertical="center" shrinkToFit="1"/>
    </xf>
    <xf numFmtId="0" fontId="2" fillId="0" borderId="6" xfId="5" applyNumberFormat="1" applyFont="1" applyFill="1" applyBorder="1" applyAlignment="1">
      <alignment vertical="center" shrinkToFit="1"/>
    </xf>
    <xf numFmtId="0" fontId="2" fillId="0" borderId="6" xfId="5" quotePrefix="1" applyFont="1" applyFill="1" applyBorder="1" applyAlignment="1">
      <alignment vertical="center" shrinkToFit="1"/>
    </xf>
    <xf numFmtId="0" fontId="4" fillId="0" borderId="6" xfId="5" quotePrefix="1" applyFont="1" applyFill="1" applyBorder="1" applyAlignment="1">
      <alignment vertical="center" shrinkToFit="1"/>
    </xf>
    <xf numFmtId="0" fontId="4" fillId="0" borderId="2" xfId="5" quotePrefix="1" applyFont="1" applyFill="1" applyBorder="1" applyAlignment="1">
      <alignment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5" quotePrefix="1" applyFont="1" applyFill="1" applyBorder="1" applyAlignment="1">
      <alignment horizontal="center" vertical="center" shrinkToFit="1"/>
    </xf>
    <xf numFmtId="0" fontId="196" fillId="0" borderId="2" xfId="6" applyFont="1" applyFill="1" applyBorder="1" applyAlignment="1">
      <alignment vertical="center" wrapText="1"/>
    </xf>
    <xf numFmtId="0" fontId="4" fillId="0" borderId="3" xfId="0" quotePrefix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shrinkToFit="1"/>
    </xf>
    <xf numFmtId="0" fontId="50" fillId="0" borderId="5" xfId="6" applyFont="1" applyFill="1" applyBorder="1" applyAlignment="1">
      <alignment vertical="center" wrapText="1"/>
    </xf>
    <xf numFmtId="0" fontId="4" fillId="0" borderId="5" xfId="0" quotePrefix="1" applyFont="1" applyFill="1" applyBorder="1" applyAlignment="1">
      <alignment horizontal="center" vertical="center"/>
    </xf>
    <xf numFmtId="0" fontId="4" fillId="0" borderId="5" xfId="5" quotePrefix="1" applyFont="1" applyFill="1" applyBorder="1" applyAlignment="1">
      <alignment horizontal="center" vertical="center" shrinkToFit="1"/>
    </xf>
    <xf numFmtId="0" fontId="4" fillId="0" borderId="18" xfId="5" quotePrefix="1" applyFont="1" applyFill="1" applyBorder="1" applyAlignment="1">
      <alignment horizontal="center" vertical="center" shrinkToFit="1"/>
    </xf>
    <xf numFmtId="1" fontId="4" fillId="0" borderId="3" xfId="5" applyNumberFormat="1" applyFont="1" applyFill="1" applyBorder="1" applyAlignment="1">
      <alignment horizontal="center" vertical="center" shrinkToFit="1"/>
    </xf>
    <xf numFmtId="1" fontId="2" fillId="0" borderId="2" xfId="1" applyNumberFormat="1" applyFont="1" applyFill="1" applyBorder="1" applyAlignment="1">
      <alignment horizontal="center" vertical="center" shrinkToFit="1"/>
    </xf>
    <xf numFmtId="1" fontId="4" fillId="0" borderId="2" xfId="1" applyNumberFormat="1" applyFont="1" applyFill="1" applyBorder="1" applyAlignment="1">
      <alignment horizontal="center" vertical="center" shrinkToFit="1"/>
    </xf>
    <xf numFmtId="1" fontId="2" fillId="0" borderId="2" xfId="0" quotePrefix="1" applyNumberFormat="1" applyFont="1" applyFill="1" applyBorder="1" applyAlignment="1">
      <alignment horizontal="center" vertical="center" shrinkToFit="1"/>
    </xf>
    <xf numFmtId="1" fontId="4" fillId="0" borderId="11" xfId="5" applyNumberFormat="1" applyFont="1" applyFill="1" applyBorder="1" applyAlignment="1">
      <alignment horizontal="center" vertical="center" shrinkToFit="1"/>
    </xf>
    <xf numFmtId="1" fontId="4" fillId="0" borderId="2" xfId="5" quotePrefix="1" applyNumberFormat="1" applyFont="1" applyFill="1" applyBorder="1" applyAlignment="1">
      <alignment horizontal="center" vertical="center" shrinkToFit="1"/>
    </xf>
    <xf numFmtId="0" fontId="4" fillId="0" borderId="54" xfId="0" applyNumberFormat="1" applyFont="1" applyFill="1" applyBorder="1" applyAlignment="1">
      <alignment vertical="center" shrinkToFit="1"/>
    </xf>
    <xf numFmtId="0" fontId="2" fillId="0" borderId="55" xfId="0" applyNumberFormat="1" applyFont="1" applyFill="1" applyBorder="1" applyAlignment="1">
      <alignment vertical="center" shrinkToFit="1"/>
    </xf>
    <xf numFmtId="0" fontId="2" fillId="0" borderId="3" xfId="0" applyNumberFormat="1" applyFont="1" applyFill="1" applyBorder="1" applyAlignment="1">
      <alignment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188" fontId="2" fillId="0" borderId="3" xfId="1" applyNumberFormat="1" applyFont="1" applyFill="1" applyBorder="1" applyAlignment="1">
      <alignment vertical="center" shrinkToFit="1"/>
    </xf>
    <xf numFmtId="191" fontId="2" fillId="0" borderId="3" xfId="0" applyNumberFormat="1" applyFont="1" applyFill="1" applyBorder="1" applyAlignment="1">
      <alignment vertical="center"/>
    </xf>
    <xf numFmtId="0" fontId="4" fillId="0" borderId="47" xfId="0" applyNumberFormat="1" applyFont="1" applyFill="1" applyBorder="1" applyAlignment="1">
      <alignment vertical="center" shrinkToFit="1"/>
    </xf>
    <xf numFmtId="0" fontId="2" fillId="0" borderId="48" xfId="0" applyNumberFormat="1" applyFont="1" applyFill="1" applyBorder="1" applyAlignment="1">
      <alignment vertical="center" shrinkToFit="1"/>
    </xf>
    <xf numFmtId="0" fontId="2" fillId="0" borderId="4" xfId="0" applyNumberFormat="1" applyFont="1" applyFill="1" applyBorder="1" applyAlignment="1">
      <alignment vertical="center" shrinkToFit="1"/>
    </xf>
    <xf numFmtId="1" fontId="4" fillId="0" borderId="4" xfId="0" applyNumberFormat="1" applyFont="1" applyFill="1" applyBorder="1" applyAlignment="1">
      <alignment horizontal="center" vertical="center" shrinkToFit="1"/>
    </xf>
    <xf numFmtId="188" fontId="2" fillId="0" borderId="4" xfId="1" applyNumberFormat="1" applyFont="1" applyFill="1" applyBorder="1" applyAlignment="1">
      <alignment vertical="center" shrinkToFit="1"/>
    </xf>
    <xf numFmtId="191" fontId="2" fillId="0" borderId="4" xfId="0" applyNumberFormat="1" applyFont="1" applyFill="1" applyBorder="1" applyAlignment="1">
      <alignment vertical="center"/>
    </xf>
    <xf numFmtId="188" fontId="2" fillId="0" borderId="5" xfId="1" applyNumberFormat="1" applyFont="1" applyFill="1" applyBorder="1" applyAlignment="1">
      <alignment vertical="center" shrinkToFit="1"/>
    </xf>
    <xf numFmtId="191" fontId="2" fillId="0" borderId="0" xfId="5" applyNumberFormat="1" applyFont="1" applyFill="1" applyBorder="1" applyAlignment="1">
      <alignment horizontal="right" vertical="center" shrinkToFit="1"/>
    </xf>
    <xf numFmtId="0" fontId="2" fillId="0" borderId="0" xfId="5" applyNumberFormat="1" applyFont="1" applyFill="1" applyBorder="1" applyAlignment="1">
      <alignment vertical="center" shrinkToFit="1"/>
    </xf>
    <xf numFmtId="0" fontId="12" fillId="0" borderId="0" xfId="9"/>
    <xf numFmtId="192" fontId="121" fillId="4" borderId="2" xfId="2" applyNumberFormat="1" applyFont="1" applyFill="1" applyBorder="1" applyAlignment="1">
      <alignment horizontal="center" vertical="center" wrapText="1"/>
    </xf>
    <xf numFmtId="192" fontId="121" fillId="4" borderId="15" xfId="2" applyNumberFormat="1" applyFont="1" applyFill="1" applyBorder="1" applyAlignment="1">
      <alignment horizontal="center" vertical="center" wrapText="1"/>
    </xf>
    <xf numFmtId="0" fontId="76" fillId="0" borderId="1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center" shrinkToFit="1"/>
    </xf>
    <xf numFmtId="212" fontId="7" fillId="0" borderId="1" xfId="1" applyNumberFormat="1" applyFont="1" applyFill="1" applyBorder="1" applyAlignment="1">
      <alignment horizontal="center" vertical="center" shrinkToFit="1"/>
    </xf>
    <xf numFmtId="190" fontId="180" fillId="4" borderId="2" xfId="1" applyNumberFormat="1" applyFont="1" applyFill="1" applyBorder="1" applyAlignment="1">
      <alignment vertical="center" shrinkToFit="1"/>
    </xf>
    <xf numFmtId="188" fontId="76" fillId="0" borderId="0" xfId="1" applyFont="1" applyFill="1" applyBorder="1" applyAlignment="1">
      <alignment horizontal="center" vertical="center"/>
    </xf>
    <xf numFmtId="211" fontId="172" fillId="0" borderId="0" xfId="0" applyNumberFormat="1" applyFont="1" applyFill="1" applyBorder="1"/>
    <xf numFmtId="2" fontId="181" fillId="4" borderId="35" xfId="0" applyNumberFormat="1" applyFont="1" applyFill="1" applyBorder="1" applyAlignment="1">
      <alignment vertical="center"/>
    </xf>
    <xf numFmtId="191" fontId="184" fillId="4" borderId="2" xfId="1" applyNumberFormat="1" applyFont="1" applyFill="1" applyBorder="1" applyAlignment="1">
      <alignment vertical="center" shrinkToFit="1"/>
    </xf>
    <xf numFmtId="0" fontId="120" fillId="4" borderId="16" xfId="0" applyFont="1" applyFill="1" applyBorder="1" applyAlignment="1">
      <alignment vertical="center"/>
    </xf>
    <xf numFmtId="210" fontId="120" fillId="4" borderId="16" xfId="0" applyNumberFormat="1" applyFont="1" applyFill="1" applyBorder="1" applyAlignment="1">
      <alignment vertical="center"/>
    </xf>
    <xf numFmtId="210" fontId="120" fillId="4" borderId="4" xfId="0" applyNumberFormat="1" applyFont="1" applyFill="1" applyBorder="1" applyAlignment="1">
      <alignment vertical="center"/>
    </xf>
    <xf numFmtId="210" fontId="120" fillId="0" borderId="4" xfId="0" applyNumberFormat="1" applyFont="1" applyFill="1" applyBorder="1" applyAlignment="1">
      <alignment vertical="center"/>
    </xf>
    <xf numFmtId="0" fontId="120" fillId="4" borderId="17" xfId="0" applyFont="1" applyFill="1" applyBorder="1" applyAlignment="1">
      <alignment vertical="center"/>
    </xf>
    <xf numFmtId="210" fontId="120" fillId="0" borderId="17" xfId="0" applyNumberFormat="1" applyFont="1" applyFill="1" applyBorder="1" applyAlignment="1">
      <alignment vertical="center"/>
    </xf>
    <xf numFmtId="0" fontId="120" fillId="0" borderId="17" xfId="0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horizontal="right" vertical="center"/>
    </xf>
    <xf numFmtId="0" fontId="126" fillId="2" borderId="0" xfId="6" applyFont="1" applyFill="1" applyAlignment="1"/>
    <xf numFmtId="0" fontId="200" fillId="2" borderId="0" xfId="6" applyFont="1" applyFill="1" applyAlignment="1"/>
    <xf numFmtId="0" fontId="99" fillId="0" borderId="0" xfId="0" applyFont="1"/>
    <xf numFmtId="0" fontId="126" fillId="0" borderId="2" xfId="0" applyFont="1" applyBorder="1"/>
    <xf numFmtId="0" fontId="126" fillId="0" borderId="2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 wrapText="1"/>
    </xf>
    <xf numFmtId="191" fontId="126" fillId="0" borderId="2" xfId="0" applyNumberFormat="1" applyFont="1" applyBorder="1"/>
    <xf numFmtId="191" fontId="4" fillId="0" borderId="0" xfId="0" applyNumberFormat="1" applyFont="1" applyFill="1" applyAlignment="1"/>
    <xf numFmtId="197" fontId="76" fillId="0" borderId="2" xfId="3" applyNumberFormat="1" applyFont="1" applyFill="1" applyBorder="1" applyAlignment="1">
      <alignment horizontal="center" vertical="center" wrapText="1"/>
    </xf>
    <xf numFmtId="197" fontId="76" fillId="0" borderId="2" xfId="3" applyNumberFormat="1" applyFont="1" applyFill="1" applyBorder="1" applyAlignment="1">
      <alignment horizontal="center" vertical="center"/>
    </xf>
    <xf numFmtId="0" fontId="0" fillId="0" borderId="0" xfId="0" applyBorder="1"/>
    <xf numFmtId="1" fontId="181" fillId="4" borderId="3" xfId="1" applyNumberFormat="1" applyFont="1" applyFill="1" applyBorder="1" applyAlignment="1">
      <alignment horizontal="center" vertical="center"/>
    </xf>
    <xf numFmtId="0" fontId="184" fillId="4" borderId="3" xfId="6" applyFont="1" applyFill="1" applyBorder="1" applyAlignment="1">
      <alignment horizontal="left" vertical="center"/>
    </xf>
    <xf numFmtId="191" fontId="181" fillId="4" borderId="3" xfId="1" applyNumberFormat="1" applyFont="1" applyFill="1" applyBorder="1" applyAlignment="1">
      <alignment horizontal="center" vertical="center"/>
    </xf>
    <xf numFmtId="191" fontId="180" fillId="4" borderId="3" xfId="1" applyNumberFormat="1" applyFont="1" applyFill="1" applyBorder="1" applyAlignment="1">
      <alignment vertical="center" shrinkToFit="1"/>
    </xf>
    <xf numFmtId="188" fontId="181" fillId="4" borderId="3" xfId="1" applyFont="1" applyFill="1" applyBorder="1" applyAlignment="1">
      <alignment vertical="center"/>
    </xf>
    <xf numFmtId="1" fontId="181" fillId="4" borderId="3" xfId="0" applyNumberFormat="1" applyFont="1" applyFill="1" applyBorder="1" applyAlignment="1">
      <alignment vertical="center"/>
    </xf>
    <xf numFmtId="3" fontId="184" fillId="4" borderId="3" xfId="12" applyNumberFormat="1" applyFont="1" applyFill="1" applyBorder="1" applyAlignment="1">
      <alignment vertical="center"/>
    </xf>
    <xf numFmtId="2" fontId="184" fillId="4" borderId="3" xfId="6" applyNumberFormat="1" applyFont="1" applyFill="1" applyBorder="1" applyAlignment="1">
      <alignment vertical="center"/>
    </xf>
    <xf numFmtId="192" fontId="184" fillId="4" borderId="3" xfId="12" applyNumberFormat="1" applyFont="1" applyFill="1" applyBorder="1" applyAlignment="1">
      <alignment horizontal="left" vertical="center" wrapText="1"/>
    </xf>
    <xf numFmtId="1" fontId="181" fillId="4" borderId="4" xfId="1" applyNumberFormat="1" applyFont="1" applyFill="1" applyBorder="1" applyAlignment="1">
      <alignment horizontal="center" vertical="center"/>
    </xf>
    <xf numFmtId="0" fontId="184" fillId="4" borderId="4" xfId="6" applyFont="1" applyFill="1" applyBorder="1" applyAlignment="1">
      <alignment horizontal="left" vertical="center"/>
    </xf>
    <xf numFmtId="191" fontId="184" fillId="4" borderId="4" xfId="1" applyNumberFormat="1" applyFont="1" applyFill="1" applyBorder="1" applyAlignment="1">
      <alignment horizontal="center" vertical="center"/>
    </xf>
    <xf numFmtId="191" fontId="180" fillId="4" borderId="4" xfId="1" applyNumberFormat="1" applyFont="1" applyFill="1" applyBorder="1" applyAlignment="1">
      <alignment vertical="center" shrinkToFit="1"/>
    </xf>
    <xf numFmtId="188" fontId="181" fillId="4" borderId="4" xfId="1" applyFont="1" applyFill="1" applyBorder="1" applyAlignment="1">
      <alignment vertical="center"/>
    </xf>
    <xf numFmtId="190" fontId="181" fillId="4" borderId="4" xfId="1" applyNumberFormat="1" applyFont="1" applyFill="1" applyBorder="1" applyAlignment="1">
      <alignment vertical="center"/>
    </xf>
    <xf numFmtId="1" fontId="181" fillId="4" borderId="4" xfId="0" applyNumberFormat="1" applyFont="1" applyFill="1" applyBorder="1" applyAlignment="1">
      <alignment vertical="center"/>
    </xf>
    <xf numFmtId="3" fontId="184" fillId="4" borderId="4" xfId="12" applyNumberFormat="1" applyFont="1" applyFill="1" applyBorder="1" applyAlignment="1">
      <alignment horizontal="right" vertical="center"/>
    </xf>
    <xf numFmtId="200" fontId="184" fillId="4" borderId="4" xfId="6" applyNumberFormat="1" applyFont="1" applyFill="1" applyBorder="1" applyAlignment="1">
      <alignment horizontal="right" vertical="center"/>
    </xf>
    <xf numFmtId="2" fontId="184" fillId="4" borderId="4" xfId="6" applyNumberFormat="1" applyFont="1" applyFill="1" applyBorder="1" applyAlignment="1">
      <alignment horizontal="right" vertical="center"/>
    </xf>
    <xf numFmtId="188" fontId="182" fillId="4" borderId="4" xfId="12" applyNumberFormat="1" applyFont="1" applyFill="1" applyBorder="1" applyAlignment="1">
      <alignment horizontal="right" vertical="center"/>
    </xf>
    <xf numFmtId="0" fontId="184" fillId="4" borderId="4" xfId="6" applyFont="1" applyFill="1" applyBorder="1" applyAlignment="1">
      <alignment vertical="center"/>
    </xf>
    <xf numFmtId="1" fontId="181" fillId="4" borderId="5" xfId="1" applyNumberFormat="1" applyFont="1" applyFill="1" applyBorder="1" applyAlignment="1">
      <alignment horizontal="center" vertical="center"/>
    </xf>
    <xf numFmtId="191" fontId="180" fillId="4" borderId="5" xfId="1" applyNumberFormat="1" applyFont="1" applyFill="1" applyBorder="1" applyAlignment="1">
      <alignment vertical="center" shrinkToFit="1"/>
    </xf>
    <xf numFmtId="188" fontId="181" fillId="4" borderId="5" xfId="1" applyFont="1" applyFill="1" applyBorder="1" applyAlignment="1">
      <alignment vertical="center"/>
    </xf>
    <xf numFmtId="190" fontId="181" fillId="4" borderId="5" xfId="1" applyNumberFormat="1" applyFont="1" applyFill="1" applyBorder="1" applyAlignment="1">
      <alignment vertical="center"/>
    </xf>
    <xf numFmtId="188" fontId="182" fillId="4" borderId="5" xfId="12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02" fillId="0" borderId="0" xfId="0" applyFont="1" applyAlignment="1">
      <alignment vertical="center"/>
    </xf>
    <xf numFmtId="191" fontId="8" fillId="0" borderId="4" xfId="12" applyNumberFormat="1" applyFont="1" applyBorder="1" applyAlignment="1">
      <alignment horizontal="center" vertical="center"/>
    </xf>
    <xf numFmtId="191" fontId="152" fillId="0" borderId="2" xfId="12" applyNumberFormat="1" applyFont="1" applyBorder="1" applyAlignment="1">
      <alignment horizontal="center" vertical="center"/>
    </xf>
    <xf numFmtId="0" fontId="152" fillId="0" borderId="0" xfId="0" applyFont="1" applyAlignment="1">
      <alignment vertical="center"/>
    </xf>
    <xf numFmtId="0" fontId="26" fillId="0" borderId="2" xfId="0" applyNumberFormat="1" applyFont="1" applyFill="1" applyBorder="1" applyAlignment="1">
      <alignment horizontal="center" vertical="center" shrinkToFit="1"/>
    </xf>
    <xf numFmtId="197" fontId="76" fillId="0" borderId="2" xfId="3" applyNumberFormat="1" applyFont="1" applyFill="1" applyBorder="1" applyAlignment="1">
      <alignment horizontal="center" vertical="center"/>
    </xf>
    <xf numFmtId="197" fontId="76" fillId="0" borderId="2" xfId="3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191" fontId="8" fillId="0" borderId="17" xfId="12" applyNumberFormat="1" applyFont="1" applyBorder="1" applyAlignment="1">
      <alignment horizontal="center" vertical="center"/>
    </xf>
    <xf numFmtId="191" fontId="204" fillId="4" borderId="3" xfId="1" applyNumberFormat="1" applyFont="1" applyFill="1" applyBorder="1" applyAlignment="1">
      <alignment vertical="center" shrinkToFit="1"/>
    </xf>
    <xf numFmtId="191" fontId="204" fillId="4" borderId="4" xfId="1" applyNumberFormat="1" applyFont="1" applyFill="1" applyBorder="1" applyAlignment="1">
      <alignment vertical="center" shrinkToFit="1"/>
    </xf>
    <xf numFmtId="191" fontId="204" fillId="4" borderId="5" xfId="1" applyNumberFormat="1" applyFont="1" applyFill="1" applyBorder="1" applyAlignment="1">
      <alignment vertical="center" shrinkToFit="1"/>
    </xf>
    <xf numFmtId="188" fontId="184" fillId="4" borderId="4" xfId="1" applyFont="1" applyFill="1" applyBorder="1" applyAlignment="1">
      <alignment vertical="center"/>
    </xf>
    <xf numFmtId="188" fontId="4" fillId="4" borderId="4" xfId="1" applyFont="1" applyFill="1" applyBorder="1" applyAlignment="1">
      <alignment vertical="center" shrinkToFit="1"/>
    </xf>
    <xf numFmtId="0" fontId="168" fillId="0" borderId="0" xfId="0" applyFont="1" applyAlignment="1">
      <alignment vertical="center"/>
    </xf>
    <xf numFmtId="0" fontId="76" fillId="0" borderId="18" xfId="0" applyFont="1" applyFill="1" applyBorder="1" applyAlignment="1">
      <alignment horizontal="center" vertical="center"/>
    </xf>
    <xf numFmtId="0" fontId="76" fillId="0" borderId="6" xfId="0" applyFont="1" applyFill="1" applyBorder="1" applyAlignment="1">
      <alignment horizontal="center" vertical="center"/>
    </xf>
    <xf numFmtId="191" fontId="2" fillId="0" borderId="2" xfId="0" applyNumberFormat="1" applyFont="1" applyFill="1" applyBorder="1" applyAlignment="1">
      <alignment vertical="center"/>
    </xf>
    <xf numFmtId="191" fontId="119" fillId="0" borderId="2" xfId="1" applyNumberFormat="1" applyFont="1" applyFill="1" applyBorder="1" applyAlignment="1">
      <alignment vertical="center" shrinkToFit="1"/>
    </xf>
    <xf numFmtId="191" fontId="4" fillId="0" borderId="11" xfId="1" applyNumberFormat="1" applyFont="1" applyFill="1" applyBorder="1" applyAlignment="1">
      <alignment vertical="center" shrinkToFit="1"/>
    </xf>
    <xf numFmtId="191" fontId="4" fillId="0" borderId="11" xfId="0" applyNumberFormat="1" applyFont="1" applyFill="1" applyBorder="1" applyAlignment="1">
      <alignment vertical="center"/>
    </xf>
    <xf numFmtId="191" fontId="4" fillId="0" borderId="2" xfId="0" applyNumberFormat="1" applyFont="1" applyFill="1" applyBorder="1" applyAlignment="1">
      <alignment vertical="center"/>
    </xf>
    <xf numFmtId="191" fontId="4" fillId="0" borderId="5" xfId="0" applyNumberFormat="1" applyFont="1" applyFill="1" applyBorder="1" applyAlignment="1">
      <alignment vertical="center"/>
    </xf>
    <xf numFmtId="0" fontId="4" fillId="0" borderId="54" xfId="0" applyNumberFormat="1" applyFont="1" applyFill="1" applyBorder="1" applyAlignment="1">
      <alignment horizontal="center" vertical="center" shrinkToFit="1"/>
    </xf>
    <xf numFmtId="0" fontId="2" fillId="0" borderId="55" xfId="0" applyNumberFormat="1" applyFont="1" applyFill="1" applyBorder="1" applyAlignment="1">
      <alignment horizontal="center" vertical="center" shrinkToFit="1"/>
    </xf>
    <xf numFmtId="1" fontId="4" fillId="0" borderId="3" xfId="0" quotePrefix="1" applyNumberFormat="1" applyFont="1" applyFill="1" applyBorder="1" applyAlignment="1">
      <alignment horizontal="center" vertical="center" shrinkToFit="1"/>
    </xf>
    <xf numFmtId="0" fontId="4" fillId="0" borderId="45" xfId="0" applyNumberFormat="1" applyFont="1" applyFill="1" applyBorder="1" applyAlignment="1">
      <alignment horizontal="center" vertical="center" shrinkToFit="1"/>
    </xf>
    <xf numFmtId="0" fontId="2" fillId="0" borderId="39" xfId="0" applyNumberFormat="1" applyFont="1" applyFill="1" applyBorder="1" applyAlignment="1">
      <alignment horizontal="center" vertical="center" shrinkToFit="1"/>
    </xf>
    <xf numFmtId="1" fontId="4" fillId="0" borderId="5" xfId="0" quotePrefix="1" applyNumberFormat="1" applyFont="1" applyFill="1" applyBorder="1" applyAlignment="1">
      <alignment horizontal="center" vertical="center" shrinkToFit="1"/>
    </xf>
    <xf numFmtId="0" fontId="2" fillId="0" borderId="18" xfId="0" applyNumberFormat="1" applyFont="1" applyFill="1" applyBorder="1" applyAlignment="1">
      <alignment horizontal="center" vertical="center" shrinkToFit="1"/>
    </xf>
    <xf numFmtId="0" fontId="2" fillId="0" borderId="6" xfId="0" applyNumberFormat="1" applyFont="1" applyFill="1" applyBorder="1" applyAlignment="1">
      <alignment vertical="center" shrinkToFit="1"/>
    </xf>
    <xf numFmtId="191" fontId="2" fillId="0" borderId="2" xfId="0" applyNumberFormat="1" applyFont="1" applyFill="1" applyBorder="1" applyAlignment="1">
      <alignment horizontal="center" vertical="center" shrinkToFit="1"/>
    </xf>
    <xf numFmtId="0" fontId="170" fillId="0" borderId="12" xfId="0" applyFont="1" applyFill="1" applyBorder="1" applyAlignment="1">
      <alignment horizontal="center" vertical="center"/>
    </xf>
    <xf numFmtId="37" fontId="170" fillId="0" borderId="2" xfId="3" applyNumberFormat="1" applyFont="1" applyFill="1" applyBorder="1" applyAlignment="1">
      <alignment horizontal="center" vertical="center" wrapText="1"/>
    </xf>
    <xf numFmtId="197" fontId="170" fillId="0" borderId="2" xfId="3" quotePrefix="1" applyNumberFormat="1" applyFont="1" applyFill="1" applyBorder="1" applyAlignment="1">
      <alignment horizontal="center" wrapText="1"/>
    </xf>
    <xf numFmtId="197" fontId="170" fillId="0" borderId="2" xfId="3" applyNumberFormat="1" applyFont="1" applyFill="1" applyBorder="1" applyAlignment="1">
      <alignment horizontal="center" vertical="center" wrapText="1"/>
    </xf>
    <xf numFmtId="188" fontId="76" fillId="0" borderId="2" xfId="0" applyNumberFormat="1" applyFont="1" applyFill="1" applyBorder="1" applyAlignment="1">
      <alignment horizontal="center" vertical="center" wrapText="1"/>
    </xf>
    <xf numFmtId="191" fontId="76" fillId="0" borderId="2" xfId="0" applyNumberFormat="1" applyFont="1" applyFill="1" applyBorder="1" applyAlignment="1">
      <alignment horizontal="center" vertical="center" wrapText="1"/>
    </xf>
    <xf numFmtId="191" fontId="76" fillId="0" borderId="2" xfId="1" applyNumberFormat="1" applyFont="1" applyFill="1" applyBorder="1" applyAlignment="1">
      <alignment horizontal="left" vertical="center" wrapText="1"/>
    </xf>
    <xf numFmtId="188" fontId="76" fillId="0" borderId="2" xfId="1" applyFont="1" applyFill="1" applyBorder="1" applyAlignment="1">
      <alignment horizontal="left" vertical="center" wrapText="1"/>
    </xf>
    <xf numFmtId="0" fontId="152" fillId="0" borderId="2" xfId="0" applyFont="1" applyBorder="1" applyAlignment="1">
      <alignment horizontal="center" vertical="center"/>
    </xf>
    <xf numFmtId="191" fontId="152" fillId="0" borderId="2" xfId="1" applyNumberFormat="1" applyFont="1" applyBorder="1" applyAlignment="1">
      <alignment horizontal="center" vertical="center"/>
    </xf>
    <xf numFmtId="190" fontId="8" fillId="0" borderId="0" xfId="1" applyNumberFormat="1" applyFont="1" applyAlignment="1">
      <alignment vertical="center"/>
    </xf>
    <xf numFmtId="0" fontId="38" fillId="0" borderId="0" xfId="0" applyFont="1"/>
    <xf numFmtId="0" fontId="38" fillId="0" borderId="2" xfId="0" applyFont="1" applyBorder="1"/>
    <xf numFmtId="0" fontId="37" fillId="0" borderId="2" xfId="0" applyFont="1" applyBorder="1"/>
    <xf numFmtId="0" fontId="37" fillId="0" borderId="2" xfId="0" applyFont="1" applyBorder="1" applyAlignment="1">
      <alignment horizontal="center" vertical="center"/>
    </xf>
    <xf numFmtId="0" fontId="37" fillId="0" borderId="0" xfId="6" applyFont="1" applyFill="1" applyBorder="1" applyAlignment="1">
      <alignment vertical="center" wrapText="1" shrinkToFit="1"/>
    </xf>
    <xf numFmtId="191" fontId="38" fillId="0" borderId="2" xfId="1" applyNumberFormat="1" applyFont="1" applyBorder="1"/>
    <xf numFmtId="191" fontId="37" fillId="0" borderId="2" xfId="1" applyNumberFormat="1" applyFont="1" applyBorder="1"/>
    <xf numFmtId="191" fontId="38" fillId="0" borderId="0" xfId="0" applyNumberFormat="1" applyFont="1"/>
    <xf numFmtId="0" fontId="99" fillId="0" borderId="4" xfId="0" applyFont="1" applyBorder="1"/>
    <xf numFmtId="0" fontId="7" fillId="0" borderId="4" xfId="0" applyFont="1" applyFill="1" applyBorder="1" applyAlignment="1">
      <alignment horizontal="center" vertical="center" shrinkToFit="1"/>
    </xf>
    <xf numFmtId="0" fontId="55" fillId="0" borderId="4" xfId="0" applyFont="1" applyFill="1" applyBorder="1" applyAlignment="1">
      <alignment vertical="center" shrinkToFit="1"/>
    </xf>
    <xf numFmtId="0" fontId="7" fillId="0" borderId="4" xfId="0" applyFont="1" applyFill="1" applyBorder="1" applyAlignment="1">
      <alignment vertical="center" shrinkToFit="1"/>
    </xf>
    <xf numFmtId="192" fontId="7" fillId="0" borderId="4" xfId="1" quotePrefix="1" applyNumberFormat="1" applyFont="1" applyFill="1" applyBorder="1" applyAlignment="1">
      <alignment vertical="center" shrinkToFit="1"/>
    </xf>
    <xf numFmtId="192" fontId="71" fillId="0" borderId="4" xfId="1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188" fontId="38" fillId="0" borderId="4" xfId="1" applyFont="1" applyFill="1" applyBorder="1" applyAlignment="1">
      <alignment horizontal="right" vertical="center"/>
    </xf>
    <xf numFmtId="0" fontId="4" fillId="0" borderId="2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2" xfId="0" applyNumberFormat="1" applyFont="1" applyFill="1" applyBorder="1" applyAlignment="1">
      <alignment horizontal="center" vertical="center" shrinkToFit="1"/>
    </xf>
    <xf numFmtId="1" fontId="4" fillId="0" borderId="15" xfId="0" quotePrefix="1" applyNumberFormat="1" applyFont="1" applyFill="1" applyBorder="1" applyAlignment="1">
      <alignment horizontal="center" vertical="center" shrinkToFit="1"/>
    </xf>
    <xf numFmtId="188" fontId="2" fillId="0" borderId="15" xfId="1" applyNumberFormat="1" applyFont="1" applyFill="1" applyBorder="1" applyAlignment="1">
      <alignment vertical="center" shrinkToFit="1"/>
    </xf>
    <xf numFmtId="191" fontId="4" fillId="0" borderId="15" xfId="0" applyNumberFormat="1" applyFont="1" applyFill="1" applyBorder="1" applyAlignment="1">
      <alignment vertical="center"/>
    </xf>
    <xf numFmtId="1" fontId="2" fillId="0" borderId="2" xfId="5" applyNumberFormat="1" applyFont="1" applyFill="1" applyBorder="1" applyAlignment="1">
      <alignment horizontal="center" vertical="center" shrinkToFit="1"/>
    </xf>
    <xf numFmtId="0" fontId="2" fillId="0" borderId="21" xfId="0" applyFont="1" applyFill="1" applyBorder="1" applyAlignment="1">
      <alignment vertical="center"/>
    </xf>
    <xf numFmtId="1" fontId="2" fillId="0" borderId="15" xfId="1" quotePrefix="1" applyNumberFormat="1" applyFont="1" applyFill="1" applyBorder="1" applyAlignment="1">
      <alignment horizontal="center" vertical="center" shrinkToFit="1"/>
    </xf>
    <xf numFmtId="0" fontId="2" fillId="0" borderId="21" xfId="0" applyNumberFormat="1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121" fillId="4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91" fontId="4" fillId="0" borderId="0" xfId="1" applyNumberFormat="1" applyFont="1" applyFill="1" applyAlignment="1">
      <alignment horizontal="center"/>
    </xf>
    <xf numFmtId="188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19" fillId="4" borderId="0" xfId="0" applyNumberFormat="1" applyFont="1" applyFill="1" applyBorder="1" applyAlignment="1">
      <alignment horizontal="center" vertical="center" shrinkToFit="1"/>
    </xf>
    <xf numFmtId="0" fontId="172" fillId="2" borderId="0" xfId="6" applyFont="1" applyFill="1" applyBorder="1" applyAlignment="1">
      <alignment horizontal="center" vertical="center" shrinkToFit="1"/>
    </xf>
    <xf numFmtId="0" fontId="193" fillId="0" borderId="0" xfId="6" applyFont="1"/>
    <xf numFmtId="0" fontId="207" fillId="0" borderId="0" xfId="6" applyFont="1" applyAlignment="1"/>
    <xf numFmtId="0" fontId="207" fillId="0" borderId="0" xfId="6" applyFont="1" applyAlignment="1">
      <alignment horizontal="center"/>
    </xf>
    <xf numFmtId="0" fontId="207" fillId="0" borderId="0" xfId="6" applyFont="1"/>
    <xf numFmtId="0" fontId="193" fillId="0" borderId="0" xfId="6" applyFont="1" applyBorder="1"/>
    <xf numFmtId="1" fontId="2" fillId="0" borderId="2" xfId="1" applyNumberFormat="1" applyFont="1" applyFill="1" applyBorder="1" applyAlignment="1">
      <alignment horizontal="right" vertical="center" shrinkToFit="1"/>
    </xf>
    <xf numFmtId="187" fontId="2" fillId="0" borderId="2" xfId="1" applyNumberFormat="1" applyFont="1" applyFill="1" applyBorder="1" applyAlignment="1">
      <alignment horizontal="right" vertical="center" shrinkToFit="1"/>
    </xf>
    <xf numFmtId="188" fontId="2" fillId="0" borderId="12" xfId="1" applyFont="1" applyFill="1" applyBorder="1" applyAlignment="1">
      <alignment horizontal="right" vertical="center" shrinkToFit="1"/>
    </xf>
    <xf numFmtId="191" fontId="2" fillId="0" borderId="12" xfId="5" applyNumberFormat="1" applyFont="1" applyFill="1" applyBorder="1" applyAlignment="1">
      <alignment horizontal="right" vertical="center" shrinkToFit="1"/>
    </xf>
    <xf numFmtId="188" fontId="4" fillId="0" borderId="2" xfId="1" applyFont="1" applyFill="1" applyBorder="1" applyAlignment="1">
      <alignment horizontal="right" vertical="center" shrinkToFit="1"/>
    </xf>
    <xf numFmtId="187" fontId="4" fillId="0" borderId="2" xfId="1" applyNumberFormat="1" applyFont="1" applyFill="1" applyBorder="1" applyAlignment="1">
      <alignment horizontal="right" vertical="center" shrinkToFit="1"/>
    </xf>
    <xf numFmtId="188" fontId="4" fillId="0" borderId="11" xfId="1" applyFont="1" applyFill="1" applyBorder="1" applyAlignment="1">
      <alignment horizontal="right" vertical="center" shrinkToFit="1"/>
    </xf>
    <xf numFmtId="1" fontId="4" fillId="0" borderId="11" xfId="5" applyNumberFormat="1" applyFont="1" applyFill="1" applyBorder="1" applyAlignment="1">
      <alignment horizontal="right" vertical="center" shrinkToFit="1"/>
    </xf>
    <xf numFmtId="191" fontId="4" fillId="0" borderId="11" xfId="1" applyNumberFormat="1" applyFont="1" applyFill="1" applyBorder="1" applyAlignment="1">
      <alignment horizontal="right" vertical="center" shrinkToFit="1"/>
    </xf>
    <xf numFmtId="1" fontId="4" fillId="0" borderId="2" xfId="1" applyNumberFormat="1" applyFont="1" applyFill="1" applyBorder="1" applyAlignment="1">
      <alignment horizontal="right" vertical="center" shrinkToFit="1"/>
    </xf>
    <xf numFmtId="191" fontId="4" fillId="0" borderId="2" xfId="1" applyNumberFormat="1" applyFont="1" applyFill="1" applyBorder="1" applyAlignment="1">
      <alignment horizontal="right" vertical="center" shrinkToFit="1"/>
    </xf>
    <xf numFmtId="1" fontId="4" fillId="0" borderId="3" xfId="1" applyNumberFormat="1" applyFont="1" applyFill="1" applyBorder="1" applyAlignment="1">
      <alignment horizontal="right" vertical="center" shrinkToFit="1"/>
    </xf>
    <xf numFmtId="187" fontId="4" fillId="0" borderId="3" xfId="1" applyNumberFormat="1" applyFont="1" applyFill="1" applyBorder="1" applyAlignment="1">
      <alignment horizontal="right" vertical="center" shrinkToFit="1"/>
    </xf>
    <xf numFmtId="187" fontId="4" fillId="0" borderId="3" xfId="1" quotePrefix="1" applyNumberFormat="1" applyFont="1" applyFill="1" applyBorder="1" applyAlignment="1">
      <alignment horizontal="right" vertical="center" shrinkToFit="1"/>
    </xf>
    <xf numFmtId="188" fontId="4" fillId="0" borderId="5" xfId="1" applyFont="1" applyFill="1" applyBorder="1" applyAlignment="1">
      <alignment horizontal="right" vertical="center" shrinkToFit="1"/>
    </xf>
    <xf numFmtId="187" fontId="4" fillId="0" borderId="5" xfId="1" applyNumberFormat="1" applyFont="1" applyFill="1" applyBorder="1" applyAlignment="1">
      <alignment horizontal="right" vertical="center" shrinkToFit="1"/>
    </xf>
    <xf numFmtId="187" fontId="4" fillId="0" borderId="5" xfId="1" quotePrefix="1" applyNumberFormat="1" applyFont="1" applyFill="1" applyBorder="1" applyAlignment="1">
      <alignment horizontal="right" vertical="center" shrinkToFit="1"/>
    </xf>
    <xf numFmtId="1" fontId="4" fillId="0" borderId="2" xfId="1" quotePrefix="1" applyNumberFormat="1" applyFont="1" applyFill="1" applyBorder="1" applyAlignment="1">
      <alignment horizontal="right" vertical="center" shrinkToFit="1"/>
    </xf>
    <xf numFmtId="188" fontId="4" fillId="0" borderId="2" xfId="1" quotePrefix="1" applyFont="1" applyFill="1" applyBorder="1" applyAlignment="1">
      <alignment horizontal="right" vertical="center" shrinkToFit="1"/>
    </xf>
    <xf numFmtId="0" fontId="4" fillId="0" borderId="2" xfId="5" quotePrefix="1" applyFont="1" applyFill="1" applyBorder="1" applyAlignment="1">
      <alignment horizontal="right" vertical="center" shrinkToFit="1"/>
    </xf>
    <xf numFmtId="191" fontId="4" fillId="0" borderId="2" xfId="1" quotePrefix="1" applyNumberFormat="1" applyFont="1" applyFill="1" applyBorder="1" applyAlignment="1">
      <alignment horizontal="right" vertical="center" shrinkToFit="1"/>
    </xf>
    <xf numFmtId="187" fontId="2" fillId="0" borderId="3" xfId="1" applyNumberFormat="1" applyFont="1" applyFill="1" applyBorder="1" applyAlignment="1">
      <alignment horizontal="right" vertical="center" shrinkToFit="1"/>
    </xf>
    <xf numFmtId="191" fontId="2" fillId="0" borderId="3" xfId="1" applyNumberFormat="1" applyFont="1" applyFill="1" applyBorder="1" applyAlignment="1">
      <alignment horizontal="right" vertical="center" shrinkToFit="1"/>
    </xf>
    <xf numFmtId="1" fontId="4" fillId="0" borderId="5" xfId="1" applyNumberFormat="1" applyFont="1" applyFill="1" applyBorder="1" applyAlignment="1">
      <alignment horizontal="right" vertical="center" shrinkToFit="1"/>
    </xf>
    <xf numFmtId="187" fontId="2" fillId="0" borderId="5" xfId="1" applyNumberFormat="1" applyFont="1" applyFill="1" applyBorder="1" applyAlignment="1">
      <alignment horizontal="right" vertical="center" shrinkToFit="1"/>
    </xf>
    <xf numFmtId="191" fontId="4" fillId="0" borderId="5" xfId="1" applyNumberFormat="1" applyFont="1" applyFill="1" applyBorder="1" applyAlignment="1">
      <alignment horizontal="right" vertical="center" shrinkToFit="1"/>
    </xf>
    <xf numFmtId="191" fontId="2" fillId="0" borderId="5" xfId="1" applyNumberFormat="1" applyFont="1" applyFill="1" applyBorder="1" applyAlignment="1">
      <alignment horizontal="right" vertical="center" shrinkToFit="1"/>
    </xf>
    <xf numFmtId="188" fontId="2" fillId="0" borderId="15" xfId="1" quotePrefix="1" applyFont="1" applyFill="1" applyBorder="1" applyAlignment="1">
      <alignment horizontal="right" vertical="center" shrinkToFit="1"/>
    </xf>
    <xf numFmtId="191" fontId="2" fillId="0" borderId="15" xfId="1" quotePrefix="1" applyNumberFormat="1" applyFont="1" applyFill="1" applyBorder="1" applyAlignment="1">
      <alignment horizontal="right" vertical="center" shrinkToFit="1"/>
    </xf>
    <xf numFmtId="188" fontId="4" fillId="0" borderId="15" xfId="1" applyFont="1" applyFill="1" applyBorder="1" applyAlignment="1">
      <alignment horizontal="right" vertical="center" shrinkToFit="1"/>
    </xf>
    <xf numFmtId="187" fontId="4" fillId="0" borderId="15" xfId="1" applyNumberFormat="1" applyFont="1" applyFill="1" applyBorder="1" applyAlignment="1">
      <alignment horizontal="right" vertical="center" shrinkToFit="1"/>
    </xf>
    <xf numFmtId="187" fontId="2" fillId="0" borderId="15" xfId="1" applyNumberFormat="1" applyFont="1" applyFill="1" applyBorder="1" applyAlignment="1">
      <alignment horizontal="right" vertical="center" shrinkToFit="1"/>
    </xf>
    <xf numFmtId="191" fontId="4" fillId="0" borderId="15" xfId="1" applyNumberFormat="1" applyFont="1" applyFill="1" applyBorder="1" applyAlignment="1">
      <alignment horizontal="right" vertical="center" shrinkToFit="1"/>
    </xf>
    <xf numFmtId="191" fontId="2" fillId="0" borderId="15" xfId="1" applyNumberFormat="1" applyFont="1" applyFill="1" applyBorder="1" applyAlignment="1">
      <alignment horizontal="right" vertical="center" shrinkToFit="1"/>
    </xf>
    <xf numFmtId="191" fontId="2" fillId="0" borderId="2" xfId="1" applyNumberFormat="1" applyFont="1" applyFill="1" applyBorder="1" applyAlignment="1">
      <alignment horizontal="right" vertical="center" shrinkToFit="1"/>
    </xf>
    <xf numFmtId="187" fontId="4" fillId="0" borderId="4" xfId="1" applyNumberFormat="1" applyFont="1" applyFill="1" applyBorder="1" applyAlignment="1">
      <alignment horizontal="right" vertical="center" shrinkToFit="1"/>
    </xf>
    <xf numFmtId="191" fontId="2" fillId="0" borderId="2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shrinkToFit="1"/>
    </xf>
    <xf numFmtId="188" fontId="4" fillId="0" borderId="0" xfId="1" applyFont="1" applyFill="1" applyAlignment="1">
      <alignment horizontal="center"/>
    </xf>
    <xf numFmtId="188" fontId="4" fillId="0" borderId="0" xfId="1" applyFont="1" applyFill="1" applyBorder="1" applyAlignment="1">
      <alignment horizontal="center"/>
    </xf>
    <xf numFmtId="0" fontId="4" fillId="0" borderId="1" xfId="0" applyFont="1" applyFill="1" applyBorder="1" applyAlignment="1">
      <alignment horizontal="right" vertical="center" shrinkToFit="1"/>
    </xf>
    <xf numFmtId="212" fontId="4" fillId="0" borderId="1" xfId="1" applyNumberFormat="1" applyFont="1" applyFill="1" applyBorder="1" applyAlignment="1">
      <alignment horizontal="center" vertical="center" shrinkToFit="1"/>
    </xf>
    <xf numFmtId="188" fontId="4" fillId="0" borderId="1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91" fontId="2" fillId="0" borderId="0" xfId="5" applyNumberFormat="1" applyFont="1" applyFill="1"/>
    <xf numFmtId="191" fontId="4" fillId="0" borderId="0" xfId="0" applyNumberFormat="1" applyFont="1" applyFill="1" applyAlignment="1">
      <alignment vertical="center"/>
    </xf>
    <xf numFmtId="188" fontId="2" fillId="0" borderId="0" xfId="0" applyNumberFormat="1" applyFont="1" applyFill="1" applyAlignment="1">
      <alignment vertical="center"/>
    </xf>
    <xf numFmtId="187" fontId="2" fillId="0" borderId="0" xfId="0" applyNumberFormat="1" applyFont="1" applyFill="1" applyAlignment="1">
      <alignment vertical="center"/>
    </xf>
    <xf numFmtId="0" fontId="96" fillId="0" borderId="0" xfId="0" applyFont="1" applyAlignment="1">
      <alignment vertical="center"/>
    </xf>
    <xf numFmtId="0" fontId="67" fillId="0" borderId="5" xfId="7" applyFont="1" applyFill="1" applyBorder="1" applyAlignment="1">
      <alignment horizontal="left" vertical="center" shrinkToFit="1"/>
    </xf>
    <xf numFmtId="188" fontId="67" fillId="0" borderId="5" xfId="1" applyFont="1" applyFill="1" applyBorder="1" applyAlignment="1">
      <alignment horizontal="left" vertical="center"/>
    </xf>
    <xf numFmtId="191" fontId="4" fillId="0" borderId="5" xfId="1" applyNumberFormat="1" applyFont="1" applyFill="1" applyBorder="1" applyAlignment="1">
      <alignment horizontal="center" vertical="center" shrinkToFit="1"/>
    </xf>
    <xf numFmtId="0" fontId="7" fillId="0" borderId="35" xfId="0" applyFont="1" applyFill="1" applyBorder="1" applyAlignment="1">
      <alignment vertical="center"/>
    </xf>
    <xf numFmtId="0" fontId="7" fillId="0" borderId="48" xfId="0" applyFont="1" applyFill="1" applyBorder="1" applyAlignment="1">
      <alignment vertical="center"/>
    </xf>
    <xf numFmtId="0" fontId="1" fillId="0" borderId="0" xfId="0" applyFont="1"/>
    <xf numFmtId="188" fontId="26" fillId="0" borderId="2" xfId="1" applyFont="1" applyFill="1" applyBorder="1" applyAlignment="1">
      <alignment vertical="center"/>
    </xf>
    <xf numFmtId="1" fontId="10" fillId="0" borderId="2" xfId="1" applyNumberFormat="1" applyFont="1" applyBorder="1" applyAlignment="1">
      <alignment horizontal="center" vertical="center"/>
    </xf>
    <xf numFmtId="188" fontId="3" fillId="4" borderId="2" xfId="1" applyFont="1" applyFill="1" applyBorder="1" applyAlignment="1">
      <alignment horizontal="center" vertical="center" wrapText="1"/>
    </xf>
    <xf numFmtId="1" fontId="76" fillId="0" borderId="2" xfId="1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Alignment="1">
      <alignment vertical="center"/>
    </xf>
    <xf numFmtId="191" fontId="26" fillId="0" borderId="2" xfId="1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/>
    </xf>
    <xf numFmtId="191" fontId="2" fillId="0" borderId="2" xfId="1" applyNumberFormat="1" applyFont="1" applyFill="1" applyBorder="1" applyAlignment="1">
      <alignment horizontal="center" vertical="center" wrapText="1"/>
    </xf>
    <xf numFmtId="0" fontId="37" fillId="0" borderId="0" xfId="0" applyNumberFormat="1" applyFont="1" applyFill="1" applyAlignment="1">
      <alignment horizontal="center"/>
    </xf>
    <xf numFmtId="191" fontId="38" fillId="0" borderId="4" xfId="1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37" fillId="0" borderId="2" xfId="0" applyFont="1" applyFill="1" applyBorder="1" applyAlignment="1">
      <alignment horizontal="center" vertical="center" wrapText="1"/>
    </xf>
    <xf numFmtId="0" fontId="37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91" fontId="4" fillId="0" borderId="0" xfId="1" applyNumberFormat="1" applyFont="1" applyFill="1" applyAlignment="1">
      <alignment horizontal="center"/>
    </xf>
    <xf numFmtId="191" fontId="2" fillId="0" borderId="2" xfId="1" applyNumberFormat="1" applyFont="1" applyFill="1" applyBorder="1" applyAlignment="1">
      <alignment horizontal="center" vertical="center" wrapText="1"/>
    </xf>
    <xf numFmtId="0" fontId="208" fillId="0" borderId="0" xfId="6" applyFont="1" applyFill="1" applyAlignment="1">
      <alignment horizontal="center"/>
    </xf>
    <xf numFmtId="0" fontId="37" fillId="0" borderId="2" xfId="0" applyFont="1" applyFill="1" applyBorder="1" applyAlignment="1">
      <alignment horizontal="center" vertical="center"/>
    </xf>
    <xf numFmtId="3" fontId="37" fillId="0" borderId="2" xfId="0" applyNumberFormat="1" applyFont="1" applyFill="1" applyBorder="1" applyAlignment="1">
      <alignment horizontal="center" vertical="center"/>
    </xf>
    <xf numFmtId="0" fontId="47" fillId="2" borderId="56" xfId="6" applyFont="1" applyFill="1" applyBorder="1" applyAlignment="1">
      <alignment horizontal="center" vertical="center" shrinkToFit="1"/>
    </xf>
    <xf numFmtId="0" fontId="8" fillId="0" borderId="56" xfId="6" applyFont="1" applyBorder="1" applyAlignment="1">
      <alignment horizontal="left" vertical="center" shrinkToFit="1"/>
    </xf>
    <xf numFmtId="0" fontId="8" fillId="2" borderId="56" xfId="6" applyFont="1" applyFill="1" applyBorder="1" applyAlignment="1">
      <alignment horizontal="left" vertical="center" shrinkToFit="1"/>
    </xf>
    <xf numFmtId="3" fontId="8" fillId="2" borderId="56" xfId="3" applyNumberFormat="1" applyFont="1" applyFill="1" applyBorder="1" applyAlignment="1">
      <alignment horizontal="center" vertical="center" shrinkToFit="1"/>
    </xf>
    <xf numFmtId="3" fontId="8" fillId="2" borderId="56" xfId="6" applyNumberFormat="1" applyFont="1" applyFill="1" applyBorder="1" applyAlignment="1">
      <alignment horizontal="center" vertical="center" shrinkToFit="1"/>
    </xf>
    <xf numFmtId="197" fontId="8" fillId="2" borderId="56" xfId="6" applyNumberFormat="1" applyFont="1" applyFill="1" applyBorder="1" applyAlignment="1">
      <alignment vertical="center" shrinkToFit="1"/>
    </xf>
    <xf numFmtId="0" fontId="7" fillId="2" borderId="56" xfId="6" applyFont="1" applyFill="1" applyBorder="1" applyAlignment="1">
      <alignment vertical="center"/>
    </xf>
    <xf numFmtId="0" fontId="47" fillId="2" borderId="4" xfId="6" applyFont="1" applyFill="1" applyBorder="1" applyAlignment="1">
      <alignment horizontal="center" vertical="center" shrinkToFit="1"/>
    </xf>
    <xf numFmtId="0" fontId="39" fillId="0" borderId="4" xfId="6" applyFont="1" applyBorder="1" applyAlignment="1">
      <alignment vertical="center" shrinkToFit="1"/>
    </xf>
    <xf numFmtId="0" fontId="8" fillId="2" borderId="4" xfId="6" applyFont="1" applyFill="1" applyBorder="1" applyAlignment="1">
      <alignment horizontal="left" vertical="center" shrinkToFit="1"/>
    </xf>
    <xf numFmtId="3" fontId="8" fillId="2" borderId="4" xfId="3" applyNumberFormat="1" applyFont="1" applyFill="1" applyBorder="1" applyAlignment="1">
      <alignment horizontal="center" vertical="center" shrinkToFit="1"/>
    </xf>
    <xf numFmtId="3" fontId="8" fillId="2" borderId="4" xfId="6" applyNumberFormat="1" applyFont="1" applyFill="1" applyBorder="1" applyAlignment="1">
      <alignment horizontal="center" vertical="center" shrinkToFit="1"/>
    </xf>
    <xf numFmtId="197" fontId="8" fillId="2" borderId="4" xfId="6" applyNumberFormat="1" applyFont="1" applyFill="1" applyBorder="1" applyAlignment="1">
      <alignment vertical="center" shrinkToFit="1"/>
    </xf>
    <xf numFmtId="0" fontId="7" fillId="2" borderId="4" xfId="6" applyFont="1" applyFill="1" applyBorder="1" applyAlignment="1">
      <alignment vertical="center"/>
    </xf>
    <xf numFmtId="0" fontId="47" fillId="2" borderId="5" xfId="6" applyFont="1" applyFill="1" applyBorder="1" applyAlignment="1">
      <alignment horizontal="center" vertical="center" shrinkToFit="1"/>
    </xf>
    <xf numFmtId="0" fontId="39" fillId="0" borderId="5" xfId="6" applyFont="1" applyBorder="1" applyAlignment="1">
      <alignment vertical="center" shrinkToFit="1"/>
    </xf>
    <xf numFmtId="0" fontId="8" fillId="2" borderId="5" xfId="6" applyFont="1" applyFill="1" applyBorder="1" applyAlignment="1">
      <alignment horizontal="left" vertical="center" shrinkToFit="1"/>
    </xf>
    <xf numFmtId="3" fontId="8" fillId="2" borderId="5" xfId="3" applyNumberFormat="1" applyFont="1" applyFill="1" applyBorder="1" applyAlignment="1">
      <alignment horizontal="center" vertical="center" shrinkToFit="1"/>
    </xf>
    <xf numFmtId="3" fontId="8" fillId="2" borderId="5" xfId="6" applyNumberFormat="1" applyFont="1" applyFill="1" applyBorder="1" applyAlignment="1">
      <alignment horizontal="center" vertical="center" shrinkToFit="1"/>
    </xf>
    <xf numFmtId="197" fontId="8" fillId="2" borderId="5" xfId="6" applyNumberFormat="1" applyFont="1" applyFill="1" applyBorder="1" applyAlignment="1">
      <alignment vertical="center" shrinkToFit="1"/>
    </xf>
    <xf numFmtId="0" fontId="7" fillId="2" borderId="5" xfId="6" applyFont="1" applyFill="1" applyBorder="1" applyAlignment="1">
      <alignment vertical="center"/>
    </xf>
    <xf numFmtId="0" fontId="26" fillId="0" borderId="2" xfId="0" applyFont="1" applyFill="1" applyBorder="1" applyAlignment="1">
      <alignment horizontal="center"/>
    </xf>
    <xf numFmtId="191" fontId="2" fillId="0" borderId="2" xfId="1" applyNumberFormat="1" applyFont="1" applyFill="1" applyBorder="1" applyAlignment="1">
      <alignment horizontal="center" vertical="center" shrinkToFit="1"/>
    </xf>
    <xf numFmtId="0" fontId="2" fillId="0" borderId="2" xfId="5" quotePrefix="1" applyFont="1" applyFill="1" applyBorder="1" applyAlignment="1">
      <alignment horizontal="center" vertical="center" shrinkToFit="1"/>
    </xf>
    <xf numFmtId="0" fontId="165" fillId="0" borderId="0" xfId="0" applyFont="1" applyFill="1" applyAlignment="1"/>
    <xf numFmtId="0" fontId="166" fillId="0" borderId="0" xfId="0" applyFont="1" applyFill="1" applyAlignment="1"/>
    <xf numFmtId="0" fontId="5" fillId="0" borderId="0" xfId="0" applyFont="1" applyFill="1" applyAlignment="1"/>
    <xf numFmtId="0" fontId="2" fillId="4" borderId="0" xfId="0" applyNumberFormat="1" applyFont="1" applyFill="1" applyAlignment="1"/>
    <xf numFmtId="0" fontId="121" fillId="0" borderId="0" xfId="0" applyNumberFormat="1" applyFont="1" applyFill="1" applyAlignment="1"/>
    <xf numFmtId="0" fontId="37" fillId="0" borderId="0" xfId="0" applyNumberFormat="1" applyFont="1" applyFill="1" applyAlignment="1">
      <alignment horizontal="left"/>
    </xf>
    <xf numFmtId="0" fontId="98" fillId="0" borderId="0" xfId="0" applyFont="1" applyFill="1" applyAlignment="1">
      <alignment horizontal="center"/>
    </xf>
    <xf numFmtId="3" fontId="98" fillId="0" borderId="0" xfId="0" applyNumberFormat="1" applyFont="1" applyFill="1"/>
    <xf numFmtId="0" fontId="132" fillId="0" borderId="0" xfId="0" applyNumberFormat="1" applyFont="1" applyFill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left"/>
    </xf>
    <xf numFmtId="0" fontId="38" fillId="0" borderId="0" xfId="0" applyFont="1" applyFill="1" applyBorder="1" applyAlignment="1">
      <alignment horizontal="left"/>
    </xf>
    <xf numFmtId="0" fontId="38" fillId="0" borderId="0" xfId="0" applyFont="1" applyFill="1" applyBorder="1" applyAlignment="1">
      <alignment horizontal="center"/>
    </xf>
    <xf numFmtId="0" fontId="98" fillId="0" borderId="0" xfId="0" applyFont="1" applyFill="1" applyBorder="1" applyAlignment="1">
      <alignment horizontal="center"/>
    </xf>
    <xf numFmtId="0" fontId="98" fillId="0" borderId="0" xfId="0" applyFont="1" applyFill="1"/>
    <xf numFmtId="212" fontId="98" fillId="0" borderId="1" xfId="0" applyNumberFormat="1" applyFont="1" applyFill="1" applyBorder="1" applyAlignment="1"/>
    <xf numFmtId="191" fontId="98" fillId="0" borderId="1" xfId="3" applyNumberFormat="1" applyFont="1" applyFill="1" applyBorder="1"/>
    <xf numFmtId="0" fontId="98" fillId="0" borderId="1" xfId="0" applyFont="1" applyFill="1" applyBorder="1"/>
    <xf numFmtId="190" fontId="37" fillId="0" borderId="2" xfId="3" applyNumberFormat="1" applyFont="1" applyFill="1" applyBorder="1" applyAlignment="1">
      <alignment horizontal="center" vertical="center" wrapText="1"/>
    </xf>
    <xf numFmtId="191" fontId="37" fillId="0" borderId="2" xfId="3" applyNumberFormat="1" applyFont="1" applyFill="1" applyBorder="1" applyAlignment="1">
      <alignment horizontal="center" vertical="center" wrapText="1"/>
    </xf>
    <xf numFmtId="197" fontId="166" fillId="0" borderId="2" xfId="3" applyNumberFormat="1" applyFont="1" applyFill="1" applyBorder="1" applyAlignment="1">
      <alignment horizontal="center" vertical="center" wrapText="1"/>
    </xf>
    <xf numFmtId="0" fontId="37" fillId="0" borderId="2" xfId="0" applyNumberFormat="1" applyFont="1" applyFill="1" applyBorder="1" applyAlignment="1">
      <alignment horizontal="center" vertical="center" shrinkToFit="1"/>
    </xf>
    <xf numFmtId="191" fontId="37" fillId="0" borderId="2" xfId="0" applyNumberFormat="1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/>
    </xf>
    <xf numFmtId="1" fontId="38" fillId="0" borderId="2" xfId="0" applyNumberFormat="1" applyFont="1" applyFill="1" applyBorder="1" applyAlignment="1">
      <alignment horizontal="center" vertical="center" wrapText="1"/>
    </xf>
    <xf numFmtId="0" fontId="38" fillId="0" borderId="2" xfId="0" quotePrefix="1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vertical="center"/>
    </xf>
    <xf numFmtId="200" fontId="38" fillId="0" borderId="2" xfId="2" applyNumberFormat="1" applyFont="1" applyFill="1" applyBorder="1" applyAlignment="1">
      <alignment horizontal="right" vertical="center" wrapText="1"/>
    </xf>
    <xf numFmtId="200" fontId="175" fillId="0" borderId="2" xfId="2" applyNumberFormat="1" applyFont="1" applyFill="1" applyBorder="1" applyAlignment="1">
      <alignment horizontal="right" vertical="center" wrapText="1"/>
    </xf>
    <xf numFmtId="201" fontId="38" fillId="0" borderId="2" xfId="2" applyNumberFormat="1" applyFont="1" applyFill="1" applyBorder="1" applyAlignment="1">
      <alignment horizontal="center" vertical="center" wrapText="1"/>
    </xf>
    <xf numFmtId="3" fontId="210" fillId="0" borderId="0" xfId="0" applyNumberFormat="1" applyFont="1" applyFill="1" applyBorder="1"/>
    <xf numFmtId="3" fontId="21" fillId="0" borderId="0" xfId="0" applyNumberFormat="1" applyFont="1" applyFill="1" applyBorder="1"/>
    <xf numFmtId="0" fontId="21" fillId="0" borderId="0" xfId="0" applyFont="1" applyFill="1" applyBorder="1"/>
    <xf numFmtId="1" fontId="37" fillId="0" borderId="2" xfId="0" applyNumberFormat="1" applyFont="1" applyFill="1" applyBorder="1" applyAlignment="1">
      <alignment horizontal="center" vertical="center" wrapText="1"/>
    </xf>
    <xf numFmtId="0" fontId="211" fillId="0" borderId="2" xfId="0" applyFont="1" applyFill="1" applyBorder="1" applyAlignment="1">
      <alignment horizontal="left" vertical="center"/>
    </xf>
    <xf numFmtId="0" fontId="37" fillId="0" borderId="2" xfId="0" quotePrefix="1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vertical="center"/>
    </xf>
    <xf numFmtId="0" fontId="37" fillId="0" borderId="2" xfId="0" applyFont="1" applyFill="1" applyBorder="1" applyAlignment="1">
      <alignment horizontal="left" vertical="center"/>
    </xf>
    <xf numFmtId="200" fontId="37" fillId="0" borderId="2" xfId="2" applyNumberFormat="1" applyFont="1" applyFill="1" applyBorder="1" applyAlignment="1">
      <alignment horizontal="right" vertical="center" wrapText="1"/>
    </xf>
    <xf numFmtId="3" fontId="37" fillId="0" borderId="2" xfId="2" applyNumberFormat="1" applyFont="1" applyFill="1" applyBorder="1" applyAlignment="1">
      <alignment horizontal="right" vertical="center"/>
    </xf>
    <xf numFmtId="201" fontId="37" fillId="0" borderId="2" xfId="3" applyNumberFormat="1" applyFont="1" applyFill="1" applyBorder="1" applyAlignment="1">
      <alignment horizontal="right" vertical="center" wrapText="1"/>
    </xf>
    <xf numFmtId="3" fontId="35" fillId="0" borderId="0" xfId="0" applyNumberFormat="1" applyFont="1" applyFill="1" applyBorder="1"/>
    <xf numFmtId="3" fontId="26" fillId="0" borderId="0" xfId="0" applyNumberFormat="1" applyFont="1" applyFill="1" applyBorder="1"/>
    <xf numFmtId="0" fontId="26" fillId="0" borderId="0" xfId="0" applyFont="1" applyFill="1" applyBorder="1"/>
    <xf numFmtId="0" fontId="209" fillId="0" borderId="2" xfId="0" applyFont="1" applyFill="1" applyBorder="1" applyAlignment="1">
      <alignment horizontal="left" vertical="center"/>
    </xf>
    <xf numFmtId="3" fontId="38" fillId="0" borderId="2" xfId="3" applyNumberFormat="1" applyFont="1" applyFill="1" applyBorder="1" applyAlignment="1">
      <alignment horizontal="right" vertical="center"/>
    </xf>
    <xf numFmtId="200" fontId="21" fillId="0" borderId="0" xfId="0" applyNumberFormat="1" applyFont="1" applyFill="1" applyBorder="1"/>
    <xf numFmtId="0" fontId="38" fillId="0" borderId="0" xfId="0" applyFont="1" applyFill="1" applyAlignment="1">
      <alignment shrinkToFit="1"/>
    </xf>
    <xf numFmtId="188" fontId="38" fillId="0" borderId="0" xfId="3" applyNumberFormat="1" applyFont="1" applyFill="1"/>
    <xf numFmtId="200" fontId="38" fillId="0" borderId="0" xfId="0" applyNumberFormat="1" applyFont="1" applyFill="1"/>
    <xf numFmtId="197" fontId="4" fillId="0" borderId="0" xfId="3" applyNumberFormat="1" applyFont="1" applyFill="1" applyBorder="1"/>
    <xf numFmtId="0" fontId="38" fillId="0" borderId="0" xfId="0" applyFont="1" applyFill="1" applyBorder="1"/>
    <xf numFmtId="192" fontId="38" fillId="0" borderId="0" xfId="3" applyNumberFormat="1" applyFont="1" applyFill="1"/>
    <xf numFmtId="191" fontId="38" fillId="0" borderId="0" xfId="3" applyNumberFormat="1" applyFont="1" applyFill="1" applyAlignment="1">
      <alignment shrinkToFit="1"/>
    </xf>
    <xf numFmtId="43" fontId="38" fillId="0" borderId="0" xfId="3" applyNumberFormat="1" applyFont="1" applyFill="1"/>
    <xf numFmtId="188" fontId="38" fillId="0" borderId="0" xfId="0" applyNumberFormat="1" applyFont="1" applyFill="1" applyAlignment="1">
      <alignment horizontal="center"/>
    </xf>
    <xf numFmtId="0" fontId="38" fillId="0" borderId="0" xfId="0" applyFont="1" applyFill="1" applyBorder="1" applyAlignment="1">
      <alignment shrinkToFit="1"/>
    </xf>
    <xf numFmtId="190" fontId="38" fillId="0" borderId="0" xfId="3" applyNumberFormat="1" applyFont="1" applyFill="1" applyBorder="1"/>
    <xf numFmtId="200" fontId="38" fillId="0" borderId="0" xfId="0" applyNumberFormat="1" applyFont="1" applyFill="1" applyBorder="1"/>
    <xf numFmtId="191" fontId="126" fillId="0" borderId="0" xfId="3" applyNumberFormat="1" applyFont="1" applyFill="1" applyBorder="1" applyAlignment="1"/>
    <xf numFmtId="0" fontId="126" fillId="0" borderId="0" xfId="0" applyFont="1" applyFill="1" applyBorder="1" applyAlignment="1">
      <alignment horizontal="center"/>
    </xf>
    <xf numFmtId="2" fontId="2" fillId="4" borderId="0" xfId="0" applyNumberFormat="1" applyFont="1" applyFill="1" applyAlignment="1"/>
    <xf numFmtId="3" fontId="38" fillId="0" borderId="56" xfId="2" applyNumberFormat="1" applyFont="1" applyFill="1" applyBorder="1" applyAlignment="1">
      <alignment horizontal="right" vertical="center"/>
    </xf>
    <xf numFmtId="3" fontId="172" fillId="0" borderId="5" xfId="12" applyNumberFormat="1" applyFont="1" applyFill="1" applyBorder="1" applyAlignment="1">
      <alignment vertical="center"/>
    </xf>
    <xf numFmtId="188" fontId="37" fillId="0" borderId="2" xfId="1" applyFont="1" applyFill="1" applyBorder="1" applyAlignment="1">
      <alignment horizontal="right" vertical="center" wrapText="1"/>
    </xf>
    <xf numFmtId="191" fontId="37" fillId="0" borderId="2" xfId="1" applyNumberFormat="1" applyFont="1" applyFill="1" applyBorder="1" applyAlignment="1">
      <alignment horizontal="center" vertical="center" wrapText="1"/>
    </xf>
    <xf numFmtId="0" fontId="193" fillId="0" borderId="0" xfId="0" applyFont="1" applyFill="1"/>
    <xf numFmtId="0" fontId="193" fillId="0" borderId="0" xfId="0" applyFont="1"/>
    <xf numFmtId="195" fontId="37" fillId="2" borderId="0" xfId="3" applyNumberFormat="1" applyFont="1" applyFill="1" applyAlignment="1"/>
    <xf numFmtId="0" fontId="38" fillId="2" borderId="0" xfId="0" applyFont="1" applyFill="1" applyAlignment="1">
      <alignment horizontal="center"/>
    </xf>
    <xf numFmtId="195" fontId="192" fillId="2" borderId="0" xfId="3" applyNumberFormat="1" applyFont="1" applyFill="1" applyAlignment="1"/>
    <xf numFmtId="195" fontId="38" fillId="2" borderId="0" xfId="3" applyNumberFormat="1" applyFont="1" applyFill="1"/>
    <xf numFmtId="0" fontId="192" fillId="0" borderId="0" xfId="0" applyFont="1" applyFill="1" applyAlignment="1"/>
    <xf numFmtId="0" fontId="192" fillId="2" borderId="0" xfId="0" applyFont="1" applyFill="1" applyAlignment="1"/>
    <xf numFmtId="0" fontId="192" fillId="2" borderId="0" xfId="0" applyFont="1" applyFill="1" applyAlignment="1">
      <alignment horizontal="center"/>
    </xf>
    <xf numFmtId="216" fontId="38" fillId="2" borderId="0" xfId="3" applyNumberFormat="1" applyFont="1" applyFill="1"/>
    <xf numFmtId="217" fontId="192" fillId="2" borderId="0" xfId="3" applyNumberFormat="1" applyFont="1" applyFill="1" applyAlignment="1">
      <alignment horizontal="center"/>
    </xf>
    <xf numFmtId="195" fontId="192" fillId="2" borderId="0" xfId="3" applyNumberFormat="1" applyFont="1" applyFill="1" applyAlignment="1">
      <alignment horizontal="center"/>
    </xf>
    <xf numFmtId="2" fontId="193" fillId="0" borderId="0" xfId="0" applyNumberFormat="1" applyFont="1"/>
    <xf numFmtId="0" fontId="192" fillId="0" borderId="0" xfId="0" applyFont="1" applyFill="1" applyAlignment="1">
      <alignment horizontal="center"/>
    </xf>
    <xf numFmtId="0" fontId="37" fillId="2" borderId="0" xfId="0" applyFont="1" applyFill="1" applyBorder="1" applyAlignment="1">
      <alignment wrapText="1"/>
    </xf>
    <xf numFmtId="0" fontId="37" fillId="2" borderId="0" xfId="0" applyFont="1" applyFill="1" applyBorder="1" applyAlignment="1"/>
    <xf numFmtId="0" fontId="38" fillId="0" borderId="0" xfId="0" applyFont="1" applyFill="1" applyAlignment="1">
      <alignment horizontal="center" vertical="center"/>
    </xf>
    <xf numFmtId="4" fontId="38" fillId="0" borderId="0" xfId="0" applyNumberFormat="1" applyFont="1" applyFill="1" applyAlignment="1">
      <alignment horizontal="center"/>
    </xf>
    <xf numFmtId="4" fontId="38" fillId="0" borderId="0" xfId="0" applyNumberFormat="1" applyFont="1" applyFill="1" applyAlignment="1">
      <alignment horizontal="right"/>
    </xf>
    <xf numFmtId="199" fontId="38" fillId="0" borderId="0" xfId="3" applyFont="1" applyFill="1" applyAlignment="1">
      <alignment horizontal="center"/>
    </xf>
    <xf numFmtId="4" fontId="37" fillId="0" borderId="0" xfId="0" applyNumberFormat="1" applyFont="1" applyFill="1" applyBorder="1" applyAlignment="1">
      <alignment vertical="center"/>
    </xf>
    <xf numFmtId="3" fontId="37" fillId="0" borderId="0" xfId="0" applyNumberFormat="1" applyFont="1" applyFill="1" applyBorder="1" applyAlignment="1">
      <alignment vertical="center" wrapText="1"/>
    </xf>
    <xf numFmtId="3" fontId="37" fillId="0" borderId="0" xfId="0" applyNumberFormat="1" applyFont="1" applyFill="1" applyBorder="1" applyAlignment="1">
      <alignment vertical="center"/>
    </xf>
    <xf numFmtId="4" fontId="38" fillId="0" borderId="0" xfId="0" applyNumberFormat="1" applyFont="1" applyFill="1" applyBorder="1" applyAlignment="1">
      <alignment vertical="center"/>
    </xf>
    <xf numFmtId="0" fontId="38" fillId="0" borderId="2" xfId="0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left" vertical="center"/>
    </xf>
    <xf numFmtId="197" fontId="38" fillId="0" borderId="2" xfId="3" applyNumberFormat="1" applyFont="1" applyFill="1" applyBorder="1" applyAlignment="1">
      <alignment vertical="center" wrapText="1"/>
    </xf>
    <xf numFmtId="197" fontId="38" fillId="0" borderId="2" xfId="0" applyNumberFormat="1" applyFont="1" applyFill="1" applyBorder="1" applyAlignment="1">
      <alignment vertical="center"/>
    </xf>
    <xf numFmtId="3" fontId="172" fillId="0" borderId="2" xfId="12" applyNumberFormat="1" applyFont="1" applyFill="1" applyBorder="1" applyAlignment="1">
      <alignment horizontal="center" vertical="center"/>
    </xf>
    <xf numFmtId="187" fontId="38" fillId="0" borderId="2" xfId="3" applyNumberFormat="1" applyFont="1" applyFill="1" applyBorder="1" applyAlignment="1">
      <alignment vertical="center" wrapText="1"/>
    </xf>
    <xf numFmtId="3" fontId="37" fillId="0" borderId="2" xfId="0" applyNumberFormat="1" applyFont="1" applyFill="1" applyBorder="1" applyAlignment="1">
      <alignment horizontal="right" vertical="center"/>
    </xf>
    <xf numFmtId="3" fontId="38" fillId="0" borderId="0" xfId="0" applyNumberFormat="1" applyFont="1" applyFill="1" applyBorder="1" applyAlignment="1">
      <alignment vertical="center" wrapText="1"/>
    </xf>
    <xf numFmtId="3" fontId="38" fillId="0" borderId="0" xfId="0" applyNumberFormat="1" applyFont="1" applyFill="1" applyBorder="1" applyAlignment="1">
      <alignment vertical="center"/>
    </xf>
    <xf numFmtId="0" fontId="193" fillId="0" borderId="0" xfId="0" applyFont="1" applyBorder="1" applyAlignment="1"/>
    <xf numFmtId="0" fontId="207" fillId="0" borderId="0" xfId="0" applyFont="1"/>
    <xf numFmtId="0" fontId="207" fillId="0" borderId="0" xfId="0" applyFont="1" applyAlignment="1">
      <alignment horizontal="center"/>
    </xf>
    <xf numFmtId="187" fontId="213" fillId="0" borderId="0" xfId="0" applyNumberFormat="1" applyFont="1" applyFill="1" applyAlignment="1">
      <alignment vertical="center"/>
    </xf>
    <xf numFmtId="187" fontId="213" fillId="0" borderId="0" xfId="0" applyNumberFormat="1" applyFont="1" applyFill="1" applyAlignment="1">
      <alignment horizontal="center"/>
    </xf>
    <xf numFmtId="187" fontId="213" fillId="0" borderId="0" xfId="0" applyNumberFormat="1" applyFont="1" applyFill="1" applyAlignment="1">
      <alignment shrinkToFit="1"/>
    </xf>
    <xf numFmtId="187" fontId="213" fillId="0" borderId="0" xfId="0" applyNumberFormat="1" applyFont="1" applyFill="1"/>
    <xf numFmtId="210" fontId="213" fillId="0" borderId="0" xfId="3" applyNumberFormat="1" applyFont="1" applyFill="1"/>
    <xf numFmtId="4" fontId="213" fillId="0" borderId="0" xfId="3" applyNumberFormat="1" applyFont="1" applyFill="1"/>
    <xf numFmtId="187" fontId="213" fillId="0" borderId="0" xfId="3" applyNumberFormat="1" applyFont="1" applyFill="1" applyAlignment="1">
      <alignment horizontal="center"/>
    </xf>
    <xf numFmtId="187" fontId="213" fillId="0" borderId="0" xfId="3" applyNumberFormat="1" applyFont="1" applyFill="1"/>
    <xf numFmtId="187" fontId="83" fillId="0" borderId="0" xfId="3" applyNumberFormat="1" applyFont="1" applyFill="1" applyAlignment="1">
      <alignment horizontal="center"/>
    </xf>
    <xf numFmtId="187" fontId="215" fillId="0" borderId="0" xfId="3" applyNumberFormat="1" applyFont="1" applyFill="1" applyAlignment="1">
      <alignment horizontal="center"/>
    </xf>
    <xf numFmtId="187" fontId="215" fillId="0" borderId="0" xfId="3" applyNumberFormat="1" applyFont="1" applyFill="1" applyAlignment="1"/>
    <xf numFmtId="187" fontId="8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/>
    <xf numFmtId="187" fontId="83" fillId="0" borderId="0" xfId="0" applyNumberFormat="1" applyFont="1" applyFill="1" applyAlignment="1">
      <alignment vertical="center"/>
    </xf>
    <xf numFmtId="3" fontId="213" fillId="0" borderId="0" xfId="0" applyNumberFormat="1" applyFont="1" applyFill="1"/>
    <xf numFmtId="4" fontId="83" fillId="0" borderId="0" xfId="0" applyNumberFormat="1" applyFont="1" applyFill="1" applyAlignment="1">
      <alignment horizontal="center"/>
    </xf>
    <xf numFmtId="187" fontId="213" fillId="0" borderId="0" xfId="0" applyNumberFormat="1" applyFont="1" applyFill="1" applyBorder="1" applyAlignment="1">
      <alignment vertical="center"/>
    </xf>
    <xf numFmtId="187" fontId="213" fillId="0" borderId="0" xfId="0" applyNumberFormat="1" applyFont="1" applyFill="1" applyBorder="1" applyAlignment="1">
      <alignment horizontal="center"/>
    </xf>
    <xf numFmtId="212" fontId="213" fillId="0" borderId="0" xfId="0" applyNumberFormat="1" applyFont="1" applyFill="1"/>
    <xf numFmtId="4" fontId="213" fillId="0" borderId="0" xfId="3" applyNumberFormat="1" applyFont="1" applyFill="1" applyBorder="1" applyAlignment="1"/>
    <xf numFmtId="187" fontId="213" fillId="0" borderId="0" xfId="3" applyNumberFormat="1" applyFont="1" applyFill="1" applyBorder="1" applyAlignment="1">
      <alignment horizontal="center"/>
    </xf>
    <xf numFmtId="187" fontId="213" fillId="0" borderId="0" xfId="3" applyNumberFormat="1" applyFont="1" applyFill="1" applyBorder="1" applyAlignment="1"/>
    <xf numFmtId="187" fontId="213" fillId="0" borderId="0" xfId="3" applyNumberFormat="1" applyFont="1" applyFill="1" applyBorder="1"/>
    <xf numFmtId="187" fontId="83" fillId="0" borderId="0" xfId="0" applyNumberFormat="1" applyFont="1" applyFill="1" applyBorder="1"/>
    <xf numFmtId="210" fontId="83" fillId="0" borderId="2" xfId="3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 wrapText="1"/>
    </xf>
    <xf numFmtId="4" fontId="83" fillId="0" borderId="2" xfId="3" applyNumberFormat="1" applyFont="1" applyFill="1" applyBorder="1" applyAlignment="1">
      <alignment horizontal="center" vertical="center" wrapText="1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0" xfId="0" applyNumberFormat="1" applyFont="1" applyFill="1" applyAlignment="1">
      <alignment horizontal="center" vertical="center"/>
    </xf>
    <xf numFmtId="187" fontId="213" fillId="0" borderId="2" xfId="0" applyNumberFormat="1" applyFont="1" applyFill="1" applyBorder="1" applyAlignment="1">
      <alignment horizontal="center" vertical="center" shrinkToFit="1"/>
    </xf>
    <xf numFmtId="187" fontId="213" fillId="0" borderId="2" xfId="0" applyNumberFormat="1" applyFont="1" applyFill="1" applyBorder="1" applyAlignment="1">
      <alignment vertical="center" shrinkToFit="1"/>
    </xf>
    <xf numFmtId="210" fontId="213" fillId="0" borderId="2" xfId="0" applyNumberFormat="1" applyFont="1" applyFill="1" applyBorder="1" applyAlignment="1">
      <alignment vertical="center" shrinkToFit="1"/>
    </xf>
    <xf numFmtId="187" fontId="213" fillId="0" borderId="2" xfId="0" applyNumberFormat="1" applyFont="1" applyFill="1" applyBorder="1" applyAlignment="1">
      <alignment horizontal="center" shrinkToFit="1"/>
    </xf>
    <xf numFmtId="187" fontId="217" fillId="0" borderId="0" xfId="0" applyNumberFormat="1" applyFont="1" applyFill="1" applyAlignment="1">
      <alignment horizontal="center" vertical="center"/>
    </xf>
    <xf numFmtId="187" fontId="83" fillId="0" borderId="2" xfId="3" applyNumberFormat="1" applyFont="1" applyFill="1" applyBorder="1" applyAlignment="1">
      <alignment horizontal="right" vertical="center" wrapText="1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2" xfId="0" applyNumberFormat="1" applyFont="1" applyFill="1" applyBorder="1" applyAlignment="1">
      <alignment horizontal="left" vertical="center"/>
    </xf>
    <xf numFmtId="187" fontId="219" fillId="0" borderId="0" xfId="0" applyNumberFormat="1" applyFont="1" applyFill="1" applyBorder="1" applyAlignment="1">
      <alignment horizontal="center" vertical="center" shrinkToFit="1"/>
    </xf>
    <xf numFmtId="187" fontId="220" fillId="0" borderId="0" xfId="0" applyNumberFormat="1" applyFont="1" applyFill="1" applyAlignment="1">
      <alignment vertical="center"/>
    </xf>
    <xf numFmtId="187" fontId="220" fillId="0" borderId="0" xfId="0" applyNumberFormat="1" applyFont="1" applyFill="1" applyAlignment="1">
      <alignment horizontal="center"/>
    </xf>
    <xf numFmtId="187" fontId="220" fillId="0" borderId="0" xfId="0" applyNumberFormat="1" applyFont="1" applyFill="1" applyAlignment="1">
      <alignment shrinkToFit="1"/>
    </xf>
    <xf numFmtId="218" fontId="220" fillId="0" borderId="0" xfId="3" applyNumberFormat="1" applyFont="1" applyFill="1" applyAlignment="1"/>
    <xf numFmtId="210" fontId="220" fillId="0" borderId="0" xfId="3" applyNumberFormat="1" applyFont="1" applyFill="1" applyAlignment="1"/>
    <xf numFmtId="187" fontId="220" fillId="0" borderId="0" xfId="0" applyNumberFormat="1" applyFont="1" applyFill="1"/>
    <xf numFmtId="4" fontId="220" fillId="0" borderId="0" xfId="3" applyNumberFormat="1" applyFont="1" applyFill="1"/>
    <xf numFmtId="187" fontId="220" fillId="0" borderId="0" xfId="3" applyNumberFormat="1" applyFont="1" applyFill="1" applyAlignment="1">
      <alignment horizontal="center"/>
    </xf>
    <xf numFmtId="187" fontId="220" fillId="0" borderId="0" xfId="3" applyNumberFormat="1" applyFont="1" applyFill="1"/>
    <xf numFmtId="210" fontId="220" fillId="0" borderId="0" xfId="0" applyNumberFormat="1" applyFont="1" applyFill="1"/>
    <xf numFmtId="218" fontId="213" fillId="0" borderId="0" xfId="3" applyNumberFormat="1" applyFont="1" applyFill="1" applyAlignment="1"/>
    <xf numFmtId="210" fontId="213" fillId="0" borderId="0" xfId="3" applyNumberFormat="1" applyFont="1" applyFill="1" applyAlignment="1"/>
    <xf numFmtId="210" fontId="213" fillId="0" borderId="0" xfId="0" applyNumberFormat="1" applyFont="1" applyFill="1"/>
    <xf numFmtId="187" fontId="213" fillId="0" borderId="0" xfId="0" applyNumberFormat="1" applyFont="1" applyFill="1" applyBorder="1" applyAlignment="1"/>
    <xf numFmtId="187" fontId="83" fillId="0" borderId="0" xfId="0" applyNumberFormat="1" applyFont="1" applyFill="1"/>
    <xf numFmtId="4" fontId="83" fillId="0" borderId="0" xfId="0" applyNumberFormat="1" applyFont="1" applyFill="1"/>
    <xf numFmtId="210" fontId="83" fillId="0" borderId="0" xfId="0" applyNumberFormat="1" applyFont="1" applyFill="1"/>
    <xf numFmtId="210" fontId="83" fillId="0" borderId="0" xfId="0" applyNumberFormat="1" applyFont="1" applyFill="1" applyAlignment="1"/>
    <xf numFmtId="210" fontId="83" fillId="0" borderId="0" xfId="0" applyNumberFormat="1" applyFont="1" applyFill="1" applyAlignment="1">
      <alignment horizontal="center"/>
    </xf>
    <xf numFmtId="219" fontId="8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/>
    <xf numFmtId="218" fontId="213" fillId="0" borderId="0" xfId="0" applyNumberFormat="1" applyFont="1" applyFill="1"/>
    <xf numFmtId="218" fontId="213" fillId="0" borderId="0" xfId="0" applyNumberFormat="1" applyFont="1" applyFill="1" applyAlignment="1"/>
    <xf numFmtId="187" fontId="213" fillId="0" borderId="0" xfId="0" applyNumberFormat="1" applyFont="1" applyFill="1" applyAlignment="1"/>
    <xf numFmtId="218" fontId="213" fillId="0" borderId="0" xfId="0" applyNumberFormat="1" applyFont="1" applyFill="1" applyAlignment="1">
      <alignment horizontal="center"/>
    </xf>
    <xf numFmtId="220" fontId="213" fillId="0" borderId="0" xfId="0" applyNumberFormat="1" applyFont="1" applyFill="1"/>
    <xf numFmtId="210" fontId="213" fillId="0" borderId="0" xfId="0" applyNumberFormat="1" applyFont="1" applyFill="1" applyAlignment="1"/>
    <xf numFmtId="191" fontId="213" fillId="0" borderId="0" xfId="0" applyNumberFormat="1" applyFont="1" applyFill="1"/>
    <xf numFmtId="3" fontId="213" fillId="0" borderId="0" xfId="3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left"/>
    </xf>
    <xf numFmtId="187" fontId="213" fillId="0" borderId="0" xfId="0" applyNumberFormat="1" applyFont="1" applyFill="1" applyAlignment="1">
      <alignment horizontal="right"/>
    </xf>
    <xf numFmtId="4" fontId="213" fillId="0" borderId="0" xfId="3" applyNumberFormat="1" applyFont="1" applyFill="1" applyAlignment="1"/>
    <xf numFmtId="190" fontId="213" fillId="0" borderId="2" xfId="1" applyNumberFormat="1" applyFont="1" applyFill="1" applyBorder="1" applyAlignment="1">
      <alignment vertical="center" shrinkToFit="1"/>
    </xf>
    <xf numFmtId="0" fontId="111" fillId="4" borderId="2" xfId="0" applyFont="1" applyFill="1" applyBorder="1" applyAlignment="1">
      <alignment vertical="center"/>
    </xf>
    <xf numFmtId="190" fontId="83" fillId="0" borderId="2" xfId="1" applyNumberFormat="1" applyFont="1" applyFill="1" applyBorder="1" applyAlignment="1">
      <alignment horizontal="right" vertical="center" wrapText="1"/>
    </xf>
    <xf numFmtId="187" fontId="4" fillId="0" borderId="0" xfId="0" applyNumberFormat="1" applyFont="1"/>
    <xf numFmtId="187" fontId="40" fillId="0" borderId="0" xfId="17" applyNumberFormat="1" applyFont="1" applyFill="1" applyAlignment="1">
      <alignment horizontal="center"/>
    </xf>
    <xf numFmtId="187" fontId="2" fillId="0" borderId="0" xfId="0" applyNumberFormat="1" applyFont="1"/>
    <xf numFmtId="218" fontId="5" fillId="0" borderId="0" xfId="0" applyNumberFormat="1" applyFont="1"/>
    <xf numFmtId="187" fontId="37" fillId="0" borderId="0" xfId="0" applyNumberFormat="1" applyFont="1"/>
    <xf numFmtId="187" fontId="37" fillId="0" borderId="0" xfId="0" applyNumberFormat="1" applyFont="1" applyAlignment="1">
      <alignment horizontal="center"/>
    </xf>
    <xf numFmtId="187" fontId="27" fillId="0" borderId="1" xfId="0" applyNumberFormat="1" applyFont="1" applyBorder="1"/>
    <xf numFmtId="187" fontId="37" fillId="0" borderId="2" xfId="0" applyNumberFormat="1" applyFont="1" applyBorder="1" applyAlignment="1">
      <alignment horizontal="center" vertical="center" wrapText="1"/>
    </xf>
    <xf numFmtId="187" fontId="37" fillId="0" borderId="2" xfId="0" applyNumberFormat="1" applyFont="1" applyBorder="1" applyAlignment="1">
      <alignment vertical="center" shrinkToFit="1"/>
    </xf>
    <xf numFmtId="187" fontId="37" fillId="0" borderId="2" xfId="17" applyNumberFormat="1" applyFont="1" applyFill="1" applyBorder="1" applyAlignment="1">
      <alignment horizontal="center" vertical="center" wrapText="1"/>
    </xf>
    <xf numFmtId="187" fontId="37" fillId="0" borderId="2" xfId="17" applyNumberFormat="1" applyFont="1" applyFill="1" applyBorder="1" applyAlignment="1">
      <alignment horizontal="right" vertical="center"/>
    </xf>
    <xf numFmtId="187" fontId="4" fillId="0" borderId="2" xfId="0" applyNumberFormat="1" applyFont="1" applyBorder="1" applyAlignment="1">
      <alignment vertical="center"/>
    </xf>
    <xf numFmtId="187" fontId="38" fillId="0" borderId="2" xfId="0" applyNumberFormat="1" applyFont="1" applyBorder="1" applyAlignment="1">
      <alignment horizontal="left" vertical="center" shrinkToFit="1"/>
    </xf>
    <xf numFmtId="0" fontId="38" fillId="0" borderId="2" xfId="0" applyFont="1" applyBorder="1" applyAlignment="1">
      <alignment vertical="center" wrapText="1"/>
    </xf>
    <xf numFmtId="191" fontId="38" fillId="0" borderId="2" xfId="12" applyNumberFormat="1" applyFont="1" applyFill="1" applyBorder="1" applyAlignment="1">
      <alignment vertical="center" shrinkToFit="1"/>
    </xf>
    <xf numFmtId="187" fontId="38" fillId="0" borderId="2" xfId="0" applyNumberFormat="1" applyFont="1" applyBorder="1" applyAlignment="1">
      <alignment horizontal="center" vertical="center" wrapText="1"/>
    </xf>
    <xf numFmtId="187" fontId="38" fillId="0" borderId="2" xfId="17" applyNumberFormat="1" applyFont="1" applyFill="1" applyBorder="1" applyAlignment="1">
      <alignment horizontal="left" vertical="center"/>
    </xf>
    <xf numFmtId="187" fontId="37" fillId="0" borderId="2" xfId="17" applyNumberFormat="1" applyFont="1" applyFill="1" applyBorder="1" applyAlignment="1">
      <alignment horizontal="right" vertical="center" wrapText="1"/>
    </xf>
    <xf numFmtId="187" fontId="2" fillId="0" borderId="2" xfId="17" applyNumberFormat="1" applyFont="1" applyFill="1" applyBorder="1" applyAlignment="1">
      <alignment horizontal="right"/>
    </xf>
    <xf numFmtId="187" fontId="37" fillId="0" borderId="2" xfId="17" applyNumberFormat="1" applyFont="1" applyFill="1" applyBorder="1" applyAlignment="1">
      <alignment horizontal="right"/>
    </xf>
    <xf numFmtId="187" fontId="37" fillId="0" borderId="14" xfId="0" applyNumberFormat="1" applyFont="1" applyBorder="1" applyAlignment="1">
      <alignment horizontal="center" vertical="center"/>
    </xf>
    <xf numFmtId="187" fontId="37" fillId="0" borderId="12" xfId="0" applyNumberFormat="1" applyFont="1" applyBorder="1" applyAlignment="1">
      <alignment horizontal="center" vertical="center"/>
    </xf>
    <xf numFmtId="187" fontId="37" fillId="0" borderId="12" xfId="0" applyNumberFormat="1" applyFont="1" applyBorder="1" applyAlignment="1">
      <alignment horizontal="center" vertical="center" shrinkToFit="1"/>
    </xf>
    <xf numFmtId="0" fontId="38" fillId="0" borderId="2" xfId="0" applyFont="1" applyBorder="1" applyAlignment="1">
      <alignment horizontal="left" vertical="top" wrapText="1"/>
    </xf>
    <xf numFmtId="206" fontId="127" fillId="0" borderId="53" xfId="1" applyNumberFormat="1" applyFont="1" applyBorder="1" applyAlignment="1">
      <alignment horizontal="left" vertical="top"/>
    </xf>
    <xf numFmtId="191" fontId="0" fillId="0" borderId="0" xfId="1" applyNumberFormat="1" applyFont="1"/>
    <xf numFmtId="191" fontId="7" fillId="0" borderId="35" xfId="1" applyNumberFormat="1" applyFont="1" applyFill="1" applyBorder="1" applyAlignment="1">
      <alignment vertical="center"/>
    </xf>
    <xf numFmtId="188" fontId="7" fillId="0" borderId="35" xfId="1" applyFont="1" applyFill="1" applyBorder="1" applyAlignment="1">
      <alignment vertical="center"/>
    </xf>
    <xf numFmtId="191" fontId="7" fillId="0" borderId="48" xfId="1" applyNumberFormat="1" applyFont="1" applyFill="1" applyBorder="1" applyAlignment="1">
      <alignment vertical="center"/>
    </xf>
    <xf numFmtId="188" fontId="7" fillId="0" borderId="48" xfId="1" applyFont="1" applyFill="1" applyBorder="1" applyAlignment="1">
      <alignment vertical="center"/>
    </xf>
    <xf numFmtId="191" fontId="7" fillId="0" borderId="30" xfId="1" applyNumberFormat="1" applyFont="1" applyFill="1" applyBorder="1" applyAlignment="1">
      <alignment vertical="center"/>
    </xf>
    <xf numFmtId="188" fontId="7" fillId="0" borderId="30" xfId="1" applyFont="1" applyFill="1" applyBorder="1" applyAlignment="1">
      <alignment vertical="center"/>
    </xf>
    <xf numFmtId="0" fontId="7" fillId="0" borderId="30" xfId="0" applyFont="1" applyFill="1" applyBorder="1" applyAlignment="1">
      <alignment vertical="center"/>
    </xf>
    <xf numFmtId="197" fontId="4" fillId="0" borderId="0" xfId="17" applyNumberFormat="1" applyFont="1" applyFill="1" applyAlignment="1">
      <alignment horizontal="center"/>
    </xf>
    <xf numFmtId="197" fontId="4" fillId="0" borderId="0" xfId="17" applyNumberFormat="1" applyFont="1" applyFill="1" applyAlignment="1">
      <alignment horizontal="right"/>
    </xf>
    <xf numFmtId="197" fontId="4" fillId="0" borderId="0" xfId="17" applyNumberFormat="1" applyFont="1" applyFill="1"/>
    <xf numFmtId="199" fontId="4" fillId="0" borderId="0" xfId="17" applyNumberFormat="1" applyFont="1" applyFill="1"/>
    <xf numFmtId="199" fontId="4" fillId="0" borderId="0" xfId="17" applyNumberFormat="1" applyFont="1" applyFill="1" applyAlignment="1">
      <alignment horizontal="center"/>
    </xf>
    <xf numFmtId="191" fontId="3" fillId="0" borderId="2" xfId="17" applyNumberFormat="1" applyFont="1" applyFill="1" applyBorder="1" applyAlignment="1">
      <alignment horizontal="right" vertical="center" shrinkToFit="1"/>
    </xf>
    <xf numFmtId="188" fontId="4" fillId="0" borderId="0" xfId="17" applyNumberFormat="1" applyFont="1" applyFill="1"/>
    <xf numFmtId="191" fontId="4" fillId="0" borderId="0" xfId="17" applyNumberFormat="1" applyFont="1" applyFill="1"/>
    <xf numFmtId="202" fontId="4" fillId="0" borderId="0" xfId="0" applyNumberFormat="1" applyFont="1" applyFill="1"/>
    <xf numFmtId="205" fontId="4" fillId="0" borderId="0" xfId="17" applyNumberFormat="1" applyFont="1" applyFill="1"/>
    <xf numFmtId="197" fontId="4" fillId="0" borderId="0" xfId="0" applyNumberFormat="1" applyFont="1" applyFill="1" applyBorder="1"/>
    <xf numFmtId="188" fontId="4" fillId="0" borderId="0" xfId="17" applyNumberFormat="1" applyFont="1" applyFill="1" applyAlignment="1">
      <alignment horizontal="right"/>
    </xf>
    <xf numFmtId="197" fontId="75" fillId="0" borderId="0" xfId="17" applyNumberFormat="1" applyFont="1" applyFill="1" applyAlignment="1">
      <alignment horizontal="right"/>
    </xf>
    <xf numFmtId="209" fontId="75" fillId="0" borderId="0" xfId="17" applyNumberFormat="1" applyFont="1" applyFill="1"/>
    <xf numFmtId="0" fontId="77" fillId="0" borderId="0" xfId="6" applyFont="1" applyFill="1"/>
    <xf numFmtId="0" fontId="77" fillId="0" borderId="0" xfId="6" applyFont="1" applyFill="1" applyAlignment="1">
      <alignment horizontal="center"/>
    </xf>
    <xf numFmtId="197" fontId="77" fillId="0" borderId="0" xfId="17" applyNumberFormat="1" applyFont="1" applyFill="1"/>
    <xf numFmtId="221" fontId="75" fillId="0" borderId="0" xfId="0" applyNumberFormat="1" applyFont="1" applyFill="1"/>
    <xf numFmtId="0" fontId="13" fillId="0" borderId="0" xfId="0" applyFont="1" applyFill="1"/>
    <xf numFmtId="3" fontId="13" fillId="0" borderId="0" xfId="0" applyNumberFormat="1" applyFont="1" applyFill="1"/>
    <xf numFmtId="188" fontId="13" fillId="0" borderId="0" xfId="0" applyNumberFormat="1" applyFont="1" applyFill="1"/>
    <xf numFmtId="197" fontId="75" fillId="0" borderId="0" xfId="17" applyNumberFormat="1" applyFont="1" applyFill="1"/>
    <xf numFmtId="199" fontId="77" fillId="0" borderId="0" xfId="17" applyNumberFormat="1" applyFont="1" applyFill="1"/>
    <xf numFmtId="0" fontId="39" fillId="0" borderId="0" xfId="6" applyFont="1" applyFill="1" applyAlignment="1">
      <alignment horizontal="center"/>
    </xf>
    <xf numFmtId="197" fontId="39" fillId="0" borderId="0" xfId="17" applyNumberFormat="1" applyFont="1" applyFill="1"/>
    <xf numFmtId="199" fontId="39" fillId="0" borderId="0" xfId="17" applyNumberFormat="1" applyFont="1" applyFill="1"/>
    <xf numFmtId="197" fontId="48" fillId="0" borderId="0" xfId="17" applyNumberFormat="1" applyFont="1" applyFill="1" applyAlignment="1"/>
    <xf numFmtId="199" fontId="48" fillId="0" borderId="0" xfId="17" applyNumberFormat="1" applyFont="1" applyFill="1" applyAlignment="1"/>
    <xf numFmtId="191" fontId="25" fillId="0" borderId="0" xfId="0" applyNumberFormat="1" applyFont="1" applyFill="1" applyAlignment="1">
      <alignment horizontal="center" vertical="center"/>
    </xf>
    <xf numFmtId="197" fontId="2" fillId="0" borderId="0" xfId="0" applyNumberFormat="1" applyFont="1" applyFill="1"/>
    <xf numFmtId="0" fontId="75" fillId="0" borderId="2" xfId="0" applyFont="1" applyFill="1" applyBorder="1" applyAlignment="1">
      <alignment vertical="center" wrapText="1"/>
    </xf>
    <xf numFmtId="0" fontId="170" fillId="0" borderId="2" xfId="0" applyFont="1" applyFill="1" applyBorder="1" applyAlignment="1">
      <alignment vertical="center"/>
    </xf>
    <xf numFmtId="1" fontId="170" fillId="0" borderId="2" xfId="1" applyNumberFormat="1" applyFont="1" applyFill="1" applyBorder="1" applyAlignment="1">
      <alignment horizontal="center" vertical="center" wrapText="1"/>
    </xf>
    <xf numFmtId="188" fontId="170" fillId="0" borderId="2" xfId="1" applyFont="1" applyFill="1" applyBorder="1" applyAlignment="1">
      <alignment horizontal="center" vertical="center" wrapText="1"/>
    </xf>
    <xf numFmtId="191" fontId="170" fillId="0" borderId="2" xfId="1" applyNumberFormat="1" applyFont="1" applyFill="1" applyBorder="1" applyAlignment="1">
      <alignment horizontal="center" vertical="center" wrapText="1"/>
    </xf>
    <xf numFmtId="191" fontId="170" fillId="0" borderId="2" xfId="1" applyNumberFormat="1" applyFont="1" applyFill="1" applyBorder="1" applyAlignment="1">
      <alignment vertical="center"/>
    </xf>
    <xf numFmtId="191" fontId="170" fillId="0" borderId="2" xfId="1" applyNumberFormat="1" applyFont="1" applyFill="1" applyBorder="1" applyAlignment="1">
      <alignment vertical="center" wrapText="1"/>
    </xf>
    <xf numFmtId="197" fontId="170" fillId="0" borderId="2" xfId="3" applyNumberFormat="1" applyFont="1" applyFill="1" applyBorder="1" applyAlignment="1">
      <alignment vertical="center" wrapText="1"/>
    </xf>
    <xf numFmtId="197" fontId="75" fillId="0" borderId="0" xfId="0" applyNumberFormat="1" applyFont="1" applyFill="1"/>
    <xf numFmtId="187" fontId="37" fillId="0" borderId="2" xfId="0" applyNumberFormat="1" applyFont="1" applyBorder="1" applyAlignment="1">
      <alignment horizontal="center" vertical="center" shrinkToFit="1"/>
    </xf>
    <xf numFmtId="187" fontId="37" fillId="0" borderId="2" xfId="0" applyNumberFormat="1" applyFont="1" applyBorder="1" applyAlignment="1">
      <alignment horizontal="center" vertical="center" wrapText="1" shrinkToFit="1"/>
    </xf>
    <xf numFmtId="187" fontId="38" fillId="0" borderId="56" xfId="0" applyNumberFormat="1" applyFont="1" applyBorder="1" applyAlignment="1">
      <alignment horizontal="left" vertical="center" shrinkToFit="1"/>
    </xf>
    <xf numFmtId="0" fontId="38" fillId="0" borderId="56" xfId="0" applyFont="1" applyBorder="1" applyAlignment="1">
      <alignment horizontal="left" vertical="top" wrapText="1"/>
    </xf>
    <xf numFmtId="191" fontId="38" fillId="0" borderId="56" xfId="12" applyNumberFormat="1" applyFont="1" applyFill="1" applyBorder="1" applyAlignment="1">
      <alignment vertical="center" shrinkToFit="1"/>
    </xf>
    <xf numFmtId="187" fontId="38" fillId="0" borderId="56" xfId="0" applyNumberFormat="1" applyFont="1" applyBorder="1" applyAlignment="1">
      <alignment horizontal="center" vertical="center" wrapText="1"/>
    </xf>
    <xf numFmtId="187" fontId="38" fillId="0" borderId="56" xfId="17" applyNumberFormat="1" applyFont="1" applyFill="1" applyBorder="1" applyAlignment="1">
      <alignment horizontal="left" vertical="center"/>
    </xf>
    <xf numFmtId="187" fontId="38" fillId="0" borderId="4" xfId="0" applyNumberFormat="1" applyFont="1" applyBorder="1" applyAlignment="1">
      <alignment horizontal="left" vertical="center" shrinkToFit="1"/>
    </xf>
    <xf numFmtId="206" fontId="127" fillId="0" borderId="4" xfId="1" applyNumberFormat="1" applyFont="1" applyBorder="1" applyAlignment="1">
      <alignment horizontal="left" vertical="top"/>
    </xf>
    <xf numFmtId="191" fontId="38" fillId="0" borderId="4" xfId="12" applyNumberFormat="1" applyFont="1" applyFill="1" applyBorder="1" applyAlignment="1">
      <alignment vertical="center" shrinkToFit="1"/>
    </xf>
    <xf numFmtId="187" fontId="38" fillId="0" borderId="4" xfId="0" applyNumberFormat="1" applyFont="1" applyBorder="1" applyAlignment="1">
      <alignment horizontal="center" vertical="center" wrapText="1"/>
    </xf>
    <xf numFmtId="187" fontId="38" fillId="0" borderId="4" xfId="17" applyNumberFormat="1" applyFont="1" applyFill="1" applyBorder="1" applyAlignment="1">
      <alignment horizontal="left" vertical="center"/>
    </xf>
    <xf numFmtId="0" fontId="38" fillId="0" borderId="4" xfId="0" applyFont="1" applyBorder="1" applyAlignment="1">
      <alignment horizontal="left" vertical="top" wrapText="1"/>
    </xf>
    <xf numFmtId="0" fontId="38" fillId="0" borderId="4" xfId="0" applyFont="1" applyBorder="1" applyAlignment="1">
      <alignment vertical="center" wrapText="1"/>
    </xf>
    <xf numFmtId="191" fontId="37" fillId="0" borderId="2" xfId="12" applyNumberFormat="1" applyFont="1" applyFill="1" applyBorder="1" applyAlignment="1">
      <alignment vertical="center" shrinkToFit="1"/>
    </xf>
    <xf numFmtId="187" fontId="37" fillId="0" borderId="2" xfId="17" applyNumberFormat="1" applyFont="1" applyFill="1" applyBorder="1" applyAlignment="1">
      <alignment horizontal="left" vertical="center"/>
    </xf>
    <xf numFmtId="187" fontId="37" fillId="0" borderId="18" xfId="0" applyNumberFormat="1" applyFont="1" applyBorder="1" applyAlignment="1">
      <alignment horizontal="center" vertical="center"/>
    </xf>
    <xf numFmtId="187" fontId="83" fillId="0" borderId="0" xfId="0" applyNumberFormat="1" applyFont="1" applyFill="1" applyAlignment="1">
      <alignment horizontal="center"/>
    </xf>
    <xf numFmtId="187" fontId="4" fillId="0" borderId="56" xfId="0" applyNumberFormat="1" applyFont="1" applyBorder="1" applyAlignment="1">
      <alignment vertical="center"/>
    </xf>
    <xf numFmtId="0" fontId="38" fillId="0" borderId="56" xfId="0" applyFont="1" applyBorder="1" applyAlignment="1">
      <alignment horizontal="left"/>
    </xf>
    <xf numFmtId="0" fontId="0" fillId="0" borderId="35" xfId="0" applyBorder="1"/>
    <xf numFmtId="187" fontId="4" fillId="0" borderId="4" xfId="0" applyNumberFormat="1" applyFont="1" applyBorder="1" applyAlignment="1">
      <alignment vertical="center"/>
    </xf>
    <xf numFmtId="0" fontId="38" fillId="0" borderId="4" xfId="0" applyFont="1" applyBorder="1" applyAlignment="1">
      <alignment horizontal="left"/>
    </xf>
    <xf numFmtId="0" fontId="0" fillId="0" borderId="48" xfId="0" applyBorder="1"/>
    <xf numFmtId="0" fontId="38" fillId="0" borderId="56" xfId="0" applyFont="1" applyBorder="1" applyAlignment="1">
      <alignment vertical="center" wrapText="1"/>
    </xf>
    <xf numFmtId="0" fontId="4" fillId="0" borderId="56" xfId="0" applyFont="1" applyFill="1" applyBorder="1" applyAlignment="1">
      <alignment horizontal="left" vertical="center"/>
    </xf>
    <xf numFmtId="209" fontId="75" fillId="0" borderId="0" xfId="1" applyNumberFormat="1" applyFont="1" applyFill="1"/>
    <xf numFmtId="191" fontId="213" fillId="0" borderId="2" xfId="1" applyNumberFormat="1" applyFont="1" applyFill="1" applyBorder="1" applyAlignment="1">
      <alignment vertical="center" shrinkToFit="1"/>
    </xf>
    <xf numFmtId="191" fontId="213" fillId="0" borderId="2" xfId="1" applyNumberFormat="1" applyFont="1" applyFill="1" applyBorder="1" applyAlignment="1">
      <alignment horizontal="center" vertical="center" shrinkToFit="1"/>
    </xf>
    <xf numFmtId="187" fontId="83" fillId="0" borderId="0" xfId="0" applyNumberFormat="1" applyFont="1" applyFill="1" applyAlignment="1">
      <alignment horizontal="center"/>
    </xf>
    <xf numFmtId="187" fontId="83" fillId="0" borderId="0" xfId="3" applyNumberFormat="1" applyFont="1" applyFill="1" applyAlignment="1">
      <alignment horizont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188" fontId="2" fillId="0" borderId="0" xfId="0" applyNumberFormat="1" applyFont="1" applyFill="1" applyAlignment="1">
      <alignment horizontal="center"/>
    </xf>
    <xf numFmtId="206" fontId="132" fillId="0" borderId="0" xfId="3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187" fontId="83" fillId="0" borderId="0" xfId="3" applyNumberFormat="1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191" fontId="4" fillId="0" borderId="2" xfId="1" applyNumberFormat="1" applyFont="1" applyFill="1" applyBorder="1" applyAlignment="1">
      <alignment horizontal="center" vertical="center" shrinkToFit="1"/>
    </xf>
    <xf numFmtId="191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/>
    </xf>
    <xf numFmtId="0" fontId="4" fillId="0" borderId="2" xfId="5" quotePrefix="1" applyFont="1" applyFill="1" applyBorder="1" applyAlignment="1">
      <alignment horizontal="left" vertical="center" shrinkToFit="1"/>
    </xf>
    <xf numFmtId="0" fontId="209" fillId="0" borderId="2" xfId="0" applyFont="1" applyFill="1" applyBorder="1" applyAlignment="1">
      <alignment vertical="center"/>
    </xf>
    <xf numFmtId="187" fontId="38" fillId="0" borderId="2" xfId="3" applyNumberFormat="1" applyFont="1" applyFill="1" applyBorder="1" applyAlignment="1">
      <alignment horizontal="right" vertical="center"/>
    </xf>
    <xf numFmtId="3" fontId="172" fillId="0" borderId="2" xfId="12" applyNumberFormat="1" applyFont="1" applyFill="1" applyBorder="1" applyAlignment="1">
      <alignment vertical="center"/>
    </xf>
    <xf numFmtId="3" fontId="38" fillId="0" borderId="2" xfId="2" applyNumberFormat="1" applyFont="1" applyFill="1" applyBorder="1" applyAlignment="1">
      <alignment horizontal="right" vertical="center"/>
    </xf>
    <xf numFmtId="201" fontId="37" fillId="0" borderId="2" xfId="3" applyNumberFormat="1" applyFont="1" applyFill="1" applyBorder="1" applyAlignment="1">
      <alignment vertical="center" wrapText="1"/>
    </xf>
    <xf numFmtId="197" fontId="2" fillId="0" borderId="0" xfId="0" applyNumberFormat="1" applyFont="1" applyFill="1" applyAlignment="1">
      <alignment horizontal="left"/>
    </xf>
    <xf numFmtId="188" fontId="75" fillId="0" borderId="0" xfId="1" applyNumberFormat="1" applyFont="1" applyFill="1"/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66" fillId="0" borderId="0" xfId="0" applyFont="1" applyFill="1" applyBorder="1" applyAlignment="1">
      <alignment horizontal="center"/>
    </xf>
    <xf numFmtId="0" fontId="172" fillId="0" borderId="0" xfId="0" applyFont="1" applyFill="1" applyBorder="1" applyAlignment="1">
      <alignment horizontal="center"/>
    </xf>
    <xf numFmtId="44" fontId="76" fillId="0" borderId="12" xfId="11" applyFont="1" applyFill="1" applyBorder="1" applyAlignment="1">
      <alignment horizontal="center" vertical="center"/>
    </xf>
    <xf numFmtId="44" fontId="76" fillId="0" borderId="2" xfId="11" applyFont="1" applyFill="1" applyBorder="1" applyAlignment="1">
      <alignment horizontal="center" vertical="center"/>
    </xf>
    <xf numFmtId="0" fontId="76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7" fillId="0" borderId="0" xfId="0" applyFont="1" applyFill="1" applyAlignment="1">
      <alignment horizontal="center"/>
    </xf>
    <xf numFmtId="0" fontId="42" fillId="0" borderId="0" xfId="0" applyFont="1" applyFill="1" applyAlignment="1">
      <alignment horizontal="center"/>
    </xf>
    <xf numFmtId="191" fontId="4" fillId="4" borderId="0" xfId="0" applyNumberFormat="1" applyFont="1" applyFill="1" applyAlignment="1">
      <alignment horizontal="center"/>
    </xf>
    <xf numFmtId="4" fontId="4" fillId="4" borderId="2" xfId="6" applyNumberFormat="1" applyFont="1" applyFill="1" applyBorder="1" applyAlignment="1">
      <alignment horizontal="left" vertical="center"/>
    </xf>
    <xf numFmtId="191" fontId="8" fillId="0" borderId="2" xfId="0" applyNumberFormat="1" applyFont="1" applyBorder="1" applyAlignment="1">
      <alignment vertical="center"/>
    </xf>
    <xf numFmtId="4" fontId="4" fillId="0" borderId="2" xfId="0" applyNumberFormat="1" applyFont="1" applyFill="1" applyBorder="1" applyAlignment="1">
      <alignment vertical="center"/>
    </xf>
    <xf numFmtId="4" fontId="81" fillId="0" borderId="2" xfId="6" applyNumberFormat="1" applyFont="1" applyFill="1" applyBorder="1" applyAlignment="1">
      <alignment horizontal="left" vertical="center"/>
    </xf>
    <xf numFmtId="4" fontId="4" fillId="0" borderId="2" xfId="6" applyNumberFormat="1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4" fontId="2" fillId="0" borderId="2" xfId="0" applyNumberFormat="1" applyFont="1" applyFill="1" applyBorder="1" applyAlignment="1">
      <alignment vertical="center"/>
    </xf>
    <xf numFmtId="191" fontId="10" fillId="0" borderId="2" xfId="12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91" fontId="10" fillId="0" borderId="2" xfId="1" applyNumberFormat="1" applyFont="1" applyBorder="1" applyAlignment="1">
      <alignment horizontal="center" vertical="center"/>
    </xf>
    <xf numFmtId="191" fontId="10" fillId="0" borderId="2" xfId="1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8" fillId="0" borderId="0" xfId="6" applyFont="1" applyFill="1" applyAlignment="1">
      <alignment horizontal="center"/>
    </xf>
    <xf numFmtId="200" fontId="37" fillId="0" borderId="2" xfId="2" applyNumberFormat="1" applyFont="1" applyFill="1" applyBorder="1" applyAlignment="1">
      <alignment horizontal="center" vertical="center" wrapText="1"/>
    </xf>
    <xf numFmtId="0" fontId="126" fillId="4" borderId="0" xfId="7" applyFont="1" applyFill="1" applyBorder="1" applyAlignment="1">
      <alignment vertical="center" wrapText="1"/>
    </xf>
    <xf numFmtId="2" fontId="99" fillId="4" borderId="0" xfId="7" applyNumberFormat="1" applyFont="1" applyFill="1" applyBorder="1" applyAlignment="1">
      <alignment vertical="center"/>
    </xf>
    <xf numFmtId="0" fontId="99" fillId="4" borderId="0" xfId="7" applyFont="1" applyFill="1" applyBorder="1" applyAlignment="1">
      <alignment horizontal="center" vertical="center" wrapText="1"/>
    </xf>
    <xf numFmtId="2" fontId="99" fillId="4" borderId="0" xfId="7" applyNumberFormat="1" applyFont="1" applyFill="1" applyBorder="1" applyAlignment="1">
      <alignment horizontal="center" vertical="center"/>
    </xf>
    <xf numFmtId="2" fontId="99" fillId="4" borderId="0" xfId="7" applyNumberFormat="1" applyFont="1" applyFill="1" applyBorder="1" applyAlignment="1">
      <alignment horizontal="center" vertical="center" shrinkToFit="1"/>
    </xf>
    <xf numFmtId="0" fontId="127" fillId="4" borderId="4" xfId="0" applyFont="1" applyFill="1" applyBorder="1" applyAlignment="1">
      <alignment horizontal="center"/>
    </xf>
    <xf numFmtId="0" fontId="127" fillId="4" borderId="4" xfId="0" applyFont="1" applyFill="1" applyBorder="1"/>
    <xf numFmtId="2" fontId="126" fillId="4" borderId="0" xfId="7" applyNumberFormat="1" applyFont="1" applyFill="1" applyBorder="1" applyAlignment="1">
      <alignment vertical="center" shrinkToFit="1"/>
    </xf>
    <xf numFmtId="0" fontId="126" fillId="4" borderId="0" xfId="7" applyFont="1" applyFill="1" applyBorder="1" applyAlignment="1">
      <alignment horizontal="center" vertical="center" shrinkToFit="1"/>
    </xf>
    <xf numFmtId="0" fontId="126" fillId="4" borderId="0" xfId="7" applyFont="1" applyFill="1" applyBorder="1" applyAlignment="1">
      <alignment horizontal="center" vertical="center" wrapText="1" shrinkToFit="1"/>
    </xf>
    <xf numFmtId="2" fontId="126" fillId="4" borderId="0" xfId="7" applyNumberFormat="1" applyFont="1" applyFill="1" applyBorder="1" applyAlignment="1">
      <alignment horizontal="center" vertical="center" shrinkToFit="1"/>
    </xf>
    <xf numFmtId="0" fontId="126" fillId="4" borderId="0" xfId="7" applyFont="1" applyFill="1" applyBorder="1" applyAlignment="1">
      <alignment horizontal="center" vertical="center" wrapText="1"/>
    </xf>
    <xf numFmtId="2" fontId="126" fillId="4" borderId="0" xfId="7" applyNumberFormat="1" applyFont="1" applyFill="1" applyBorder="1" applyAlignment="1">
      <alignment vertical="center"/>
    </xf>
    <xf numFmtId="2" fontId="126" fillId="4" borderId="0" xfId="1" applyNumberFormat="1" applyFont="1" applyFill="1" applyBorder="1" applyAlignment="1">
      <alignment horizontal="right" vertical="center" shrinkToFit="1"/>
    </xf>
    <xf numFmtId="188" fontId="126" fillId="4" borderId="0" xfId="1" applyFont="1" applyFill="1" applyBorder="1" applyAlignment="1">
      <alignment horizontal="center" vertical="center"/>
    </xf>
    <xf numFmtId="0" fontId="126" fillId="4" borderId="0" xfId="7" applyFont="1" applyFill="1" applyBorder="1" applyAlignment="1">
      <alignment vertical="center"/>
    </xf>
    <xf numFmtId="2" fontId="126" fillId="4" borderId="0" xfId="1" applyNumberFormat="1" applyFont="1" applyFill="1" applyBorder="1" applyAlignment="1">
      <alignment horizontal="center" vertical="center"/>
    </xf>
    <xf numFmtId="195" fontId="126" fillId="4" borderId="0" xfId="1" applyNumberFormat="1" applyFont="1" applyFill="1" applyBorder="1" applyAlignment="1">
      <alignment vertical="center"/>
    </xf>
    <xf numFmtId="43" fontId="126" fillId="4" borderId="0" xfId="1" applyNumberFormat="1" applyFont="1" applyFill="1" applyBorder="1" applyAlignment="1">
      <alignment vertical="center" shrinkToFit="1"/>
    </xf>
    <xf numFmtId="195" fontId="126" fillId="4" borderId="0" xfId="1" applyNumberFormat="1" applyFont="1" applyFill="1" applyBorder="1" applyAlignment="1">
      <alignment horizontal="center" vertical="center"/>
    </xf>
    <xf numFmtId="195" fontId="126" fillId="4" borderId="0" xfId="1" applyNumberFormat="1" applyFont="1" applyFill="1" applyBorder="1" applyAlignment="1">
      <alignment horizontal="center" vertical="center" shrinkToFit="1"/>
    </xf>
    <xf numFmtId="2" fontId="99" fillId="4" borderId="0" xfId="1" applyNumberFormat="1" applyFont="1" applyFill="1" applyBorder="1" applyAlignment="1">
      <alignment horizontal="center" vertical="center"/>
    </xf>
    <xf numFmtId="0" fontId="99" fillId="4" borderId="0" xfId="7" applyFont="1" applyFill="1" applyBorder="1" applyAlignment="1">
      <alignment vertical="center"/>
    </xf>
    <xf numFmtId="188" fontId="99" fillId="4" borderId="0" xfId="1" applyFont="1" applyFill="1" applyBorder="1" applyAlignment="1">
      <alignment horizontal="center" vertical="center"/>
    </xf>
    <xf numFmtId="0" fontId="99" fillId="4" borderId="0" xfId="7" applyFont="1" applyFill="1" applyBorder="1" applyAlignment="1">
      <alignment horizontal="center" vertical="center" shrinkToFit="1"/>
    </xf>
    <xf numFmtId="191" fontId="7" fillId="0" borderId="4" xfId="0" quotePrefix="1" applyNumberFormat="1" applyFont="1" applyFill="1" applyBorder="1" applyAlignment="1">
      <alignment vertical="center" shrinkToFit="1"/>
    </xf>
    <xf numFmtId="0" fontId="47" fillId="0" borderId="56" xfId="6" applyFont="1" applyFill="1" applyBorder="1" applyAlignment="1">
      <alignment horizontal="center" vertical="center"/>
    </xf>
    <xf numFmtId="188" fontId="8" fillId="0" borderId="56" xfId="6" applyNumberFormat="1" applyFont="1" applyFill="1" applyBorder="1" applyAlignment="1">
      <alignment vertical="center" shrinkToFit="1"/>
    </xf>
    <xf numFmtId="0" fontId="67" fillId="0" borderId="56" xfId="7" applyFont="1" applyFill="1" applyBorder="1" applyAlignment="1">
      <alignment horizontal="center" vertical="center"/>
    </xf>
    <xf numFmtId="196" fontId="46" fillId="0" borderId="56" xfId="3" applyNumberFormat="1" applyFont="1" applyFill="1" applyBorder="1" applyAlignment="1">
      <alignment horizontal="center" vertical="center" wrapText="1"/>
    </xf>
    <xf numFmtId="188" fontId="67" fillId="0" borderId="56" xfId="1" applyFont="1" applyFill="1" applyBorder="1" applyAlignment="1">
      <alignment horizontal="left" vertical="center"/>
    </xf>
    <xf numFmtId="198" fontId="91" fillId="0" borderId="56" xfId="3" applyNumberFormat="1" applyFont="1" applyFill="1" applyBorder="1" applyAlignment="1">
      <alignment horizontal="center" vertical="center" wrapText="1"/>
    </xf>
    <xf numFmtId="198" fontId="47" fillId="0" borderId="56" xfId="3" applyNumberFormat="1" applyFont="1" applyFill="1" applyBorder="1" applyAlignment="1">
      <alignment horizontal="center" vertical="center" wrapText="1"/>
    </xf>
    <xf numFmtId="187" fontId="213" fillId="0" borderId="2" xfId="0" quotePrefix="1" applyNumberFormat="1" applyFont="1" applyFill="1" applyBorder="1" applyAlignment="1">
      <alignment horizontal="center" vertical="center" shrinkToFit="1"/>
    </xf>
    <xf numFmtId="197" fontId="4" fillId="0" borderId="0" xfId="0" applyNumberFormat="1" applyFont="1" applyFill="1"/>
    <xf numFmtId="0" fontId="66" fillId="0" borderId="0" xfId="0" applyFont="1" applyFill="1" applyAlignment="1">
      <alignment vertical="center"/>
    </xf>
    <xf numFmtId="0" fontId="67" fillId="0" borderId="0" xfId="0" applyFont="1" applyFill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59" fillId="0" borderId="0" xfId="0" applyFont="1"/>
    <xf numFmtId="0" fontId="66" fillId="0" borderId="0" xfId="0" applyFont="1" applyFill="1" applyAlignment="1">
      <alignment horizontal="center"/>
    </xf>
    <xf numFmtId="0" fontId="95" fillId="0" borderId="0" xfId="0" applyFont="1" applyFill="1" applyAlignment="1">
      <alignment vertical="center"/>
    </xf>
    <xf numFmtId="0" fontId="66" fillId="0" borderId="0" xfId="0" applyFont="1" applyFill="1" applyAlignment="1">
      <alignment horizontal="center" vertical="center"/>
    </xf>
    <xf numFmtId="0" fontId="67" fillId="0" borderId="0" xfId="0" applyFont="1" applyFill="1" applyAlignment="1">
      <alignment horizontal="center"/>
    </xf>
    <xf numFmtId="0" fontId="93" fillId="0" borderId="0" xfId="0" applyFont="1"/>
    <xf numFmtId="0" fontId="159" fillId="0" borderId="0" xfId="0" applyFont="1" applyAlignment="1">
      <alignment horizontal="center"/>
    </xf>
    <xf numFmtId="0" fontId="66" fillId="0" borderId="2" xfId="0" applyFont="1" applyFill="1" applyBorder="1" applyAlignment="1">
      <alignment horizontal="center" vertical="center"/>
    </xf>
    <xf numFmtId="0" fontId="95" fillId="0" borderId="2" xfId="0" applyFont="1" applyFill="1" applyBorder="1" applyAlignment="1">
      <alignment horizontal="center" vertical="center"/>
    </xf>
    <xf numFmtId="0" fontId="38" fillId="0" borderId="16" xfId="0" applyFont="1" applyBorder="1"/>
    <xf numFmtId="0" fontId="67" fillId="4" borderId="16" xfId="0" applyFont="1" applyFill="1" applyBorder="1"/>
    <xf numFmtId="192" fontId="67" fillId="0" borderId="16" xfId="16" applyNumberFormat="1" applyFont="1" applyBorder="1" applyAlignment="1">
      <alignment shrinkToFit="1"/>
    </xf>
    <xf numFmtId="191" fontId="75" fillId="4" borderId="16" xfId="16" applyNumberFormat="1" applyFont="1" applyFill="1" applyBorder="1" applyAlignment="1">
      <alignment horizontal="center" vertical="center" shrinkToFit="1"/>
    </xf>
    <xf numFmtId="192" fontId="226" fillId="0" borderId="16" xfId="0" applyNumberFormat="1" applyFont="1" applyBorder="1" applyAlignment="1">
      <alignment horizontal="center" vertical="center" shrinkToFit="1"/>
    </xf>
    <xf numFmtId="0" fontId="159" fillId="0" borderId="16" xfId="0" applyFont="1" applyBorder="1"/>
    <xf numFmtId="192" fontId="0" fillId="0" borderId="0" xfId="0" applyNumberFormat="1"/>
    <xf numFmtId="0" fontId="67" fillId="4" borderId="4" xfId="0" applyFont="1" applyFill="1" applyBorder="1"/>
    <xf numFmtId="192" fontId="67" fillId="0" borderId="4" xfId="16" applyNumberFormat="1" applyFont="1" applyBorder="1" applyAlignment="1">
      <alignment shrinkToFit="1"/>
    </xf>
    <xf numFmtId="191" fontId="75" fillId="4" borderId="4" xfId="16" applyNumberFormat="1" applyFont="1" applyFill="1" applyBorder="1" applyAlignment="1">
      <alignment horizontal="center" vertical="center" shrinkToFit="1"/>
    </xf>
    <xf numFmtId="192" fontId="226" fillId="0" borderId="4" xfId="0" applyNumberFormat="1" applyFont="1" applyBorder="1" applyAlignment="1">
      <alignment horizontal="center" vertical="center" shrinkToFit="1"/>
    </xf>
    <xf numFmtId="0" fontId="159" fillId="0" borderId="4" xfId="0" applyFont="1" applyBorder="1"/>
    <xf numFmtId="192" fontId="67" fillId="0" borderId="4" xfId="16" applyNumberFormat="1" applyFont="1" applyFill="1" applyBorder="1" applyAlignment="1">
      <alignment shrinkToFit="1"/>
    </xf>
    <xf numFmtId="43" fontId="226" fillId="0" borderId="4" xfId="16" applyFont="1" applyBorder="1" applyAlignment="1">
      <alignment horizontal="center" vertical="center" shrinkToFit="1"/>
    </xf>
    <xf numFmtId="206" fontId="147" fillId="0" borderId="2" xfId="16" quotePrefix="1" applyNumberFormat="1" applyFont="1" applyBorder="1" applyAlignment="1">
      <alignment horizontal="center" vertical="center" shrinkToFit="1"/>
    </xf>
    <xf numFmtId="43" fontId="159" fillId="0" borderId="2" xfId="16" applyFont="1" applyBorder="1" applyAlignment="1">
      <alignment shrinkToFit="1"/>
    </xf>
    <xf numFmtId="43" fontId="0" fillId="0" borderId="0" xfId="16" applyFont="1"/>
    <xf numFmtId="192" fontId="81" fillId="0" borderId="16" xfId="16" applyNumberFormat="1" applyFont="1" applyBorder="1" applyAlignment="1">
      <alignment shrinkToFit="1"/>
    </xf>
    <xf numFmtId="192" fontId="131" fillId="0" borderId="16" xfId="0" applyNumberFormat="1" applyFont="1" applyBorder="1" applyAlignment="1">
      <alignment horizontal="center" vertical="center" shrinkToFit="1"/>
    </xf>
    <xf numFmtId="0" fontId="81" fillId="0" borderId="16" xfId="0" applyFont="1" applyBorder="1"/>
    <xf numFmtId="0" fontId="103" fillId="0" borderId="16" xfId="0" applyFont="1" applyFill="1" applyBorder="1" applyAlignment="1">
      <alignment horizontal="center"/>
    </xf>
    <xf numFmtId="0" fontId="99" fillId="4" borderId="56" xfId="0" applyFont="1" applyFill="1" applyBorder="1"/>
    <xf numFmtId="0" fontId="103" fillId="0" borderId="16" xfId="0" applyFont="1" applyBorder="1"/>
    <xf numFmtId="192" fontId="228" fillId="0" borderId="16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/>
    </xf>
    <xf numFmtId="0" fontId="99" fillId="4" borderId="4" xfId="0" applyFont="1" applyFill="1" applyBorder="1"/>
    <xf numFmtId="0" fontId="67" fillId="0" borderId="4" xfId="0" applyFont="1" applyBorder="1"/>
    <xf numFmtId="192" fontId="141" fillId="0" borderId="4" xfId="0" applyNumberFormat="1" applyFont="1" applyBorder="1" applyAlignment="1">
      <alignment horizontal="center" vertical="center" shrinkToFit="1"/>
    </xf>
    <xf numFmtId="206" fontId="0" fillId="0" borderId="0" xfId="0" applyNumberFormat="1"/>
    <xf numFmtId="0" fontId="8" fillId="0" borderId="16" xfId="0" applyFont="1" applyBorder="1" applyAlignment="1">
      <alignment horizontal="center"/>
    </xf>
    <xf numFmtId="0" fontId="93" fillId="5" borderId="16" xfId="0" applyFont="1" applyFill="1" applyBorder="1"/>
    <xf numFmtId="0" fontId="93" fillId="0" borderId="16" xfId="0" applyFont="1" applyBorder="1"/>
    <xf numFmtId="43" fontId="159" fillId="0" borderId="2" xfId="16" applyFont="1" applyBorder="1" applyAlignment="1">
      <alignment horizontal="center" vertical="center" shrinkToFit="1"/>
    </xf>
    <xf numFmtId="0" fontId="159" fillId="0" borderId="2" xfId="0" applyFont="1" applyBorder="1" applyAlignment="1">
      <alignment vertical="center"/>
    </xf>
    <xf numFmtId="0" fontId="67" fillId="0" borderId="16" xfId="0" applyFont="1" applyFill="1" applyBorder="1" applyAlignment="1">
      <alignment horizontal="center"/>
    </xf>
    <xf numFmtId="192" fontId="67" fillId="0" borderId="16" xfId="16" applyNumberFormat="1" applyFont="1" applyBorder="1"/>
    <xf numFmtId="192" fontId="159" fillId="0" borderId="16" xfId="16" applyNumberFormat="1" applyFont="1" applyBorder="1" applyAlignment="1">
      <alignment horizontal="center"/>
    </xf>
    <xf numFmtId="192" fontId="226" fillId="0" borderId="16" xfId="16" applyNumberFormat="1" applyFont="1" applyBorder="1" applyAlignment="1">
      <alignment horizontal="center" vertical="center" shrinkToFit="1"/>
    </xf>
    <xf numFmtId="192" fontId="159" fillId="0" borderId="16" xfId="0" applyNumberFormat="1" applyFont="1" applyBorder="1"/>
    <xf numFmtId="192" fontId="67" fillId="0" borderId="4" xfId="16" applyNumberFormat="1" applyFont="1" applyBorder="1"/>
    <xf numFmtId="192" fontId="159" fillId="0" borderId="4" xfId="16" applyNumberFormat="1" applyFont="1" applyBorder="1" applyAlignment="1">
      <alignment horizontal="center"/>
    </xf>
    <xf numFmtId="192" fontId="226" fillId="0" borderId="4" xfId="16" applyNumberFormat="1" applyFont="1" applyBorder="1" applyAlignment="1">
      <alignment horizontal="center" vertical="center" shrinkToFit="1"/>
    </xf>
    <xf numFmtId="192" fontId="159" fillId="0" borderId="4" xfId="16" quotePrefix="1" applyNumberFormat="1" applyFont="1" applyBorder="1" applyAlignment="1">
      <alignment horizontal="center"/>
    </xf>
    <xf numFmtId="0" fontId="164" fillId="0" borderId="0" xfId="0" applyFont="1" applyBorder="1" applyAlignment="1">
      <alignment horizontal="center" vertical="center"/>
    </xf>
    <xf numFmtId="206" fontId="66" fillId="0" borderId="0" xfId="16" applyNumberFormat="1" applyFont="1" applyBorder="1" applyAlignment="1">
      <alignment horizontal="center" vertical="center" shrinkToFit="1"/>
    </xf>
    <xf numFmtId="0" fontId="164" fillId="0" borderId="0" xfId="0" applyFont="1" applyBorder="1" applyAlignment="1">
      <alignment horizontal="center"/>
    </xf>
    <xf numFmtId="192" fontId="164" fillId="0" borderId="0" xfId="16" applyNumberFormat="1" applyFont="1" applyBorder="1" applyAlignment="1">
      <alignment shrinkToFit="1"/>
    </xf>
    <xf numFmtId="0" fontId="164" fillId="0" borderId="0" xfId="0" applyFont="1"/>
    <xf numFmtId="0" fontId="229" fillId="0" borderId="0" xfId="0" applyFont="1" applyAlignment="1"/>
    <xf numFmtId="0" fontId="129" fillId="0" borderId="0" xfId="0" applyFont="1"/>
    <xf numFmtId="0" fontId="227" fillId="0" borderId="0" xfId="0" applyFont="1"/>
    <xf numFmtId="0" fontId="129" fillId="0" borderId="0" xfId="0" applyFont="1" applyAlignment="1">
      <alignment horizontal="center"/>
    </xf>
    <xf numFmtId="0" fontId="129" fillId="0" borderId="0" xfId="0" applyFont="1" applyAlignment="1">
      <alignment horizontal="center" vertical="center"/>
    </xf>
    <xf numFmtId="192" fontId="129" fillId="0" borderId="0" xfId="16" applyNumberFormat="1" applyFont="1"/>
    <xf numFmtId="43" fontId="110" fillId="4" borderId="0" xfId="16" applyFont="1" applyFill="1" applyBorder="1" applyAlignment="1">
      <alignment horizontal="center" vertical="center" shrinkToFit="1"/>
    </xf>
    <xf numFmtId="2" fontId="129" fillId="0" borderId="0" xfId="0" applyNumberFormat="1" applyFont="1" applyAlignment="1">
      <alignment horizontal="center" vertical="center"/>
    </xf>
    <xf numFmtId="192" fontId="129" fillId="0" borderId="0" xfId="0" applyNumberFormat="1" applyFont="1"/>
    <xf numFmtId="208" fontId="129" fillId="0" borderId="0" xfId="0" applyNumberFormat="1" applyFont="1" applyAlignment="1">
      <alignment shrinkToFit="1"/>
    </xf>
    <xf numFmtId="192" fontId="129" fillId="0" borderId="0" xfId="0" applyNumberFormat="1" applyFont="1" applyAlignment="1">
      <alignment horizontal="center" vertical="center"/>
    </xf>
    <xf numFmtId="0" fontId="127" fillId="4" borderId="0" xfId="0" applyFont="1" applyFill="1"/>
    <xf numFmtId="0" fontId="126" fillId="4" borderId="0" xfId="0" applyFont="1" applyFill="1" applyAlignment="1">
      <alignment vertical="center"/>
    </xf>
    <xf numFmtId="0" fontId="230" fillId="4" borderId="0" xfId="0" applyFont="1" applyFill="1" applyAlignment="1">
      <alignment vertical="center"/>
    </xf>
    <xf numFmtId="0" fontId="127" fillId="4" borderId="0" xfId="0" applyFont="1" applyFill="1" applyAlignment="1">
      <alignment horizontal="center" vertical="center"/>
    </xf>
    <xf numFmtId="0" fontId="99" fillId="4" borderId="0" xfId="0" applyFont="1" applyFill="1"/>
    <xf numFmtId="0" fontId="99" fillId="4" borderId="4" xfId="0" applyFont="1" applyFill="1" applyBorder="1" applyAlignment="1">
      <alignment horizontal="center"/>
    </xf>
    <xf numFmtId="0" fontId="99" fillId="4" borderId="4" xfId="0" quotePrefix="1" applyFont="1" applyFill="1" applyBorder="1"/>
    <xf numFmtId="1" fontId="127" fillId="4" borderId="4" xfId="16" applyNumberFormat="1" applyFont="1" applyFill="1" applyBorder="1" applyAlignment="1">
      <alignment horizontal="center"/>
    </xf>
    <xf numFmtId="0" fontId="127" fillId="4" borderId="48" xfId="0" applyFont="1" applyFill="1" applyBorder="1"/>
    <xf numFmtId="1" fontId="177" fillId="4" borderId="2" xfId="16" applyNumberFormat="1" applyFont="1" applyFill="1" applyBorder="1" applyAlignment="1">
      <alignment horizontal="center" vertical="center" shrinkToFit="1"/>
    </xf>
    <xf numFmtId="0" fontId="127" fillId="4" borderId="2" xfId="0" applyFont="1" applyFill="1" applyBorder="1"/>
    <xf numFmtId="1" fontId="127" fillId="4" borderId="0" xfId="0" applyNumberFormat="1" applyFont="1" applyFill="1"/>
    <xf numFmtId="0" fontId="128" fillId="4" borderId="16" xfId="0" applyFont="1" applyFill="1" applyBorder="1" applyAlignment="1">
      <alignment horizontal="center"/>
    </xf>
    <xf numFmtId="0" fontId="128" fillId="4" borderId="16" xfId="0" applyFont="1" applyFill="1" applyBorder="1" applyAlignment="1">
      <alignment horizontal="left"/>
    </xf>
    <xf numFmtId="0" fontId="128" fillId="4" borderId="16" xfId="0" quotePrefix="1" applyFont="1" applyFill="1" applyBorder="1"/>
    <xf numFmtId="0" fontId="99" fillId="4" borderId="16" xfId="0" applyFont="1" applyFill="1" applyBorder="1" applyAlignment="1">
      <alignment horizontal="center"/>
    </xf>
    <xf numFmtId="1" fontId="127" fillId="4" borderId="16" xfId="16" applyNumberFormat="1" applyFont="1" applyFill="1" applyBorder="1" applyAlignment="1">
      <alignment horizontal="center"/>
    </xf>
    <xf numFmtId="0" fontId="127" fillId="4" borderId="35" xfId="0" applyFont="1" applyFill="1" applyBorder="1"/>
    <xf numFmtId="0" fontId="127" fillId="4" borderId="16" xfId="0" applyFont="1" applyFill="1" applyBorder="1"/>
    <xf numFmtId="0" fontId="99" fillId="4" borderId="4" xfId="0" applyFont="1" applyFill="1" applyBorder="1" applyAlignment="1">
      <alignment horizontal="left"/>
    </xf>
    <xf numFmtId="0" fontId="126" fillId="4" borderId="2" xfId="0" applyFont="1" applyFill="1" applyBorder="1" applyAlignment="1"/>
    <xf numFmtId="192" fontId="126" fillId="4" borderId="2" xfId="16" applyNumberFormat="1" applyFont="1" applyFill="1" applyBorder="1" applyAlignment="1">
      <alignment horizontal="center" shrinkToFit="1"/>
    </xf>
    <xf numFmtId="192" fontId="99" fillId="4" borderId="2" xfId="16" applyNumberFormat="1" applyFont="1" applyFill="1" applyBorder="1" applyAlignment="1">
      <alignment horizontal="center" shrinkToFit="1"/>
    </xf>
    <xf numFmtId="192" fontId="99" fillId="4" borderId="18" xfId="16" applyNumberFormat="1" applyFont="1" applyFill="1" applyBorder="1" applyAlignment="1">
      <alignment horizontal="center" shrinkToFit="1"/>
    </xf>
    <xf numFmtId="192" fontId="127" fillId="4" borderId="0" xfId="0" applyNumberFormat="1" applyFont="1" applyFill="1"/>
    <xf numFmtId="0" fontId="99" fillId="4" borderId="56" xfId="0" applyFont="1" applyFill="1" applyBorder="1" applyAlignment="1">
      <alignment horizontal="center"/>
    </xf>
    <xf numFmtId="0" fontId="99" fillId="4" borderId="56" xfId="0" quotePrefix="1" applyFont="1" applyFill="1" applyBorder="1"/>
    <xf numFmtId="0" fontId="127" fillId="4" borderId="56" xfId="0" applyFont="1" applyFill="1" applyBorder="1" applyAlignment="1">
      <alignment horizontal="center"/>
    </xf>
    <xf numFmtId="1" fontId="127" fillId="4" borderId="56" xfId="16" applyNumberFormat="1" applyFont="1" applyFill="1" applyBorder="1" applyAlignment="1">
      <alignment horizontal="center"/>
    </xf>
    <xf numFmtId="0" fontId="127" fillId="4" borderId="56" xfId="0" applyFont="1" applyFill="1" applyBorder="1"/>
    <xf numFmtId="0" fontId="126" fillId="4" borderId="2" xfId="0" quotePrefix="1" applyFont="1" applyFill="1" applyBorder="1"/>
    <xf numFmtId="192" fontId="177" fillId="4" borderId="2" xfId="16" applyNumberFormat="1" applyFont="1" applyFill="1" applyBorder="1" applyAlignment="1">
      <alignment horizontal="center" shrinkToFit="1"/>
    </xf>
    <xf numFmtId="0" fontId="99" fillId="4" borderId="16" xfId="0" applyFont="1" applyFill="1" applyBorder="1"/>
    <xf numFmtId="0" fontId="127" fillId="4" borderId="16" xfId="0" quotePrefix="1" applyFont="1" applyFill="1" applyBorder="1" applyAlignment="1">
      <alignment horizontal="center"/>
    </xf>
    <xf numFmtId="0" fontId="127" fillId="4" borderId="16" xfId="0" applyFont="1" applyFill="1" applyBorder="1" applyAlignment="1">
      <alignment horizontal="center"/>
    </xf>
    <xf numFmtId="0" fontId="127" fillId="4" borderId="4" xfId="0" quotePrefix="1" applyFont="1" applyFill="1" applyBorder="1" applyAlignment="1">
      <alignment horizontal="center"/>
    </xf>
    <xf numFmtId="0" fontId="127" fillId="4" borderId="4" xfId="0" applyFont="1" applyFill="1" applyBorder="1" applyAlignment="1">
      <alignment horizontal="left"/>
    </xf>
    <xf numFmtId="0" fontId="99" fillId="4" borderId="17" xfId="0" applyFont="1" applyFill="1" applyBorder="1" applyAlignment="1">
      <alignment horizontal="center"/>
    </xf>
    <xf numFmtId="0" fontId="127" fillId="4" borderId="30" xfId="0" applyFont="1" applyFill="1" applyBorder="1"/>
    <xf numFmtId="0" fontId="127" fillId="4" borderId="5" xfId="0" applyFont="1" applyFill="1" applyBorder="1"/>
    <xf numFmtId="0" fontId="99" fillId="4" borderId="2" xfId="0" applyFont="1" applyFill="1" applyBorder="1" applyAlignment="1">
      <alignment horizontal="center"/>
    </xf>
    <xf numFmtId="0" fontId="127" fillId="4" borderId="2" xfId="0" applyFont="1" applyFill="1" applyBorder="1" applyAlignment="1">
      <alignment horizontal="center" shrinkToFit="1"/>
    </xf>
    <xf numFmtId="192" fontId="127" fillId="4" borderId="2" xfId="0" applyNumberFormat="1" applyFont="1" applyFill="1" applyBorder="1"/>
    <xf numFmtId="0" fontId="127" fillId="4" borderId="6" xfId="0" applyFont="1" applyFill="1" applyBorder="1" applyAlignment="1"/>
    <xf numFmtId="0" fontId="177" fillId="4" borderId="2" xfId="0" applyFont="1" applyFill="1" applyBorder="1" applyAlignment="1">
      <alignment horizontal="center" shrinkToFit="1"/>
    </xf>
    <xf numFmtId="0" fontId="177" fillId="4" borderId="18" xfId="0" applyFont="1" applyFill="1" applyBorder="1" applyAlignment="1">
      <alignment horizontal="center" shrinkToFit="1"/>
    </xf>
    <xf numFmtId="192" fontId="127" fillId="4" borderId="0" xfId="0" applyNumberFormat="1" applyFont="1" applyFill="1" applyAlignment="1">
      <alignment shrinkToFit="1"/>
    </xf>
    <xf numFmtId="206" fontId="95" fillId="0" borderId="0" xfId="16" applyNumberFormat="1" applyFont="1" applyBorder="1" applyAlignment="1">
      <alignment horizontal="center" vertical="center" shrinkToFit="1"/>
    </xf>
    <xf numFmtId="43" fontId="66" fillId="0" borderId="0" xfId="16" applyFont="1" applyBorder="1" applyAlignment="1">
      <alignment horizontal="center" vertical="center" shrinkToFit="1"/>
    </xf>
    <xf numFmtId="206" fontId="67" fillId="0" borderId="0" xfId="16" applyNumberFormat="1" applyFont="1" applyBorder="1" applyAlignment="1">
      <alignment horizontal="center" vertical="center" shrinkToFit="1"/>
    </xf>
    <xf numFmtId="0" fontId="159" fillId="0" borderId="0" xfId="0" applyFont="1" applyBorder="1" applyAlignment="1">
      <alignment vertical="center"/>
    </xf>
    <xf numFmtId="0" fontId="66" fillId="0" borderId="2" xfId="0" applyFont="1" applyFill="1" applyBorder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188" fontId="0" fillId="0" borderId="0" xfId="1" applyFont="1"/>
    <xf numFmtId="191" fontId="75" fillId="4" borderId="17" xfId="16" applyNumberFormat="1" applyFont="1" applyFill="1" applyBorder="1" applyAlignment="1">
      <alignment horizontal="center" vertical="center" shrinkToFit="1"/>
    </xf>
    <xf numFmtId="191" fontId="75" fillId="4" borderId="11" xfId="16" applyNumberFormat="1" applyFont="1" applyFill="1" applyBorder="1" applyAlignment="1">
      <alignment horizontal="center" vertical="center" shrinkToFit="1"/>
    </xf>
    <xf numFmtId="191" fontId="75" fillId="4" borderId="2" xfId="16" applyNumberFormat="1" applyFont="1" applyFill="1" applyBorder="1" applyAlignment="1">
      <alignment horizontal="center" vertical="center" shrinkToFit="1"/>
    </xf>
    <xf numFmtId="0" fontId="67" fillId="0" borderId="17" xfId="0" applyFont="1" applyFill="1" applyBorder="1" applyAlignment="1">
      <alignment horizontal="center"/>
    </xf>
    <xf numFmtId="192" fontId="67" fillId="0" borderId="17" xfId="16" applyNumberFormat="1" applyFont="1" applyBorder="1"/>
    <xf numFmtId="192" fontId="159" fillId="0" borderId="17" xfId="16" applyNumberFormat="1" applyFont="1" applyBorder="1" applyAlignment="1">
      <alignment horizontal="center"/>
    </xf>
    <xf numFmtId="192" fontId="226" fillId="0" borderId="17" xfId="16" applyNumberFormat="1" applyFont="1" applyBorder="1" applyAlignment="1">
      <alignment horizontal="center" vertical="center" shrinkToFit="1"/>
    </xf>
    <xf numFmtId="0" fontId="159" fillId="0" borderId="17" xfId="0" applyFont="1" applyBorder="1"/>
    <xf numFmtId="191" fontId="107" fillId="4" borderId="2" xfId="16" applyNumberFormat="1" applyFont="1" applyFill="1" applyBorder="1" applyAlignment="1">
      <alignment horizontal="center" vertical="center" shrinkToFit="1"/>
    </xf>
    <xf numFmtId="0" fontId="164" fillId="0" borderId="2" xfId="0" applyFont="1" applyBorder="1" applyAlignment="1">
      <alignment vertical="center"/>
    </xf>
    <xf numFmtId="0" fontId="8" fillId="0" borderId="11" xfId="0" applyFont="1" applyBorder="1" applyAlignment="1">
      <alignment horizontal="center"/>
    </xf>
    <xf numFmtId="0" fontId="67" fillId="0" borderId="17" xfId="0" applyFont="1" applyBorder="1"/>
    <xf numFmtId="192" fontId="141" fillId="0" borderId="17" xfId="0" applyNumberFormat="1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/>
    </xf>
    <xf numFmtId="0" fontId="99" fillId="4" borderId="17" xfId="0" applyFont="1" applyFill="1" applyBorder="1"/>
    <xf numFmtId="206" fontId="164" fillId="0" borderId="2" xfId="16" applyNumberFormat="1" applyFont="1" applyBorder="1" applyAlignment="1">
      <alignment horizontal="center" vertical="center" shrinkToFit="1"/>
    </xf>
    <xf numFmtId="0" fontId="164" fillId="0" borderId="2" xfId="0" applyFont="1" applyBorder="1"/>
    <xf numFmtId="0" fontId="38" fillId="0" borderId="17" xfId="0" applyFont="1" applyBorder="1"/>
    <xf numFmtId="0" fontId="67" fillId="4" borderId="17" xfId="0" applyFont="1" applyFill="1" applyBorder="1"/>
    <xf numFmtId="192" fontId="67" fillId="0" borderId="17" xfId="16" applyNumberFormat="1" applyFont="1" applyBorder="1" applyAlignment="1">
      <alignment shrinkToFit="1"/>
    </xf>
    <xf numFmtId="192" fontId="226" fillId="0" borderId="17" xfId="0" applyNumberFormat="1" applyFont="1" applyBorder="1" applyAlignment="1">
      <alignment horizontal="center" vertical="center" shrinkToFit="1"/>
    </xf>
    <xf numFmtId="206" fontId="126" fillId="0" borderId="18" xfId="16" applyNumberFormat="1" applyFont="1" applyBorder="1" applyAlignment="1"/>
    <xf numFmtId="206" fontId="126" fillId="0" borderId="6" xfId="16" applyNumberFormat="1" applyFont="1" applyBorder="1" applyAlignment="1"/>
    <xf numFmtId="206" fontId="126" fillId="0" borderId="12" xfId="16" applyNumberFormat="1" applyFont="1" applyBorder="1" applyAlignment="1"/>
    <xf numFmtId="187" fontId="83" fillId="0" borderId="0" xfId="0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left"/>
    </xf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0" xfId="3" applyNumberFormat="1" applyFont="1" applyFill="1" applyAlignment="1">
      <alignment horizont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187" fontId="213" fillId="0" borderId="0" xfId="0" applyNumberFormat="1" applyFont="1" applyFill="1" applyBorder="1" applyAlignment="1">
      <alignment horizontal="center"/>
    </xf>
    <xf numFmtId="210" fontId="83" fillId="0" borderId="0" xfId="0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 vertical="center"/>
    </xf>
    <xf numFmtId="3" fontId="213" fillId="0" borderId="0" xfId="3" applyNumberFormat="1" applyFont="1" applyFill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219" fontId="83" fillId="0" borderId="0" xfId="0" applyNumberFormat="1" applyFont="1" applyFill="1" applyAlignment="1">
      <alignment horizontal="center"/>
    </xf>
    <xf numFmtId="0" fontId="99" fillId="0" borderId="0" xfId="0" applyFont="1" applyFill="1" applyAlignment="1">
      <alignment horizontal="center"/>
    </xf>
    <xf numFmtId="0" fontId="230" fillId="0" borderId="2" xfId="0" applyFont="1" applyFill="1" applyBorder="1" applyAlignment="1">
      <alignment horizontal="center" vertical="center"/>
    </xf>
    <xf numFmtId="0" fontId="107" fillId="0" borderId="0" xfId="0" applyFont="1" applyFill="1" applyAlignment="1">
      <alignment vertical="center"/>
    </xf>
    <xf numFmtId="0" fontId="107" fillId="0" borderId="0" xfId="0" applyFont="1" applyFill="1" applyAlignment="1">
      <alignment horizontal="center"/>
    </xf>
    <xf numFmtId="0" fontId="234" fillId="0" borderId="0" xfId="0" applyFont="1" applyFill="1" applyAlignment="1">
      <alignment vertical="center"/>
    </xf>
    <xf numFmtId="0" fontId="233" fillId="0" borderId="0" xfId="0" applyFont="1" applyFill="1"/>
    <xf numFmtId="0" fontId="129" fillId="0" borderId="0" xfId="0" applyFont="1" applyFill="1" applyAlignment="1">
      <alignment horizontal="center" vertical="center"/>
    </xf>
    <xf numFmtId="0" fontId="129" fillId="0" borderId="0" xfId="0" applyFont="1" applyFill="1"/>
    <xf numFmtId="0" fontId="127" fillId="0" borderId="0" xfId="0" applyFont="1" applyFill="1"/>
    <xf numFmtId="0" fontId="128" fillId="0" borderId="0" xfId="0" applyFont="1" applyFill="1"/>
    <xf numFmtId="0" fontId="127" fillId="0" borderId="0" xfId="0" applyFont="1" applyFill="1" applyAlignment="1">
      <alignment horizontal="center"/>
    </xf>
    <xf numFmtId="0" fontId="127" fillId="0" borderId="0" xfId="0" applyFont="1" applyFill="1" applyAlignment="1">
      <alignment horizontal="center" vertical="center"/>
    </xf>
    <xf numFmtId="0" fontId="231" fillId="0" borderId="0" xfId="0" applyFont="1" applyFill="1"/>
    <xf numFmtId="191" fontId="126" fillId="0" borderId="2" xfId="16" applyNumberFormat="1" applyFont="1" applyFill="1" applyBorder="1" applyAlignment="1">
      <alignment horizontal="center" vertical="center"/>
    </xf>
    <xf numFmtId="206" fontId="177" fillId="0" borderId="2" xfId="16" quotePrefix="1" applyNumberFormat="1" applyFont="1" applyFill="1" applyBorder="1" applyAlignment="1">
      <alignment horizontal="center" vertical="center"/>
    </xf>
    <xf numFmtId="206" fontId="177" fillId="0" borderId="2" xfId="16" applyNumberFormat="1" applyFont="1" applyFill="1" applyBorder="1" applyAlignment="1">
      <alignment horizontal="center" vertical="center"/>
    </xf>
    <xf numFmtId="191" fontId="38" fillId="0" borderId="2" xfId="16" applyNumberFormat="1" applyFont="1" applyFill="1" applyBorder="1" applyAlignment="1">
      <alignment horizontal="center" vertical="center"/>
    </xf>
    <xf numFmtId="43" fontId="127" fillId="0" borderId="2" xfId="16" applyFont="1" applyFill="1" applyBorder="1" applyAlignment="1">
      <alignment horizontal="center" vertical="center"/>
    </xf>
    <xf numFmtId="0" fontId="127" fillId="0" borderId="2" xfId="0" applyFont="1" applyFill="1" applyBorder="1" applyAlignment="1">
      <alignment vertical="center"/>
    </xf>
    <xf numFmtId="0" fontId="177" fillId="0" borderId="2" xfId="0" applyFont="1" applyFill="1" applyBorder="1" applyAlignment="1">
      <alignment vertical="center"/>
    </xf>
    <xf numFmtId="0" fontId="177" fillId="0" borderId="0" xfId="0" applyFont="1" applyFill="1" applyBorder="1" applyAlignment="1">
      <alignment horizontal="center" vertical="center"/>
    </xf>
    <xf numFmtId="206" fontId="126" fillId="0" borderId="0" xfId="16" applyNumberFormat="1" applyFont="1" applyFill="1" applyBorder="1" applyAlignment="1">
      <alignment horizontal="center" vertical="center" shrinkToFit="1"/>
    </xf>
    <xf numFmtId="206" fontId="230" fillId="0" borderId="0" xfId="16" applyNumberFormat="1" applyFont="1" applyFill="1" applyBorder="1" applyAlignment="1">
      <alignment horizontal="center" vertical="center" shrinkToFit="1"/>
    </xf>
    <xf numFmtId="43" fontId="126" fillId="0" borderId="0" xfId="16" applyFont="1" applyFill="1" applyBorder="1" applyAlignment="1">
      <alignment horizontal="center" vertical="center" shrinkToFit="1"/>
    </xf>
    <xf numFmtId="206" fontId="99" fillId="0" borderId="0" xfId="16" applyNumberFormat="1" applyFont="1" applyFill="1" applyBorder="1" applyAlignment="1">
      <alignment horizontal="center" vertical="center" shrinkToFit="1"/>
    </xf>
    <xf numFmtId="0" fontId="127" fillId="0" borderId="0" xfId="0" applyFont="1" applyFill="1" applyBorder="1" applyAlignment="1">
      <alignment vertical="center"/>
    </xf>
    <xf numFmtId="0" fontId="177" fillId="0" borderId="0" xfId="0" applyFont="1" applyFill="1" applyBorder="1" applyAlignment="1">
      <alignment horizontal="center"/>
    </xf>
    <xf numFmtId="192" fontId="177" fillId="0" borderId="0" xfId="16" applyNumberFormat="1" applyFont="1" applyFill="1" applyBorder="1" applyAlignment="1">
      <alignment shrinkToFit="1"/>
    </xf>
    <xf numFmtId="0" fontId="177" fillId="0" borderId="0" xfId="0" applyFont="1" applyFill="1"/>
    <xf numFmtId="0" fontId="177" fillId="0" borderId="0" xfId="0" applyFont="1" applyFill="1" applyAlignment="1"/>
    <xf numFmtId="192" fontId="127" fillId="0" borderId="0" xfId="16" applyNumberFormat="1" applyFont="1" applyFill="1"/>
    <xf numFmtId="43" fontId="200" fillId="0" borderId="0" xfId="16" applyFont="1" applyFill="1" applyBorder="1" applyAlignment="1">
      <alignment horizontal="center" vertical="center" shrinkToFit="1"/>
    </xf>
    <xf numFmtId="191" fontId="127" fillId="0" borderId="0" xfId="1" applyNumberFormat="1" applyFont="1" applyFill="1"/>
    <xf numFmtId="2" fontId="127" fillId="0" borderId="0" xfId="0" applyNumberFormat="1" applyFont="1" applyFill="1" applyAlignment="1">
      <alignment horizontal="center" vertical="center"/>
    </xf>
    <xf numFmtId="191" fontId="127" fillId="0" borderId="0" xfId="0" applyNumberFormat="1" applyFont="1" applyFill="1"/>
    <xf numFmtId="192" fontId="127" fillId="0" borderId="0" xfId="0" applyNumberFormat="1" applyFont="1" applyFill="1"/>
    <xf numFmtId="208" fontId="127" fillId="0" borderId="0" xfId="0" applyNumberFormat="1" applyFont="1" applyFill="1" applyAlignment="1">
      <alignment shrinkToFit="1"/>
    </xf>
    <xf numFmtId="192" fontId="127" fillId="0" borderId="0" xfId="0" applyNumberFormat="1" applyFont="1" applyFill="1" applyAlignment="1">
      <alignment horizontal="center" vertical="center"/>
    </xf>
    <xf numFmtId="0" fontId="127" fillId="0" borderId="14" xfId="0" applyFont="1" applyFill="1" applyBorder="1" applyAlignment="1"/>
    <xf numFmtId="0" fontId="139" fillId="0" borderId="14" xfId="0" applyFont="1" applyFill="1" applyBorder="1" applyAlignment="1"/>
    <xf numFmtId="191" fontId="37" fillId="0" borderId="2" xfId="16" applyNumberFormat="1" applyFont="1" applyFill="1" applyBorder="1" applyAlignment="1">
      <alignment horizontal="center" vertical="center"/>
    </xf>
    <xf numFmtId="43" fontId="177" fillId="0" borderId="2" xfId="16" applyFont="1" applyFill="1" applyBorder="1" applyAlignment="1">
      <alignment horizontal="center" vertical="center"/>
    </xf>
    <xf numFmtId="192" fontId="127" fillId="0" borderId="2" xfId="0" applyNumberFormat="1" applyFont="1" applyFill="1" applyBorder="1" applyAlignment="1">
      <alignment horizontal="center" vertical="center"/>
    </xf>
    <xf numFmtId="192" fontId="138" fillId="0" borderId="2" xfId="0" applyNumberFormat="1" applyFont="1" applyFill="1" applyBorder="1" applyAlignment="1">
      <alignment horizontal="center" vertical="center"/>
    </xf>
    <xf numFmtId="192" fontId="232" fillId="0" borderId="2" xfId="0" applyNumberFormat="1" applyFont="1" applyFill="1" applyBorder="1" applyAlignment="1">
      <alignment horizontal="center" vertical="center"/>
    </xf>
    <xf numFmtId="192" fontId="98" fillId="0" borderId="2" xfId="0" applyNumberFormat="1" applyFont="1" applyFill="1" applyBorder="1" applyAlignment="1">
      <alignment horizontal="center" vertical="center"/>
    </xf>
    <xf numFmtId="0" fontId="126" fillId="0" borderId="2" xfId="0" applyFont="1" applyFill="1" applyBorder="1" applyAlignment="1">
      <alignment vertical="center"/>
    </xf>
    <xf numFmtId="192" fontId="127" fillId="0" borderId="2" xfId="16" applyNumberFormat="1" applyFont="1" applyFill="1" applyBorder="1" applyAlignment="1">
      <alignment horizontal="center" vertical="center"/>
    </xf>
    <xf numFmtId="206" fontId="126" fillId="0" borderId="2" xfId="16" applyNumberFormat="1" applyFont="1" applyFill="1" applyBorder="1" applyAlignment="1">
      <alignment vertical="center"/>
    </xf>
    <xf numFmtId="43" fontId="127" fillId="0" borderId="2" xfId="16" applyFont="1" applyFill="1" applyBorder="1" applyAlignment="1">
      <alignment vertical="center" shrinkToFit="1"/>
    </xf>
    <xf numFmtId="0" fontId="231" fillId="0" borderId="0" xfId="0" applyFont="1" applyFill="1" applyAlignment="1">
      <alignment vertical="center"/>
    </xf>
    <xf numFmtId="0" fontId="99" fillId="0" borderId="2" xfId="0" applyFont="1" applyFill="1" applyBorder="1" applyAlignment="1">
      <alignment vertical="center"/>
    </xf>
    <xf numFmtId="192" fontId="99" fillId="0" borderId="2" xfId="16" applyNumberFormat="1" applyFont="1" applyFill="1" applyBorder="1" applyAlignment="1">
      <alignment vertical="center" shrinkToFit="1"/>
    </xf>
    <xf numFmtId="192" fontId="231" fillId="0" borderId="0" xfId="0" applyNumberFormat="1" applyFont="1" applyFill="1" applyAlignment="1">
      <alignment vertical="center"/>
    </xf>
    <xf numFmtId="43" fontId="231" fillId="0" borderId="0" xfId="16" applyFont="1" applyFill="1" applyAlignment="1">
      <alignment vertical="center"/>
    </xf>
    <xf numFmtId="192" fontId="138" fillId="0" borderId="2" xfId="16" applyNumberFormat="1" applyFont="1" applyFill="1" applyBorder="1" applyAlignment="1">
      <alignment vertical="center" shrinkToFit="1"/>
    </xf>
    <xf numFmtId="0" fontId="138" fillId="0" borderId="2" xfId="0" applyFont="1" applyFill="1" applyBorder="1" applyAlignment="1">
      <alignment vertical="center"/>
    </xf>
    <xf numFmtId="43" fontId="177" fillId="0" borderId="2" xfId="16" applyFont="1" applyFill="1" applyBorder="1" applyAlignment="1">
      <alignment vertical="center" shrinkToFit="1"/>
    </xf>
    <xf numFmtId="0" fontId="235" fillId="0" borderId="0" xfId="0" applyFont="1" applyFill="1" applyAlignment="1">
      <alignment vertical="center"/>
    </xf>
    <xf numFmtId="0" fontId="232" fillId="0" borderId="2" xfId="0" applyFont="1" applyFill="1" applyBorder="1" applyAlignment="1">
      <alignment horizontal="center" vertical="center"/>
    </xf>
    <xf numFmtId="0" fontId="232" fillId="0" borderId="2" xfId="0" applyFont="1" applyFill="1" applyBorder="1" applyAlignment="1">
      <alignment vertical="center"/>
    </xf>
    <xf numFmtId="206" fontId="235" fillId="0" borderId="0" xfId="0" applyNumberFormat="1" applyFont="1" applyFill="1" applyAlignment="1">
      <alignment vertical="center"/>
    </xf>
    <xf numFmtId="0" fontId="128" fillId="0" borderId="2" xfId="0" applyFont="1" applyFill="1" applyBorder="1" applyAlignment="1">
      <alignment vertical="center"/>
    </xf>
    <xf numFmtId="0" fontId="99" fillId="0" borderId="2" xfId="0" applyFont="1" applyFill="1" applyBorder="1" applyAlignment="1">
      <alignment horizontal="center" vertical="center"/>
    </xf>
    <xf numFmtId="192" fontId="99" fillId="0" borderId="2" xfId="16" applyNumberFormat="1" applyFont="1" applyFill="1" applyBorder="1" applyAlignment="1">
      <alignment vertical="center"/>
    </xf>
    <xf numFmtId="192" fontId="127" fillId="0" borderId="2" xfId="0" applyNumberFormat="1" applyFont="1" applyFill="1" applyBorder="1" applyAlignment="1">
      <alignment vertical="center"/>
    </xf>
    <xf numFmtId="192" fontId="127" fillId="0" borderId="2" xfId="16" quotePrefix="1" applyNumberFormat="1" applyFont="1" applyFill="1" applyBorder="1" applyAlignment="1">
      <alignment horizontal="center" vertical="center"/>
    </xf>
    <xf numFmtId="191" fontId="213" fillId="0" borderId="2" xfId="0" applyNumberFormat="1" applyFont="1" applyFill="1" applyBorder="1" applyAlignment="1">
      <alignment horizontal="center" vertical="center" wrapText="1"/>
    </xf>
    <xf numFmtId="188" fontId="213" fillId="0" borderId="0" xfId="1" applyFont="1" applyFill="1" applyAlignment="1"/>
    <xf numFmtId="191" fontId="231" fillId="0" borderId="0" xfId="0" applyNumberFormat="1" applyFont="1" applyFill="1" applyAlignment="1">
      <alignment vertical="center"/>
    </xf>
    <xf numFmtId="191" fontId="3" fillId="4" borderId="12" xfId="1" applyNumberFormat="1" applyFont="1" applyFill="1" applyBorder="1" applyAlignment="1">
      <alignment vertical="center" wrapText="1"/>
    </xf>
    <xf numFmtId="0" fontId="166" fillId="0" borderId="0" xfId="0" applyFont="1" applyFill="1" applyBorder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8" fontId="75" fillId="0" borderId="0" xfId="1" applyFont="1" applyFill="1"/>
    <xf numFmtId="191" fontId="83" fillId="0" borderId="2" xfId="1" applyNumberFormat="1" applyFont="1" applyFill="1" applyBorder="1" applyAlignment="1">
      <alignment horizontal="right" vertical="center" wrapText="1"/>
    </xf>
    <xf numFmtId="188" fontId="83" fillId="0" borderId="0" xfId="1" applyFont="1" applyFill="1" applyAlignment="1">
      <alignment horizontal="center"/>
    </xf>
    <xf numFmtId="188" fontId="213" fillId="0" borderId="0" xfId="1" applyFont="1" applyFill="1" applyBorder="1" applyAlignment="1"/>
    <xf numFmtId="188" fontId="213" fillId="0" borderId="2" xfId="1" applyFont="1" applyFill="1" applyBorder="1" applyAlignment="1">
      <alignment vertical="center" shrinkToFit="1"/>
    </xf>
    <xf numFmtId="188" fontId="219" fillId="0" borderId="0" xfId="1" applyFont="1" applyFill="1" applyBorder="1" applyAlignment="1">
      <alignment horizontal="center" vertical="center" shrinkToFit="1"/>
    </xf>
    <xf numFmtId="188" fontId="220" fillId="0" borderId="0" xfId="1" applyFont="1" applyFill="1"/>
    <xf numFmtId="188" fontId="213" fillId="0" borderId="0" xfId="1" applyFont="1" applyFill="1"/>
    <xf numFmtId="188" fontId="83" fillId="0" borderId="0" xfId="1" applyFont="1" applyFill="1"/>
    <xf numFmtId="188" fontId="83" fillId="0" borderId="0" xfId="1" applyFont="1" applyFill="1" applyAlignment="1"/>
    <xf numFmtId="188" fontId="213" fillId="0" borderId="0" xfId="1" applyFont="1" applyFill="1" applyAlignment="1">
      <alignment horizontal="center"/>
    </xf>
    <xf numFmtId="222" fontId="83" fillId="0" borderId="0" xfId="1" applyNumberFormat="1" applyFont="1" applyFill="1" applyAlignment="1">
      <alignment horizontal="center"/>
    </xf>
    <xf numFmtId="209" fontId="213" fillId="0" borderId="0" xfId="1" applyNumberFormat="1" applyFont="1" applyFill="1"/>
    <xf numFmtId="187" fontId="83" fillId="0" borderId="2" xfId="0" applyNumberFormat="1" applyFont="1" applyFill="1" applyBorder="1" applyAlignment="1">
      <alignment horizontal="center"/>
    </xf>
    <xf numFmtId="188" fontId="3" fillId="0" borderId="0" xfId="1" applyFont="1" applyFill="1" applyBorder="1" applyAlignment="1">
      <alignment horizontal="right" vertical="center" shrinkToFit="1"/>
    </xf>
    <xf numFmtId="3" fontId="213" fillId="0" borderId="0" xfId="3" applyNumberFormat="1" applyFont="1" applyFill="1" applyAlignment="1">
      <alignment horizontal="center"/>
    </xf>
    <xf numFmtId="188" fontId="216" fillId="0" borderId="0" xfId="1" applyFont="1" applyFill="1" applyAlignment="1"/>
    <xf numFmtId="187" fontId="237" fillId="0" borderId="0" xfId="0" applyNumberFormat="1" applyFont="1" applyFill="1" applyAlignment="1">
      <alignment vertical="center"/>
    </xf>
    <xf numFmtId="187" fontId="237" fillId="0" borderId="0" xfId="0" applyNumberFormat="1" applyFont="1" applyFill="1" applyAlignment="1">
      <alignment horizontal="center"/>
    </xf>
    <xf numFmtId="187" fontId="216" fillId="0" borderId="0" xfId="0" applyNumberFormat="1" applyFont="1" applyFill="1" applyAlignment="1"/>
    <xf numFmtId="3" fontId="216" fillId="0" borderId="0" xfId="0" applyNumberFormat="1" applyFont="1" applyFill="1"/>
    <xf numFmtId="4" fontId="237" fillId="0" borderId="0" xfId="0" applyNumberFormat="1" applyFont="1" applyFill="1" applyAlignment="1">
      <alignment horizontal="center"/>
    </xf>
    <xf numFmtId="187" fontId="237" fillId="0" borderId="0" xfId="0" applyNumberFormat="1" applyFont="1" applyFill="1" applyAlignment="1"/>
    <xf numFmtId="3" fontId="83" fillId="0" borderId="0" xfId="3" applyNumberFormat="1" applyFont="1" applyFill="1" applyAlignment="1">
      <alignment horizontal="center"/>
    </xf>
    <xf numFmtId="3" fontId="83" fillId="0" borderId="0" xfId="0" applyNumberFormat="1" applyFont="1" applyFill="1" applyAlignment="1">
      <alignment horizontal="center"/>
    </xf>
    <xf numFmtId="3" fontId="213" fillId="0" borderId="0" xfId="3" applyNumberFormat="1" applyFont="1" applyFill="1" applyBorder="1" applyAlignment="1"/>
    <xf numFmtId="3" fontId="83" fillId="0" borderId="2" xfId="3" applyNumberFormat="1" applyFont="1" applyFill="1" applyBorder="1" applyAlignment="1">
      <alignment horizontal="center" vertical="center" wrapText="1"/>
    </xf>
    <xf numFmtId="3" fontId="213" fillId="0" borderId="2" xfId="1" applyNumberFormat="1" applyFont="1" applyFill="1" applyBorder="1" applyAlignment="1">
      <alignment vertical="center" shrinkToFit="1"/>
    </xf>
    <xf numFmtId="3" fontId="219" fillId="0" borderId="0" xfId="0" applyNumberFormat="1" applyFont="1" applyFill="1" applyBorder="1" applyAlignment="1">
      <alignment horizontal="center" vertical="center" shrinkToFit="1"/>
    </xf>
    <xf numFmtId="3" fontId="220" fillId="0" borderId="0" xfId="3" applyNumberFormat="1" applyFont="1" applyFill="1"/>
    <xf numFmtId="3" fontId="213" fillId="0" borderId="0" xfId="3" applyNumberFormat="1" applyFont="1" applyFill="1"/>
    <xf numFmtId="3" fontId="83" fillId="0" borderId="0" xfId="0" applyNumberFormat="1" applyFont="1" applyFill="1"/>
    <xf numFmtId="3" fontId="83" fillId="0" borderId="0" xfId="0" applyNumberFormat="1" applyFont="1" applyFill="1" applyAlignment="1"/>
    <xf numFmtId="187" fontId="82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0" xfId="3" applyNumberFormat="1" applyFont="1" applyFill="1" applyAlignment="1">
      <alignment horizontal="center"/>
    </xf>
    <xf numFmtId="0" fontId="214" fillId="0" borderId="0" xfId="0" applyFont="1" applyFill="1"/>
    <xf numFmtId="187" fontId="236" fillId="0" borderId="0" xfId="0" applyNumberFormat="1" applyFont="1" applyFill="1" applyBorder="1" applyAlignment="1">
      <alignment horizontal="center"/>
    </xf>
    <xf numFmtId="210" fontId="83" fillId="0" borderId="0" xfId="0" applyNumberFormat="1" applyFont="1" applyFill="1" applyAlignment="1">
      <alignment horizontal="center"/>
    </xf>
    <xf numFmtId="187" fontId="83" fillId="0" borderId="0" xfId="0" applyNumberFormat="1" applyFont="1" applyFill="1" applyBorder="1" applyAlignment="1">
      <alignment horizontal="center" vertical="center"/>
    </xf>
    <xf numFmtId="187" fontId="213" fillId="0" borderId="0" xfId="0" applyNumberFormat="1" applyFont="1" applyFill="1" applyBorder="1" applyAlignment="1">
      <alignment vertical="center" shrinkToFit="1"/>
    </xf>
    <xf numFmtId="187" fontId="83" fillId="0" borderId="0" xfId="0" applyNumberFormat="1" applyFont="1" applyFill="1" applyBorder="1" applyAlignment="1">
      <alignment horizontal="left" vertical="center"/>
    </xf>
    <xf numFmtId="187" fontId="218" fillId="0" borderId="0" xfId="0" applyNumberFormat="1" applyFont="1" applyFill="1" applyBorder="1" applyAlignment="1">
      <alignment horizontal="center" vertical="center" shrinkToFit="1"/>
    </xf>
    <xf numFmtId="0" fontId="83" fillId="0" borderId="0" xfId="0" applyFont="1" applyFill="1" applyAlignment="1">
      <alignment horizontal="center" vertical="center"/>
    </xf>
    <xf numFmtId="187" fontId="83" fillId="0" borderId="2" xfId="0" applyNumberFormat="1" applyFont="1" applyFill="1" applyBorder="1" applyAlignment="1">
      <alignment horizontal="center" vertical="center"/>
    </xf>
    <xf numFmtId="0" fontId="99" fillId="4" borderId="9" xfId="0" applyFont="1" applyFill="1" applyBorder="1" applyAlignment="1">
      <alignment horizontal="center"/>
    </xf>
    <xf numFmtId="191" fontId="127" fillId="4" borderId="56" xfId="1" applyNumberFormat="1" applyFont="1" applyFill="1" applyBorder="1" applyAlignment="1">
      <alignment horizontal="center"/>
    </xf>
    <xf numFmtId="191" fontId="127" fillId="4" borderId="4" xfId="1" applyNumberFormat="1" applyFont="1" applyFill="1" applyBorder="1" applyAlignment="1">
      <alignment horizontal="center"/>
    </xf>
    <xf numFmtId="0" fontId="99" fillId="4" borderId="29" xfId="0" applyFont="1" applyFill="1" applyBorder="1" applyAlignment="1">
      <alignment horizontal="center"/>
    </xf>
    <xf numFmtId="0" fontId="240" fillId="4" borderId="0" xfId="0" applyFont="1" applyFill="1"/>
    <xf numFmtId="0" fontId="240" fillId="4" borderId="0" xfId="0" applyFont="1" applyFill="1" applyAlignment="1">
      <alignment horizontal="center"/>
    </xf>
    <xf numFmtId="191" fontId="83" fillId="0" borderId="2" xfId="1" applyNumberFormat="1" applyFont="1" applyFill="1" applyBorder="1" applyAlignment="1">
      <alignment horizontal="center"/>
    </xf>
    <xf numFmtId="222" fontId="83" fillId="0" borderId="7" xfId="1" applyNumberFormat="1" applyFont="1" applyFill="1" applyBorder="1" applyAlignment="1"/>
    <xf numFmtId="209" fontId="83" fillId="0" borderId="2" xfId="1" applyNumberFormat="1" applyFont="1" applyFill="1" applyBorder="1" applyAlignment="1"/>
    <xf numFmtId="222" fontId="83" fillId="0" borderId="15" xfId="1" applyNumberFormat="1" applyFont="1" applyFill="1" applyBorder="1" applyAlignment="1"/>
    <xf numFmtId="188" fontId="83" fillId="0" borderId="2" xfId="1" applyFont="1" applyFill="1" applyBorder="1" applyAlignment="1">
      <alignment horizontal="center" vertical="center"/>
    </xf>
    <xf numFmtId="188" fontId="66" fillId="4" borderId="56" xfId="1" applyFont="1" applyFill="1" applyBorder="1" applyAlignment="1">
      <alignment vertical="center" shrinkToFit="1"/>
    </xf>
    <xf numFmtId="2" fontId="66" fillId="4" borderId="4" xfId="1" applyNumberFormat="1" applyFont="1" applyFill="1" applyBorder="1" applyAlignment="1">
      <alignment horizontal="center" vertical="center" shrinkToFit="1"/>
    </xf>
    <xf numFmtId="188" fontId="66" fillId="4" borderId="4" xfId="1" applyFont="1" applyFill="1" applyBorder="1" applyAlignment="1">
      <alignment vertical="center" shrinkToFit="1"/>
    </xf>
    <xf numFmtId="2" fontId="66" fillId="4" borderId="4" xfId="7" applyNumberFormat="1" applyFont="1" applyFill="1" applyBorder="1" applyAlignment="1">
      <alignment horizontal="center" vertical="center" shrinkToFit="1"/>
    </xf>
    <xf numFmtId="0" fontId="66" fillId="4" borderId="4" xfId="7" applyFont="1" applyFill="1" applyBorder="1" applyAlignment="1">
      <alignment vertical="center" shrinkToFit="1"/>
    </xf>
    <xf numFmtId="43" fontId="67" fillId="4" borderId="4" xfId="1" applyNumberFormat="1" applyFont="1" applyFill="1" applyBorder="1" applyAlignment="1">
      <alignment vertical="center" wrapText="1" shrinkToFit="1"/>
    </xf>
    <xf numFmtId="2" fontId="66" fillId="4" borderId="4" xfId="1" applyNumberFormat="1" applyFont="1" applyFill="1" applyBorder="1" applyAlignment="1">
      <alignment horizontal="right" vertical="center" shrinkToFit="1"/>
    </xf>
    <xf numFmtId="195" fontId="67" fillId="4" borderId="4" xfId="1" applyNumberFormat="1" applyFont="1" applyFill="1" applyBorder="1" applyAlignment="1">
      <alignment horizontal="center" vertical="center" shrinkToFit="1"/>
    </xf>
    <xf numFmtId="195" fontId="67" fillId="4" borderId="4" xfId="7" applyNumberFormat="1" applyFont="1" applyFill="1" applyBorder="1" applyAlignment="1">
      <alignment horizontal="left" vertical="center" shrinkToFit="1"/>
    </xf>
    <xf numFmtId="192" fontId="67" fillId="4" borderId="4" xfId="1" applyNumberFormat="1" applyFont="1" applyFill="1" applyBorder="1" applyAlignment="1">
      <alignment horizontal="right" vertical="center" shrinkToFit="1"/>
    </xf>
    <xf numFmtId="195" fontId="67" fillId="4" borderId="4" xfId="7" applyNumberFormat="1" applyFont="1" applyFill="1" applyBorder="1" applyAlignment="1">
      <alignment horizontal="center" vertical="center" shrinkToFit="1"/>
    </xf>
    <xf numFmtId="2" fontId="67" fillId="4" borderId="4" xfId="1" applyNumberFormat="1" applyFont="1" applyFill="1" applyBorder="1" applyAlignment="1">
      <alignment horizontal="right" vertical="center" shrinkToFit="1"/>
    </xf>
    <xf numFmtId="188" fontId="66" fillId="4" borderId="4" xfId="1" applyFont="1" applyFill="1" applyBorder="1" applyAlignment="1">
      <alignment horizontal="center" vertical="center" shrinkToFit="1"/>
    </xf>
    <xf numFmtId="4" fontId="67" fillId="4" borderId="4" xfId="1" applyNumberFormat="1" applyFont="1" applyFill="1" applyBorder="1" applyAlignment="1">
      <alignment horizontal="center" vertical="center" shrinkToFit="1"/>
    </xf>
    <xf numFmtId="4" fontId="67" fillId="4" borderId="4" xfId="1" applyNumberFormat="1" applyFont="1" applyFill="1" applyBorder="1" applyAlignment="1">
      <alignment horizontal="center" vertical="center" wrapText="1" shrinkToFit="1"/>
    </xf>
    <xf numFmtId="1" fontId="66" fillId="4" borderId="4" xfId="7" applyNumberFormat="1" applyFont="1" applyFill="1" applyBorder="1" applyAlignment="1">
      <alignment horizontal="center" vertical="center" shrinkToFit="1"/>
    </xf>
    <xf numFmtId="0" fontId="117" fillId="4" borderId="4" xfId="7" applyFont="1" applyFill="1" applyBorder="1" applyAlignment="1">
      <alignment vertical="center" shrinkToFit="1"/>
    </xf>
    <xf numFmtId="188" fontId="117" fillId="4" borderId="4" xfId="1" applyFont="1" applyFill="1" applyBorder="1" applyAlignment="1">
      <alignment horizontal="center" vertical="center" shrinkToFit="1"/>
    </xf>
    <xf numFmtId="2" fontId="67" fillId="4" borderId="4" xfId="7" applyNumberFormat="1" applyFont="1" applyFill="1" applyBorder="1" applyAlignment="1">
      <alignment horizontal="right" vertical="center"/>
    </xf>
    <xf numFmtId="2" fontId="67" fillId="4" borderId="4" xfId="1" applyNumberFormat="1" applyFont="1" applyFill="1" applyBorder="1" applyAlignment="1">
      <alignment horizontal="right" vertical="center"/>
    </xf>
    <xf numFmtId="0" fontId="117" fillId="4" borderId="4" xfId="7" applyFont="1" applyFill="1" applyBorder="1" applyAlignment="1">
      <alignment horizontal="center" vertical="center" shrinkToFit="1"/>
    </xf>
    <xf numFmtId="213" fontId="96" fillId="4" borderId="4" xfId="7" applyNumberFormat="1" applyFont="1" applyFill="1" applyBorder="1" applyAlignment="1">
      <alignment horizontal="center" vertical="center"/>
    </xf>
    <xf numFmtId="2" fontId="96" fillId="4" borderId="4" xfId="7" applyNumberFormat="1" applyFont="1" applyFill="1" applyBorder="1" applyAlignment="1">
      <alignment horizontal="right" vertical="center" shrinkToFit="1"/>
    </xf>
    <xf numFmtId="2" fontId="96" fillId="4" borderId="4" xfId="1" applyNumberFormat="1" applyFont="1" applyFill="1" applyBorder="1" applyAlignment="1">
      <alignment horizontal="right" vertical="center" shrinkToFit="1"/>
    </xf>
    <xf numFmtId="4" fontId="96" fillId="4" borderId="4" xfId="1" applyNumberFormat="1" applyFont="1" applyFill="1" applyBorder="1" applyAlignment="1">
      <alignment horizontal="center" vertical="center" shrinkToFit="1"/>
    </xf>
    <xf numFmtId="195" fontId="96" fillId="4" borderId="4" xfId="7" applyNumberFormat="1" applyFont="1" applyFill="1" applyBorder="1" applyAlignment="1">
      <alignment horizontal="left" vertical="center" shrinkToFit="1"/>
    </xf>
    <xf numFmtId="206" fontId="96" fillId="4" borderId="4" xfId="7" applyNumberFormat="1" applyFont="1" applyFill="1" applyBorder="1" applyAlignment="1">
      <alignment horizontal="center" vertical="center"/>
    </xf>
    <xf numFmtId="2" fontId="96" fillId="4" borderId="4" xfId="7" applyNumberFormat="1" applyFont="1" applyFill="1" applyBorder="1" applyAlignment="1">
      <alignment horizontal="right" vertical="center"/>
    </xf>
    <xf numFmtId="2" fontId="96" fillId="4" borderId="4" xfId="1" applyNumberFormat="1" applyFont="1" applyFill="1" applyBorder="1" applyAlignment="1">
      <alignment horizontal="right" vertical="center"/>
    </xf>
    <xf numFmtId="3" fontId="67" fillId="4" borderId="4" xfId="1" applyNumberFormat="1" applyFont="1" applyFill="1" applyBorder="1" applyAlignment="1">
      <alignment horizontal="center" vertical="center" shrinkToFit="1"/>
    </xf>
    <xf numFmtId="188" fontId="67" fillId="4" borderId="4" xfId="1" applyFont="1" applyFill="1" applyBorder="1" applyAlignment="1">
      <alignment horizontal="right" vertical="center" shrinkToFit="1"/>
    </xf>
    <xf numFmtId="188" fontId="118" fillId="4" borderId="4" xfId="1" applyFont="1" applyFill="1" applyBorder="1" applyAlignment="1">
      <alignment horizontal="center" vertical="center" shrinkToFit="1"/>
    </xf>
    <xf numFmtId="1" fontId="67" fillId="4" borderId="4" xfId="7" applyNumberFormat="1" applyFont="1" applyFill="1" applyBorder="1" applyAlignment="1">
      <alignment horizontal="center" vertical="center" shrinkToFit="1"/>
    </xf>
    <xf numFmtId="0" fontId="67" fillId="4" borderId="4" xfId="7" applyFont="1" applyFill="1" applyBorder="1" applyAlignment="1">
      <alignment horizontal="left" vertical="center" shrinkToFit="1"/>
    </xf>
    <xf numFmtId="188" fontId="83" fillId="0" borderId="2" xfId="1" applyFont="1" applyFill="1" applyBorder="1" applyAlignment="1">
      <alignment horizontal="right" vertical="center" wrapText="1"/>
    </xf>
    <xf numFmtId="0" fontId="213" fillId="0" borderId="0" xfId="0" applyFont="1" applyFill="1" applyAlignment="1">
      <alignment horizontal="center"/>
    </xf>
    <xf numFmtId="0" fontId="241" fillId="0" borderId="0" xfId="0" applyFont="1" applyFill="1" applyBorder="1" applyAlignment="1">
      <alignment horizontal="center" vertical="center"/>
    </xf>
    <xf numFmtId="0" fontId="213" fillId="0" borderId="0" xfId="0" applyFont="1" applyFill="1"/>
    <xf numFmtId="0" fontId="83" fillId="0" borderId="0" xfId="0" applyFont="1" applyFill="1" applyAlignment="1">
      <alignment vertical="center"/>
    </xf>
    <xf numFmtId="0" fontId="213" fillId="0" borderId="0" xfId="0" applyFont="1" applyFill="1" applyAlignment="1">
      <alignment horizontal="center" vertical="center"/>
    </xf>
    <xf numFmtId="191" fontId="213" fillId="0" borderId="0" xfId="1" applyNumberFormat="1" applyFont="1" applyFill="1" applyAlignment="1">
      <alignment horizontal="center" vertical="center"/>
    </xf>
    <xf numFmtId="0" fontId="242" fillId="0" borderId="0" xfId="0" applyFont="1" applyFill="1" applyAlignment="1">
      <alignment horizontal="center" vertical="center"/>
    </xf>
    <xf numFmtId="0" fontId="242" fillId="0" borderId="0" xfId="0" applyFont="1" applyFill="1"/>
    <xf numFmtId="0" fontId="83" fillId="0" borderId="0" xfId="0" applyFont="1" applyFill="1" applyAlignment="1">
      <alignment horizontal="center"/>
    </xf>
    <xf numFmtId="0" fontId="218" fillId="0" borderId="0" xfId="0" applyFont="1" applyFill="1" applyAlignment="1">
      <alignment vertical="center"/>
    </xf>
    <xf numFmtId="191" fontId="83" fillId="0" borderId="0" xfId="1" applyNumberFormat="1" applyFont="1" applyFill="1" applyAlignment="1">
      <alignment vertical="center"/>
    </xf>
    <xf numFmtId="0" fontId="238" fillId="0" borderId="0" xfId="0" applyFont="1" applyFill="1"/>
    <xf numFmtId="191" fontId="242" fillId="0" borderId="0" xfId="1" applyNumberFormat="1" applyFont="1" applyFill="1"/>
    <xf numFmtId="0" fontId="242" fillId="0" borderId="0" xfId="0" applyFont="1" applyFill="1" applyAlignment="1">
      <alignment horizontal="center"/>
    </xf>
    <xf numFmtId="0" fontId="83" fillId="0" borderId="2" xfId="0" applyFont="1" applyFill="1" applyBorder="1" applyAlignment="1">
      <alignment horizontal="center" vertical="center"/>
    </xf>
    <xf numFmtId="0" fontId="218" fillId="0" borderId="2" xfId="0" applyFont="1" applyFill="1" applyBorder="1" applyAlignment="1">
      <alignment horizontal="center" vertical="center"/>
    </xf>
    <xf numFmtId="206" fontId="83" fillId="0" borderId="2" xfId="16" applyNumberFormat="1" applyFont="1" applyFill="1" applyBorder="1" applyAlignment="1">
      <alignment vertical="center"/>
    </xf>
    <xf numFmtId="191" fontId="83" fillId="0" borderId="2" xfId="16" applyNumberFormat="1" applyFont="1" applyFill="1" applyBorder="1" applyAlignment="1">
      <alignment horizontal="center" vertical="center"/>
    </xf>
    <xf numFmtId="191" fontId="83" fillId="0" borderId="2" xfId="1" applyNumberFormat="1" applyFont="1" applyFill="1" applyBorder="1" applyAlignment="1">
      <alignment horizontal="center" vertical="center"/>
    </xf>
    <xf numFmtId="206" fontId="241" fillId="0" borderId="2" xfId="16" quotePrefix="1" applyNumberFormat="1" applyFont="1" applyFill="1" applyBorder="1" applyAlignment="1">
      <alignment horizontal="center" vertical="center"/>
    </xf>
    <xf numFmtId="43" fontId="242" fillId="0" borderId="2" xfId="16" applyFont="1" applyFill="1" applyBorder="1" applyAlignment="1">
      <alignment vertical="center"/>
    </xf>
    <xf numFmtId="0" fontId="213" fillId="0" borderId="2" xfId="0" applyFont="1" applyFill="1" applyBorder="1" applyAlignment="1">
      <alignment horizontal="center" vertical="center"/>
    </xf>
    <xf numFmtId="0" fontId="213" fillId="0" borderId="2" xfId="0" applyFont="1" applyFill="1" applyBorder="1" applyAlignment="1">
      <alignment vertical="center"/>
    </xf>
    <xf numFmtId="192" fontId="213" fillId="0" borderId="2" xfId="16" applyNumberFormat="1" applyFont="1" applyFill="1" applyBorder="1" applyAlignment="1">
      <alignment vertical="center"/>
    </xf>
    <xf numFmtId="191" fontId="213" fillId="0" borderId="2" xfId="16" applyNumberFormat="1" applyFont="1" applyFill="1" applyBorder="1" applyAlignment="1">
      <alignment horizontal="center" vertical="center"/>
    </xf>
    <xf numFmtId="191" fontId="213" fillId="0" borderId="2" xfId="1" applyNumberFormat="1" applyFont="1" applyFill="1" applyBorder="1" applyAlignment="1">
      <alignment horizontal="center" vertical="center"/>
    </xf>
    <xf numFmtId="188" fontId="213" fillId="0" borderId="2" xfId="1" applyFont="1" applyFill="1" applyBorder="1" applyAlignment="1">
      <alignment horizontal="center" vertical="center"/>
    </xf>
    <xf numFmtId="192" fontId="242" fillId="0" borderId="2" xfId="0" applyNumberFormat="1" applyFont="1" applyFill="1" applyBorder="1" applyAlignment="1">
      <alignment horizontal="center" vertical="center"/>
    </xf>
    <xf numFmtId="0" fontId="242" fillId="0" borderId="2" xfId="0" applyFont="1" applyFill="1" applyBorder="1" applyAlignment="1"/>
    <xf numFmtId="206" fontId="83" fillId="0" borderId="2" xfId="16" applyNumberFormat="1" applyFont="1" applyFill="1" applyBorder="1" applyAlignment="1">
      <alignment horizontal="center" vertical="center"/>
    </xf>
    <xf numFmtId="0" fontId="83" fillId="0" borderId="2" xfId="0" applyFont="1" applyFill="1" applyBorder="1" applyAlignment="1">
      <alignment vertical="center"/>
    </xf>
    <xf numFmtId="206" fontId="241" fillId="0" borderId="2" xfId="16" applyNumberFormat="1" applyFont="1" applyFill="1" applyBorder="1" applyAlignment="1">
      <alignment horizontal="center" vertical="center"/>
    </xf>
    <xf numFmtId="0" fontId="241" fillId="0" borderId="2" xfId="0" applyFont="1" applyFill="1" applyBorder="1" applyAlignment="1"/>
    <xf numFmtId="43" fontId="213" fillId="0" borderId="0" xfId="16" applyFont="1" applyFill="1"/>
    <xf numFmtId="190" fontId="213" fillId="0" borderId="0" xfId="1" applyNumberFormat="1" applyFont="1" applyFill="1"/>
    <xf numFmtId="192" fontId="238" fillId="0" borderId="2" xfId="16" applyNumberFormat="1" applyFont="1" applyFill="1" applyBorder="1" applyAlignment="1">
      <alignment vertical="center"/>
    </xf>
    <xf numFmtId="192" fontId="238" fillId="0" borderId="2" xfId="0" applyNumberFormat="1" applyFont="1" applyFill="1" applyBorder="1" applyAlignment="1">
      <alignment horizontal="center" vertical="center"/>
    </xf>
    <xf numFmtId="0" fontId="238" fillId="0" borderId="2" xfId="0" applyFont="1" applyFill="1" applyBorder="1" applyAlignment="1"/>
    <xf numFmtId="188" fontId="213" fillId="0" borderId="0" xfId="0" applyNumberFormat="1" applyFont="1" applyFill="1"/>
    <xf numFmtId="43" fontId="242" fillId="0" borderId="2" xfId="16" applyFont="1" applyFill="1" applyBorder="1" applyAlignment="1"/>
    <xf numFmtId="0" fontId="243" fillId="0" borderId="2" xfId="0" applyFont="1" applyFill="1" applyBorder="1" applyAlignment="1">
      <alignment horizontal="center" vertical="center"/>
    </xf>
    <xf numFmtId="0" fontId="243" fillId="0" borderId="2" xfId="0" applyFont="1" applyFill="1" applyBorder="1" applyAlignment="1">
      <alignment vertical="center"/>
    </xf>
    <xf numFmtId="192" fontId="243" fillId="0" borderId="2" xfId="0" applyNumberFormat="1" applyFont="1" applyFill="1" applyBorder="1" applyAlignment="1">
      <alignment horizontal="center" vertical="center"/>
    </xf>
    <xf numFmtId="0" fontId="243" fillId="0" borderId="2" xfId="0" applyFont="1" applyFill="1" applyBorder="1" applyAlignment="1"/>
    <xf numFmtId="43" fontId="241" fillId="0" borderId="2" xfId="16" applyFont="1" applyFill="1" applyBorder="1" applyAlignment="1">
      <alignment horizontal="center" vertical="center"/>
    </xf>
    <xf numFmtId="0" fontId="242" fillId="0" borderId="2" xfId="0" applyFont="1" applyFill="1" applyBorder="1" applyAlignment="1">
      <alignment vertical="center"/>
    </xf>
    <xf numFmtId="0" fontId="238" fillId="0" borderId="2" xfId="0" applyFont="1" applyFill="1" applyBorder="1" applyAlignment="1">
      <alignment vertical="center"/>
    </xf>
    <xf numFmtId="0" fontId="241" fillId="0" borderId="2" xfId="0" applyFont="1" applyFill="1" applyBorder="1" applyAlignment="1">
      <alignment vertical="center"/>
    </xf>
    <xf numFmtId="192" fontId="242" fillId="0" borderId="2" xfId="16" applyNumberFormat="1" applyFont="1" applyFill="1" applyBorder="1" applyAlignment="1">
      <alignment horizontal="center" vertical="center"/>
    </xf>
    <xf numFmtId="192" fontId="242" fillId="0" borderId="2" xfId="0" applyNumberFormat="1" applyFont="1" applyFill="1" applyBorder="1" applyAlignment="1"/>
    <xf numFmtId="222" fontId="213" fillId="0" borderId="0" xfId="1" applyNumberFormat="1" applyFont="1" applyFill="1"/>
    <xf numFmtId="206" fontId="83" fillId="0" borderId="0" xfId="16" applyNumberFormat="1" applyFont="1" applyFill="1" applyBorder="1" applyAlignment="1">
      <alignment horizontal="center" vertical="center" shrinkToFit="1"/>
    </xf>
    <xf numFmtId="206" fontId="218" fillId="0" borderId="0" xfId="16" applyNumberFormat="1" applyFont="1" applyFill="1" applyBorder="1" applyAlignment="1">
      <alignment horizontal="center" vertical="center" shrinkToFit="1"/>
    </xf>
    <xf numFmtId="191" fontId="83" fillId="0" borderId="0" xfId="1" applyNumberFormat="1" applyFont="1" applyFill="1" applyBorder="1" applyAlignment="1">
      <alignment horizontal="center" vertical="center" shrinkToFit="1"/>
    </xf>
    <xf numFmtId="206" fontId="213" fillId="0" borderId="0" xfId="16" applyNumberFormat="1" applyFont="1" applyFill="1" applyBorder="1" applyAlignment="1">
      <alignment horizontal="center" vertical="center" shrinkToFit="1"/>
    </xf>
    <xf numFmtId="0" fontId="242" fillId="0" borderId="0" xfId="0" applyFont="1" applyFill="1" applyBorder="1" applyAlignment="1">
      <alignment vertical="center"/>
    </xf>
    <xf numFmtId="0" fontId="241" fillId="0" borderId="0" xfId="0" applyFont="1" applyFill="1" applyBorder="1" applyAlignment="1">
      <alignment horizontal="center"/>
    </xf>
    <xf numFmtId="192" fontId="241" fillId="0" borderId="0" xfId="16" applyNumberFormat="1" applyFont="1" applyFill="1" applyBorder="1" applyAlignment="1">
      <alignment shrinkToFit="1"/>
    </xf>
    <xf numFmtId="0" fontId="242" fillId="0" borderId="14" xfId="0" applyFont="1" applyFill="1" applyBorder="1" applyAlignment="1"/>
    <xf numFmtId="0" fontId="241" fillId="0" borderId="0" xfId="0" applyFont="1" applyFill="1" applyAlignment="1">
      <alignment vertical="center"/>
    </xf>
    <xf numFmtId="0" fontId="213" fillId="0" borderId="0" xfId="0" applyFont="1" applyFill="1" applyAlignment="1">
      <alignment vertical="center"/>
    </xf>
    <xf numFmtId="188" fontId="242" fillId="0" borderId="0" xfId="1" applyFont="1" applyFill="1"/>
    <xf numFmtId="43" fontId="215" fillId="0" borderId="0" xfId="16" applyFont="1" applyFill="1" applyBorder="1" applyAlignment="1">
      <alignment horizontal="center" vertical="center" shrinkToFit="1"/>
    </xf>
    <xf numFmtId="2" fontId="242" fillId="0" borderId="0" xfId="0" applyNumberFormat="1" applyFont="1" applyFill="1" applyAlignment="1">
      <alignment horizontal="center" vertical="center"/>
    </xf>
    <xf numFmtId="0" fontId="216" fillId="0" borderId="0" xfId="0" applyFont="1" applyFill="1"/>
    <xf numFmtId="191" fontId="242" fillId="0" borderId="0" xfId="1" applyNumberFormat="1" applyFont="1" applyFill="1" applyAlignment="1">
      <alignment shrinkToFit="1"/>
    </xf>
    <xf numFmtId="192" fontId="242" fillId="0" borderId="0" xfId="0" applyNumberFormat="1" applyFont="1" applyFill="1" applyAlignment="1">
      <alignment horizontal="center" vertical="center"/>
    </xf>
    <xf numFmtId="192" fontId="242" fillId="0" borderId="0" xfId="0" applyNumberFormat="1" applyFont="1" applyFill="1"/>
    <xf numFmtId="188" fontId="242" fillId="0" borderId="0" xfId="0" applyNumberFormat="1" applyFont="1" applyFill="1" applyAlignment="1">
      <alignment horizontal="center"/>
    </xf>
    <xf numFmtId="0" fontId="241" fillId="0" borderId="0" xfId="0" applyFont="1" applyFill="1" applyAlignment="1"/>
    <xf numFmtId="191" fontId="213" fillId="0" borderId="0" xfId="1" applyNumberFormat="1" applyFont="1" applyFill="1"/>
    <xf numFmtId="191" fontId="83" fillId="0" borderId="2" xfId="16" applyNumberFormat="1" applyFont="1" applyFill="1" applyBorder="1" applyAlignment="1">
      <alignment horizontal="center" vertical="center" shrinkToFit="1"/>
    </xf>
    <xf numFmtId="191" fontId="83" fillId="0" borderId="2" xfId="1" applyNumberFormat="1" applyFont="1" applyFill="1" applyBorder="1" applyAlignment="1">
      <alignment horizontal="center" vertical="center" shrinkToFit="1"/>
    </xf>
    <xf numFmtId="188" fontId="83" fillId="0" borderId="2" xfId="1" applyFont="1" applyFill="1" applyBorder="1" applyAlignment="1">
      <alignment horizontal="center" vertical="center" shrinkToFit="1"/>
    </xf>
    <xf numFmtId="0" fontId="127" fillId="4" borderId="14" xfId="0" applyFont="1" applyFill="1" applyBorder="1" applyAlignment="1"/>
    <xf numFmtId="192" fontId="37" fillId="4" borderId="2" xfId="16" applyNumberFormat="1" applyFont="1" applyFill="1" applyBorder="1" applyAlignment="1">
      <alignment shrinkToFit="1"/>
    </xf>
    <xf numFmtId="0" fontId="38" fillId="4" borderId="2" xfId="0" applyFont="1" applyFill="1" applyBorder="1"/>
    <xf numFmtId="0" fontId="37" fillId="4" borderId="2" xfId="0" applyFont="1" applyFill="1" applyBorder="1" applyAlignment="1">
      <alignment horizontal="center"/>
    </xf>
    <xf numFmtId="192" fontId="37" fillId="4" borderId="2" xfId="16" applyNumberFormat="1" applyFont="1" applyFill="1" applyBorder="1" applyAlignment="1">
      <alignment horizontal="center" vertical="center" shrinkToFit="1"/>
    </xf>
    <xf numFmtId="1" fontId="132" fillId="4" borderId="2" xfId="16" applyNumberFormat="1" applyFont="1" applyFill="1" applyBorder="1" applyAlignment="1">
      <alignment horizontal="center" vertical="center" shrinkToFit="1"/>
    </xf>
    <xf numFmtId="192" fontId="99" fillId="4" borderId="0" xfId="0" applyNumberFormat="1" applyFont="1" applyFill="1" applyAlignment="1">
      <alignment horizontal="center"/>
    </xf>
    <xf numFmtId="1" fontId="99" fillId="4" borderId="0" xfId="0" applyNumberFormat="1" applyFont="1" applyFill="1"/>
    <xf numFmtId="0" fontId="108" fillId="0" borderId="0" xfId="0" applyFont="1" applyFill="1" applyAlignment="1">
      <alignment horizontal="center" vertical="center"/>
    </xf>
    <xf numFmtId="0" fontId="107" fillId="0" borderId="0" xfId="0" applyFont="1" applyFill="1" applyAlignment="1">
      <alignment horizontal="center" vertical="center"/>
    </xf>
    <xf numFmtId="0" fontId="126" fillId="0" borderId="2" xfId="0" applyFont="1" applyFill="1" applyBorder="1" applyAlignment="1">
      <alignment horizontal="center" vertical="center"/>
    </xf>
    <xf numFmtId="191" fontId="231" fillId="0" borderId="0" xfId="0" applyNumberFormat="1" applyFont="1" applyFill="1"/>
    <xf numFmtId="188" fontId="231" fillId="0" borderId="0" xfId="1" applyFont="1" applyFill="1"/>
    <xf numFmtId="193" fontId="83" fillId="0" borderId="0" xfId="1" applyNumberFormat="1" applyFont="1" applyFill="1" applyAlignment="1">
      <alignment horizontal="center"/>
    </xf>
    <xf numFmtId="205" fontId="83" fillId="0" borderId="0" xfId="1" applyNumberFormat="1" applyFont="1" applyFill="1" applyAlignment="1">
      <alignment horizontal="center" vertical="center"/>
    </xf>
    <xf numFmtId="205" fontId="83" fillId="0" borderId="0" xfId="1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15" xfId="3" applyNumberFormat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 vertic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210" fontId="83" fillId="0" borderId="0" xfId="0" applyNumberFormat="1" applyFont="1" applyFill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187" fontId="237" fillId="0" borderId="0" xfId="0" applyNumberFormat="1" applyFont="1" applyFill="1" applyAlignment="1">
      <alignment horizontal="center"/>
    </xf>
    <xf numFmtId="4" fontId="83" fillId="0" borderId="2" xfId="3" applyNumberFormat="1" applyFont="1" applyFill="1" applyBorder="1" applyAlignment="1">
      <alignment horizontal="center" vertical="center" wrapText="1"/>
    </xf>
    <xf numFmtId="219" fontId="83" fillId="0" borderId="0" xfId="0" applyNumberFormat="1" applyFont="1" applyFill="1" applyAlignment="1">
      <alignment horizontal="center"/>
    </xf>
    <xf numFmtId="3" fontId="83" fillId="0" borderId="2" xfId="1" applyNumberFormat="1" applyFont="1" applyFill="1" applyBorder="1" applyAlignment="1">
      <alignment horizontal="right" vertical="center" wrapText="1"/>
    </xf>
    <xf numFmtId="187" fontId="83" fillId="0" borderId="15" xfId="0" applyNumberFormat="1" applyFont="1" applyFill="1" applyBorder="1" applyAlignment="1">
      <alignment horizontal="center" vertical="center" wrapText="1"/>
    </xf>
    <xf numFmtId="4" fontId="83" fillId="0" borderId="15" xfId="3" applyNumberFormat="1" applyFont="1" applyFill="1" applyBorder="1" applyAlignment="1">
      <alignment horizontal="center" vertical="center" wrapText="1"/>
    </xf>
    <xf numFmtId="3" fontId="237" fillId="0" borderId="0" xfId="0" applyNumberFormat="1" applyFont="1" applyFill="1"/>
    <xf numFmtId="188" fontId="237" fillId="0" borderId="0" xfId="1" applyFont="1" applyFill="1"/>
    <xf numFmtId="191" fontId="83" fillId="0" borderId="0" xfId="1" applyNumberFormat="1" applyFont="1" applyFill="1" applyAlignment="1"/>
    <xf numFmtId="187" fontId="83" fillId="0" borderId="0" xfId="0" applyNumberFormat="1" applyFont="1" applyFill="1" applyAlignment="1">
      <alignment horizontal="center" vertical="center"/>
    </xf>
    <xf numFmtId="187" fontId="245" fillId="0" borderId="2" xfId="3" applyNumberFormat="1" applyFont="1" applyFill="1" applyBorder="1" applyAlignment="1">
      <alignment horizontal="center" vertical="center" wrapText="1"/>
    </xf>
    <xf numFmtId="187" fontId="245" fillId="0" borderId="2" xfId="0" applyNumberFormat="1" applyFont="1" applyFill="1" applyBorder="1" applyAlignment="1">
      <alignment vertical="center" shrinkToFit="1"/>
    </xf>
    <xf numFmtId="191" fontId="245" fillId="0" borderId="2" xfId="1" applyNumberFormat="1" applyFont="1" applyFill="1" applyBorder="1" applyAlignment="1">
      <alignment vertical="center" shrinkToFit="1"/>
    </xf>
    <xf numFmtId="187" fontId="245" fillId="0" borderId="2" xfId="0" applyNumberFormat="1" applyFont="1" applyFill="1" applyBorder="1" applyAlignment="1">
      <alignment horizontal="center" vertical="center" shrinkToFit="1"/>
    </xf>
    <xf numFmtId="210" fontId="245" fillId="0" borderId="2" xfId="0" applyNumberFormat="1" applyFont="1" applyFill="1" applyBorder="1" applyAlignment="1">
      <alignment vertical="center" shrinkToFit="1"/>
    </xf>
    <xf numFmtId="188" fontId="245" fillId="0" borderId="2" xfId="1" applyFont="1" applyFill="1" applyBorder="1" applyAlignment="1">
      <alignment vertical="center" shrinkToFit="1"/>
    </xf>
    <xf numFmtId="191" fontId="245" fillId="0" borderId="2" xfId="0" applyNumberFormat="1" applyFont="1" applyFill="1" applyBorder="1" applyAlignment="1">
      <alignment vertical="center" shrinkToFit="1"/>
    </xf>
    <xf numFmtId="188" fontId="4" fillId="0" borderId="0" xfId="1" applyFont="1" applyFill="1" applyBorder="1"/>
    <xf numFmtId="189" fontId="4" fillId="0" borderId="0" xfId="0" applyNumberFormat="1" applyFont="1" applyFill="1" applyBorder="1"/>
    <xf numFmtId="188" fontId="2" fillId="0" borderId="0" xfId="1" applyFont="1" applyFill="1"/>
    <xf numFmtId="223" fontId="83" fillId="0" borderId="0" xfId="1" applyNumberFormat="1" applyFont="1" applyFill="1" applyAlignment="1">
      <alignment horizontal="center" vertical="center"/>
    </xf>
    <xf numFmtId="0" fontId="7" fillId="4" borderId="2" xfId="5" applyNumberFormat="1" applyFont="1" applyFill="1" applyBorder="1" applyAlignment="1">
      <alignment horizontal="left" vertical="center" shrinkToFit="1"/>
    </xf>
    <xf numFmtId="191" fontId="7" fillId="4" borderId="2" xfId="1" applyNumberFormat="1" applyFont="1" applyFill="1" applyBorder="1" applyAlignment="1">
      <alignment vertical="center" shrinkToFit="1"/>
    </xf>
    <xf numFmtId="191" fontId="7" fillId="4" borderId="2" xfId="0" applyNumberFormat="1" applyFont="1" applyFill="1" applyBorder="1" applyAlignment="1">
      <alignment horizontal="center" vertical="center" wrapText="1"/>
    </xf>
    <xf numFmtId="188" fontId="7" fillId="4" borderId="2" xfId="0" applyNumberFormat="1" applyFont="1" applyFill="1" applyBorder="1" applyAlignment="1">
      <alignment horizontal="center" vertical="center" wrapText="1"/>
    </xf>
    <xf numFmtId="191" fontId="7" fillId="4" borderId="2" xfId="1" applyNumberFormat="1" applyFont="1" applyFill="1" applyBorder="1" applyAlignment="1">
      <alignment horizontal="center" vertical="center" wrapText="1"/>
    </xf>
    <xf numFmtId="191" fontId="7" fillId="4" borderId="2" xfId="1" quotePrefix="1" applyNumberFormat="1" applyFont="1" applyFill="1" applyBorder="1" applyAlignment="1">
      <alignment vertical="center" shrinkToFit="1"/>
    </xf>
    <xf numFmtId="191" fontId="7" fillId="4" borderId="2" xfId="1" applyNumberFormat="1" applyFont="1" applyFill="1" applyBorder="1" applyAlignment="1">
      <alignment horizontal="center" vertical="center" shrinkToFit="1"/>
    </xf>
    <xf numFmtId="0" fontId="26" fillId="4" borderId="0" xfId="5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4" borderId="0" xfId="5" applyFont="1" applyFill="1"/>
    <xf numFmtId="3" fontId="37" fillId="4" borderId="0" xfId="5" applyNumberFormat="1" applyFont="1" applyFill="1" applyAlignment="1">
      <alignment horizontal="right"/>
    </xf>
    <xf numFmtId="0" fontId="4" fillId="4" borderId="0" xfId="5" applyFont="1" applyFill="1" applyAlignment="1">
      <alignment horizontal="center"/>
    </xf>
    <xf numFmtId="3" fontId="42" fillId="4" borderId="0" xfId="5" applyNumberFormat="1" applyFont="1" applyFill="1" applyAlignment="1">
      <alignment horizontal="right"/>
    </xf>
    <xf numFmtId="3" fontId="38" fillId="4" borderId="0" xfId="1" applyNumberFormat="1" applyFont="1" applyFill="1" applyAlignment="1">
      <alignment horizontal="right"/>
    </xf>
    <xf numFmtId="188" fontId="38" fillId="4" borderId="0" xfId="1" applyFont="1" applyFill="1"/>
    <xf numFmtId="191" fontId="38" fillId="4" borderId="0" xfId="1" applyNumberFormat="1" applyFont="1" applyFill="1"/>
    <xf numFmtId="0" fontId="38" fillId="4" borderId="0" xfId="5" applyFont="1" applyFill="1"/>
    <xf numFmtId="0" fontId="37" fillId="4" borderId="0" xfId="5" applyFont="1" applyFill="1"/>
    <xf numFmtId="0" fontId="4" fillId="4" borderId="0" xfId="5" applyNumberFormat="1" applyFont="1" applyFill="1" applyAlignment="1"/>
    <xf numFmtId="0" fontId="2" fillId="4" borderId="0" xfId="5" applyNumberFormat="1" applyFont="1" applyFill="1" applyAlignment="1"/>
    <xf numFmtId="0" fontId="2" fillId="4" borderId="0" xfId="5" applyNumberFormat="1" applyFont="1" applyFill="1" applyBorder="1" applyAlignment="1">
      <alignment horizontal="center" vertical="center"/>
    </xf>
    <xf numFmtId="0" fontId="3" fillId="4" borderId="0" xfId="5" applyNumberFormat="1" applyFont="1" applyFill="1" applyBorder="1" applyAlignment="1">
      <alignment horizontal="center" vertical="center"/>
    </xf>
    <xf numFmtId="3" fontId="3" fillId="4" borderId="0" xfId="5" applyNumberFormat="1" applyFont="1" applyFill="1" applyBorder="1" applyAlignment="1">
      <alignment horizontal="right" vertical="center"/>
    </xf>
    <xf numFmtId="43" fontId="2" fillId="4" borderId="0" xfId="5" applyNumberFormat="1" applyFont="1" applyFill="1" applyBorder="1" applyAlignment="1">
      <alignment horizontal="center" vertical="center" shrinkToFit="1"/>
    </xf>
    <xf numFmtId="188" fontId="2" fillId="4" borderId="0" xfId="1" applyNumberFormat="1" applyFont="1" applyFill="1" applyBorder="1" applyAlignment="1">
      <alignment horizontal="center" vertical="center"/>
    </xf>
    <xf numFmtId="0" fontId="2" fillId="4" borderId="0" xfId="5" applyNumberFormat="1" applyFont="1" applyFill="1" applyBorder="1" applyAlignment="1">
      <alignment horizontal="center"/>
    </xf>
    <xf numFmtId="0" fontId="3" fillId="4" borderId="1" xfId="5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shrinkToFit="1"/>
    </xf>
    <xf numFmtId="205" fontId="7" fillId="4" borderId="1" xfId="1" applyNumberFormat="1" applyFont="1" applyFill="1" applyBorder="1" applyAlignment="1">
      <alignment horizontal="center" vertical="center" shrinkToFit="1"/>
    </xf>
    <xf numFmtId="0" fontId="2" fillId="4" borderId="1" xfId="5" applyNumberFormat="1" applyFont="1" applyFill="1" applyBorder="1" applyAlignment="1">
      <alignment horizontal="center" vertical="center"/>
    </xf>
    <xf numFmtId="3" fontId="3" fillId="4" borderId="1" xfId="5" applyNumberFormat="1" applyFont="1" applyFill="1" applyBorder="1" applyAlignment="1">
      <alignment horizontal="right" vertical="center"/>
    </xf>
    <xf numFmtId="0" fontId="26" fillId="4" borderId="0" xfId="5" applyFont="1" applyFill="1" applyAlignment="1">
      <alignment horizontal="center"/>
    </xf>
    <xf numFmtId="0" fontId="3" fillId="4" borderId="2" xfId="5" applyFont="1" applyFill="1" applyBorder="1" applyAlignment="1">
      <alignment horizontal="center" vertical="center" wrapText="1"/>
    </xf>
    <xf numFmtId="191" fontId="3" fillId="4" borderId="15" xfId="5" applyNumberFormat="1" applyFont="1" applyFill="1" applyBorder="1" applyAlignment="1">
      <alignment horizontal="center" vertical="center" wrapText="1"/>
    </xf>
    <xf numFmtId="0" fontId="3" fillId="4" borderId="15" xfId="5" applyFont="1" applyFill="1" applyBorder="1" applyAlignment="1">
      <alignment horizontal="center" vertical="center" wrapText="1"/>
    </xf>
    <xf numFmtId="3" fontId="3" fillId="4" borderId="2" xfId="5" applyNumberFormat="1" applyFont="1" applyFill="1" applyBorder="1" applyAlignment="1">
      <alignment horizontal="right" vertical="center" shrinkToFit="1"/>
    </xf>
    <xf numFmtId="0" fontId="7" fillId="4" borderId="2" xfId="0" quotePrefix="1" applyFont="1" applyFill="1" applyBorder="1" applyAlignment="1">
      <alignment vertical="center"/>
    </xf>
    <xf numFmtId="0" fontId="7" fillId="4" borderId="2" xfId="5" applyFont="1" applyFill="1" applyBorder="1" applyAlignment="1">
      <alignment horizontal="center" vertical="center" shrinkToFit="1"/>
    </xf>
    <xf numFmtId="188" fontId="7" fillId="4" borderId="2" xfId="5" applyNumberFormat="1" applyFont="1" applyFill="1" applyBorder="1" applyAlignment="1">
      <alignment horizontal="center" vertical="center" wrapText="1"/>
    </xf>
    <xf numFmtId="190" fontId="71" fillId="4" borderId="2" xfId="1" applyNumberFormat="1" applyFont="1" applyFill="1" applyBorder="1" applyAlignment="1">
      <alignment vertical="center" wrapText="1"/>
    </xf>
    <xf numFmtId="0" fontId="7" fillId="4" borderId="0" xfId="5" applyFont="1" applyFill="1"/>
    <xf numFmtId="0" fontId="11" fillId="4" borderId="0" xfId="5" applyFont="1" applyFill="1"/>
    <xf numFmtId="188" fontId="161" fillId="4" borderId="0" xfId="5" applyNumberFormat="1" applyFont="1" applyFill="1"/>
    <xf numFmtId="191" fontId="7" fillId="4" borderId="0" xfId="5" applyNumberFormat="1" applyFont="1" applyFill="1"/>
    <xf numFmtId="188" fontId="7" fillId="4" borderId="0" xfId="5" applyNumberFormat="1" applyFont="1" applyFill="1"/>
    <xf numFmtId="3" fontId="7" fillId="4" borderId="0" xfId="5" applyNumberFormat="1" applyFont="1" applyFill="1" applyAlignment="1">
      <alignment horizontal="right"/>
    </xf>
    <xf numFmtId="191" fontId="4" fillId="4" borderId="0" xfId="5" applyNumberFormat="1" applyFont="1" applyFill="1"/>
    <xf numFmtId="194" fontId="4" fillId="4" borderId="0" xfId="5" applyNumberFormat="1" applyFont="1" applyFill="1"/>
    <xf numFmtId="0" fontId="13" fillId="4" borderId="0" xfId="5" applyFont="1" applyFill="1"/>
    <xf numFmtId="193" fontId="4" fillId="4" borderId="0" xfId="5" applyNumberFormat="1" applyFont="1" applyFill="1"/>
    <xf numFmtId="222" fontId="4" fillId="4" borderId="0" xfId="1" applyNumberFormat="1" applyFont="1" applyFill="1"/>
    <xf numFmtId="189" fontId="7" fillId="4" borderId="0" xfId="5" applyNumberFormat="1" applyFont="1" applyFill="1"/>
    <xf numFmtId="188" fontId="4" fillId="4" borderId="0" xfId="5" applyNumberFormat="1" applyFont="1" applyFill="1"/>
    <xf numFmtId="188" fontId="7" fillId="4" borderId="0" xfId="1" applyFont="1" applyFill="1" applyAlignment="1">
      <alignment horizontal="right"/>
    </xf>
    <xf numFmtId="188" fontId="7" fillId="4" borderId="0" xfId="1" applyFont="1" applyFill="1"/>
    <xf numFmtId="191" fontId="213" fillId="9" borderId="2" xfId="1" applyNumberFormat="1" applyFont="1" applyFill="1" applyBorder="1" applyAlignment="1" applyProtection="1">
      <alignment horizontal="center" vertical="center"/>
    </xf>
    <xf numFmtId="0" fontId="99" fillId="4" borderId="4" xfId="0" applyFont="1" applyFill="1" applyBorder="1" applyAlignment="1"/>
    <xf numFmtId="0" fontId="99" fillId="4" borderId="16" xfId="8" applyNumberFormat="1" applyFont="1" applyFill="1" applyBorder="1" applyAlignment="1"/>
    <xf numFmtId="0" fontId="99" fillId="4" borderId="4" xfId="8" applyNumberFormat="1" applyFont="1" applyFill="1" applyBorder="1" applyAlignment="1"/>
    <xf numFmtId="0" fontId="99" fillId="4" borderId="16" xfId="8" applyNumberFormat="1" applyFont="1" applyFill="1" applyBorder="1" applyAlignment="1">
      <alignment horizontal="center"/>
    </xf>
    <xf numFmtId="0" fontId="99" fillId="4" borderId="4" xfId="8" applyNumberFormat="1" applyFont="1" applyFill="1" applyBorder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187" fontId="237" fillId="0" borderId="0" xfId="0" applyNumberFormat="1" applyFont="1" applyFill="1" applyAlignment="1">
      <alignment horizontal="center"/>
    </xf>
    <xf numFmtId="0" fontId="238" fillId="5" borderId="2" xfId="0" applyFont="1" applyFill="1" applyBorder="1"/>
    <xf numFmtId="194" fontId="238" fillId="5" borderId="2" xfId="0" applyNumberFormat="1" applyFont="1" applyFill="1" applyBorder="1"/>
    <xf numFmtId="188" fontId="213" fillId="5" borderId="2" xfId="1" applyFont="1" applyFill="1" applyBorder="1"/>
    <xf numFmtId="188" fontId="238" fillId="5" borderId="2" xfId="0" applyNumberFormat="1" applyFont="1" applyFill="1" applyBorder="1"/>
    <xf numFmtId="0" fontId="83" fillId="5" borderId="0" xfId="0" applyFont="1" applyFill="1"/>
    <xf numFmtId="0" fontId="83" fillId="0" borderId="15" xfId="1" applyNumberFormat="1" applyFont="1" applyFill="1" applyBorder="1" applyAlignment="1"/>
    <xf numFmtId="188" fontId="242" fillId="0" borderId="0" xfId="1" applyFont="1" applyFill="1" applyAlignment="1"/>
    <xf numFmtId="187" fontId="242" fillId="0" borderId="1" xfId="0" applyNumberFormat="1" applyFont="1" applyFill="1" applyBorder="1" applyAlignment="1">
      <alignment vertical="center"/>
    </xf>
    <xf numFmtId="188" fontId="242" fillId="0" borderId="1" xfId="1" applyFont="1" applyFill="1" applyBorder="1" applyAlignment="1">
      <alignment vertical="center"/>
    </xf>
    <xf numFmtId="12" fontId="215" fillId="0" borderId="0" xfId="3" applyNumberFormat="1" applyFont="1" applyFill="1" applyAlignment="1">
      <alignment horizontal="center"/>
    </xf>
    <xf numFmtId="3" fontId="75" fillId="0" borderId="0" xfId="0" applyNumberFormat="1" applyFont="1" applyFill="1"/>
    <xf numFmtId="0" fontId="38" fillId="4" borderId="0" xfId="4" applyFont="1" applyFill="1"/>
    <xf numFmtId="198" fontId="38" fillId="0" borderId="0" xfId="1" applyNumberFormat="1" applyFont="1" applyFill="1" applyBorder="1" applyAlignment="1">
      <alignment vertical="center"/>
    </xf>
    <xf numFmtId="198" fontId="192" fillId="0" borderId="0" xfId="1" applyNumberFormat="1" applyFont="1" applyFill="1" applyBorder="1" applyAlignment="1">
      <alignment vertical="center"/>
    </xf>
    <xf numFmtId="0" fontId="38" fillId="4" borderId="1" xfId="8" applyFont="1" applyFill="1" applyBorder="1" applyAlignment="1">
      <alignment horizontal="center" vertical="center"/>
    </xf>
    <xf numFmtId="191" fontId="37" fillId="4" borderId="2" xfId="1" applyNumberFormat="1" applyFont="1" applyFill="1" applyBorder="1" applyAlignment="1">
      <alignment horizontal="center" vertical="center" wrapText="1"/>
    </xf>
    <xf numFmtId="0" fontId="38" fillId="4" borderId="2" xfId="4" applyFont="1" applyFill="1" applyBorder="1"/>
    <xf numFmtId="0" fontId="156" fillId="0" borderId="57" xfId="0" applyFont="1" applyFill="1" applyBorder="1" applyAlignment="1">
      <alignment horizontal="center"/>
    </xf>
    <xf numFmtId="1" fontId="38" fillId="4" borderId="2" xfId="8" applyNumberFormat="1" applyFont="1" applyFill="1" applyBorder="1" applyAlignment="1">
      <alignment horizontal="center" vertical="center"/>
    </xf>
    <xf numFmtId="1" fontId="38" fillId="4" borderId="2" xfId="20" applyNumberFormat="1" applyFont="1" applyFill="1" applyBorder="1" applyAlignment="1">
      <alignment horizontal="center" vertical="center" wrapText="1"/>
    </xf>
    <xf numFmtId="191" fontId="38" fillId="4" borderId="2" xfId="1" applyNumberFormat="1" applyFont="1" applyFill="1" applyBorder="1"/>
    <xf numFmtId="0" fontId="246" fillId="4" borderId="0" xfId="8" applyFont="1" applyFill="1" applyBorder="1" applyAlignment="1">
      <alignment horizontal="center"/>
    </xf>
    <xf numFmtId="0" fontId="38" fillId="4" borderId="0" xfId="8" applyFont="1" applyFill="1"/>
    <xf numFmtId="1" fontId="38" fillId="4" borderId="0" xfId="8" applyNumberFormat="1" applyFont="1" applyFill="1" applyAlignment="1">
      <alignment horizontal="center"/>
    </xf>
    <xf numFmtId="1" fontId="153" fillId="4" borderId="0" xfId="8" applyNumberFormat="1" applyFont="1" applyFill="1" applyAlignment="1"/>
    <xf numFmtId="1" fontId="38" fillId="0" borderId="0" xfId="1" applyNumberFormat="1" applyFont="1" applyFill="1" applyAlignment="1">
      <alignment vertical="center"/>
    </xf>
    <xf numFmtId="1" fontId="38" fillId="0" borderId="0" xfId="1" applyNumberFormat="1" applyFont="1" applyFill="1" applyBorder="1" applyAlignment="1">
      <alignment horizontal="center" vertical="center"/>
    </xf>
    <xf numFmtId="1" fontId="153" fillId="0" borderId="0" xfId="1" applyNumberFormat="1" applyFont="1" applyFill="1" applyBorder="1" applyAlignment="1">
      <alignment horizontal="center" vertical="center"/>
    </xf>
    <xf numFmtId="1" fontId="38" fillId="4" borderId="0" xfId="8" applyNumberFormat="1" applyFont="1" applyFill="1"/>
    <xf numFmtId="1" fontId="246" fillId="4" borderId="0" xfId="8" applyNumberFormat="1" applyFont="1" applyFill="1"/>
    <xf numFmtId="1" fontId="38" fillId="4" borderId="0" xfId="4" applyNumberFormat="1" applyFont="1" applyFill="1"/>
    <xf numFmtId="191" fontId="38" fillId="4" borderId="18" xfId="1" applyNumberFormat="1" applyFont="1" applyFill="1" applyBorder="1" applyAlignment="1">
      <alignment horizontal="center" vertical="center" wrapText="1"/>
    </xf>
    <xf numFmtId="191" fontId="38" fillId="4" borderId="2" xfId="1" applyNumberFormat="1" applyFont="1" applyFill="1" applyBorder="1" applyAlignment="1">
      <alignment horizontal="center" vertical="center"/>
    </xf>
    <xf numFmtId="191" fontId="38" fillId="4" borderId="2" xfId="4" applyNumberFormat="1" applyFont="1" applyFill="1" applyBorder="1" applyAlignment="1">
      <alignment horizontal="center" vertical="center"/>
    </xf>
    <xf numFmtId="0" fontId="247" fillId="0" borderId="0" xfId="0" quotePrefix="1" applyFont="1" applyFill="1" applyBorder="1" applyAlignment="1"/>
    <xf numFmtId="0" fontId="126" fillId="0" borderId="0" xfId="0" applyFont="1" applyAlignment="1">
      <alignment vertical="center"/>
    </xf>
    <xf numFmtId="0" fontId="99" fillId="0" borderId="0" xfId="0" applyFont="1" applyAlignment="1">
      <alignment vertical="center"/>
    </xf>
    <xf numFmtId="0" fontId="127" fillId="0" borderId="0" xfId="0" applyFont="1" applyAlignment="1">
      <alignment vertical="center"/>
    </xf>
    <xf numFmtId="0" fontId="99" fillId="0" borderId="2" xfId="0" applyFont="1" applyBorder="1"/>
    <xf numFmtId="0" fontId="99" fillId="0" borderId="0" xfId="0" applyFont="1" applyAlignment="1"/>
    <xf numFmtId="191" fontId="99" fillId="0" borderId="2" xfId="1" applyNumberFormat="1" applyFont="1" applyBorder="1"/>
    <xf numFmtId="3" fontId="26" fillId="0" borderId="14" xfId="0" applyNumberFormat="1" applyFont="1" applyFill="1" applyBorder="1" applyAlignment="1">
      <alignment horizontal="center" vertical="center"/>
    </xf>
    <xf numFmtId="199" fontId="66" fillId="0" borderId="0" xfId="17" applyNumberFormat="1" applyFont="1" applyFill="1" applyAlignment="1">
      <alignment horizontal="center"/>
    </xf>
    <xf numFmtId="3" fontId="21" fillId="0" borderId="0" xfId="0" applyNumberFormat="1" applyFont="1" applyFill="1" applyBorder="1" applyAlignment="1">
      <alignment vertical="center"/>
    </xf>
    <xf numFmtId="4" fontId="26" fillId="0" borderId="0" xfId="0" applyNumberFormat="1" applyFont="1" applyFill="1" applyBorder="1" applyAlignment="1">
      <alignment vertical="center"/>
    </xf>
    <xf numFmtId="3" fontId="21" fillId="0" borderId="0" xfId="0" applyNumberFormat="1" applyFont="1" applyFill="1" applyBorder="1" applyAlignment="1">
      <alignment horizontal="right" vertical="center"/>
    </xf>
    <xf numFmtId="3" fontId="26" fillId="0" borderId="52" xfId="0" applyNumberFormat="1" applyFont="1" applyFill="1" applyBorder="1" applyAlignment="1">
      <alignment horizontal="right" vertical="center"/>
    </xf>
    <xf numFmtId="1" fontId="245" fillId="0" borderId="2" xfId="0" applyNumberFormat="1" applyFont="1" applyFill="1" applyBorder="1" applyAlignment="1">
      <alignment horizontal="center" vertical="center" wrapText="1"/>
    </xf>
    <xf numFmtId="1" fontId="26" fillId="0" borderId="2" xfId="0" quotePrefix="1" applyNumberFormat="1" applyFont="1" applyFill="1" applyBorder="1" applyAlignment="1">
      <alignment horizontal="center" vertical="center"/>
    </xf>
    <xf numFmtId="0" fontId="22" fillId="4" borderId="2" xfId="0" applyNumberFormat="1" applyFont="1" applyFill="1" applyBorder="1" applyAlignment="1">
      <alignment horizontal="center" vertical="center"/>
    </xf>
    <xf numFmtId="3" fontId="26" fillId="5" borderId="0" xfId="0" applyNumberFormat="1" applyFont="1" applyFill="1" applyBorder="1" applyAlignment="1">
      <alignment vertical="center"/>
    </xf>
    <xf numFmtId="3" fontId="21" fillId="5" borderId="14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4" borderId="0" xfId="0" applyFill="1"/>
    <xf numFmtId="0" fontId="162" fillId="4" borderId="0" xfId="0" applyFont="1" applyFill="1"/>
    <xf numFmtId="0" fontId="1" fillId="4" borderId="0" xfId="0" applyFont="1" applyFill="1"/>
    <xf numFmtId="187" fontId="0" fillId="4" borderId="0" xfId="0" applyNumberFormat="1" applyFill="1"/>
    <xf numFmtId="187" fontId="249" fillId="4" borderId="0" xfId="0" applyNumberFormat="1" applyFont="1" applyFill="1" applyAlignment="1">
      <alignment horizontal="center"/>
    </xf>
    <xf numFmtId="0" fontId="249" fillId="4" borderId="0" xfId="0" applyFont="1" applyFill="1" applyAlignment="1">
      <alignment horizontal="center"/>
    </xf>
    <xf numFmtId="187" fontId="249" fillId="4" borderId="0" xfId="0" applyNumberFormat="1" applyFont="1" applyFill="1"/>
    <xf numFmtId="0" fontId="249" fillId="4" borderId="0" xfId="0" applyFont="1" applyFill="1"/>
    <xf numFmtId="3" fontId="0" fillId="4" borderId="0" xfId="0" applyNumberFormat="1" applyFill="1"/>
    <xf numFmtId="3" fontId="249" fillId="4" borderId="0" xfId="0" applyNumberFormat="1" applyFont="1" applyFill="1"/>
    <xf numFmtId="0" fontId="249" fillId="4" borderId="0" xfId="0" applyFont="1" applyFill="1" applyAlignment="1">
      <alignment horizontal="right"/>
    </xf>
    <xf numFmtId="191" fontId="238" fillId="9" borderId="2" xfId="1" applyNumberFormat="1" applyFont="1" applyFill="1" applyBorder="1" applyAlignment="1" applyProtection="1">
      <alignment horizontal="center" vertical="center"/>
    </xf>
    <xf numFmtId="191" fontId="238" fillId="0" borderId="0" xfId="0" applyNumberFormat="1" applyFont="1" applyFill="1"/>
    <xf numFmtId="191" fontId="127" fillId="4" borderId="0" xfId="1" applyNumberFormat="1" applyFont="1" applyFill="1"/>
    <xf numFmtId="191" fontId="127" fillId="4" borderId="0" xfId="0" applyNumberFormat="1" applyFont="1" applyFill="1"/>
    <xf numFmtId="0" fontId="37" fillId="4" borderId="0" xfId="0" applyFont="1" applyFill="1" applyAlignment="1">
      <alignment vertical="center"/>
    </xf>
    <xf numFmtId="0" fontId="38" fillId="4" borderId="0" xfId="0" applyFont="1" applyFill="1"/>
    <xf numFmtId="0" fontId="38" fillId="4" borderId="4" xfId="0" applyFont="1" applyFill="1" applyBorder="1"/>
    <xf numFmtId="0" fontId="38" fillId="4" borderId="16" xfId="0" applyFont="1" applyFill="1" applyBorder="1"/>
    <xf numFmtId="0" fontId="38" fillId="4" borderId="17" xfId="0" applyFont="1" applyFill="1" applyBorder="1"/>
    <xf numFmtId="0" fontId="37" fillId="4" borderId="2" xfId="0" applyFont="1" applyFill="1" applyBorder="1"/>
    <xf numFmtId="0" fontId="37" fillId="4" borderId="2" xfId="0" applyFont="1" applyFill="1" applyBorder="1" applyAlignment="1"/>
    <xf numFmtId="0" fontId="38" fillId="4" borderId="16" xfId="0" applyFont="1" applyFill="1" applyBorder="1" applyAlignment="1">
      <alignment horizontal="center"/>
    </xf>
    <xf numFmtId="0" fontId="38" fillId="4" borderId="4" xfId="0" applyFont="1" applyFill="1" applyBorder="1" applyAlignment="1">
      <alignment horizontal="center"/>
    </xf>
    <xf numFmtId="0" fontId="38" fillId="4" borderId="2" xfId="0" applyFont="1" applyFill="1" applyBorder="1" applyAlignment="1">
      <alignment horizontal="center"/>
    </xf>
    <xf numFmtId="0" fontId="38" fillId="4" borderId="12" xfId="0" applyFont="1" applyFill="1" applyBorder="1" applyAlignment="1"/>
    <xf numFmtId="0" fontId="38" fillId="4" borderId="0" xfId="0" applyFont="1" applyFill="1" applyBorder="1"/>
    <xf numFmtId="1" fontId="177" fillId="4" borderId="2" xfId="0" applyNumberFormat="1" applyFont="1" applyFill="1" applyBorder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187" fontId="83" fillId="0" borderId="0" xfId="3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0" xfId="3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 vertic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210" fontId="83" fillId="0" borderId="0" xfId="0" applyNumberFormat="1" applyFont="1" applyFill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219" fontId="83" fillId="0" borderId="0" xfId="0" applyNumberFormat="1" applyFont="1" applyFill="1" applyAlignment="1">
      <alignment horizontal="center"/>
    </xf>
    <xf numFmtId="191" fontId="245" fillId="4" borderId="2" xfId="1" applyNumberFormat="1" applyFont="1" applyFill="1" applyBorder="1" applyAlignment="1">
      <alignment vertical="center" shrinkToFit="1"/>
    </xf>
    <xf numFmtId="0" fontId="99" fillId="4" borderId="16" xfId="0" quotePrefix="1" applyFont="1" applyFill="1" applyBorder="1"/>
    <xf numFmtId="192" fontId="37" fillId="4" borderId="2" xfId="16" applyNumberFormat="1" applyFont="1" applyFill="1" applyBorder="1" applyAlignment="1">
      <alignment horizontal="center" shrinkToFit="1"/>
    </xf>
    <xf numFmtId="187" fontId="83" fillId="0" borderId="0" xfId="0" applyNumberFormat="1" applyFont="1" applyFill="1" applyBorder="1" applyAlignment="1">
      <alignment horizontal="center"/>
    </xf>
    <xf numFmtId="209" fontId="83" fillId="0" borderId="0" xfId="1" applyNumberFormat="1" applyFont="1" applyFill="1" applyBorder="1" applyAlignment="1"/>
    <xf numFmtId="187" fontId="213" fillId="0" borderId="0" xfId="0" applyNumberFormat="1" applyFont="1" applyFill="1" applyBorder="1"/>
    <xf numFmtId="187" fontId="213" fillId="0" borderId="2" xfId="0" applyNumberFormat="1" applyFont="1" applyFill="1" applyBorder="1" applyAlignment="1">
      <alignment horizontal="center" vertical="center"/>
    </xf>
    <xf numFmtId="0" fontId="66" fillId="4" borderId="0" xfId="18" applyFont="1" applyFill="1" applyAlignment="1"/>
    <xf numFmtId="2" fontId="67" fillId="4" borderId="4" xfId="0" applyNumberFormat="1" applyFont="1" applyFill="1" applyBorder="1" applyAlignment="1">
      <alignment horizontal="center"/>
    </xf>
    <xf numFmtId="2" fontId="99" fillId="4" borderId="0" xfId="0" applyNumberFormat="1" applyFont="1" applyFill="1" applyBorder="1" applyAlignment="1"/>
    <xf numFmtId="0" fontId="99" fillId="4" borderId="0" xfId="0" applyFont="1" applyFill="1" applyBorder="1"/>
    <xf numFmtId="0" fontId="99" fillId="4" borderId="0" xfId="0" applyFont="1" applyFill="1" applyBorder="1" applyAlignment="1">
      <alignment horizontal="center"/>
    </xf>
    <xf numFmtId="0" fontId="99" fillId="4" borderId="0" xfId="0" applyFont="1" applyFill="1" applyBorder="1" applyAlignment="1">
      <alignment wrapText="1"/>
    </xf>
    <xf numFmtId="2" fontId="99" fillId="4" borderId="0" xfId="0" applyNumberFormat="1" applyFont="1" applyFill="1" applyBorder="1"/>
    <xf numFmtId="2" fontId="99" fillId="4" borderId="0" xfId="0" applyNumberFormat="1" applyFont="1" applyFill="1" applyBorder="1" applyAlignment="1">
      <alignment shrinkToFit="1"/>
    </xf>
    <xf numFmtId="0" fontId="37" fillId="0" borderId="2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/>
    </xf>
    <xf numFmtId="3" fontId="37" fillId="0" borderId="2" xfId="0" applyNumberFormat="1" applyFont="1" applyFill="1" applyBorder="1" applyAlignment="1">
      <alignment horizontal="center" vertical="center"/>
    </xf>
    <xf numFmtId="0" fontId="207" fillId="0" borderId="0" xfId="0" applyFont="1" applyAlignment="1">
      <alignment horizontal="center"/>
    </xf>
    <xf numFmtId="0" fontId="37" fillId="0" borderId="1" xfId="0" applyFont="1" applyFill="1" applyBorder="1" applyAlignment="1">
      <alignment horizontal="center" vertical="center"/>
    </xf>
    <xf numFmtId="3" fontId="37" fillId="0" borderId="2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91" fontId="37" fillId="0" borderId="2" xfId="0" applyNumberFormat="1" applyFont="1" applyBorder="1"/>
    <xf numFmtId="0" fontId="38" fillId="0" borderId="0" xfId="0" applyFont="1" applyFill="1" applyBorder="1" applyAlignment="1">
      <alignment horizontal="left" vertical="center"/>
    </xf>
    <xf numFmtId="3" fontId="193" fillId="0" borderId="0" xfId="0" applyNumberFormat="1" applyFont="1"/>
    <xf numFmtId="197" fontId="38" fillId="0" borderId="2" xfId="3" applyNumberFormat="1" applyFont="1" applyFill="1" applyBorder="1" applyAlignment="1">
      <alignment horizontal="center" vertical="center" wrapText="1"/>
    </xf>
    <xf numFmtId="187" fontId="37" fillId="0" borderId="2" xfId="0" applyNumberFormat="1" applyFont="1" applyBorder="1" applyAlignment="1">
      <alignment horizontal="center" vertical="center"/>
    </xf>
    <xf numFmtId="0" fontId="207" fillId="0" borderId="0" xfId="0" applyFont="1" applyAlignment="1">
      <alignment horizontal="left" indent="2"/>
    </xf>
    <xf numFmtId="0" fontId="38" fillId="2" borderId="0" xfId="6" applyFont="1" applyFill="1" applyAlignment="1"/>
    <xf numFmtId="191" fontId="0" fillId="4" borderId="0" xfId="1" applyNumberFormat="1" applyFont="1" applyFill="1"/>
    <xf numFmtId="0" fontId="37" fillId="0" borderId="2" xfId="0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74" fillId="0" borderId="0" xfId="6" applyFont="1" applyFill="1" applyAlignment="1"/>
    <xf numFmtId="0" fontId="37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 wrapText="1"/>
    </xf>
    <xf numFmtId="191" fontId="38" fillId="0" borderId="2" xfId="1" applyNumberFormat="1" applyFont="1" applyBorder="1" applyAlignment="1">
      <alignment horizontal="center"/>
    </xf>
    <xf numFmtId="191" fontId="38" fillId="0" borderId="2" xfId="0" applyNumberFormat="1" applyFont="1" applyBorder="1"/>
    <xf numFmtId="0" fontId="37" fillId="0" borderId="0" xfId="0" applyFont="1"/>
    <xf numFmtId="197" fontId="37" fillId="0" borderId="2" xfId="17" applyNumberFormat="1" applyFont="1" applyFill="1" applyBorder="1" applyAlignment="1">
      <alignment horizontal="center" vertical="center" wrapText="1"/>
    </xf>
    <xf numFmtId="199" fontId="37" fillId="0" borderId="2" xfId="17" applyNumberFormat="1" applyFont="1" applyFill="1" applyBorder="1" applyAlignment="1">
      <alignment horizontal="center" vertical="center" wrapText="1"/>
    </xf>
    <xf numFmtId="0" fontId="126" fillId="0" borderId="2" xfId="7" applyFont="1" applyFill="1" applyBorder="1" applyAlignment="1">
      <alignment horizontal="center" vertical="center"/>
    </xf>
    <xf numFmtId="0" fontId="126" fillId="0" borderId="2" xfId="7" applyFont="1" applyFill="1" applyBorder="1" applyAlignment="1">
      <alignment horizontal="left" vertical="center"/>
    </xf>
    <xf numFmtId="197" fontId="38" fillId="0" borderId="2" xfId="17" applyNumberFormat="1" applyFont="1" applyFill="1" applyBorder="1" applyAlignment="1">
      <alignment horizontal="right"/>
    </xf>
    <xf numFmtId="197" fontId="37" fillId="0" borderId="2" xfId="17" applyNumberFormat="1" applyFont="1" applyFill="1" applyBorder="1" applyAlignment="1">
      <alignment horizontal="right"/>
    </xf>
    <xf numFmtId="199" fontId="37" fillId="0" borderId="2" xfId="17" applyNumberFormat="1" applyFont="1" applyFill="1" applyBorder="1" applyAlignment="1">
      <alignment horizontal="right"/>
    </xf>
    <xf numFmtId="0" fontId="99" fillId="0" borderId="2" xfId="7" applyFont="1" applyFill="1" applyBorder="1" applyAlignment="1">
      <alignment horizontal="center" vertical="center"/>
    </xf>
    <xf numFmtId="0" fontId="99" fillId="0" borderId="2" xfId="7" applyFont="1" applyFill="1" applyBorder="1" applyAlignment="1">
      <alignment horizontal="left" vertical="center"/>
    </xf>
    <xf numFmtId="199" fontId="38" fillId="0" borderId="2" xfId="17" applyNumberFormat="1" applyFont="1" applyFill="1" applyBorder="1" applyAlignment="1">
      <alignment horizontal="right"/>
    </xf>
    <xf numFmtId="0" fontId="38" fillId="0" borderId="2" xfId="7" applyFont="1" applyFill="1" applyBorder="1" applyAlignment="1">
      <alignment horizontal="center" vertical="center"/>
    </xf>
    <xf numFmtId="0" fontId="38" fillId="0" borderId="2" xfId="7" applyFont="1" applyFill="1" applyBorder="1" applyAlignment="1">
      <alignment horizontal="left" vertical="center"/>
    </xf>
    <xf numFmtId="197" fontId="38" fillId="0" borderId="2" xfId="17" applyNumberFormat="1" applyFont="1" applyFill="1" applyBorder="1" applyAlignment="1"/>
    <xf numFmtId="224" fontId="38" fillId="0" borderId="2" xfId="17" applyNumberFormat="1" applyFont="1" applyFill="1" applyBorder="1" applyAlignment="1"/>
    <xf numFmtId="224" fontId="99" fillId="4" borderId="4" xfId="1" applyNumberFormat="1" applyFont="1" applyFill="1" applyBorder="1" applyAlignment="1">
      <alignment horizontal="center" vertical="center" shrinkToFit="1"/>
    </xf>
    <xf numFmtId="4" fontId="38" fillId="0" borderId="2" xfId="17" applyNumberFormat="1" applyFont="1" applyFill="1" applyBorder="1" applyAlignment="1"/>
    <xf numFmtId="3" fontId="38" fillId="0" borderId="2" xfId="17" applyNumberFormat="1" applyFont="1" applyFill="1" applyBorder="1" applyAlignment="1"/>
    <xf numFmtId="0" fontId="37" fillId="0" borderId="2" xfId="7" applyFont="1" applyFill="1" applyBorder="1" applyAlignment="1">
      <alignment horizontal="center" vertical="center"/>
    </xf>
    <xf numFmtId="0" fontId="37" fillId="0" borderId="2" xfId="7" applyFont="1" applyFill="1" applyBorder="1" applyAlignment="1">
      <alignment horizontal="left" vertical="center"/>
    </xf>
    <xf numFmtId="4" fontId="37" fillId="0" borderId="2" xfId="17" applyNumberFormat="1" applyFont="1" applyFill="1" applyBorder="1" applyAlignment="1"/>
    <xf numFmtId="197" fontId="37" fillId="0" borderId="2" xfId="17" applyNumberFormat="1" applyFont="1" applyFill="1" applyBorder="1" applyAlignment="1"/>
    <xf numFmtId="4" fontId="38" fillId="0" borderId="2" xfId="1" applyNumberFormat="1" applyFont="1" applyFill="1" applyBorder="1" applyAlignment="1"/>
    <xf numFmtId="191" fontId="38" fillId="0" borderId="2" xfId="1" applyNumberFormat="1" applyFont="1" applyFill="1" applyBorder="1" applyAlignment="1">
      <alignment horizontal="right"/>
    </xf>
    <xf numFmtId="0" fontId="38" fillId="0" borderId="0" xfId="0" applyFont="1" applyFill="1" applyAlignment="1">
      <alignment horizontal="left" vertical="center"/>
    </xf>
    <xf numFmtId="191" fontId="37" fillId="0" borderId="2" xfId="1" applyNumberFormat="1" applyFont="1" applyFill="1" applyBorder="1" applyAlignment="1">
      <alignment horizontal="right"/>
    </xf>
    <xf numFmtId="0" fontId="250" fillId="0" borderId="0" xfId="6" applyFont="1" applyFill="1"/>
    <xf numFmtId="197" fontId="38" fillId="0" borderId="0" xfId="17" applyNumberFormat="1" applyFont="1" applyFill="1" applyAlignment="1">
      <alignment horizontal="center"/>
    </xf>
    <xf numFmtId="0" fontId="153" fillId="0" borderId="0" xfId="6" applyFont="1" applyFill="1" applyAlignment="1"/>
    <xf numFmtId="199" fontId="153" fillId="0" borderId="0" xfId="6" applyNumberFormat="1" applyFont="1" applyFill="1" applyAlignment="1"/>
    <xf numFmtId="197" fontId="193" fillId="0" borderId="0" xfId="17" applyNumberFormat="1" applyFont="1" applyFill="1"/>
    <xf numFmtId="4" fontId="37" fillId="0" borderId="2" xfId="0" applyNumberFormat="1" applyFont="1" applyFill="1" applyBorder="1" applyAlignment="1">
      <alignment horizontal="center" vertical="center" wrapText="1"/>
    </xf>
    <xf numFmtId="4" fontId="38" fillId="0" borderId="2" xfId="17" applyNumberFormat="1" applyFont="1" applyFill="1" applyBorder="1" applyAlignment="1">
      <alignment horizontal="center"/>
    </xf>
    <xf numFmtId="3" fontId="38" fillId="0" borderId="2" xfId="17" applyNumberFormat="1" applyFont="1" applyFill="1" applyBorder="1" applyAlignment="1">
      <alignment horizontal="center"/>
    </xf>
    <xf numFmtId="3" fontId="38" fillId="0" borderId="2" xfId="0" applyNumberFormat="1" applyFont="1" applyFill="1" applyBorder="1" applyAlignment="1">
      <alignment horizontal="center"/>
    </xf>
    <xf numFmtId="202" fontId="38" fillId="0" borderId="2" xfId="0" applyNumberFormat="1" applyFont="1" applyFill="1" applyBorder="1" applyAlignment="1">
      <alignment horizontal="center"/>
    </xf>
    <xf numFmtId="215" fontId="38" fillId="0" borderId="2" xfId="17" applyNumberFormat="1" applyFont="1" applyFill="1" applyBorder="1" applyAlignment="1">
      <alignment horizontal="right"/>
    </xf>
    <xf numFmtId="4" fontId="37" fillId="0" borderId="2" xfId="17" applyNumberFormat="1" applyFont="1" applyFill="1" applyBorder="1" applyAlignment="1">
      <alignment horizontal="center"/>
    </xf>
    <xf numFmtId="4" fontId="38" fillId="0" borderId="2" xfId="17" applyNumberFormat="1" applyFont="1" applyFill="1" applyBorder="1" applyAlignment="1">
      <alignment horizontal="center" vertical="center"/>
    </xf>
    <xf numFmtId="4" fontId="37" fillId="0" borderId="2" xfId="17" applyNumberFormat="1" applyFont="1" applyFill="1" applyBorder="1" applyAlignment="1">
      <alignment horizontal="center" vertical="center"/>
    </xf>
    <xf numFmtId="4" fontId="38" fillId="0" borderId="2" xfId="0" applyNumberFormat="1" applyFont="1" applyFill="1" applyBorder="1" applyAlignment="1">
      <alignment horizontal="center"/>
    </xf>
    <xf numFmtId="0" fontId="250" fillId="0" borderId="0" xfId="6" applyFont="1" applyFill="1" applyAlignment="1">
      <alignment horizontal="center"/>
    </xf>
    <xf numFmtId="197" fontId="38" fillId="0" borderId="0" xfId="17" applyNumberFormat="1" applyFont="1" applyFill="1" applyAlignment="1">
      <alignment horizontal="right"/>
    </xf>
    <xf numFmtId="0" fontId="193" fillId="0" borderId="0" xfId="6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236" fillId="0" borderId="0" xfId="0" applyNumberFormat="1" applyFont="1" applyFill="1" applyBorder="1" applyAlignment="1">
      <alignment horizontal="center"/>
    </xf>
    <xf numFmtId="210" fontId="83" fillId="0" borderId="0" xfId="0" applyNumberFormat="1" applyFont="1" applyFill="1" applyAlignment="1">
      <alignment horizontal="center"/>
    </xf>
    <xf numFmtId="0" fontId="83" fillId="0" borderId="2" xfId="0" applyFont="1" applyFill="1" applyBorder="1" applyAlignment="1">
      <alignment horizontal="center" vertical="center"/>
    </xf>
    <xf numFmtId="0" fontId="83" fillId="0" borderId="0" xfId="0" applyFont="1" applyFill="1" applyAlignment="1">
      <alignment horizontal="center" vertical="center"/>
    </xf>
    <xf numFmtId="206" fontId="83" fillId="0" borderId="2" xfId="16" applyNumberFormat="1" applyFont="1" applyFill="1" applyBorder="1" applyAlignment="1">
      <alignment horizontal="center" vertical="center"/>
    </xf>
    <xf numFmtId="0" fontId="213" fillId="0" borderId="0" xfId="0" applyFont="1" applyFill="1" applyAlignment="1">
      <alignment horizontal="center" vertical="center"/>
    </xf>
    <xf numFmtId="187" fontId="83" fillId="0" borderId="0" xfId="0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0" fontId="2" fillId="4" borderId="1" xfId="5" applyNumberFormat="1" applyFont="1" applyFill="1" applyBorder="1" applyAlignment="1">
      <alignment horizontal="center" vertical="center"/>
    </xf>
    <xf numFmtId="0" fontId="2" fillId="4" borderId="0" xfId="5" applyNumberFormat="1" applyFont="1" applyFill="1" applyBorder="1" applyAlignment="1">
      <alignment horizontal="center" vertical="center"/>
    </xf>
    <xf numFmtId="0" fontId="127" fillId="4" borderId="0" xfId="0" applyFont="1" applyFill="1" applyBorder="1"/>
    <xf numFmtId="0" fontId="38" fillId="4" borderId="56" xfId="0" applyFont="1" applyFill="1" applyBorder="1"/>
    <xf numFmtId="0" fontId="127" fillId="4" borderId="55" xfId="0" applyFont="1" applyFill="1" applyBorder="1"/>
    <xf numFmtId="0" fontId="242" fillId="0" borderId="0" xfId="0" applyFont="1" applyFill="1" applyBorder="1"/>
    <xf numFmtId="0" fontId="242" fillId="0" borderId="0" xfId="0" applyFont="1" applyFill="1" applyBorder="1" applyAlignment="1"/>
    <xf numFmtId="188" fontId="213" fillId="0" borderId="2" xfId="1" applyFont="1" applyFill="1" applyBorder="1" applyAlignment="1">
      <alignment horizontal="center" vertical="center" shrinkToFit="1"/>
    </xf>
    <xf numFmtId="1" fontId="218" fillId="0" borderId="6" xfId="1" applyNumberFormat="1" applyFont="1" applyFill="1" applyBorder="1" applyAlignment="1">
      <alignment horizontal="center" vertical="center" shrinkToFit="1"/>
    </xf>
    <xf numFmtId="0" fontId="99" fillId="0" borderId="4" xfId="0" applyFont="1" applyFill="1" applyBorder="1"/>
    <xf numFmtId="0" fontId="37" fillId="4" borderId="0" xfId="0" applyFont="1" applyFill="1"/>
    <xf numFmtId="191" fontId="75" fillId="0" borderId="0" xfId="1" applyNumberFormat="1" applyFont="1" applyFill="1"/>
    <xf numFmtId="44" fontId="241" fillId="0" borderId="0" xfId="11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166" fillId="0" borderId="0" xfId="0" applyFont="1" applyFill="1" applyBorder="1" applyAlignment="1">
      <alignment horizontal="center"/>
    </xf>
    <xf numFmtId="191" fontId="0" fillId="4" borderId="0" xfId="0" applyNumberFormat="1" applyFill="1"/>
    <xf numFmtId="3" fontId="60" fillId="0" borderId="52" xfId="0" applyNumberFormat="1" applyFont="1" applyFill="1" applyBorder="1" applyAlignment="1">
      <alignment vertical="center"/>
    </xf>
    <xf numFmtId="0" fontId="127" fillId="4" borderId="17" xfId="0" applyFont="1" applyFill="1" applyBorder="1"/>
    <xf numFmtId="191" fontId="127" fillId="4" borderId="16" xfId="1" applyNumberFormat="1" applyFont="1" applyFill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8" fillId="4" borderId="7" xfId="4" applyFont="1" applyFill="1" applyBorder="1"/>
    <xf numFmtId="1" fontId="38" fillId="4" borderId="7" xfId="8" applyNumberFormat="1" applyFont="1" applyFill="1" applyBorder="1" applyAlignment="1">
      <alignment horizontal="center" vertical="center"/>
    </xf>
    <xf numFmtId="1" fontId="38" fillId="4" borderId="7" xfId="20" applyNumberFormat="1" applyFont="1" applyFill="1" applyBorder="1" applyAlignment="1">
      <alignment horizontal="center" vertical="center" wrapText="1"/>
    </xf>
    <xf numFmtId="191" fontId="38" fillId="4" borderId="25" xfId="1" applyNumberFormat="1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vertic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187" fontId="83" fillId="0" borderId="0" xfId="0" applyNumberFormat="1" applyFont="1" applyFill="1" applyAlignment="1">
      <alignment shrinkToFit="1"/>
    </xf>
    <xf numFmtId="2" fontId="99" fillId="4" borderId="0" xfId="0" applyNumberFormat="1" applyFont="1" applyFill="1"/>
    <xf numFmtId="1" fontId="96" fillId="4" borderId="4" xfId="1" applyNumberFormat="1" applyFont="1" applyFill="1" applyBorder="1" applyAlignment="1">
      <alignment horizontal="center" vertical="center" shrinkToFit="1"/>
    </xf>
    <xf numFmtId="2" fontId="96" fillId="4" borderId="4" xfId="1" applyNumberFormat="1" applyFont="1" applyFill="1" applyBorder="1" applyAlignment="1">
      <alignment horizontal="center" vertical="center" shrinkToFit="1"/>
    </xf>
    <xf numFmtId="2" fontId="99" fillId="4" borderId="0" xfId="0" applyNumberFormat="1" applyFont="1" applyFill="1" applyAlignment="1"/>
    <xf numFmtId="0" fontId="99" fillId="4" borderId="0" xfId="0" applyFont="1" applyFill="1" applyAlignment="1">
      <alignment wrapText="1"/>
    </xf>
    <xf numFmtId="2" fontId="99" fillId="4" borderId="0" xfId="0" applyNumberFormat="1" applyFont="1" applyFill="1" applyAlignment="1">
      <alignment shrinkToFit="1"/>
    </xf>
    <xf numFmtId="0" fontId="213" fillId="0" borderId="2" xfId="0" applyFont="1" applyFill="1" applyBorder="1"/>
    <xf numFmtId="0" fontId="252" fillId="0" borderId="0" xfId="0" applyFont="1" applyFill="1" applyAlignment="1">
      <alignment vertical="center"/>
    </xf>
    <xf numFmtId="191" fontId="2" fillId="0" borderId="2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/>
    </xf>
    <xf numFmtId="191" fontId="38" fillId="0" borderId="4" xfId="1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center"/>
    </xf>
    <xf numFmtId="192" fontId="127" fillId="4" borderId="0" xfId="0" applyNumberFormat="1" applyFont="1" applyFill="1" applyAlignment="1">
      <alignment horizontal="center"/>
    </xf>
    <xf numFmtId="44" fontId="21" fillId="0" borderId="11" xfId="1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/>
    </xf>
    <xf numFmtId="2" fontId="67" fillId="4" borderId="4" xfId="1" applyNumberFormat="1" applyFont="1" applyFill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126" fillId="0" borderId="56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126" fillId="0" borderId="4" xfId="0" applyFont="1" applyBorder="1" applyAlignment="1">
      <alignment horizontal="center" vertical="center"/>
    </xf>
    <xf numFmtId="0" fontId="38" fillId="0" borderId="56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191" fontId="38" fillId="0" borderId="56" xfId="1" applyNumberFormat="1" applyFont="1" applyBorder="1" applyAlignment="1">
      <alignment horizontal="center" vertical="center" wrapText="1"/>
    </xf>
    <xf numFmtId="191" fontId="38" fillId="0" borderId="56" xfId="0" applyNumberFormat="1" applyFont="1" applyBorder="1" applyAlignment="1">
      <alignment horizontal="center" vertical="center" wrapText="1"/>
    </xf>
    <xf numFmtId="191" fontId="38" fillId="0" borderId="4" xfId="1" applyNumberFormat="1" applyFont="1" applyBorder="1" applyAlignment="1">
      <alignment horizontal="center" vertical="center" wrapText="1"/>
    </xf>
    <xf numFmtId="191" fontId="38" fillId="0" borderId="4" xfId="0" applyNumberFormat="1" applyFont="1" applyBorder="1" applyAlignment="1">
      <alignment horizontal="center" vertical="center" wrapText="1"/>
    </xf>
    <xf numFmtId="0" fontId="126" fillId="0" borderId="2" xfId="0" applyFont="1" applyBorder="1" applyAlignment="1">
      <alignment horizontal="center"/>
    </xf>
    <xf numFmtId="191" fontId="4" fillId="4" borderId="0" xfId="1" applyNumberFormat="1" applyFont="1" applyFill="1"/>
    <xf numFmtId="188" fontId="7" fillId="0" borderId="0" xfId="1" applyFont="1"/>
    <xf numFmtId="0" fontId="126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126" fillId="4" borderId="2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48" fillId="0" borderId="0" xfId="6" applyFont="1" applyAlignment="1">
      <alignment horizontal="center"/>
    </xf>
    <xf numFmtId="0" fontId="127" fillId="4" borderId="0" xfId="0" applyFont="1" applyFill="1" applyAlignment="1">
      <alignment horizontal="center"/>
    </xf>
    <xf numFmtId="188" fontId="37" fillId="0" borderId="2" xfId="1" applyFont="1" applyBorder="1"/>
    <xf numFmtId="191" fontId="37" fillId="0" borderId="2" xfId="1" applyNumberFormat="1" applyFont="1" applyBorder="1" applyAlignment="1">
      <alignment horizontal="center"/>
    </xf>
    <xf numFmtId="191" fontId="37" fillId="0" borderId="2" xfId="1" applyNumberFormat="1" applyFont="1" applyBorder="1" applyAlignment="1">
      <alignment horizontal="center" vertical="center"/>
    </xf>
    <xf numFmtId="190" fontId="37" fillId="0" borderId="2" xfId="1" applyNumberFormat="1" applyFont="1" applyBorder="1" applyAlignment="1">
      <alignment horizontal="center" vertical="center"/>
    </xf>
    <xf numFmtId="1" fontId="37" fillId="0" borderId="2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18" fillId="0" borderId="6" xfId="1" applyNumberFormat="1" applyFont="1" applyFill="1" applyBorder="1" applyAlignment="1">
      <alignment horizontal="center" vertical="center" shrinkToFit="1"/>
    </xf>
    <xf numFmtId="0" fontId="241" fillId="0" borderId="2" xfId="0" applyFont="1" applyFill="1" applyBorder="1" applyAlignment="1">
      <alignment horizontal="center" vertical="center"/>
    </xf>
    <xf numFmtId="0" fontId="83" fillId="0" borderId="2" xfId="0" applyFont="1" applyFill="1" applyBorder="1" applyAlignment="1">
      <alignment horizontal="center" vertical="center"/>
    </xf>
    <xf numFmtId="0" fontId="241" fillId="0" borderId="0" xfId="0" applyFont="1" applyFill="1" applyAlignment="1">
      <alignment horizontal="center"/>
    </xf>
    <xf numFmtId="0" fontId="126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177" fillId="4" borderId="0" xfId="0" applyFont="1" applyFill="1" applyAlignment="1">
      <alignment horizontal="center"/>
    </xf>
    <xf numFmtId="0" fontId="132" fillId="4" borderId="0" xfId="0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187" fontId="237" fillId="0" borderId="0" xfId="0" applyNumberFormat="1" applyFont="1" applyFill="1" applyAlignment="1">
      <alignment horizontal="center"/>
    </xf>
    <xf numFmtId="219" fontId="83" fillId="0" borderId="0" xfId="0" applyNumberFormat="1" applyFont="1" applyFill="1" applyAlignment="1">
      <alignment horizontal="center"/>
    </xf>
    <xf numFmtId="187" fontId="83" fillId="0" borderId="12" xfId="3" applyNumberFormat="1" applyFont="1" applyFill="1" applyBorder="1" applyAlignment="1">
      <alignment horizontal="center" vertical="center" wrapText="1"/>
    </xf>
    <xf numFmtId="191" fontId="37" fillId="4" borderId="2" xfId="1" applyNumberFormat="1" applyFont="1" applyFill="1" applyBorder="1" applyAlignment="1">
      <alignment horizontal="center"/>
    </xf>
    <xf numFmtId="0" fontId="127" fillId="4" borderId="0" xfId="0" applyFont="1" applyFill="1" applyAlignment="1">
      <alignment horizontal="center"/>
    </xf>
    <xf numFmtId="0" fontId="38" fillId="0" borderId="58" xfId="0" applyFont="1" applyBorder="1" applyAlignment="1">
      <alignment horizontal="center" vertical="center"/>
    </xf>
    <xf numFmtId="0" fontId="38" fillId="0" borderId="58" xfId="0" applyFont="1" applyBorder="1" applyAlignment="1">
      <alignment horizontal="left"/>
    </xf>
    <xf numFmtId="191" fontId="38" fillId="0" borderId="58" xfId="1" applyNumberFormat="1" applyFont="1" applyBorder="1" applyAlignment="1">
      <alignment horizontal="center" vertical="center" wrapText="1"/>
    </xf>
    <xf numFmtId="191" fontId="38" fillId="0" borderId="58" xfId="0" applyNumberFormat="1" applyFont="1" applyBorder="1" applyAlignment="1">
      <alignment horizontal="center" vertical="center" wrapText="1"/>
    </xf>
    <xf numFmtId="0" fontId="99" fillId="0" borderId="58" xfId="0" applyFont="1" applyBorder="1"/>
    <xf numFmtId="44" fontId="253" fillId="0" borderId="0" xfId="11" applyFont="1" applyFill="1" applyAlignment="1">
      <alignment horizontal="center" vertical="center"/>
    </xf>
    <xf numFmtId="0" fontId="213" fillId="0" borderId="0" xfId="0" applyFont="1" applyFill="1" applyAlignment="1">
      <alignment horizontal="center" vertical="center"/>
    </xf>
    <xf numFmtId="0" fontId="83" fillId="0" borderId="6" xfId="0" applyFont="1" applyFill="1" applyBorder="1" applyAlignment="1">
      <alignment horizontal="center" vertical="center"/>
    </xf>
    <xf numFmtId="1" fontId="4" fillId="4" borderId="4" xfId="7" applyNumberFormat="1" applyFont="1" applyFill="1" applyBorder="1" applyAlignment="1">
      <alignment horizontal="center" vertical="center" shrinkToFit="1"/>
    </xf>
    <xf numFmtId="0" fontId="224" fillId="4" borderId="4" xfId="7" applyFont="1" applyFill="1" applyBorder="1" applyAlignment="1">
      <alignment horizontal="center" vertical="center" shrinkToFit="1"/>
    </xf>
    <xf numFmtId="0" fontId="4" fillId="4" borderId="4" xfId="7" applyFont="1" applyFill="1" applyBorder="1" applyAlignment="1">
      <alignment horizontal="center" vertical="center" shrinkToFit="1"/>
    </xf>
    <xf numFmtId="0" fontId="4" fillId="4" borderId="4" xfId="7" applyFont="1" applyFill="1" applyBorder="1" applyAlignment="1">
      <alignment vertical="center" shrinkToFit="1"/>
    </xf>
    <xf numFmtId="188" fontId="4" fillId="4" borderId="4" xfId="1" applyFont="1" applyFill="1" applyBorder="1" applyAlignment="1">
      <alignment horizontal="center" vertical="center" shrinkToFit="1"/>
    </xf>
    <xf numFmtId="2" fontId="67" fillId="0" borderId="56" xfId="7" applyNumberFormat="1" applyFont="1" applyFill="1" applyBorder="1" applyAlignment="1">
      <alignment horizontal="left" vertical="center" shrinkToFit="1"/>
    </xf>
    <xf numFmtId="187" fontId="242" fillId="0" borderId="0" xfId="0" applyNumberFormat="1" applyFont="1" applyFill="1" applyBorder="1" applyAlignment="1">
      <alignment vertical="center"/>
    </xf>
    <xf numFmtId="187" fontId="198" fillId="0" borderId="0" xfId="0" applyNumberFormat="1" applyFont="1" applyFill="1" applyAlignment="1">
      <alignment vertical="center"/>
    </xf>
    <xf numFmtId="187" fontId="242" fillId="0" borderId="0" xfId="0" applyNumberFormat="1" applyFont="1" applyFill="1" applyAlignment="1">
      <alignment vertical="center"/>
    </xf>
    <xf numFmtId="187" fontId="242" fillId="0" borderId="0" xfId="0" applyNumberFormat="1" applyFont="1" applyFill="1"/>
    <xf numFmtId="16" fontId="126" fillId="4" borderId="2" xfId="0" quotePrefix="1" applyNumberFormat="1" applyFont="1" applyFill="1" applyBorder="1" applyAlignment="1">
      <alignment horizontal="center" vertical="center"/>
    </xf>
    <xf numFmtId="0" fontId="126" fillId="4" borderId="2" xfId="0" quotePrefix="1" applyFont="1" applyFill="1" applyBorder="1" applyAlignment="1">
      <alignment horizontal="center" vertical="center"/>
    </xf>
    <xf numFmtId="188" fontId="37" fillId="4" borderId="2" xfId="1" applyFont="1" applyFill="1" applyBorder="1" applyAlignment="1">
      <alignment horizontal="center"/>
    </xf>
    <xf numFmtId="0" fontId="213" fillId="0" borderId="2" xfId="0" applyFont="1" applyFill="1" applyBorder="1" applyAlignment="1">
      <alignment horizontal="left" vertical="center"/>
    </xf>
    <xf numFmtId="192" fontId="213" fillId="0" borderId="2" xfId="16" applyNumberFormat="1" applyFont="1" applyFill="1" applyBorder="1" applyAlignment="1">
      <alignment horizontal="left" vertical="center"/>
    </xf>
    <xf numFmtId="191" fontId="213" fillId="0" borderId="2" xfId="1" applyNumberFormat="1" applyFont="1" applyFill="1" applyBorder="1" applyAlignment="1">
      <alignment horizontal="center" vertical="center" wrapText="1"/>
    </xf>
    <xf numFmtId="188" fontId="213" fillId="0" borderId="2" xfId="1" applyFont="1" applyFill="1" applyBorder="1" applyAlignment="1">
      <alignment horizontal="center" vertical="center" wrapText="1"/>
    </xf>
    <xf numFmtId="16" fontId="83" fillId="0" borderId="2" xfId="0" quotePrefix="1" applyNumberFormat="1" applyFont="1" applyFill="1" applyBorder="1" applyAlignment="1">
      <alignment horizontal="center" vertical="center"/>
    </xf>
    <xf numFmtId="188" fontId="83" fillId="0" borderId="0" xfId="1" applyFont="1" applyFill="1" applyBorder="1" applyAlignment="1"/>
    <xf numFmtId="191" fontId="83" fillId="0" borderId="6" xfId="1" applyNumberFormat="1" applyFont="1" applyFill="1" applyBorder="1" applyAlignment="1">
      <alignment horizontal="center" vertical="center" shrinkToFit="1"/>
    </xf>
    <xf numFmtId="191" fontId="242" fillId="0" borderId="0" xfId="0" applyNumberFormat="1" applyFont="1" applyFill="1"/>
    <xf numFmtId="218" fontId="213" fillId="0" borderId="0" xfId="0" applyNumberFormat="1" applyFont="1" applyFill="1" applyAlignment="1">
      <alignment horizontal="center"/>
    </xf>
    <xf numFmtId="187" fontId="83" fillId="0" borderId="2" xfId="3" applyNumberFormat="1" applyFont="1" applyFill="1" applyBorder="1" applyAlignment="1">
      <alignment horizontal="center" vertical="center" wrapText="1"/>
    </xf>
    <xf numFmtId="187" fontId="213" fillId="0" borderId="0" xfId="0" applyNumberFormat="1" applyFont="1" applyFill="1" applyAlignment="1">
      <alignment horizontal="center"/>
    </xf>
    <xf numFmtId="187" fontId="83" fillId="0" borderId="0" xfId="3" applyNumberFormat="1" applyFont="1" applyFill="1" applyAlignment="1">
      <alignment horizontal="center"/>
    </xf>
    <xf numFmtId="187" fontId="237" fillId="0" borderId="0" xfId="0" applyNumberFormat="1" applyFont="1" applyFill="1" applyAlignment="1">
      <alignment horizontal="center"/>
    </xf>
    <xf numFmtId="194" fontId="4" fillId="0" borderId="0" xfId="1" applyNumberFormat="1" applyFont="1" applyFill="1"/>
    <xf numFmtId="197" fontId="76" fillId="0" borderId="2" xfId="3" applyNumberFormat="1" applyFont="1" applyFill="1" applyBorder="1" applyAlignment="1">
      <alignment horizontal="center" vertical="center" wrapText="1"/>
    </xf>
    <xf numFmtId="188" fontId="4" fillId="0" borderId="2" xfId="1" applyNumberFormat="1" applyFont="1" applyFill="1" applyBorder="1" applyAlignment="1">
      <alignment vertical="center" shrinkToFit="1"/>
    </xf>
    <xf numFmtId="188" fontId="98" fillId="4" borderId="0" xfId="1" applyFont="1" applyFill="1" applyBorder="1" applyAlignment="1"/>
    <xf numFmtId="188" fontId="2" fillId="0" borderId="2" xfId="1" applyFont="1" applyFill="1" applyBorder="1" applyAlignment="1">
      <alignment horizontal="center" vertical="center" wrapText="1"/>
    </xf>
    <xf numFmtId="188" fontId="4" fillId="0" borderId="2" xfId="1" applyFont="1" applyFill="1" applyBorder="1" applyAlignment="1">
      <alignment horizontal="center" vertical="center" shrinkToFit="1"/>
    </xf>
    <xf numFmtId="188" fontId="4" fillId="0" borderId="2" xfId="1" applyFont="1" applyFill="1" applyBorder="1" applyAlignment="1">
      <alignment vertical="center" shrinkToFit="1"/>
    </xf>
    <xf numFmtId="188" fontId="132" fillId="4" borderId="0" xfId="1" applyFont="1" applyFill="1" applyBorder="1" applyAlignment="1"/>
    <xf numFmtId="188" fontId="121" fillId="4" borderId="0" xfId="1" applyFont="1" applyFill="1" applyBorder="1" applyAlignment="1">
      <alignment horizontal="center"/>
    </xf>
    <xf numFmtId="0" fontId="3" fillId="4" borderId="2" xfId="5" applyFont="1" applyFill="1" applyBorder="1" applyAlignment="1">
      <alignment horizontal="center" vertical="center" wrapText="1"/>
    </xf>
    <xf numFmtId="188" fontId="3" fillId="4" borderId="7" xfId="1" applyFont="1" applyFill="1" applyBorder="1" applyAlignment="1">
      <alignment horizontal="right" vertical="center"/>
    </xf>
    <xf numFmtId="191" fontId="3" fillId="4" borderId="7" xfId="1" applyNumberFormat="1" applyFont="1" applyFill="1" applyBorder="1" applyAlignment="1">
      <alignment horizontal="right" vertical="center"/>
    </xf>
    <xf numFmtId="191" fontId="3" fillId="4" borderId="7" xfId="5" applyNumberFormat="1" applyFont="1" applyFill="1" applyBorder="1" applyAlignment="1">
      <alignment horizontal="right" vertical="center"/>
    </xf>
    <xf numFmtId="191" fontId="3" fillId="4" borderId="7" xfId="1" applyNumberFormat="1" applyFont="1" applyFill="1" applyBorder="1" applyAlignment="1">
      <alignment horizontal="center" vertical="center"/>
    </xf>
    <xf numFmtId="0" fontId="2" fillId="4" borderId="6" xfId="5" applyNumberFormat="1" applyFont="1" applyFill="1" applyBorder="1" applyAlignment="1">
      <alignment vertical="center" shrinkToFit="1"/>
    </xf>
    <xf numFmtId="0" fontId="2" fillId="4" borderId="12" xfId="5" applyNumberFormat="1" applyFont="1" applyFill="1" applyBorder="1" applyAlignment="1">
      <alignment vertical="center" shrinkToFit="1"/>
    </xf>
    <xf numFmtId="0" fontId="153" fillId="0" borderId="0" xfId="6" applyFont="1" applyFill="1" applyAlignment="1">
      <alignment horizontal="left" indent="13"/>
    </xf>
    <xf numFmtId="188" fontId="38" fillId="0" borderId="2" xfId="1" applyFont="1" applyFill="1" applyBorder="1" applyAlignment="1"/>
    <xf numFmtId="0" fontId="207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191" fontId="38" fillId="0" borderId="2" xfId="1" applyNumberFormat="1" applyFont="1" applyFill="1" applyBorder="1" applyAlignment="1">
      <alignment vertical="center" wrapText="1"/>
    </xf>
    <xf numFmtId="0" fontId="143" fillId="0" borderId="0" xfId="0" quotePrefix="1" applyFont="1" applyAlignment="1">
      <alignment horizontal="center" vertical="center"/>
    </xf>
    <xf numFmtId="191" fontId="2" fillId="0" borderId="2" xfId="1" applyNumberFormat="1" applyFont="1" applyFill="1" applyBorder="1" applyAlignment="1">
      <alignment horizontal="center" vertical="center" wrapText="1"/>
    </xf>
    <xf numFmtId="2" fontId="67" fillId="4" borderId="4" xfId="7" applyNumberFormat="1" applyFont="1" applyFill="1" applyBorder="1" applyAlignment="1">
      <alignment horizontal="center" vertical="center" shrinkToFit="1"/>
    </xf>
    <xf numFmtId="4" fontId="4" fillId="4" borderId="4" xfId="1" applyNumberFormat="1" applyFont="1" applyFill="1" applyBorder="1" applyAlignment="1">
      <alignment horizontal="center" vertical="center" wrapText="1" shrinkToFit="1"/>
    </xf>
    <xf numFmtId="2" fontId="4" fillId="4" borderId="4" xfId="7" applyNumberFormat="1" applyFont="1" applyFill="1" applyBorder="1" applyAlignment="1">
      <alignment horizontal="center" vertical="center" shrinkToFit="1"/>
    </xf>
    <xf numFmtId="2" fontId="4" fillId="4" borderId="4" xfId="1" applyNumberFormat="1" applyFont="1" applyFill="1" applyBorder="1" applyAlignment="1">
      <alignment horizontal="center" vertical="center" shrinkToFit="1"/>
    </xf>
    <xf numFmtId="1" fontId="4" fillId="4" borderId="4" xfId="1" applyNumberFormat="1" applyFont="1" applyFill="1" applyBorder="1" applyAlignment="1">
      <alignment horizontal="right" vertical="center" shrinkToFit="1"/>
    </xf>
    <xf numFmtId="4" fontId="4" fillId="4" borderId="4" xfId="1" applyNumberFormat="1" applyFont="1" applyFill="1" applyBorder="1" applyAlignment="1">
      <alignment horizontal="center" vertical="center" shrinkToFit="1"/>
    </xf>
    <xf numFmtId="195" fontId="4" fillId="4" borderId="4" xfId="7" applyNumberFormat="1" applyFont="1" applyFill="1" applyBorder="1" applyAlignment="1">
      <alignment horizontal="center" vertical="center" shrinkToFit="1"/>
    </xf>
    <xf numFmtId="1" fontId="66" fillId="4" borderId="4" xfId="1" applyNumberFormat="1" applyFont="1" applyFill="1" applyBorder="1" applyAlignment="1">
      <alignment horizontal="center" vertical="center" shrinkToFit="1"/>
    </xf>
    <xf numFmtId="195" fontId="66" fillId="4" borderId="4" xfId="1" applyNumberFormat="1" applyFont="1" applyFill="1" applyBorder="1" applyAlignment="1">
      <alignment vertical="center" shrinkToFit="1"/>
    </xf>
    <xf numFmtId="195" fontId="66" fillId="4" borderId="4" xfId="1" applyNumberFormat="1" applyFont="1" applyFill="1" applyBorder="1" applyAlignment="1">
      <alignment horizontal="center" vertical="center" shrinkToFit="1"/>
    </xf>
    <xf numFmtId="206" fontId="66" fillId="4" borderId="4" xfId="1" applyNumberFormat="1" applyFont="1" applyFill="1" applyBorder="1" applyAlignment="1">
      <alignment horizontal="center" vertical="center"/>
    </xf>
    <xf numFmtId="2" fontId="66" fillId="4" borderId="4" xfId="0" applyNumberFormat="1" applyFont="1" applyFill="1" applyBorder="1" applyAlignment="1">
      <alignment horizontal="right"/>
    </xf>
    <xf numFmtId="2" fontId="66" fillId="4" borderId="4" xfId="1" applyNumberFormat="1" applyFont="1" applyFill="1" applyBorder="1" applyAlignment="1">
      <alignment horizontal="right" vertical="center"/>
    </xf>
    <xf numFmtId="2" fontId="67" fillId="4" borderId="4" xfId="7" applyNumberFormat="1" applyFont="1" applyFill="1" applyBorder="1" applyAlignment="1">
      <alignment horizontal="right" vertical="center" shrinkToFit="1"/>
    </xf>
    <xf numFmtId="3" fontId="66" fillId="4" borderId="4" xfId="1" applyNumberFormat="1" applyFont="1" applyFill="1" applyBorder="1" applyAlignment="1">
      <alignment horizontal="center" vertical="center" shrinkToFit="1"/>
    </xf>
    <xf numFmtId="195" fontId="66" fillId="4" borderId="4" xfId="7" applyNumberFormat="1" applyFont="1" applyFill="1" applyBorder="1" applyAlignment="1">
      <alignment vertical="center" shrinkToFit="1"/>
    </xf>
    <xf numFmtId="0" fontId="66" fillId="4" borderId="58" xfId="7" applyFont="1" applyFill="1" applyBorder="1" applyAlignment="1">
      <alignment horizontal="center" vertical="center" wrapText="1" shrinkToFit="1"/>
    </xf>
    <xf numFmtId="2" fontId="66" fillId="4" borderId="58" xfId="7" applyNumberFormat="1" applyFont="1" applyFill="1" applyBorder="1" applyAlignment="1">
      <alignment horizontal="center" vertical="center" shrinkToFit="1"/>
    </xf>
    <xf numFmtId="2" fontId="66" fillId="4" borderId="58" xfId="1" applyNumberFormat="1" applyFont="1" applyFill="1" applyBorder="1" applyAlignment="1">
      <alignment horizontal="right" vertical="center" shrinkToFit="1"/>
    </xf>
    <xf numFmtId="188" fontId="66" fillId="4" borderId="58" xfId="1" applyFont="1" applyFill="1" applyBorder="1" applyAlignment="1">
      <alignment horizontal="center" vertical="center" shrinkToFit="1"/>
    </xf>
    <xf numFmtId="0" fontId="99" fillId="0" borderId="0" xfId="0" applyFont="1" applyFill="1" applyAlignment="1"/>
    <xf numFmtId="191" fontId="76" fillId="0" borderId="2" xfId="1" applyNumberFormat="1" applyFont="1" applyFill="1" applyBorder="1" applyAlignment="1">
      <alignment horizontal="center" vertical="center" wrapText="1"/>
    </xf>
    <xf numFmtId="188" fontId="10" fillId="0" borderId="2" xfId="1" applyFont="1" applyBorder="1" applyAlignment="1">
      <alignment horizontal="center" vertical="center"/>
    </xf>
    <xf numFmtId="0" fontId="83" fillId="0" borderId="2" xfId="0" applyFont="1" applyFill="1" applyBorder="1" applyAlignment="1">
      <alignment horizontal="center" vertical="center"/>
    </xf>
    <xf numFmtId="206" fontId="242" fillId="0" borderId="2" xfId="16" quotePrefix="1" applyNumberFormat="1" applyFont="1" applyFill="1" applyBorder="1" applyAlignment="1">
      <alignment horizontal="center" vertical="center"/>
    </xf>
    <xf numFmtId="0" fontId="132" fillId="4" borderId="2" xfId="0" applyFont="1" applyFill="1" applyBorder="1" applyAlignment="1">
      <alignment horizontal="center" shrinkToFit="1"/>
    </xf>
    <xf numFmtId="0" fontId="37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126" fillId="4" borderId="0" xfId="0" applyFont="1" applyFill="1" applyAlignment="1">
      <alignment horizontal="center" vertical="center"/>
    </xf>
    <xf numFmtId="0" fontId="37" fillId="4" borderId="0" xfId="8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38" fillId="4" borderId="0" xfId="8" applyFont="1" applyFill="1" applyBorder="1" applyAlignment="1">
      <alignment horizontal="center" vertical="center"/>
    </xf>
    <xf numFmtId="1" fontId="37" fillId="4" borderId="2" xfId="8" applyNumberFormat="1" applyFont="1" applyFill="1" applyBorder="1" applyAlignment="1">
      <alignment horizontal="center" vertical="center"/>
    </xf>
    <xf numFmtId="1" fontId="37" fillId="4" borderId="2" xfId="20" applyNumberFormat="1" applyFont="1" applyFill="1" applyBorder="1" applyAlignment="1">
      <alignment horizontal="center" vertical="center" wrapText="1"/>
    </xf>
    <xf numFmtId="0" fontId="127" fillId="4" borderId="0" xfId="0" applyFont="1" applyFill="1" applyAlignment="1">
      <alignment horizontal="center"/>
    </xf>
    <xf numFmtId="218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2" xfId="3" applyNumberFormat="1" applyFont="1" applyFill="1" applyBorder="1" applyAlignment="1">
      <alignment horizontal="center" vertical="center" wrapText="1"/>
    </xf>
    <xf numFmtId="187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 vertical="center"/>
    </xf>
    <xf numFmtId="187" fontId="83" fillId="0" borderId="12" xfId="0" applyNumberFormat="1" applyFont="1" applyFill="1" applyBorder="1" applyAlignment="1">
      <alignment horizontal="center" vertical="center" shrinkToFit="1"/>
    </xf>
    <xf numFmtId="210" fontId="83" fillId="0" borderId="0" xfId="0" applyNumberFormat="1" applyFont="1" applyFill="1" applyAlignment="1">
      <alignment horizontal="center"/>
    </xf>
    <xf numFmtId="187" fontId="83" fillId="0" borderId="15" xfId="0" applyNumberFormat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15" xfId="3" applyNumberFormat="1" applyFont="1" applyFill="1" applyBorder="1" applyAlignment="1">
      <alignment horizontal="center" vertical="center" wrapText="1"/>
    </xf>
    <xf numFmtId="219" fontId="83" fillId="0" borderId="0" xfId="0" applyNumberFormat="1" applyFont="1" applyFill="1" applyAlignment="1">
      <alignment horizontal="center"/>
    </xf>
    <xf numFmtId="191" fontId="3" fillId="4" borderId="2" xfId="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shrinkToFit="1"/>
    </xf>
    <xf numFmtId="188" fontId="170" fillId="0" borderId="2" xfId="1" applyFont="1" applyFill="1" applyBorder="1" applyAlignment="1">
      <alignment horizontal="center" vertical="center" wrapText="1"/>
    </xf>
    <xf numFmtId="0" fontId="126" fillId="4" borderId="0" xfId="7" applyFont="1" applyFill="1" applyBorder="1" applyAlignment="1">
      <alignment horizontal="center" vertical="center"/>
    </xf>
    <xf numFmtId="2" fontId="67" fillId="4" borderId="4" xfId="1" applyNumberFormat="1" applyFont="1" applyFill="1" applyBorder="1" applyAlignment="1">
      <alignment horizontal="center" vertical="center" shrinkToFit="1"/>
    </xf>
    <xf numFmtId="0" fontId="126" fillId="4" borderId="0" xfId="7" applyFont="1" applyFill="1" applyBorder="1" applyAlignment="1">
      <alignment horizontal="left" vertical="center"/>
    </xf>
    <xf numFmtId="0" fontId="99" fillId="4" borderId="0" xfId="7" applyFont="1" applyFill="1" applyBorder="1" applyAlignment="1">
      <alignment horizontal="center" vertical="center"/>
    </xf>
    <xf numFmtId="2" fontId="66" fillId="4" borderId="4" xfId="7" applyNumberFormat="1" applyFont="1" applyFill="1" applyBorder="1" applyAlignment="1">
      <alignment vertical="center" shrinkToFit="1"/>
    </xf>
    <xf numFmtId="0" fontId="66" fillId="4" borderId="4" xfId="7" applyFont="1" applyFill="1" applyBorder="1" applyAlignment="1">
      <alignment horizontal="center" vertical="center" shrinkToFit="1"/>
    </xf>
    <xf numFmtId="43" fontId="66" fillId="4" borderId="4" xfId="1" applyNumberFormat="1" applyFont="1" applyFill="1" applyBorder="1" applyAlignment="1">
      <alignment horizontal="center" vertical="center" shrinkToFit="1"/>
    </xf>
    <xf numFmtId="0" fontId="66" fillId="4" borderId="58" xfId="7" applyFont="1" applyFill="1" applyBorder="1" applyAlignment="1">
      <alignment horizontal="center" vertical="center" shrinkToFit="1"/>
    </xf>
    <xf numFmtId="2" fontId="126" fillId="4" borderId="0" xfId="7" applyNumberFormat="1" applyFont="1" applyFill="1" applyBorder="1" applyAlignment="1">
      <alignment horizontal="center" vertical="center"/>
    </xf>
    <xf numFmtId="187" fontId="83" fillId="0" borderId="2" xfId="0" applyNumberFormat="1" applyFont="1" applyFill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191" fontId="37" fillId="4" borderId="18" xfId="1" applyNumberFormat="1" applyFont="1" applyFill="1" applyBorder="1" applyAlignment="1">
      <alignment horizontal="center" vertical="center" wrapText="1"/>
    </xf>
    <xf numFmtId="191" fontId="37" fillId="4" borderId="2" xfId="1" applyNumberFormat="1" applyFont="1" applyFill="1" applyBorder="1" applyAlignment="1">
      <alignment horizontal="center" vertical="center"/>
    </xf>
    <xf numFmtId="191" fontId="37" fillId="4" borderId="2" xfId="4" applyNumberFormat="1" applyFont="1" applyFill="1" applyBorder="1" applyAlignment="1">
      <alignment horizontal="center" vertical="center"/>
    </xf>
    <xf numFmtId="0" fontId="37" fillId="4" borderId="2" xfId="4" applyFont="1" applyFill="1" applyBorder="1"/>
    <xf numFmtId="187" fontId="242" fillId="0" borderId="0" xfId="3" applyNumberFormat="1" applyFont="1" applyFill="1" applyAlignment="1">
      <alignment horizontal="center"/>
    </xf>
    <xf numFmtId="187" fontId="242" fillId="0" borderId="0" xfId="0" applyNumberFormat="1" applyFont="1" applyFill="1" applyAlignment="1">
      <alignment horizontal="center"/>
    </xf>
    <xf numFmtId="187" fontId="242" fillId="0" borderId="2" xfId="0" applyNumberFormat="1" applyFont="1" applyFill="1" applyBorder="1" applyAlignment="1">
      <alignment horizontal="center" vertical="center" wrapText="1"/>
    </xf>
    <xf numFmtId="187" fontId="198" fillId="0" borderId="0" xfId="0" applyNumberFormat="1" applyFont="1" applyFill="1" applyBorder="1" applyAlignment="1">
      <alignment horizontal="center" vertical="center" shrinkToFit="1"/>
    </xf>
    <xf numFmtId="187" fontId="213" fillId="0" borderId="2" xfId="0" applyNumberFormat="1" applyFont="1" applyFill="1" applyBorder="1" applyAlignment="1">
      <alignment horizontal="left" vertical="center" shrinkToFit="1"/>
    </xf>
    <xf numFmtId="187" fontId="213" fillId="0" borderId="2" xfId="0" applyNumberFormat="1" applyFont="1" applyFill="1" applyBorder="1" applyAlignment="1">
      <alignment horizontal="center" vertical="center" wrapText="1"/>
    </xf>
    <xf numFmtId="187" fontId="213" fillId="0" borderId="2" xfId="0" applyNumberFormat="1" applyFont="1" applyFill="1" applyBorder="1" applyAlignment="1">
      <alignment horizontal="left" vertical="center" wrapText="1"/>
    </xf>
    <xf numFmtId="187" fontId="213" fillId="0" borderId="2" xfId="3" applyNumberFormat="1" applyFont="1" applyFill="1" applyBorder="1" applyAlignment="1">
      <alignment horizontal="center" vertical="center" wrapText="1"/>
    </xf>
    <xf numFmtId="187" fontId="213" fillId="0" borderId="15" xfId="3" applyNumberFormat="1" applyFont="1" applyFill="1" applyBorder="1" applyAlignment="1">
      <alignment horizontal="center" vertical="center" wrapText="1"/>
    </xf>
    <xf numFmtId="0" fontId="138" fillId="4" borderId="16" xfId="0" applyFont="1" applyFill="1" applyBorder="1" applyAlignment="1">
      <alignment horizontal="center"/>
    </xf>
    <xf numFmtId="188" fontId="213" fillId="0" borderId="2" xfId="1" applyFont="1" applyFill="1" applyBorder="1" applyAlignment="1">
      <alignment horizontal="center"/>
    </xf>
    <xf numFmtId="191" fontId="7" fillId="4" borderId="2" xfId="1" applyNumberFormat="1" applyFont="1" applyFill="1" applyBorder="1" applyAlignment="1">
      <alignment horizontal="left" vertical="center" wrapText="1"/>
    </xf>
    <xf numFmtId="191" fontId="7" fillId="4" borderId="2" xfId="1" applyNumberFormat="1" applyFont="1" applyFill="1" applyBorder="1" applyAlignment="1">
      <alignment vertical="center" wrapText="1"/>
    </xf>
    <xf numFmtId="188" fontId="7" fillId="4" borderId="2" xfId="1" applyFont="1" applyFill="1" applyBorder="1" applyAlignment="1">
      <alignment horizontal="center" vertical="center" wrapText="1"/>
    </xf>
    <xf numFmtId="191" fontId="25" fillId="0" borderId="0" xfId="1" applyNumberFormat="1" applyFont="1" applyFill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191" fontId="171" fillId="0" borderId="2" xfId="1" applyNumberFormat="1" applyFont="1" applyFill="1" applyBorder="1" applyAlignment="1">
      <alignment vertical="center" wrapText="1"/>
    </xf>
    <xf numFmtId="4" fontId="66" fillId="4" borderId="4" xfId="1" applyNumberFormat="1" applyFont="1" applyFill="1" applyBorder="1" applyAlignment="1">
      <alignment vertical="center" wrapText="1" shrinkToFit="1"/>
    </xf>
    <xf numFmtId="2" fontId="4" fillId="4" borderId="4" xfId="1" applyNumberFormat="1" applyFont="1" applyFill="1" applyBorder="1" applyAlignment="1">
      <alignment horizontal="right" vertical="center" shrinkToFit="1"/>
    </xf>
    <xf numFmtId="4" fontId="66" fillId="4" borderId="4" xfId="1" applyNumberFormat="1" applyFont="1" applyFill="1" applyBorder="1" applyAlignment="1">
      <alignment horizontal="center" vertical="center" shrinkToFit="1"/>
    </xf>
    <xf numFmtId="188" fontId="115" fillId="4" borderId="4" xfId="1" applyFont="1" applyFill="1" applyBorder="1" applyAlignment="1">
      <alignment horizontal="center" vertical="center" shrinkToFit="1"/>
    </xf>
    <xf numFmtId="195" fontId="66" fillId="4" borderId="4" xfId="7" applyNumberFormat="1" applyFont="1" applyFill="1" applyBorder="1" applyAlignment="1">
      <alignment horizontal="center" vertical="center" shrinkToFit="1"/>
    </xf>
    <xf numFmtId="194" fontId="67" fillId="4" borderId="4" xfId="7" applyNumberFormat="1" applyFont="1" applyFill="1" applyBorder="1" applyAlignment="1">
      <alignment vertical="center" shrinkToFit="1"/>
    </xf>
    <xf numFmtId="4" fontId="66" fillId="4" borderId="4" xfId="1" applyNumberFormat="1" applyFont="1" applyFill="1" applyBorder="1" applyAlignment="1">
      <alignment horizontal="center" vertical="center" wrapText="1" shrinkToFit="1"/>
    </xf>
    <xf numFmtId="2" fontId="95" fillId="4" borderId="4" xfId="1" applyNumberFormat="1" applyFont="1" applyFill="1" applyBorder="1" applyAlignment="1">
      <alignment horizontal="center" vertical="center" shrinkToFit="1"/>
    </xf>
    <xf numFmtId="196" fontId="67" fillId="4" borderId="4" xfId="1" applyNumberFormat="1" applyFont="1" applyFill="1" applyBorder="1" applyAlignment="1">
      <alignment vertical="center" wrapText="1" shrinkToFit="1"/>
    </xf>
    <xf numFmtId="195" fontId="67" fillId="4" borderId="4" xfId="7" quotePrefix="1" applyNumberFormat="1" applyFont="1" applyFill="1" applyBorder="1" applyAlignment="1">
      <alignment horizontal="center" vertical="center" shrinkToFit="1"/>
    </xf>
    <xf numFmtId="0" fontId="224" fillId="4" borderId="0" xfId="7" applyFont="1" applyFill="1" applyBorder="1" applyAlignment="1">
      <alignment horizontal="center" vertical="center" shrinkToFit="1"/>
    </xf>
    <xf numFmtId="202" fontId="67" fillId="4" borderId="4" xfId="1" applyNumberFormat="1" applyFont="1" applyFill="1" applyBorder="1" applyAlignment="1">
      <alignment horizontal="center" vertical="center" wrapText="1" shrinkToFit="1"/>
    </xf>
    <xf numFmtId="1" fontId="99" fillId="4" borderId="4" xfId="0" applyNumberFormat="1" applyFont="1" applyFill="1" applyBorder="1" applyAlignment="1">
      <alignment horizontal="center"/>
    </xf>
    <xf numFmtId="1" fontId="67" fillId="4" borderId="4" xfId="1" applyNumberFormat="1" applyFont="1" applyFill="1" applyBorder="1" applyAlignment="1">
      <alignment horizontal="center" vertical="center" shrinkToFit="1"/>
    </xf>
    <xf numFmtId="1" fontId="4" fillId="4" borderId="17" xfId="7" applyNumberFormat="1" applyFont="1" applyFill="1" applyBorder="1" applyAlignment="1">
      <alignment horizontal="center" vertical="center" shrinkToFit="1"/>
    </xf>
    <xf numFmtId="0" fontId="4" fillId="4" borderId="17" xfId="7" applyFont="1" applyFill="1" applyBorder="1" applyAlignment="1">
      <alignment horizontal="center" vertical="center" shrinkToFit="1"/>
    </xf>
    <xf numFmtId="0" fontId="67" fillId="4" borderId="17" xfId="7" applyFont="1" applyFill="1" applyBorder="1" applyAlignment="1">
      <alignment horizontal="center" vertical="center" shrinkToFit="1"/>
    </xf>
    <xf numFmtId="202" fontId="67" fillId="4" borderId="17" xfId="1" applyNumberFormat="1" applyFont="1" applyFill="1" applyBorder="1" applyAlignment="1">
      <alignment horizontal="center" vertical="center" wrapText="1" shrinkToFit="1"/>
    </xf>
    <xf numFmtId="2" fontId="67" fillId="4" borderId="17" xfId="1" applyNumberFormat="1" applyFont="1" applyFill="1" applyBorder="1" applyAlignment="1">
      <alignment horizontal="center" vertical="center" shrinkToFit="1"/>
    </xf>
    <xf numFmtId="1" fontId="67" fillId="4" borderId="17" xfId="1" applyNumberFormat="1" applyFont="1" applyFill="1" applyBorder="1" applyAlignment="1">
      <alignment horizontal="center" vertical="center" shrinkToFit="1"/>
    </xf>
    <xf numFmtId="192" fontId="67" fillId="4" borderId="17" xfId="1" applyNumberFormat="1" applyFont="1" applyFill="1" applyBorder="1" applyAlignment="1">
      <alignment horizontal="right" vertical="center" shrinkToFit="1"/>
    </xf>
    <xf numFmtId="3" fontId="67" fillId="4" borderId="17" xfId="1" applyNumberFormat="1" applyFont="1" applyFill="1" applyBorder="1" applyAlignment="1">
      <alignment horizontal="center" vertical="center" shrinkToFit="1"/>
    </xf>
    <xf numFmtId="188" fontId="4" fillId="4" borderId="17" xfId="1" applyFont="1" applyFill="1" applyBorder="1" applyAlignment="1">
      <alignment horizontal="center" vertical="center" shrinkToFit="1"/>
    </xf>
    <xf numFmtId="195" fontId="67" fillId="4" borderId="17" xfId="7" applyNumberFormat="1" applyFont="1" applyFill="1" applyBorder="1" applyAlignment="1">
      <alignment horizontal="left" vertical="center" shrinkToFit="1"/>
    </xf>
    <xf numFmtId="4" fontId="67" fillId="4" borderId="17" xfId="1" applyNumberFormat="1" applyFont="1" applyFill="1" applyBorder="1" applyAlignment="1">
      <alignment horizontal="center" vertical="center" wrapText="1" shrinkToFit="1"/>
    </xf>
    <xf numFmtId="0" fontId="126" fillId="4" borderId="0" xfId="0" applyFont="1" applyFill="1"/>
    <xf numFmtId="192" fontId="99" fillId="4" borderId="0" xfId="1" applyNumberFormat="1" applyFont="1" applyFill="1"/>
    <xf numFmtId="187" fontId="83" fillId="0" borderId="2" xfId="0" applyNumberFormat="1" applyFont="1" applyFill="1" applyBorder="1" applyAlignment="1">
      <alignment horizontal="center" vertical="center"/>
    </xf>
    <xf numFmtId="218" fontId="213" fillId="0" borderId="21" xfId="3" applyNumberFormat="1" applyFont="1" applyFill="1" applyBorder="1" applyAlignment="1">
      <alignment horizontal="center" vertical="center" wrapText="1"/>
    </xf>
    <xf numFmtId="191" fontId="213" fillId="0" borderId="21" xfId="1" applyNumberFormat="1" applyFont="1" applyFill="1" applyBorder="1" applyAlignment="1">
      <alignment horizontal="center" vertical="center" wrapText="1"/>
    </xf>
    <xf numFmtId="0" fontId="47" fillId="0" borderId="2" xfId="6" applyFont="1" applyFill="1" applyBorder="1" applyAlignment="1">
      <alignment horizontal="center" vertical="center"/>
    </xf>
    <xf numFmtId="0" fontId="47" fillId="0" borderId="2" xfId="6" applyFont="1" applyFill="1" applyBorder="1" applyAlignment="1">
      <alignment horizontal="left" vertical="center"/>
    </xf>
    <xf numFmtId="188" fontId="8" fillId="0" borderId="2" xfId="6" applyNumberFormat="1" applyFont="1" applyFill="1" applyBorder="1" applyAlignment="1">
      <alignment vertical="center" shrinkToFit="1"/>
    </xf>
    <xf numFmtId="2" fontId="67" fillId="0" borderId="2" xfId="7" applyNumberFormat="1" applyFont="1" applyFill="1" applyBorder="1" applyAlignment="1">
      <alignment horizontal="left" vertical="center" shrinkToFit="1"/>
    </xf>
    <xf numFmtId="196" fontId="46" fillId="0" borderId="2" xfId="3" applyNumberFormat="1" applyFont="1" applyFill="1" applyBorder="1" applyAlignment="1">
      <alignment horizontal="center" vertical="center" wrapText="1"/>
    </xf>
    <xf numFmtId="188" fontId="67" fillId="0" borderId="2" xfId="1" applyFont="1" applyFill="1" applyBorder="1" applyAlignment="1">
      <alignment horizontal="left" vertical="center"/>
    </xf>
    <xf numFmtId="198" fontId="91" fillId="0" borderId="2" xfId="3" applyNumberFormat="1" applyFont="1" applyFill="1" applyBorder="1" applyAlignment="1">
      <alignment horizontal="center" vertical="center" wrapText="1"/>
    </xf>
    <xf numFmtId="198" fontId="47" fillId="0" borderId="2" xfId="3" applyNumberFormat="1" applyFont="1" applyFill="1" applyBorder="1" applyAlignment="1">
      <alignment horizontal="center" vertical="center" wrapText="1"/>
    </xf>
    <xf numFmtId="188" fontId="8" fillId="0" borderId="2" xfId="6" applyNumberFormat="1" applyFont="1" applyBorder="1" applyAlignment="1">
      <alignment horizontal="left" shrinkToFit="1"/>
    </xf>
    <xf numFmtId="188" fontId="8" fillId="0" borderId="56" xfId="6" applyNumberFormat="1" applyFont="1" applyBorder="1" applyAlignment="1">
      <alignment horizontal="left" shrinkToFit="1"/>
    </xf>
    <xf numFmtId="0" fontId="37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126" fillId="4" borderId="0" xfId="0" applyFont="1" applyFill="1" applyAlignment="1">
      <alignment horizontal="center" vertical="center"/>
    </xf>
    <xf numFmtId="0" fontId="140" fillId="4" borderId="2" xfId="0" applyFont="1" applyFill="1" applyBorder="1" applyAlignment="1">
      <alignment horizontal="center"/>
    </xf>
    <xf numFmtId="0" fontId="132" fillId="4" borderId="0" xfId="0" applyFont="1" applyFill="1" applyAlignment="1">
      <alignment horizontal="center"/>
    </xf>
    <xf numFmtId="0" fontId="127" fillId="4" borderId="0" xfId="0" applyFont="1" applyFill="1" applyAlignment="1">
      <alignment horizontal="center"/>
    </xf>
    <xf numFmtId="188" fontId="213" fillId="0" borderId="21" xfId="1" applyFont="1" applyFill="1" applyBorder="1" applyAlignment="1">
      <alignment horizontal="center" vertical="center" wrapText="1"/>
    </xf>
    <xf numFmtId="187" fontId="83" fillId="0" borderId="0" xfId="0" applyNumberFormat="1" applyFont="1" applyFill="1" applyAlignment="1">
      <alignment horizontal="center"/>
    </xf>
    <xf numFmtId="187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77" fillId="4" borderId="0" xfId="0" applyFont="1" applyFill="1" applyAlignment="1"/>
    <xf numFmtId="0" fontId="37" fillId="4" borderId="2" xfId="0" applyFont="1" applyFill="1" applyBorder="1" applyAlignment="1">
      <alignment horizontal="center" vertical="center"/>
    </xf>
    <xf numFmtId="0" fontId="38" fillId="4" borderId="58" xfId="0" applyFont="1" applyFill="1" applyBorder="1"/>
    <xf numFmtId="0" fontId="99" fillId="4" borderId="58" xfId="0" applyFont="1" applyFill="1" applyBorder="1" applyAlignment="1">
      <alignment horizontal="center"/>
    </xf>
    <xf numFmtId="0" fontId="99" fillId="4" borderId="0" xfId="0" applyFont="1" applyFill="1" applyAlignment="1">
      <alignment vertical="center"/>
    </xf>
    <xf numFmtId="187" fontId="4" fillId="0" borderId="58" xfId="0" applyNumberFormat="1" applyFont="1" applyBorder="1" applyAlignment="1">
      <alignment vertical="center"/>
    </xf>
    <xf numFmtId="0" fontId="38" fillId="0" borderId="58" xfId="0" applyFont="1" applyBorder="1" applyAlignment="1">
      <alignment vertical="center" wrapText="1"/>
    </xf>
    <xf numFmtId="187" fontId="38" fillId="0" borderId="58" xfId="0" applyNumberFormat="1" applyFont="1" applyBorder="1" applyAlignment="1">
      <alignment horizontal="left" vertical="center" shrinkToFit="1"/>
    </xf>
    <xf numFmtId="191" fontId="38" fillId="0" borderId="58" xfId="12" applyNumberFormat="1" applyFont="1" applyFill="1" applyBorder="1" applyAlignment="1">
      <alignment vertical="center" shrinkToFit="1"/>
    </xf>
    <xf numFmtId="187" fontId="38" fillId="0" borderId="58" xfId="0" applyNumberFormat="1" applyFont="1" applyBorder="1" applyAlignment="1">
      <alignment horizontal="center" vertical="center" wrapText="1"/>
    </xf>
    <xf numFmtId="187" fontId="38" fillId="0" borderId="58" xfId="17" applyNumberFormat="1" applyFont="1" applyFill="1" applyBorder="1" applyAlignment="1">
      <alignment horizontal="left" vertical="center"/>
    </xf>
    <xf numFmtId="187" fontId="37" fillId="0" borderId="56" xfId="0" applyNumberFormat="1" applyFont="1" applyBorder="1" applyAlignment="1">
      <alignment horizontal="left" vertical="center" shrinkToFit="1"/>
    </xf>
    <xf numFmtId="187" fontId="213" fillId="0" borderId="0" xfId="0" applyNumberFormat="1" applyFont="1" applyFill="1" applyAlignment="1">
      <alignment horizontal="center"/>
    </xf>
    <xf numFmtId="0" fontId="37" fillId="0" borderId="2" xfId="0" applyFont="1" applyFill="1" applyBorder="1" applyAlignment="1">
      <alignment horizontal="center" vertical="center"/>
    </xf>
    <xf numFmtId="188" fontId="21" fillId="4" borderId="2" xfId="1" applyNumberFormat="1" applyFont="1" applyFill="1" applyBorder="1" applyAlignment="1">
      <alignment vertical="center"/>
    </xf>
    <xf numFmtId="225" fontId="213" fillId="0" borderId="0" xfId="1" applyNumberFormat="1" applyFont="1" applyFill="1" applyBorder="1"/>
    <xf numFmtId="188" fontId="213" fillId="0" borderId="2" xfId="1" applyNumberFormat="1" applyFont="1" applyFill="1" applyBorder="1" applyAlignment="1">
      <alignment vertical="center" shrinkToFit="1"/>
    </xf>
    <xf numFmtId="0" fontId="240" fillId="4" borderId="2" xfId="0" applyFont="1" applyFill="1" applyBorder="1"/>
    <xf numFmtId="191" fontId="240" fillId="4" borderId="0" xfId="1" applyNumberFormat="1" applyFont="1" applyFill="1"/>
    <xf numFmtId="188" fontId="240" fillId="4" borderId="2" xfId="1" applyFont="1" applyFill="1" applyBorder="1"/>
    <xf numFmtId="187" fontId="240" fillId="4" borderId="0" xfId="0" applyNumberFormat="1" applyFont="1" applyFill="1"/>
    <xf numFmtId="188" fontId="240" fillId="4" borderId="0" xfId="0" applyNumberFormat="1" applyFont="1" applyFill="1"/>
    <xf numFmtId="1" fontId="240" fillId="4" borderId="0" xfId="0" applyNumberFormat="1" applyFont="1" applyFill="1"/>
    <xf numFmtId="188" fontId="83" fillId="0" borderId="0" xfId="1" applyFont="1" applyFill="1" applyAlignment="1">
      <alignment horizontal="center" vertical="center"/>
    </xf>
    <xf numFmtId="0" fontId="37" fillId="0" borderId="15" xfId="0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91" fontId="37" fillId="0" borderId="15" xfId="1" applyNumberFormat="1" applyFont="1" applyFill="1" applyBorder="1" applyAlignment="1">
      <alignment horizontal="center" vertical="center"/>
    </xf>
    <xf numFmtId="3" fontId="166" fillId="0" borderId="15" xfId="12" applyNumberFormat="1" applyFont="1" applyFill="1" applyBorder="1" applyAlignment="1">
      <alignment horizontal="center" vertical="center"/>
    </xf>
    <xf numFmtId="0" fontId="38" fillId="0" borderId="15" xfId="0" applyFont="1" applyFill="1" applyBorder="1" applyAlignment="1">
      <alignment horizontal="center" vertical="center"/>
    </xf>
    <xf numFmtId="187" fontId="38" fillId="0" borderId="2" xfId="0" applyNumberFormat="1" applyFont="1" applyFill="1" applyBorder="1" applyAlignment="1">
      <alignment vertical="center" shrinkToFit="1"/>
    </xf>
    <xf numFmtId="191" fontId="38" fillId="0" borderId="2" xfId="1" applyNumberFormat="1" applyFont="1" applyFill="1" applyBorder="1" applyAlignment="1">
      <alignment horizontal="center" vertical="center" wrapText="1"/>
    </xf>
    <xf numFmtId="191" fontId="38" fillId="0" borderId="2" xfId="1" applyNumberFormat="1" applyFont="1" applyFill="1" applyBorder="1" applyAlignment="1">
      <alignment horizontal="center" vertical="top"/>
    </xf>
    <xf numFmtId="190" fontId="75" fillId="0" borderId="0" xfId="1" applyNumberFormat="1" applyFont="1" applyFill="1"/>
    <xf numFmtId="188" fontId="4" fillId="0" borderId="0" xfId="1" applyNumberFormat="1" applyFont="1" applyFill="1"/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0" xfId="0" applyNumberFormat="1" applyFont="1" applyFill="1" applyAlignment="1">
      <alignment horizontal="center" vertical="center"/>
    </xf>
    <xf numFmtId="187" fontId="83" fillId="0" borderId="15" xfId="0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15" xfId="3" applyNumberFormat="1" applyFont="1" applyFill="1" applyBorder="1" applyAlignment="1">
      <alignment horizontal="center" vertical="center" wrapText="1"/>
    </xf>
    <xf numFmtId="191" fontId="38" fillId="0" borderId="2" xfId="1" applyNumberFormat="1" applyFont="1" applyFill="1" applyBorder="1" applyAlignment="1"/>
    <xf numFmtId="191" fontId="99" fillId="4" borderId="2" xfId="1" applyNumberFormat="1" applyFont="1" applyFill="1" applyBorder="1" applyAlignment="1">
      <alignment horizontal="center" vertical="center" shrinkToFit="1"/>
    </xf>
    <xf numFmtId="191" fontId="18" fillId="4" borderId="14" xfId="5" applyNumberFormat="1" applyFont="1" applyFill="1" applyBorder="1" applyAlignment="1">
      <alignment vertical="center"/>
    </xf>
    <xf numFmtId="188" fontId="76" fillId="0" borderId="2" xfId="1" applyNumberFormat="1" applyFont="1" applyFill="1" applyBorder="1" applyAlignment="1">
      <alignment horizontal="center" vertical="center" wrapText="1"/>
    </xf>
    <xf numFmtId="191" fontId="3" fillId="4" borderId="2" xfId="1" applyNumberFormat="1" applyFont="1" applyFill="1" applyBorder="1" applyAlignment="1">
      <alignment horizontal="center" vertical="center" wrapText="1"/>
    </xf>
    <xf numFmtId="0" fontId="3" fillId="4" borderId="18" xfId="5" applyNumberFormat="1" applyFont="1" applyFill="1" applyBorder="1" applyAlignment="1">
      <alignment vertical="center"/>
    </xf>
    <xf numFmtId="0" fontId="3" fillId="4" borderId="6" xfId="5" applyNumberFormat="1" applyFont="1" applyFill="1" applyBorder="1" applyAlignment="1">
      <alignment vertical="center"/>
    </xf>
    <xf numFmtId="0" fontId="3" fillId="4" borderId="12" xfId="5" applyNumberFormat="1" applyFont="1" applyFill="1" applyBorder="1" applyAlignment="1">
      <alignment vertical="center"/>
    </xf>
    <xf numFmtId="191" fontId="7" fillId="10" borderId="2" xfId="1" applyNumberFormat="1" applyFont="1" applyFill="1" applyBorder="1" applyAlignment="1">
      <alignment horizontal="center" vertical="center" wrapText="1"/>
    </xf>
    <xf numFmtId="191" fontId="7" fillId="10" borderId="2" xfId="1" applyNumberFormat="1" applyFont="1" applyFill="1" applyBorder="1" applyAlignment="1">
      <alignment horizontal="left" vertical="center" wrapText="1"/>
    </xf>
    <xf numFmtId="188" fontId="7" fillId="10" borderId="2" xfId="1" applyFont="1" applyFill="1" applyBorder="1" applyAlignment="1">
      <alignment horizontal="center" vertical="center" wrapText="1"/>
    </xf>
    <xf numFmtId="191" fontId="3" fillId="10" borderId="2" xfId="1" applyNumberFormat="1" applyFont="1" applyFill="1" applyBorder="1" applyAlignment="1">
      <alignment horizontal="center" vertical="center" wrapText="1"/>
    </xf>
    <xf numFmtId="0" fontId="3" fillId="10" borderId="0" xfId="5" applyFont="1" applyFill="1" applyAlignment="1">
      <alignment horizontal="center" vertical="center"/>
    </xf>
    <xf numFmtId="0" fontId="105" fillId="0" borderId="18" xfId="0" applyFont="1" applyBorder="1" applyAlignment="1">
      <alignment horizontal="center"/>
    </xf>
    <xf numFmtId="0" fontId="105" fillId="0" borderId="12" xfId="0" applyFont="1" applyBorder="1" applyAlignment="1">
      <alignment horizontal="center"/>
    </xf>
    <xf numFmtId="0" fontId="107" fillId="0" borderId="0" xfId="7" applyFont="1" applyFill="1" applyBorder="1" applyAlignment="1">
      <alignment horizontal="center" vertical="center"/>
    </xf>
    <xf numFmtId="0" fontId="67" fillId="0" borderId="0" xfId="7" applyFont="1" applyFill="1" applyBorder="1" applyAlignment="1">
      <alignment horizontal="center" vertical="center"/>
    </xf>
    <xf numFmtId="0" fontId="66" fillId="0" borderId="0" xfId="7" applyFont="1" applyFill="1" applyBorder="1" applyAlignment="1">
      <alignment horizontal="center" vertical="center"/>
    </xf>
    <xf numFmtId="0" fontId="104" fillId="0" borderId="2" xfId="0" applyFont="1" applyBorder="1" applyAlignment="1">
      <alignment horizontal="center"/>
    </xf>
    <xf numFmtId="0" fontId="83" fillId="0" borderId="2" xfId="0" applyFont="1" applyFill="1" applyBorder="1" applyAlignment="1">
      <alignment horizontal="center" vertical="center"/>
    </xf>
    <xf numFmtId="0" fontId="241" fillId="0" borderId="18" xfId="0" applyFont="1" applyFill="1" applyBorder="1" applyAlignment="1">
      <alignment horizontal="center" vertical="center"/>
    </xf>
    <xf numFmtId="0" fontId="241" fillId="0" borderId="6" xfId="0" applyFont="1" applyFill="1" applyBorder="1" applyAlignment="1">
      <alignment horizontal="center" vertical="center"/>
    </xf>
    <xf numFmtId="0" fontId="241" fillId="0" borderId="12" xfId="0" applyFont="1" applyFill="1" applyBorder="1" applyAlignment="1">
      <alignment horizontal="center" vertical="center"/>
    </xf>
    <xf numFmtId="206" fontId="83" fillId="0" borderId="18" xfId="16" applyNumberFormat="1" applyFont="1" applyFill="1" applyBorder="1" applyAlignment="1">
      <alignment horizontal="center" vertical="center" shrinkToFit="1"/>
    </xf>
    <xf numFmtId="206" fontId="83" fillId="0" borderId="6" xfId="16" applyNumberFormat="1" applyFont="1" applyFill="1" applyBorder="1" applyAlignment="1">
      <alignment horizontal="center" vertical="center" shrinkToFit="1"/>
    </xf>
    <xf numFmtId="206" fontId="83" fillId="0" borderId="12" xfId="16" applyNumberFormat="1" applyFont="1" applyFill="1" applyBorder="1" applyAlignment="1">
      <alignment horizontal="center" vertical="center" shrinkToFit="1"/>
    </xf>
    <xf numFmtId="0" fontId="253" fillId="0" borderId="0" xfId="0" applyFont="1" applyFill="1" applyAlignment="1">
      <alignment horizontal="center" vertical="center"/>
    </xf>
    <xf numFmtId="206" fontId="83" fillId="0" borderId="2" xfId="16" applyNumberFormat="1" applyFont="1" applyFill="1" applyBorder="1" applyAlignment="1">
      <alignment horizontal="center" vertical="center"/>
    </xf>
    <xf numFmtId="0" fontId="83" fillId="0" borderId="0" xfId="0" applyFont="1" applyFill="1" applyAlignment="1">
      <alignment horizontal="center" vertical="center"/>
    </xf>
    <xf numFmtId="0" fontId="83" fillId="0" borderId="0" xfId="0" quotePrefix="1" applyFont="1" applyFill="1" applyAlignment="1">
      <alignment horizontal="center"/>
    </xf>
    <xf numFmtId="0" fontId="213" fillId="0" borderId="0" xfId="0" applyFont="1" applyFill="1" applyAlignment="1">
      <alignment horizontal="center" vertical="center"/>
    </xf>
    <xf numFmtId="0" fontId="83" fillId="0" borderId="2" xfId="0" applyFont="1" applyFill="1" applyBorder="1" applyAlignment="1">
      <alignment horizontal="center" vertical="center" wrapText="1"/>
    </xf>
    <xf numFmtId="0" fontId="241" fillId="0" borderId="2" xfId="0" applyFont="1" applyFill="1" applyBorder="1" applyAlignment="1">
      <alignment horizontal="center" vertical="center" wrapText="1"/>
    </xf>
    <xf numFmtId="0" fontId="241" fillId="0" borderId="2" xfId="0" applyFont="1" applyFill="1" applyBorder="1" applyAlignment="1">
      <alignment horizontal="center" vertical="center"/>
    </xf>
    <xf numFmtId="0" fontId="83" fillId="0" borderId="18" xfId="0" applyFont="1" applyFill="1" applyBorder="1" applyAlignment="1">
      <alignment horizontal="center" vertical="center"/>
    </xf>
    <xf numFmtId="0" fontId="83" fillId="0" borderId="6" xfId="0" applyFont="1" applyFill="1" applyBorder="1" applyAlignment="1">
      <alignment horizontal="center" vertical="center"/>
    </xf>
    <xf numFmtId="191" fontId="83" fillId="0" borderId="7" xfId="1" applyNumberFormat="1" applyFont="1" applyFill="1" applyBorder="1" applyAlignment="1">
      <alignment horizontal="center" vertical="center" wrapText="1"/>
    </xf>
    <xf numFmtId="191" fontId="83" fillId="0" borderId="15" xfId="1" applyNumberFormat="1" applyFont="1" applyFill="1" applyBorder="1" applyAlignment="1">
      <alignment horizontal="center" vertical="center" wrapText="1"/>
    </xf>
    <xf numFmtId="191" fontId="83" fillId="0" borderId="2" xfId="1" applyNumberFormat="1" applyFont="1" applyFill="1" applyBorder="1" applyAlignment="1">
      <alignment horizontal="center" vertical="center" wrapText="1"/>
    </xf>
    <xf numFmtId="0" fontId="242" fillId="0" borderId="18" xfId="0" applyFont="1" applyFill="1" applyBorder="1" applyAlignment="1">
      <alignment horizontal="center" vertical="center"/>
    </xf>
    <xf numFmtId="0" fontId="242" fillId="0" borderId="6" xfId="0" applyFont="1" applyFill="1" applyBorder="1" applyAlignment="1">
      <alignment horizontal="center" vertical="center"/>
    </xf>
    <xf numFmtId="0" fontId="242" fillId="0" borderId="12" xfId="0" applyFont="1" applyFill="1" applyBorder="1" applyAlignment="1">
      <alignment horizontal="center" vertical="center"/>
    </xf>
    <xf numFmtId="192" fontId="213" fillId="0" borderId="18" xfId="16" applyNumberFormat="1" applyFont="1" applyFill="1" applyBorder="1" applyAlignment="1">
      <alignment horizontal="center" vertical="center" shrinkToFit="1"/>
    </xf>
    <xf numFmtId="192" fontId="213" fillId="0" borderId="6" xfId="16" applyNumberFormat="1" applyFont="1" applyFill="1" applyBorder="1" applyAlignment="1">
      <alignment horizontal="center" vertical="center" shrinkToFit="1"/>
    </xf>
    <xf numFmtId="192" fontId="213" fillId="0" borderId="12" xfId="16" applyNumberFormat="1" applyFont="1" applyFill="1" applyBorder="1" applyAlignment="1">
      <alignment horizontal="center" vertical="center" shrinkToFit="1"/>
    </xf>
    <xf numFmtId="0" fontId="254" fillId="0" borderId="0" xfId="0" applyFont="1" applyFill="1" applyAlignment="1">
      <alignment horizontal="center" vertical="center"/>
    </xf>
    <xf numFmtId="192" fontId="83" fillId="0" borderId="18" xfId="16" applyNumberFormat="1" applyFont="1" applyFill="1" applyBorder="1" applyAlignment="1">
      <alignment horizontal="center" vertical="center" shrinkToFit="1"/>
    </xf>
    <xf numFmtId="192" fontId="83" fillId="0" borderId="6" xfId="16" applyNumberFormat="1" applyFont="1" applyFill="1" applyBorder="1" applyAlignment="1">
      <alignment horizontal="center" vertical="center" shrinkToFit="1"/>
    </xf>
    <xf numFmtId="192" fontId="83" fillId="0" borderId="12" xfId="16" applyNumberFormat="1" applyFont="1" applyFill="1" applyBorder="1" applyAlignment="1">
      <alignment horizontal="center" vertical="center" shrinkToFit="1"/>
    </xf>
    <xf numFmtId="192" fontId="83" fillId="0" borderId="2" xfId="16" applyNumberFormat="1" applyFont="1" applyFill="1" applyBorder="1" applyAlignment="1">
      <alignment horizontal="center" vertical="center" shrinkToFit="1"/>
    </xf>
    <xf numFmtId="206" fontId="213" fillId="0" borderId="18" xfId="16" applyNumberFormat="1" applyFont="1" applyFill="1" applyBorder="1" applyAlignment="1">
      <alignment horizontal="center" vertical="center" shrinkToFit="1"/>
    </xf>
    <xf numFmtId="206" fontId="213" fillId="0" borderId="6" xfId="16" applyNumberFormat="1" applyFont="1" applyFill="1" applyBorder="1" applyAlignment="1">
      <alignment horizontal="center" vertical="center" shrinkToFit="1"/>
    </xf>
    <xf numFmtId="206" fontId="213" fillId="0" borderId="12" xfId="16" applyNumberFormat="1" applyFont="1" applyFill="1" applyBorder="1" applyAlignment="1">
      <alignment horizontal="center" vertical="center" shrinkToFit="1"/>
    </xf>
    <xf numFmtId="0" fontId="255" fillId="0" borderId="14" xfId="0" applyFont="1" applyFill="1" applyBorder="1" applyAlignment="1">
      <alignment horizontal="center"/>
    </xf>
    <xf numFmtId="43" fontId="83" fillId="0" borderId="18" xfId="16" applyFont="1" applyFill="1" applyBorder="1" applyAlignment="1">
      <alignment horizontal="center" vertical="center" shrinkToFit="1"/>
    </xf>
    <xf numFmtId="43" fontId="83" fillId="0" borderId="6" xfId="16" applyFont="1" applyFill="1" applyBorder="1" applyAlignment="1">
      <alignment horizontal="center" vertical="center" shrinkToFit="1"/>
    </xf>
    <xf numFmtId="43" fontId="83" fillId="0" borderId="12" xfId="16" applyFont="1" applyFill="1" applyBorder="1" applyAlignment="1">
      <alignment horizontal="center" vertical="center" shrinkToFit="1"/>
    </xf>
    <xf numFmtId="191" fontId="83" fillId="0" borderId="2" xfId="1" applyNumberFormat="1" applyFont="1" applyFill="1" applyBorder="1" applyAlignment="1">
      <alignment horizontal="center" vertical="center" shrinkToFit="1"/>
    </xf>
    <xf numFmtId="194" fontId="218" fillId="0" borderId="6" xfId="16" applyNumberFormat="1" applyFont="1" applyFill="1" applyBorder="1" applyAlignment="1">
      <alignment horizontal="center" vertical="center" shrinkToFit="1"/>
    </xf>
    <xf numFmtId="194" fontId="218" fillId="0" borderId="12" xfId="16" applyNumberFormat="1" applyFont="1" applyFill="1" applyBorder="1" applyAlignment="1">
      <alignment horizontal="center" vertical="center" shrinkToFit="1"/>
    </xf>
    <xf numFmtId="0" fontId="241" fillId="0" borderId="0" xfId="0" applyFont="1" applyFill="1" applyAlignment="1">
      <alignment horizontal="center"/>
    </xf>
    <xf numFmtId="44" fontId="253" fillId="0" borderId="0" xfId="11" applyFont="1" applyFill="1" applyAlignment="1">
      <alignment horizontal="center" vertical="center"/>
    </xf>
    <xf numFmtId="206" fontId="242" fillId="0" borderId="0" xfId="0" applyNumberFormat="1" applyFont="1" applyFill="1" applyAlignment="1">
      <alignment horizontal="center"/>
    </xf>
    <xf numFmtId="206" fontId="218" fillId="0" borderId="2" xfId="16" applyNumberFormat="1" applyFont="1" applyFill="1" applyBorder="1" applyAlignment="1">
      <alignment horizontal="center" vertical="center" shrinkToFit="1"/>
    </xf>
    <xf numFmtId="191" fontId="213" fillId="0" borderId="2" xfId="1" applyNumberFormat="1" applyFont="1" applyFill="1" applyBorder="1" applyAlignment="1">
      <alignment horizontal="center" vertical="center" shrinkToFit="1"/>
    </xf>
    <xf numFmtId="206" fontId="83" fillId="0" borderId="2" xfId="16" applyNumberFormat="1" applyFont="1" applyFill="1" applyBorder="1" applyAlignment="1">
      <alignment horizontal="center" vertical="center" shrinkToFit="1"/>
    </xf>
    <xf numFmtId="206" fontId="218" fillId="0" borderId="18" xfId="16" applyNumberFormat="1" applyFont="1" applyFill="1" applyBorder="1" applyAlignment="1">
      <alignment horizontal="center" vertical="center" shrinkToFit="1"/>
    </xf>
    <xf numFmtId="206" fontId="218" fillId="0" borderId="6" xfId="16" applyNumberFormat="1" applyFont="1" applyFill="1" applyBorder="1" applyAlignment="1">
      <alignment horizontal="center" vertical="center" shrinkToFit="1"/>
    </xf>
    <xf numFmtId="206" fontId="218" fillId="0" borderId="12" xfId="16" applyNumberFormat="1" applyFont="1" applyFill="1" applyBorder="1" applyAlignment="1">
      <alignment horizontal="center" vertical="center" shrinkToFit="1"/>
    </xf>
    <xf numFmtId="191" fontId="83" fillId="0" borderId="18" xfId="1" applyNumberFormat="1" applyFont="1" applyFill="1" applyBorder="1" applyAlignment="1">
      <alignment horizontal="center" vertical="center" shrinkToFit="1"/>
    </xf>
    <xf numFmtId="191" fontId="83" fillId="0" borderId="6" xfId="1" applyNumberFormat="1" applyFont="1" applyFill="1" applyBorder="1" applyAlignment="1">
      <alignment horizontal="center" vertical="center" shrinkToFit="1"/>
    </xf>
    <xf numFmtId="191" fontId="83" fillId="0" borderId="12" xfId="1" applyNumberFormat="1" applyFont="1" applyFill="1" applyBorder="1" applyAlignment="1">
      <alignment horizontal="center" vertical="center" shrinkToFit="1"/>
    </xf>
    <xf numFmtId="191" fontId="213" fillId="0" borderId="18" xfId="1" applyNumberFormat="1" applyFont="1" applyFill="1" applyBorder="1" applyAlignment="1">
      <alignment horizontal="center" vertical="center" shrinkToFit="1"/>
    </xf>
    <xf numFmtId="191" fontId="213" fillId="0" borderId="6" xfId="1" applyNumberFormat="1" applyFont="1" applyFill="1" applyBorder="1" applyAlignment="1">
      <alignment horizontal="center" vertical="center" shrinkToFit="1"/>
    </xf>
    <xf numFmtId="191" fontId="213" fillId="0" borderId="12" xfId="1" applyNumberFormat="1" applyFont="1" applyFill="1" applyBorder="1" applyAlignment="1">
      <alignment horizontal="center" vertical="center" shrinkToFit="1"/>
    </xf>
    <xf numFmtId="0" fontId="241" fillId="0" borderId="0" xfId="0" applyFont="1" applyFill="1" applyAlignment="1">
      <alignment horizontal="center" vertical="center"/>
    </xf>
    <xf numFmtId="0" fontId="241" fillId="0" borderId="0" xfId="0" applyFont="1" applyFill="1" applyAlignment="1">
      <alignment horizontal="left" vertical="center" indent="6"/>
    </xf>
    <xf numFmtId="0" fontId="244" fillId="0" borderId="14" xfId="0" applyFont="1" applyFill="1" applyBorder="1" applyAlignment="1">
      <alignment horizontal="center"/>
    </xf>
    <xf numFmtId="44" fontId="241" fillId="0" borderId="0" xfId="11" applyFont="1" applyFill="1" applyAlignment="1">
      <alignment horizontal="center" vertical="center"/>
    </xf>
    <xf numFmtId="0" fontId="244" fillId="0" borderId="0" xfId="0" applyFont="1" applyFill="1" applyBorder="1" applyAlignment="1">
      <alignment horizontal="center"/>
    </xf>
    <xf numFmtId="0" fontId="83" fillId="0" borderId="25" xfId="0" applyFont="1" applyFill="1" applyBorder="1" applyAlignment="1">
      <alignment horizontal="center" vertical="center"/>
    </xf>
    <xf numFmtId="0" fontId="83" fillId="0" borderId="24" xfId="0" applyFont="1" applyFill="1" applyBorder="1" applyAlignment="1">
      <alignment horizontal="center" vertical="center"/>
    </xf>
    <xf numFmtId="0" fontId="83" fillId="0" borderId="21" xfId="0" applyFont="1" applyFill="1" applyBorder="1" applyAlignment="1">
      <alignment horizontal="center" vertical="center"/>
    </xf>
    <xf numFmtId="0" fontId="83" fillId="0" borderId="22" xfId="0" applyFont="1" applyFill="1" applyBorder="1" applyAlignment="1">
      <alignment horizontal="center" vertical="center"/>
    </xf>
    <xf numFmtId="0" fontId="126" fillId="4" borderId="18" xfId="0" applyFont="1" applyFill="1" applyBorder="1" applyAlignment="1">
      <alignment horizontal="center" vertical="center"/>
    </xf>
    <xf numFmtId="0" fontId="126" fillId="4" borderId="6" xfId="0" applyFont="1" applyFill="1" applyBorder="1" applyAlignment="1">
      <alignment horizontal="center" vertical="center"/>
    </xf>
    <xf numFmtId="0" fontId="126" fillId="4" borderId="2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/>
    </xf>
    <xf numFmtId="0" fontId="99" fillId="4" borderId="0" xfId="0" applyFont="1" applyFill="1" applyAlignment="1">
      <alignment horizontal="center" vertical="center"/>
    </xf>
    <xf numFmtId="0" fontId="126" fillId="4" borderId="0" xfId="0" applyFont="1" applyFill="1" applyAlignment="1">
      <alignment horizontal="center" vertical="center"/>
    </xf>
    <xf numFmtId="0" fontId="177" fillId="4" borderId="7" xfId="0" applyFont="1" applyFill="1" applyBorder="1" applyAlignment="1">
      <alignment horizontal="center" vertical="center" wrapText="1"/>
    </xf>
    <xf numFmtId="0" fontId="177" fillId="4" borderId="15" xfId="0" applyFont="1" applyFill="1" applyBorder="1" applyAlignment="1">
      <alignment horizontal="center" vertical="center"/>
    </xf>
    <xf numFmtId="0" fontId="140" fillId="4" borderId="2" xfId="0" applyFont="1" applyFill="1" applyBorder="1" applyAlignment="1">
      <alignment horizontal="center"/>
    </xf>
    <xf numFmtId="0" fontId="126" fillId="4" borderId="7" xfId="0" applyFont="1" applyFill="1" applyBorder="1" applyAlignment="1">
      <alignment horizontal="center" vertical="center"/>
    </xf>
    <xf numFmtId="0" fontId="126" fillId="4" borderId="15" xfId="0" applyFont="1" applyFill="1" applyBorder="1" applyAlignment="1">
      <alignment horizontal="center" vertical="center"/>
    </xf>
    <xf numFmtId="0" fontId="37" fillId="4" borderId="7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/>
    </xf>
    <xf numFmtId="0" fontId="126" fillId="4" borderId="18" xfId="0" applyFont="1" applyFill="1" applyBorder="1" applyAlignment="1">
      <alignment horizontal="center"/>
    </xf>
    <xf numFmtId="0" fontId="126" fillId="4" borderId="12" xfId="0" applyFont="1" applyFill="1" applyBorder="1" applyAlignment="1">
      <alignment horizontal="center"/>
    </xf>
    <xf numFmtId="0" fontId="126" fillId="4" borderId="2" xfId="0" applyFont="1" applyFill="1" applyBorder="1" applyAlignment="1">
      <alignment horizontal="center"/>
    </xf>
    <xf numFmtId="0" fontId="99" fillId="4" borderId="18" xfId="0" applyFont="1" applyFill="1" applyBorder="1" applyAlignment="1">
      <alignment horizontal="center"/>
    </xf>
    <xf numFmtId="0" fontId="99" fillId="4" borderId="12" xfId="0" applyFont="1" applyFill="1" applyBorder="1" applyAlignment="1">
      <alignment horizontal="center"/>
    </xf>
    <xf numFmtId="0" fontId="177" fillId="4" borderId="18" xfId="0" applyFont="1" applyFill="1" applyBorder="1" applyAlignment="1">
      <alignment horizontal="center"/>
    </xf>
    <xf numFmtId="0" fontId="177" fillId="4" borderId="6" xfId="0" applyFont="1" applyFill="1" applyBorder="1" applyAlignment="1">
      <alignment horizontal="center"/>
    </xf>
    <xf numFmtId="0" fontId="132" fillId="4" borderId="14" xfId="0" applyFont="1" applyFill="1" applyBorder="1" applyAlignment="1">
      <alignment horizontal="left"/>
    </xf>
    <xf numFmtId="0" fontId="127" fillId="4" borderId="14" xfId="0" applyFont="1" applyFill="1" applyBorder="1" applyAlignment="1">
      <alignment horizontal="center"/>
    </xf>
    <xf numFmtId="0" fontId="132" fillId="4" borderId="0" xfId="0" applyFont="1" applyFill="1" applyBorder="1" applyAlignment="1">
      <alignment horizontal="left"/>
    </xf>
    <xf numFmtId="0" fontId="132" fillId="4" borderId="0" xfId="0" applyFont="1" applyFill="1" applyAlignment="1">
      <alignment horizontal="center"/>
    </xf>
    <xf numFmtId="0" fontId="177" fillId="4" borderId="0" xfId="0" applyFont="1" applyFill="1" applyAlignment="1">
      <alignment horizontal="center"/>
    </xf>
    <xf numFmtId="0" fontId="251" fillId="4" borderId="14" xfId="0" applyFont="1" applyFill="1" applyBorder="1" applyAlignment="1">
      <alignment horizontal="center"/>
    </xf>
    <xf numFmtId="44" fontId="177" fillId="4" borderId="0" xfId="13" applyFont="1" applyFill="1" applyAlignment="1">
      <alignment horizontal="center"/>
    </xf>
    <xf numFmtId="0" fontId="37" fillId="4" borderId="18" xfId="8" applyFont="1" applyFill="1" applyBorder="1" applyAlignment="1">
      <alignment horizontal="center" vertical="center"/>
    </xf>
    <xf numFmtId="0" fontId="37" fillId="4" borderId="12" xfId="8" applyFont="1" applyFill="1" applyBorder="1" applyAlignment="1">
      <alignment horizontal="center" vertical="center"/>
    </xf>
    <xf numFmtId="0" fontId="38" fillId="4" borderId="0" xfId="8" applyFont="1" applyFill="1" applyBorder="1" applyAlignment="1">
      <alignment horizontal="center" vertical="center"/>
    </xf>
    <xf numFmtId="0" fontId="37" fillId="4" borderId="2" xfId="8" applyFont="1" applyFill="1" applyBorder="1" applyAlignment="1">
      <alignment horizontal="center" vertical="center"/>
    </xf>
    <xf numFmtId="1" fontId="37" fillId="4" borderId="2" xfId="8" applyNumberFormat="1" applyFont="1" applyFill="1" applyBorder="1" applyAlignment="1">
      <alignment horizontal="center" vertical="center"/>
    </xf>
    <xf numFmtId="1" fontId="37" fillId="4" borderId="2" xfId="20" applyNumberFormat="1" applyFont="1" applyFill="1" applyBorder="1" applyAlignment="1">
      <alignment horizontal="center" vertical="center" wrapText="1"/>
    </xf>
    <xf numFmtId="0" fontId="37" fillId="4" borderId="2" xfId="4" applyFont="1" applyFill="1" applyBorder="1" applyAlignment="1">
      <alignment horizontal="center" vertical="center" wrapText="1"/>
    </xf>
    <xf numFmtId="0" fontId="37" fillId="4" borderId="2" xfId="4" applyFont="1" applyFill="1" applyBorder="1" applyAlignment="1">
      <alignment horizontal="center" vertical="center"/>
    </xf>
    <xf numFmtId="0" fontId="37" fillId="4" borderId="0" xfId="8" applyFont="1" applyFill="1" applyBorder="1" applyAlignment="1">
      <alignment horizontal="center"/>
    </xf>
    <xf numFmtId="198" fontId="37" fillId="0" borderId="0" xfId="1" applyNumberFormat="1" applyFont="1" applyFill="1" applyBorder="1" applyAlignment="1">
      <alignment horizontal="center" vertical="center"/>
    </xf>
    <xf numFmtId="0" fontId="166" fillId="0" borderId="0" xfId="0" quotePrefix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" fontId="37" fillId="4" borderId="0" xfId="8" applyNumberFormat="1" applyFont="1" applyFill="1" applyAlignment="1">
      <alignment horizontal="center"/>
    </xf>
    <xf numFmtId="1" fontId="246" fillId="4" borderId="0" xfId="4" applyNumberFormat="1" applyFont="1" applyFill="1" applyAlignment="1">
      <alignment horizontal="center"/>
    </xf>
    <xf numFmtId="0" fontId="256" fillId="0" borderId="59" xfId="0" applyFont="1" applyFill="1" applyBorder="1" applyAlignment="1">
      <alignment horizontal="center"/>
    </xf>
    <xf numFmtId="0" fontId="256" fillId="0" borderId="52" xfId="0" applyFont="1" applyFill="1" applyBorder="1" applyAlignment="1">
      <alignment horizontal="center"/>
    </xf>
    <xf numFmtId="191" fontId="37" fillId="4" borderId="2" xfId="1" applyNumberFormat="1" applyFont="1" applyFill="1" applyBorder="1" applyAlignment="1">
      <alignment horizontal="center"/>
    </xf>
    <xf numFmtId="0" fontId="246" fillId="4" borderId="18" xfId="8" applyFont="1" applyFill="1" applyBorder="1" applyAlignment="1">
      <alignment horizontal="center"/>
    </xf>
    <xf numFmtId="0" fontId="246" fillId="4" borderId="6" xfId="8" applyFont="1" applyFill="1" applyBorder="1" applyAlignment="1">
      <alignment horizontal="center"/>
    </xf>
    <xf numFmtId="0" fontId="246" fillId="4" borderId="12" xfId="8" applyFont="1" applyFill="1" applyBorder="1" applyAlignment="1">
      <alignment horizontal="center"/>
    </xf>
    <xf numFmtId="1" fontId="153" fillId="4" borderId="0" xfId="8" applyNumberFormat="1" applyFont="1" applyFill="1" applyAlignment="1">
      <alignment horizontal="center"/>
    </xf>
    <xf numFmtId="1" fontId="37" fillId="0" borderId="0" xfId="1" applyNumberFormat="1" applyFont="1" applyFill="1" applyBorder="1" applyAlignment="1">
      <alignment horizontal="center" vertical="center"/>
    </xf>
    <xf numFmtId="0" fontId="132" fillId="4" borderId="0" xfId="0" applyFont="1" applyFill="1" applyBorder="1" applyAlignment="1">
      <alignment horizontal="center"/>
    </xf>
    <xf numFmtId="0" fontId="127" fillId="4" borderId="0" xfId="0" applyFont="1" applyFill="1" applyAlignment="1">
      <alignment horizontal="center"/>
    </xf>
    <xf numFmtId="0" fontId="98" fillId="4" borderId="14" xfId="0" applyFont="1" applyFill="1" applyBorder="1" applyAlignment="1">
      <alignment horizontal="left"/>
    </xf>
    <xf numFmtId="187" fontId="83" fillId="0" borderId="2" xfId="0" applyNumberFormat="1" applyFont="1" applyFill="1" applyBorder="1" applyAlignment="1">
      <alignment horizontal="center" vertical="center"/>
    </xf>
    <xf numFmtId="187" fontId="83" fillId="0" borderId="7" xfId="3" applyNumberFormat="1" applyFont="1" applyFill="1" applyBorder="1" applyAlignment="1">
      <alignment horizontal="center" vertical="center" wrapText="1"/>
    </xf>
    <xf numFmtId="187" fontId="83" fillId="0" borderId="15" xfId="3" applyNumberFormat="1" applyFont="1" applyFill="1" applyBorder="1" applyAlignment="1">
      <alignment horizontal="center" vertical="center" wrapText="1"/>
    </xf>
    <xf numFmtId="187" fontId="83" fillId="0" borderId="14" xfId="3" applyNumberFormat="1" applyFont="1" applyFill="1" applyBorder="1" applyAlignment="1">
      <alignment horizontal="center" vertical="center" wrapText="1"/>
    </xf>
    <xf numFmtId="187" fontId="83" fillId="0" borderId="24" xfId="3" applyNumberFormat="1" applyFont="1" applyFill="1" applyBorder="1" applyAlignment="1">
      <alignment horizontal="center" vertical="center" wrapText="1"/>
    </xf>
    <xf numFmtId="187" fontId="83" fillId="0" borderId="1" xfId="3" applyNumberFormat="1" applyFont="1" applyFill="1" applyBorder="1" applyAlignment="1">
      <alignment horizontal="center" vertical="center" wrapText="1"/>
    </xf>
    <xf numFmtId="187" fontId="83" fillId="0" borderId="22" xfId="3" applyNumberFormat="1" applyFont="1" applyFill="1" applyBorder="1" applyAlignment="1">
      <alignment horizontal="center" vertical="center" wrapText="1"/>
    </xf>
    <xf numFmtId="188" fontId="83" fillId="0" borderId="2" xfId="1" applyFont="1" applyFill="1" applyBorder="1" applyAlignment="1">
      <alignment horizontal="center" vertical="center" wrapText="1"/>
    </xf>
    <xf numFmtId="187" fontId="83" fillId="0" borderId="0" xfId="3" applyNumberFormat="1" applyFont="1" applyFill="1" applyAlignment="1">
      <alignment horizontal="center"/>
    </xf>
    <xf numFmtId="187" fontId="83" fillId="0" borderId="0" xfId="3" quotePrefix="1" applyNumberFormat="1" applyFont="1" applyFill="1" applyAlignment="1">
      <alignment horizontal="center"/>
    </xf>
    <xf numFmtId="0" fontId="214" fillId="0" borderId="0" xfId="0" applyFont="1" applyFill="1"/>
    <xf numFmtId="187" fontId="213" fillId="0" borderId="0" xfId="0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/>
    </xf>
    <xf numFmtId="187" fontId="82" fillId="0" borderId="0" xfId="0" applyNumberFormat="1" applyFont="1" applyFill="1" applyAlignment="1">
      <alignment horizontal="center"/>
    </xf>
    <xf numFmtId="187" fontId="241" fillId="0" borderId="2" xfId="0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 wrapText="1"/>
    </xf>
    <xf numFmtId="187" fontId="83" fillId="0" borderId="2" xfId="0" applyNumberFormat="1" applyFont="1" applyFill="1" applyBorder="1" applyAlignment="1">
      <alignment horizontal="center" vertical="center" shrinkToFit="1"/>
    </xf>
    <xf numFmtId="187" fontId="83" fillId="0" borderId="2" xfId="3" applyNumberFormat="1" applyFont="1" applyFill="1" applyBorder="1" applyAlignment="1">
      <alignment horizontal="center"/>
    </xf>
    <xf numFmtId="187" fontId="83" fillId="0" borderId="2" xfId="3" applyNumberFormat="1" applyFont="1" applyFill="1" applyBorder="1" applyAlignment="1">
      <alignment horizontal="center" vertical="center" wrapText="1"/>
    </xf>
    <xf numFmtId="187" fontId="83" fillId="0" borderId="1" xfId="0" applyNumberFormat="1" applyFont="1" applyFill="1" applyBorder="1" applyAlignment="1">
      <alignment horizontal="center"/>
    </xf>
    <xf numFmtId="187" fontId="83" fillId="0" borderId="7" xfId="0" applyNumberFormat="1" applyFont="1" applyFill="1" applyBorder="1" applyAlignment="1">
      <alignment horizontal="center" vertical="center" wrapText="1"/>
    </xf>
    <xf numFmtId="187" fontId="83" fillId="0" borderId="15" xfId="0" applyNumberFormat="1" applyFont="1" applyFill="1" applyBorder="1" applyAlignment="1">
      <alignment horizontal="center" vertical="center" wrapText="1"/>
    </xf>
    <xf numFmtId="187" fontId="83" fillId="0" borderId="11" xfId="3" applyNumberFormat="1" applyFont="1" applyFill="1" applyBorder="1" applyAlignment="1">
      <alignment horizontal="center" vertical="center" wrapText="1"/>
    </xf>
    <xf numFmtId="187" fontId="83" fillId="0" borderId="18" xfId="0" applyNumberFormat="1" applyFont="1" applyFill="1" applyBorder="1" applyAlignment="1">
      <alignment horizontal="center" vertical="center" shrinkToFit="1"/>
    </xf>
    <xf numFmtId="187" fontId="83" fillId="0" borderId="6" xfId="0" applyNumberFormat="1" applyFont="1" applyFill="1" applyBorder="1" applyAlignment="1">
      <alignment horizontal="center" vertical="center" shrinkToFit="1"/>
    </xf>
    <xf numFmtId="187" fontId="83" fillId="0" borderId="12" xfId="0" applyNumberFormat="1" applyFont="1" applyFill="1" applyBorder="1" applyAlignment="1">
      <alignment horizontal="center" vertical="center" shrinkToFit="1"/>
    </xf>
    <xf numFmtId="187" fontId="218" fillId="0" borderId="2" xfId="0" applyNumberFormat="1" applyFont="1" applyFill="1" applyBorder="1" applyAlignment="1">
      <alignment horizontal="center" vertical="center" shrinkToFit="1"/>
    </xf>
    <xf numFmtId="187" fontId="236" fillId="0" borderId="0" xfId="0" applyNumberFormat="1" applyFont="1" applyFill="1" applyBorder="1" applyAlignment="1">
      <alignment horizontal="center"/>
    </xf>
    <xf numFmtId="210" fontId="83" fillId="0" borderId="0" xfId="0" applyNumberFormat="1" applyFont="1" applyFill="1" applyAlignment="1">
      <alignment horizontal="center"/>
    </xf>
    <xf numFmtId="4" fontId="213" fillId="0" borderId="0" xfId="3" applyNumberFormat="1" applyFont="1" applyFill="1" applyAlignment="1">
      <alignment horizontal="center"/>
    </xf>
    <xf numFmtId="187" fontId="83" fillId="0" borderId="25" xfId="0" applyNumberFormat="1" applyFont="1" applyFill="1" applyBorder="1" applyAlignment="1">
      <alignment horizontal="center" vertical="center" wrapText="1"/>
    </xf>
    <xf numFmtId="187" fontId="83" fillId="0" borderId="24" xfId="0" applyNumberFormat="1" applyFont="1" applyFill="1" applyBorder="1" applyAlignment="1">
      <alignment horizontal="center" vertical="center" wrapText="1"/>
    </xf>
    <xf numFmtId="187" fontId="83" fillId="0" borderId="21" xfId="0" applyNumberFormat="1" applyFont="1" applyFill="1" applyBorder="1" applyAlignment="1">
      <alignment horizontal="center" vertical="center" wrapText="1"/>
    </xf>
    <xf numFmtId="187" fontId="83" fillId="0" borderId="22" xfId="0" applyNumberFormat="1" applyFont="1" applyFill="1" applyBorder="1" applyAlignment="1">
      <alignment horizontal="center" vertical="center" wrapText="1"/>
    </xf>
    <xf numFmtId="187" fontId="83" fillId="0" borderId="25" xfId="3" applyNumberFormat="1" applyFont="1" applyFill="1" applyBorder="1" applyAlignment="1">
      <alignment horizontal="center" vertical="center" wrapText="1"/>
    </xf>
    <xf numFmtId="187" fontId="83" fillId="0" borderId="21" xfId="3" applyNumberFormat="1" applyFont="1" applyFill="1" applyBorder="1" applyAlignment="1">
      <alignment horizontal="center" vertical="center" wrapText="1"/>
    </xf>
    <xf numFmtId="218" fontId="213" fillId="0" borderId="0" xfId="0" applyNumberFormat="1" applyFont="1" applyFill="1" applyAlignment="1">
      <alignment horizontal="center"/>
    </xf>
    <xf numFmtId="210" fontId="83" fillId="0" borderId="25" xfId="3" applyNumberFormat="1" applyFont="1" applyFill="1" applyBorder="1" applyAlignment="1">
      <alignment horizontal="center" vertical="center" wrapText="1"/>
    </xf>
    <xf numFmtId="210" fontId="83" fillId="0" borderId="21" xfId="3" applyNumberFormat="1" applyFont="1" applyFill="1" applyBorder="1" applyAlignment="1">
      <alignment horizontal="center" vertical="center" wrapText="1"/>
    </xf>
    <xf numFmtId="210" fontId="213" fillId="0" borderId="0" xfId="0" applyNumberFormat="1" applyFont="1" applyFill="1" applyAlignment="1">
      <alignment horizontal="center"/>
    </xf>
    <xf numFmtId="3" fontId="213" fillId="0" borderId="0" xfId="3" applyNumberFormat="1" applyFont="1" applyFill="1" applyAlignment="1">
      <alignment horizontal="center"/>
    </xf>
    <xf numFmtId="187" fontId="83" fillId="0" borderId="0" xfId="0" applyNumberFormat="1" applyFont="1" applyFill="1" applyAlignment="1">
      <alignment horizontal="center" vertical="center"/>
    </xf>
    <xf numFmtId="188" fontId="83" fillId="0" borderId="7" xfId="1" applyFont="1" applyFill="1" applyBorder="1" applyAlignment="1">
      <alignment horizontal="center" vertical="center" wrapText="1"/>
    </xf>
    <xf numFmtId="188" fontId="83" fillId="0" borderId="15" xfId="1" applyFont="1" applyFill="1" applyBorder="1" applyAlignment="1">
      <alignment horizontal="center" vertical="center" wrapText="1"/>
    </xf>
    <xf numFmtId="187" fontId="83" fillId="0" borderId="18" xfId="0" applyNumberFormat="1" applyFont="1" applyFill="1" applyBorder="1" applyAlignment="1">
      <alignment horizontal="center" vertical="center" wrapText="1"/>
    </xf>
    <xf numFmtId="187" fontId="83" fillId="0" borderId="12" xfId="0" applyNumberFormat="1" applyFont="1" applyFill="1" applyBorder="1" applyAlignment="1">
      <alignment horizontal="center" vertical="center" wrapText="1"/>
    </xf>
    <xf numFmtId="219" fontId="83" fillId="0" borderId="0" xfId="0" applyNumberFormat="1" applyFont="1" applyFill="1" applyAlignment="1">
      <alignment horizontal="center"/>
    </xf>
    <xf numFmtId="188" fontId="83" fillId="0" borderId="2" xfId="1" applyFont="1" applyFill="1" applyBorder="1" applyAlignment="1">
      <alignment horizontal="center"/>
    </xf>
    <xf numFmtId="187" fontId="83" fillId="0" borderId="6" xfId="3" applyNumberFormat="1" applyFont="1" applyFill="1" applyBorder="1" applyAlignment="1">
      <alignment horizontal="center" vertical="center" wrapText="1"/>
    </xf>
    <xf numFmtId="187" fontId="83" fillId="0" borderId="12" xfId="3" applyNumberFormat="1" applyFont="1" applyFill="1" applyBorder="1" applyAlignment="1">
      <alignment horizontal="center" vertical="center" wrapText="1"/>
    </xf>
    <xf numFmtId="0" fontId="121" fillId="4" borderId="0" xfId="0" applyFont="1" applyFill="1" applyAlignment="1">
      <alignment horizontal="center"/>
    </xf>
    <xf numFmtId="0" fontId="2" fillId="4" borderId="1" xfId="5" applyNumberFormat="1" applyFont="1" applyFill="1" applyBorder="1" applyAlignment="1">
      <alignment horizontal="center" vertical="center"/>
    </xf>
    <xf numFmtId="0" fontId="17" fillId="4" borderId="0" xfId="5" applyNumberFormat="1" applyFont="1" applyFill="1" applyAlignment="1">
      <alignment horizontal="center"/>
    </xf>
    <xf numFmtId="191" fontId="3" fillId="4" borderId="7" xfId="1" applyNumberFormat="1" applyFont="1" applyFill="1" applyBorder="1" applyAlignment="1">
      <alignment horizontal="center" vertical="center" wrapText="1"/>
    </xf>
    <xf numFmtId="191" fontId="3" fillId="4" borderId="15" xfId="1" applyNumberFormat="1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3" fillId="4" borderId="11" xfId="5" applyFont="1" applyFill="1" applyBorder="1" applyAlignment="1">
      <alignment horizontal="center" vertical="center" wrapText="1"/>
    </xf>
    <xf numFmtId="0" fontId="3" fillId="4" borderId="15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center" vertical="center" wrapText="1"/>
    </xf>
    <xf numFmtId="187" fontId="3" fillId="4" borderId="18" xfId="17" applyNumberFormat="1" applyFont="1" applyFill="1" applyBorder="1" applyAlignment="1">
      <alignment horizontal="center"/>
    </xf>
    <xf numFmtId="187" fontId="3" fillId="4" borderId="6" xfId="17" applyNumberFormat="1" applyFont="1" applyFill="1" applyBorder="1" applyAlignment="1">
      <alignment horizontal="center"/>
    </xf>
    <xf numFmtId="187" fontId="3" fillId="4" borderId="12" xfId="17" applyNumberFormat="1" applyFont="1" applyFill="1" applyBorder="1" applyAlignment="1">
      <alignment horizontal="center"/>
    </xf>
    <xf numFmtId="0" fontId="37" fillId="4" borderId="0" xfId="5" applyFont="1" applyFill="1" applyAlignment="1">
      <alignment horizontal="center"/>
    </xf>
    <xf numFmtId="0" fontId="38" fillId="4" borderId="0" xfId="5" applyFont="1" applyFill="1" applyAlignment="1">
      <alignment horizontal="center"/>
    </xf>
    <xf numFmtId="191" fontId="7" fillId="4" borderId="0" xfId="1" applyNumberFormat="1" applyFont="1" applyFill="1" applyBorder="1" applyAlignment="1">
      <alignment vertical="center" shrinkToFit="1"/>
    </xf>
    <xf numFmtId="205" fontId="7" fillId="4" borderId="0" xfId="1" applyNumberFormat="1" applyFont="1" applyFill="1" applyBorder="1" applyAlignment="1">
      <alignment horizontal="center" vertical="center" shrinkToFit="1"/>
    </xf>
    <xf numFmtId="0" fontId="98" fillId="4" borderId="0" xfId="0" applyFont="1" applyFill="1" applyAlignment="1">
      <alignment horizontal="center"/>
    </xf>
    <xf numFmtId="187" fontId="83" fillId="4" borderId="0" xfId="3" quotePrefix="1" applyNumberFormat="1" applyFont="1" applyFill="1" applyAlignment="1">
      <alignment horizontal="center"/>
    </xf>
    <xf numFmtId="3" fontId="3" fillId="4" borderId="7" xfId="1" applyNumberFormat="1" applyFont="1" applyFill="1" applyBorder="1" applyAlignment="1">
      <alignment horizontal="center" vertical="center" wrapText="1"/>
    </xf>
    <xf numFmtId="3" fontId="3" fillId="4" borderId="15" xfId="1" applyNumberFormat="1" applyFont="1" applyFill="1" applyBorder="1" applyAlignment="1">
      <alignment horizontal="center" vertical="center" wrapText="1"/>
    </xf>
    <xf numFmtId="0" fontId="13" fillId="4" borderId="0" xfId="5" applyFont="1" applyFill="1" applyAlignment="1">
      <alignment horizontal="center"/>
    </xf>
    <xf numFmtId="191" fontId="3" fillId="4" borderId="11" xfId="1" applyNumberFormat="1" applyFont="1" applyFill="1" applyBorder="1" applyAlignment="1">
      <alignment horizontal="center" vertical="center" wrapText="1"/>
    </xf>
    <xf numFmtId="191" fontId="3" fillId="4" borderId="25" xfId="1" applyNumberFormat="1" applyFont="1" applyFill="1" applyBorder="1" applyAlignment="1">
      <alignment horizontal="center" vertical="center" wrapText="1"/>
    </xf>
    <xf numFmtId="191" fontId="3" fillId="4" borderId="14" xfId="1" applyNumberFormat="1" applyFont="1" applyFill="1" applyBorder="1" applyAlignment="1">
      <alignment horizontal="center" vertical="center" wrapText="1"/>
    </xf>
    <xf numFmtId="191" fontId="3" fillId="4" borderId="24" xfId="1" applyNumberFormat="1" applyFont="1" applyFill="1" applyBorder="1" applyAlignment="1">
      <alignment horizontal="center" vertical="center" wrapText="1"/>
    </xf>
    <xf numFmtId="191" fontId="3" fillId="4" borderId="7" xfId="5" applyNumberFormat="1" applyFont="1" applyFill="1" applyBorder="1" applyAlignment="1">
      <alignment horizontal="center" vertical="center" wrapText="1"/>
    </xf>
    <xf numFmtId="191" fontId="3" fillId="4" borderId="11" xfId="5" applyNumberFormat="1" applyFont="1" applyFill="1" applyBorder="1" applyAlignment="1">
      <alignment horizontal="center" vertical="center" wrapText="1"/>
    </xf>
    <xf numFmtId="191" fontId="3" fillId="4" borderId="15" xfId="5" applyNumberFormat="1" applyFont="1" applyFill="1" applyBorder="1" applyAlignment="1">
      <alignment horizontal="center" vertical="center" wrapText="1"/>
    </xf>
    <xf numFmtId="188" fontId="7" fillId="4" borderId="0" xfId="5" applyNumberFormat="1" applyFont="1" applyFill="1" applyAlignment="1">
      <alignment horizontal="center"/>
    </xf>
    <xf numFmtId="0" fontId="7" fillId="4" borderId="0" xfId="5" applyFont="1" applyFill="1" applyAlignment="1">
      <alignment horizontal="center"/>
    </xf>
    <xf numFmtId="0" fontId="7" fillId="4" borderId="0" xfId="0" applyFont="1" applyFill="1" applyBorder="1" applyAlignment="1">
      <alignment horizontal="left" vertical="center" shrinkToFit="1"/>
    </xf>
    <xf numFmtId="0" fontId="3" fillId="4" borderId="25" xfId="5" applyNumberFormat="1" applyFont="1" applyFill="1" applyBorder="1" applyAlignment="1">
      <alignment horizontal="center" vertical="center" shrinkToFit="1"/>
    </xf>
    <xf numFmtId="0" fontId="3" fillId="4" borderId="24" xfId="5" applyNumberFormat="1" applyFont="1" applyFill="1" applyBorder="1" applyAlignment="1">
      <alignment horizontal="center" vertical="center" shrinkToFit="1"/>
    </xf>
    <xf numFmtId="0" fontId="3" fillId="4" borderId="8" xfId="5" applyNumberFormat="1" applyFont="1" applyFill="1" applyBorder="1" applyAlignment="1">
      <alignment horizontal="center" vertical="center" shrinkToFit="1"/>
    </xf>
    <xf numFmtId="0" fontId="3" fillId="4" borderId="52" xfId="5" applyNumberFormat="1" applyFont="1" applyFill="1" applyBorder="1" applyAlignment="1">
      <alignment horizontal="center" vertical="center" shrinkToFit="1"/>
    </xf>
    <xf numFmtId="0" fontId="3" fillId="4" borderId="21" xfId="5" applyNumberFormat="1" applyFont="1" applyFill="1" applyBorder="1" applyAlignment="1">
      <alignment horizontal="center" vertical="center" shrinkToFit="1"/>
    </xf>
    <xf numFmtId="0" fontId="3" fillId="4" borderId="22" xfId="5" applyNumberFormat="1" applyFont="1" applyFill="1" applyBorder="1" applyAlignment="1">
      <alignment horizontal="center" vertical="center" shrinkToFit="1"/>
    </xf>
    <xf numFmtId="188" fontId="4" fillId="4" borderId="1" xfId="1" applyNumberFormat="1" applyFont="1" applyFill="1" applyBorder="1" applyAlignment="1">
      <alignment horizontal="center" vertical="center" shrinkToFit="1"/>
    </xf>
    <xf numFmtId="191" fontId="3" fillId="4" borderId="6" xfId="1" applyNumberFormat="1" applyFont="1" applyFill="1" applyBorder="1" applyAlignment="1">
      <alignment horizontal="center" vertical="center" wrapText="1"/>
    </xf>
    <xf numFmtId="191" fontId="3" fillId="4" borderId="12" xfId="1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 wrapText="1"/>
    </xf>
    <xf numFmtId="0" fontId="3" fillId="4" borderId="11" xfId="5" applyNumberFormat="1" applyFont="1" applyFill="1" applyBorder="1" applyAlignment="1">
      <alignment horizontal="center" vertical="center" wrapText="1"/>
    </xf>
    <xf numFmtId="0" fontId="3" fillId="4" borderId="15" xfId="5" applyNumberFormat="1" applyFont="1" applyFill="1" applyBorder="1" applyAlignment="1">
      <alignment horizontal="center" vertical="center" wrapText="1"/>
    </xf>
    <xf numFmtId="191" fontId="3" fillId="4" borderId="2" xfId="1" applyNumberFormat="1" applyFont="1" applyFill="1" applyBorder="1" applyAlignment="1">
      <alignment horizontal="center" vertical="center" wrapText="1"/>
    </xf>
    <xf numFmtId="190" fontId="3" fillId="4" borderId="7" xfId="1" applyNumberFormat="1" applyFont="1" applyFill="1" applyBorder="1" applyAlignment="1">
      <alignment horizontal="center" vertical="center" wrapText="1"/>
    </xf>
    <xf numFmtId="190" fontId="3" fillId="4" borderId="15" xfId="1" applyNumberFormat="1" applyFont="1" applyFill="1" applyBorder="1" applyAlignment="1">
      <alignment horizontal="center" vertical="center" wrapText="1"/>
    </xf>
    <xf numFmtId="191" fontId="3" fillId="4" borderId="22" xfId="1" applyNumberFormat="1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center" vertical="center"/>
    </xf>
    <xf numFmtId="0" fontId="2" fillId="4" borderId="18" xfId="5" applyNumberFormat="1" applyFont="1" applyFill="1" applyBorder="1" applyAlignment="1">
      <alignment horizontal="center" vertical="center" shrinkToFit="1"/>
    </xf>
    <xf numFmtId="0" fontId="2" fillId="4" borderId="6" xfId="5" applyNumberFormat="1" applyFont="1" applyFill="1" applyBorder="1" applyAlignment="1">
      <alignment horizontal="center" vertical="center" shrinkToFit="1"/>
    </xf>
    <xf numFmtId="0" fontId="2" fillId="4" borderId="12" xfId="5" applyNumberFormat="1" applyFont="1" applyFill="1" applyBorder="1" applyAlignment="1">
      <alignment horizontal="center" vertical="center" shrinkToFit="1"/>
    </xf>
    <xf numFmtId="191" fontId="18" fillId="4" borderId="14" xfId="5" applyNumberFormat="1" applyFont="1" applyFill="1" applyBorder="1" applyAlignment="1">
      <alignment horizontal="center" vertical="center"/>
    </xf>
    <xf numFmtId="0" fontId="3" fillId="4" borderId="25" xfId="5" applyFont="1" applyFill="1" applyBorder="1" applyAlignment="1">
      <alignment horizontal="center" vertical="center" wrapText="1"/>
    </xf>
    <xf numFmtId="0" fontId="3" fillId="4" borderId="21" xfId="5" applyFont="1" applyFill="1" applyBorder="1" applyAlignment="1">
      <alignment horizontal="center" vertical="center" wrapText="1"/>
    </xf>
    <xf numFmtId="191" fontId="3" fillId="4" borderId="21" xfId="1" applyNumberFormat="1" applyFont="1" applyFill="1" applyBorder="1" applyAlignment="1">
      <alignment horizontal="center" vertical="center" wrapText="1"/>
    </xf>
    <xf numFmtId="0" fontId="26" fillId="4" borderId="2" xfId="5" applyFont="1" applyFill="1" applyBorder="1" applyAlignment="1">
      <alignment horizontal="center" vertical="center" wrapText="1"/>
    </xf>
    <xf numFmtId="0" fontId="26" fillId="4" borderId="2" xfId="5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 shrinkToFit="1"/>
    </xf>
    <xf numFmtId="212" fontId="4" fillId="0" borderId="0" xfId="1" applyNumberFormat="1" applyFont="1" applyFill="1" applyBorder="1" applyAlignment="1">
      <alignment horizontal="center" vertical="center" shrinkToFit="1"/>
    </xf>
    <xf numFmtId="191" fontId="2" fillId="0" borderId="2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6" fillId="0" borderId="25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shrinkToFit="1"/>
    </xf>
    <xf numFmtId="0" fontId="2" fillId="0" borderId="15" xfId="0" applyNumberFormat="1" applyFont="1" applyFill="1" applyBorder="1" applyAlignment="1">
      <alignment horizontal="center" vertical="center" shrinkToFit="1"/>
    </xf>
    <xf numFmtId="0" fontId="98" fillId="4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2" fontId="4" fillId="0" borderId="1" xfId="1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right" vertical="center" shrinkToFit="1"/>
    </xf>
    <xf numFmtId="191" fontId="2" fillId="0" borderId="7" xfId="1" applyNumberFormat="1" applyFont="1" applyFill="1" applyBorder="1" applyAlignment="1">
      <alignment horizontal="center" vertical="center" wrapText="1"/>
    </xf>
    <xf numFmtId="191" fontId="2" fillId="0" borderId="15" xfId="1" applyNumberFormat="1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190" fontId="2" fillId="0" borderId="25" xfId="1" applyNumberFormat="1" applyFont="1" applyFill="1" applyBorder="1" applyAlignment="1">
      <alignment horizontal="center" vertical="center" wrapText="1"/>
    </xf>
    <xf numFmtId="190" fontId="2" fillId="0" borderId="21" xfId="1" applyNumberFormat="1" applyFont="1" applyFill="1" applyBorder="1" applyAlignment="1">
      <alignment horizontal="center" vertical="center" wrapText="1"/>
    </xf>
    <xf numFmtId="190" fontId="2" fillId="0" borderId="2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13" fillId="0" borderId="0" xfId="0" applyNumberFormat="1" applyFont="1" applyFill="1" applyBorder="1" applyAlignment="1">
      <alignment horizontal="center" vertical="center" shrinkToFit="1"/>
    </xf>
    <xf numFmtId="188" fontId="4" fillId="0" borderId="0" xfId="0" applyNumberFormat="1" applyFont="1" applyFill="1" applyAlignment="1">
      <alignment horizontal="center"/>
    </xf>
    <xf numFmtId="193" fontId="81" fillId="0" borderId="0" xfId="1" applyNumberFormat="1" applyFont="1" applyFill="1" applyAlignment="1">
      <alignment horizontal="center"/>
    </xf>
    <xf numFmtId="0" fontId="80" fillId="4" borderId="2" xfId="0" applyNumberFormat="1" applyFont="1" applyFill="1" applyBorder="1" applyAlignment="1">
      <alignment horizontal="center" vertical="center" shrinkToFit="1"/>
    </xf>
    <xf numFmtId="44" fontId="13" fillId="0" borderId="0" xfId="1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91" fontId="18" fillId="0" borderId="14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91" fontId="4" fillId="0" borderId="0" xfId="0" applyNumberFormat="1" applyFont="1" applyFill="1" applyAlignment="1">
      <alignment horizontal="center"/>
    </xf>
    <xf numFmtId="187" fontId="208" fillId="0" borderId="0" xfId="6" applyNumberFormat="1" applyFont="1" applyFill="1" applyAlignment="1">
      <alignment horizontal="center"/>
    </xf>
    <xf numFmtId="0" fontId="208" fillId="0" borderId="0" xfId="6" applyFont="1" applyFill="1" applyAlignment="1">
      <alignment horizontal="center"/>
    </xf>
    <xf numFmtId="191" fontId="4" fillId="0" borderId="0" xfId="1" applyNumberFormat="1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8" xfId="0" applyNumberFormat="1" applyFont="1" applyFill="1" applyBorder="1" applyAlignment="1">
      <alignment horizontal="center" vertical="center" shrinkToFit="1"/>
    </xf>
    <xf numFmtId="0" fontId="2" fillId="0" borderId="6" xfId="0" applyNumberFormat="1" applyFont="1" applyFill="1" applyBorder="1" applyAlignment="1">
      <alignment horizontal="center" vertical="center" shrinkToFit="1"/>
    </xf>
    <xf numFmtId="0" fontId="2" fillId="0" borderId="12" xfId="0" applyNumberFormat="1" applyFont="1" applyFill="1" applyBorder="1" applyAlignment="1">
      <alignment horizontal="center" vertical="center" shrinkToFit="1"/>
    </xf>
    <xf numFmtId="0" fontId="2" fillId="0" borderId="18" xfId="5" quotePrefix="1" applyFont="1" applyFill="1" applyBorder="1" applyAlignment="1">
      <alignment horizontal="center" vertical="center" shrinkToFit="1"/>
    </xf>
    <xf numFmtId="0" fontId="2" fillId="0" borderId="6" xfId="5" quotePrefix="1" applyFont="1" applyFill="1" applyBorder="1" applyAlignment="1">
      <alignment horizontal="center" vertical="center" shrinkToFit="1"/>
    </xf>
    <xf numFmtId="0" fontId="2" fillId="0" borderId="12" xfId="5" quotePrefix="1" applyFont="1" applyFill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153" fillId="0" borderId="0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48" fillId="0" borderId="0" xfId="6" applyFont="1" applyAlignment="1">
      <alignment horizontal="center"/>
    </xf>
    <xf numFmtId="0" fontId="165" fillId="0" borderId="0" xfId="0" applyFont="1" applyFill="1" applyBorder="1" applyAlignment="1">
      <alignment horizontal="center"/>
    </xf>
    <xf numFmtId="0" fontId="167" fillId="0" borderId="0" xfId="0" applyFont="1" applyFill="1" applyBorder="1" applyAlignment="1">
      <alignment horizontal="center"/>
    </xf>
    <xf numFmtId="0" fontId="119" fillId="4" borderId="2" xfId="0" applyNumberFormat="1" applyFont="1" applyFill="1" applyBorder="1" applyAlignment="1">
      <alignment horizontal="center" vertical="center" shrinkToFit="1"/>
    </xf>
    <xf numFmtId="0" fontId="81" fillId="4" borderId="2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/>
    </xf>
    <xf numFmtId="191" fontId="3" fillId="0" borderId="7" xfId="1" applyNumberFormat="1" applyFont="1" applyFill="1" applyBorder="1" applyAlignment="1">
      <alignment horizontal="center" vertical="center" wrapText="1"/>
    </xf>
    <xf numFmtId="191" fontId="3" fillId="0" borderId="15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 shrinkToFit="1"/>
    </xf>
    <xf numFmtId="0" fontId="3" fillId="0" borderId="15" xfId="0" applyNumberFormat="1" applyFont="1" applyFill="1" applyBorder="1" applyAlignment="1">
      <alignment horizontal="center" vertical="center" shrinkToFit="1"/>
    </xf>
    <xf numFmtId="191" fontId="18" fillId="0" borderId="14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191" fontId="3" fillId="0" borderId="2" xfId="1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191" fontId="3" fillId="0" borderId="2" xfId="0" applyNumberFormat="1" applyFont="1" applyFill="1" applyBorder="1" applyAlignment="1">
      <alignment horizontal="center" vertical="center" wrapText="1"/>
    </xf>
    <xf numFmtId="190" fontId="3" fillId="0" borderId="7" xfId="1" applyNumberFormat="1" applyFont="1" applyFill="1" applyBorder="1" applyAlignment="1">
      <alignment horizontal="center" vertical="center" wrapText="1"/>
    </xf>
    <xf numFmtId="190" fontId="3" fillId="0" borderId="15" xfId="1" applyNumberFormat="1" applyFont="1" applyFill="1" applyBorder="1" applyAlignment="1">
      <alignment horizontal="center" vertical="center" wrapText="1"/>
    </xf>
    <xf numFmtId="188" fontId="4" fillId="4" borderId="0" xfId="1" applyFont="1" applyFill="1" applyAlignment="1">
      <alignment horizontal="center"/>
    </xf>
    <xf numFmtId="0" fontId="166" fillId="0" borderId="0" xfId="0" applyFont="1" applyFill="1" applyAlignment="1">
      <alignment horizontal="center"/>
    </xf>
    <xf numFmtId="0" fontId="166" fillId="0" borderId="0" xfId="0" quotePrefix="1" applyFont="1" applyFill="1" applyAlignment="1">
      <alignment horizontal="center"/>
    </xf>
    <xf numFmtId="0" fontId="99" fillId="0" borderId="0" xfId="0" applyNumberFormat="1" applyFont="1" applyFill="1" applyAlignment="1">
      <alignment horizontal="center"/>
    </xf>
    <xf numFmtId="0" fontId="37" fillId="0" borderId="0" xfId="0" applyNumberFormat="1" applyFont="1" applyFill="1" applyAlignment="1">
      <alignment horizontal="center"/>
    </xf>
    <xf numFmtId="0" fontId="38" fillId="4" borderId="0" xfId="0" applyFont="1" applyFill="1" applyAlignment="1">
      <alignment horizontal="right"/>
    </xf>
    <xf numFmtId="3" fontId="38" fillId="4" borderId="0" xfId="0" applyNumberFormat="1" applyFont="1" applyFill="1" applyAlignment="1">
      <alignment horizontal="center"/>
    </xf>
    <xf numFmtId="0" fontId="38" fillId="4" borderId="0" xfId="0" applyFont="1" applyFill="1" applyAlignment="1">
      <alignment horizontal="center"/>
    </xf>
    <xf numFmtId="0" fontId="37" fillId="0" borderId="2" xfId="0" applyNumberFormat="1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191" fontId="37" fillId="0" borderId="18" xfId="3" applyNumberFormat="1" applyFont="1" applyFill="1" applyBorder="1" applyAlignment="1">
      <alignment horizontal="center"/>
    </xf>
    <xf numFmtId="191" fontId="37" fillId="0" borderId="6" xfId="3" applyNumberFormat="1" applyFont="1" applyFill="1" applyBorder="1" applyAlignment="1">
      <alignment horizontal="center"/>
    </xf>
    <xf numFmtId="0" fontId="44" fillId="0" borderId="0" xfId="0" applyNumberFormat="1" applyFont="1" applyFill="1" applyAlignment="1">
      <alignment horizontal="center"/>
    </xf>
    <xf numFmtId="0" fontId="124" fillId="0" borderId="0" xfId="0" applyNumberFormat="1" applyFont="1" applyFill="1" applyAlignment="1">
      <alignment horizontal="center" vertical="center"/>
    </xf>
    <xf numFmtId="191" fontId="37" fillId="0" borderId="7" xfId="3" applyNumberFormat="1" applyFont="1" applyFill="1" applyBorder="1" applyAlignment="1">
      <alignment horizontal="center" vertical="center" wrapText="1"/>
    </xf>
    <xf numFmtId="191" fontId="37" fillId="0" borderId="11" xfId="3" applyNumberFormat="1" applyFont="1" applyFill="1" applyBorder="1" applyAlignment="1">
      <alignment horizontal="center" vertical="center" wrapText="1"/>
    </xf>
    <xf numFmtId="191" fontId="37" fillId="0" borderId="15" xfId="3" applyNumberFormat="1" applyFont="1" applyFill="1" applyBorder="1" applyAlignment="1">
      <alignment horizontal="center" vertical="center" wrapText="1"/>
    </xf>
    <xf numFmtId="191" fontId="37" fillId="0" borderId="2" xfId="0" applyNumberFormat="1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 vertical="center" shrinkToFit="1"/>
    </xf>
    <xf numFmtId="0" fontId="37" fillId="0" borderId="14" xfId="0" applyFont="1" applyFill="1" applyBorder="1" applyAlignment="1">
      <alignment horizontal="center" vertical="center" shrinkToFit="1"/>
    </xf>
    <xf numFmtId="0" fontId="37" fillId="0" borderId="24" xfId="0" applyFont="1" applyFill="1" applyBorder="1" applyAlignment="1">
      <alignment horizontal="center" vertical="center" shrinkToFit="1"/>
    </xf>
    <xf numFmtId="0" fontId="37" fillId="0" borderId="8" xfId="0" applyFont="1" applyFill="1" applyBorder="1" applyAlignment="1">
      <alignment horizontal="center" vertical="center" shrinkToFit="1"/>
    </xf>
    <xf numFmtId="0" fontId="37" fillId="0" borderId="0" xfId="0" applyFont="1" applyFill="1" applyBorder="1" applyAlignment="1">
      <alignment horizontal="center" vertical="center" shrinkToFit="1"/>
    </xf>
    <xf numFmtId="0" fontId="37" fillId="0" borderId="52" xfId="0" applyFont="1" applyFill="1" applyBorder="1" applyAlignment="1">
      <alignment horizontal="center" vertical="center" shrinkToFit="1"/>
    </xf>
    <xf numFmtId="0" fontId="37" fillId="0" borderId="21" xfId="0" applyFont="1" applyFill="1" applyBorder="1" applyAlignment="1">
      <alignment horizontal="center" vertical="center" shrinkToFit="1"/>
    </xf>
    <xf numFmtId="0" fontId="37" fillId="0" borderId="1" xfId="0" applyFont="1" applyFill="1" applyBorder="1" applyAlignment="1">
      <alignment horizontal="center" vertical="center" shrinkToFit="1"/>
    </xf>
    <xf numFmtId="0" fontId="37" fillId="0" borderId="22" xfId="0" applyFont="1" applyFill="1" applyBorder="1" applyAlignment="1">
      <alignment horizontal="center" vertical="center" shrinkToFit="1"/>
    </xf>
    <xf numFmtId="0" fontId="37" fillId="0" borderId="18" xfId="0" applyNumberFormat="1" applyFont="1" applyFill="1" applyBorder="1" applyAlignment="1">
      <alignment horizontal="left" vertical="center" shrinkToFit="1"/>
    </xf>
    <xf numFmtId="0" fontId="37" fillId="0" borderId="12" xfId="0" applyNumberFormat="1" applyFont="1" applyFill="1" applyBorder="1" applyAlignment="1">
      <alignment horizontal="left" vertical="center" shrinkToFit="1"/>
    </xf>
    <xf numFmtId="1" fontId="37" fillId="0" borderId="2" xfId="0" applyNumberFormat="1" applyFont="1" applyFill="1" applyBorder="1" applyAlignment="1">
      <alignment horizontal="center" vertical="center" wrapText="1"/>
    </xf>
    <xf numFmtId="191" fontId="195" fillId="0" borderId="2" xfId="3" applyNumberFormat="1" applyFont="1" applyFill="1" applyBorder="1" applyAlignment="1">
      <alignment horizontal="center" vertical="center" shrinkToFit="1"/>
    </xf>
    <xf numFmtId="188" fontId="38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7" fillId="0" borderId="0" xfId="0" applyFont="1" applyFill="1" applyAlignment="1">
      <alignment horizontal="center"/>
    </xf>
    <xf numFmtId="200" fontId="153" fillId="0" borderId="14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195" fontId="37" fillId="0" borderId="0" xfId="3" applyNumberFormat="1" applyFont="1" applyFill="1" applyAlignment="1">
      <alignment horizontal="center"/>
    </xf>
    <xf numFmtId="195" fontId="37" fillId="0" borderId="0" xfId="3" quotePrefix="1" applyNumberFormat="1" applyFont="1" applyFill="1" applyAlignment="1">
      <alignment horizontal="center"/>
    </xf>
    <xf numFmtId="0" fontId="37" fillId="0" borderId="1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 wrapText="1"/>
    </xf>
    <xf numFmtId="0" fontId="37" fillId="0" borderId="15" xfId="0" applyFont="1" applyFill="1" applyBorder="1" applyAlignment="1">
      <alignment horizontal="center" vertical="center" wrapText="1"/>
    </xf>
    <xf numFmtId="187" fontId="37" fillId="0" borderId="2" xfId="3" applyNumberFormat="1" applyFont="1" applyFill="1" applyBorder="1" applyAlignment="1">
      <alignment horizontal="center" vertical="center" wrapText="1"/>
    </xf>
    <xf numFmtId="0" fontId="207" fillId="0" borderId="0" xfId="0" applyFont="1" applyAlignment="1">
      <alignment horizontal="center"/>
    </xf>
    <xf numFmtId="0" fontId="212" fillId="0" borderId="2" xfId="0" applyFont="1" applyBorder="1" applyAlignment="1">
      <alignment horizontal="center"/>
    </xf>
    <xf numFmtId="0" fontId="207" fillId="0" borderId="2" xfId="0" applyFont="1" applyBorder="1" applyAlignment="1">
      <alignment horizontal="center"/>
    </xf>
    <xf numFmtId="0" fontId="206" fillId="0" borderId="14" xfId="0" applyFont="1" applyBorder="1" applyAlignment="1">
      <alignment horizontal="center"/>
    </xf>
    <xf numFmtId="0" fontId="166" fillId="0" borderId="0" xfId="0" applyFont="1" applyFill="1" applyBorder="1" applyAlignment="1">
      <alignment horizontal="center"/>
    </xf>
    <xf numFmtId="0" fontId="172" fillId="0" borderId="0" xfId="0" applyFont="1" applyFill="1" applyBorder="1" applyAlignment="1">
      <alignment horizontal="center"/>
    </xf>
    <xf numFmtId="0" fontId="166" fillId="0" borderId="0" xfId="0" applyFont="1" applyFill="1" applyBorder="1" applyAlignment="1">
      <alignment horizontal="left" indent="2"/>
    </xf>
    <xf numFmtId="0" fontId="168" fillId="0" borderId="0" xfId="0" applyFont="1" applyAlignment="1">
      <alignment horizontal="center" vertical="center"/>
    </xf>
    <xf numFmtId="0" fontId="169" fillId="0" borderId="0" xfId="0" applyFont="1" applyFill="1" applyBorder="1" applyAlignment="1">
      <alignment horizontal="center" vertical="center"/>
    </xf>
    <xf numFmtId="44" fontId="76" fillId="0" borderId="18" xfId="11" applyFont="1" applyFill="1" applyBorder="1" applyAlignment="1">
      <alignment horizontal="center" vertical="center"/>
    </xf>
    <xf numFmtId="44" fontId="76" fillId="0" borderId="6" xfId="11" applyFont="1" applyFill="1" applyBorder="1" applyAlignment="1">
      <alignment horizontal="center" vertical="center"/>
    </xf>
    <xf numFmtId="44" fontId="76" fillId="0" borderId="12" xfId="11" applyFont="1" applyFill="1" applyBorder="1" applyAlignment="1">
      <alignment horizontal="center" vertical="center"/>
    </xf>
    <xf numFmtId="44" fontId="76" fillId="0" borderId="2" xfId="11" applyFont="1" applyFill="1" applyBorder="1" applyAlignment="1">
      <alignment horizontal="center" vertical="center"/>
    </xf>
    <xf numFmtId="1" fontId="170" fillId="0" borderId="2" xfId="1" applyNumberFormat="1" applyFont="1" applyFill="1" applyBorder="1" applyAlignment="1">
      <alignment horizontal="center" vertical="center" wrapText="1"/>
    </xf>
    <xf numFmtId="191" fontId="171" fillId="0" borderId="2" xfId="1" applyNumberFormat="1" applyFont="1" applyFill="1" applyBorder="1" applyAlignment="1">
      <alignment horizontal="center" vertical="center" wrapText="1"/>
    </xf>
    <xf numFmtId="188" fontId="170" fillId="0" borderId="2" xfId="1" applyFont="1" applyFill="1" applyBorder="1" applyAlignment="1">
      <alignment horizontal="center" vertical="center" wrapText="1"/>
    </xf>
    <xf numFmtId="44" fontId="166" fillId="0" borderId="0" xfId="11" applyFont="1" applyFill="1" applyBorder="1" applyAlignment="1">
      <alignment horizontal="center"/>
    </xf>
    <xf numFmtId="197" fontId="169" fillId="0" borderId="0" xfId="3" applyNumberFormat="1" applyFont="1" applyFill="1" applyBorder="1" applyAlignment="1">
      <alignment horizontal="center"/>
    </xf>
    <xf numFmtId="0" fontId="2" fillId="0" borderId="0" xfId="5" applyFont="1" applyFill="1" applyAlignment="1">
      <alignment horizontal="center"/>
    </xf>
    <xf numFmtId="0" fontId="7" fillId="0" borderId="0" xfId="0" applyFont="1" applyFill="1" applyBorder="1" applyAlignment="1">
      <alignment horizontal="right" vertical="center" shrinkToFit="1"/>
    </xf>
    <xf numFmtId="3" fontId="7" fillId="0" borderId="0" xfId="0" applyNumberFormat="1" applyFont="1" applyFill="1" applyBorder="1" applyAlignment="1">
      <alignment horizontal="left" vertical="center" shrinkToFit="1"/>
    </xf>
    <xf numFmtId="0" fontId="17" fillId="0" borderId="0" xfId="5" applyNumberFormat="1" applyFont="1" applyFill="1" applyAlignment="1">
      <alignment horizontal="center" wrapText="1"/>
    </xf>
    <xf numFmtId="0" fontId="2" fillId="0" borderId="0" xfId="5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shrinkToFit="1"/>
    </xf>
    <xf numFmtId="0" fontId="3" fillId="0" borderId="2" xfId="5" applyFont="1" applyFill="1" applyBorder="1" applyAlignment="1">
      <alignment horizontal="center" vertical="center" wrapText="1"/>
    </xf>
    <xf numFmtId="0" fontId="7" fillId="0" borderId="2" xfId="5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>
      <alignment horizontal="center" vertical="center" shrinkToFit="1"/>
    </xf>
    <xf numFmtId="0" fontId="2" fillId="0" borderId="2" xfId="5" applyFont="1" applyFill="1" applyBorder="1" applyAlignment="1">
      <alignment horizontal="center" vertical="center" shrinkToFit="1"/>
    </xf>
    <xf numFmtId="0" fontId="2" fillId="0" borderId="2" xfId="5" applyFont="1" applyFill="1" applyBorder="1" applyAlignment="1">
      <alignment horizontal="center" vertical="center" wrapText="1"/>
    </xf>
    <xf numFmtId="0" fontId="2" fillId="0" borderId="7" xfId="5" applyNumberFormat="1" applyFont="1" applyFill="1" applyBorder="1" applyAlignment="1">
      <alignment horizontal="center" vertical="center" wrapText="1"/>
    </xf>
    <xf numFmtId="0" fontId="2" fillId="0" borderId="11" xfId="5" applyFont="1" applyFill="1" applyBorder="1" applyAlignment="1">
      <alignment horizontal="center" vertical="center" wrapText="1"/>
    </xf>
    <xf numFmtId="0" fontId="4" fillId="0" borderId="15" xfId="5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wrapText="1"/>
    </xf>
    <xf numFmtId="191" fontId="2" fillId="0" borderId="11" xfId="1" applyNumberFormat="1" applyFont="1" applyFill="1" applyBorder="1" applyAlignment="1">
      <alignment horizontal="center" vertical="center" wrapText="1"/>
    </xf>
    <xf numFmtId="191" fontId="2" fillId="0" borderId="7" xfId="5" applyNumberFormat="1" applyFont="1" applyFill="1" applyBorder="1" applyAlignment="1">
      <alignment horizontal="center" vertical="center" wrapText="1"/>
    </xf>
    <xf numFmtId="191" fontId="2" fillId="0" borderId="11" xfId="5" applyNumberFormat="1" applyFont="1" applyFill="1" applyBorder="1" applyAlignment="1">
      <alignment horizontal="center" vertical="center" wrapText="1"/>
    </xf>
    <xf numFmtId="191" fontId="2" fillId="0" borderId="15" xfId="5" applyNumberFormat="1" applyFont="1" applyFill="1" applyBorder="1" applyAlignment="1">
      <alignment horizontal="center" vertical="center" wrapText="1"/>
    </xf>
    <xf numFmtId="0" fontId="3" fillId="0" borderId="18" xfId="5" applyFont="1" applyFill="1" applyBorder="1" applyAlignment="1">
      <alignment horizontal="center" vertical="center" wrapText="1"/>
    </xf>
    <xf numFmtId="0" fontId="3" fillId="0" borderId="6" xfId="5" applyFont="1" applyFill="1" applyBorder="1" applyAlignment="1">
      <alignment horizontal="center" vertical="center" wrapText="1"/>
    </xf>
    <xf numFmtId="0" fontId="3" fillId="0" borderId="12" xfId="5" applyFont="1" applyFill="1" applyBorder="1" applyAlignment="1">
      <alignment horizontal="center" vertical="center" wrapText="1"/>
    </xf>
    <xf numFmtId="0" fontId="97" fillId="0" borderId="7" xfId="5" applyFont="1" applyFill="1" applyBorder="1" applyAlignment="1">
      <alignment horizontal="center" vertical="center" wrapText="1"/>
    </xf>
    <xf numFmtId="0" fontId="13" fillId="0" borderId="0" xfId="5" applyFont="1" applyFill="1" applyAlignment="1">
      <alignment horizontal="center"/>
    </xf>
    <xf numFmtId="0" fontId="160" fillId="0" borderId="14" xfId="5" applyNumberFormat="1" applyFont="1" applyFill="1" applyBorder="1" applyAlignment="1">
      <alignment horizontal="center" vertical="center" shrinkToFit="1"/>
    </xf>
    <xf numFmtId="0" fontId="3" fillId="0" borderId="18" xfId="5" applyNumberFormat="1" applyFont="1" applyFill="1" applyBorder="1" applyAlignment="1">
      <alignment horizontal="center" vertical="center" shrinkToFit="1"/>
    </xf>
    <xf numFmtId="0" fontId="3" fillId="0" borderId="6" xfId="5" applyNumberFormat="1" applyFont="1" applyFill="1" applyBorder="1" applyAlignment="1">
      <alignment horizontal="center" vertical="center" shrinkToFit="1"/>
    </xf>
    <xf numFmtId="0" fontId="66" fillId="0" borderId="0" xfId="5" applyFont="1" applyFill="1" applyAlignment="1">
      <alignment horizontal="center"/>
    </xf>
    <xf numFmtId="0" fontId="24" fillId="0" borderId="0" xfId="5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3" fontId="96" fillId="0" borderId="14" xfId="1" applyNumberFormat="1" applyFont="1" applyFill="1" applyBorder="1" applyAlignment="1">
      <alignment horizontal="center" vertical="center"/>
    </xf>
    <xf numFmtId="196" fontId="66" fillId="0" borderId="0" xfId="7" applyNumberFormat="1" applyFont="1" applyFill="1" applyBorder="1" applyAlignment="1">
      <alignment horizontal="center" vertical="center"/>
    </xf>
    <xf numFmtId="43" fontId="66" fillId="0" borderId="2" xfId="1" applyNumberFormat="1" applyFont="1" applyFill="1" applyBorder="1" applyAlignment="1">
      <alignment horizontal="center" vertical="center"/>
    </xf>
    <xf numFmtId="43" fontId="66" fillId="0" borderId="7" xfId="1" applyNumberFormat="1" applyFont="1" applyFill="1" applyBorder="1" applyAlignment="1">
      <alignment horizontal="center" vertical="center" wrapText="1"/>
    </xf>
    <xf numFmtId="43" fontId="66" fillId="0" borderId="15" xfId="1" applyNumberFormat="1" applyFont="1" applyFill="1" applyBorder="1" applyAlignment="1">
      <alignment horizontal="center" vertical="center" wrapText="1"/>
    </xf>
    <xf numFmtId="4" fontId="67" fillId="0" borderId="3" xfId="7" applyNumberFormat="1" applyFont="1" applyFill="1" applyBorder="1" applyAlignment="1">
      <alignment horizontal="left" vertical="center"/>
    </xf>
    <xf numFmtId="4" fontId="67" fillId="0" borderId="4" xfId="7" applyNumberFormat="1" applyFont="1" applyFill="1" applyBorder="1" applyAlignment="1">
      <alignment horizontal="left" vertical="center"/>
    </xf>
    <xf numFmtId="4" fontId="67" fillId="0" borderId="44" xfId="7" applyNumberFormat="1" applyFont="1" applyFill="1" applyBorder="1" applyAlignment="1">
      <alignment horizontal="left" vertical="center"/>
    </xf>
    <xf numFmtId="4" fontId="67" fillId="0" borderId="42" xfId="7" applyNumberFormat="1" applyFont="1" applyFill="1" applyBorder="1" applyAlignment="1">
      <alignment horizontal="left" vertical="center"/>
    </xf>
    <xf numFmtId="4" fontId="67" fillId="0" borderId="43" xfId="7" applyNumberFormat="1" applyFont="1" applyFill="1" applyBorder="1" applyAlignment="1">
      <alignment horizontal="left" vertical="center"/>
    </xf>
    <xf numFmtId="4" fontId="67" fillId="0" borderId="47" xfId="1" applyNumberFormat="1" applyFont="1" applyFill="1" applyBorder="1" applyAlignment="1">
      <alignment horizontal="center" vertical="center"/>
    </xf>
    <xf numFmtId="4" fontId="67" fillId="0" borderId="48" xfId="1" applyNumberFormat="1" applyFont="1" applyFill="1" applyBorder="1" applyAlignment="1">
      <alignment horizontal="center" vertical="center"/>
    </xf>
    <xf numFmtId="4" fontId="67" fillId="0" borderId="23" xfId="1" applyNumberFormat="1" applyFont="1" applyFill="1" applyBorder="1" applyAlignment="1">
      <alignment horizontal="center" vertical="center"/>
    </xf>
    <xf numFmtId="0" fontId="116" fillId="0" borderId="0" xfId="7" applyFont="1" applyFill="1" applyBorder="1" applyAlignment="1">
      <alignment horizontal="center" vertical="center"/>
    </xf>
    <xf numFmtId="192" fontId="121" fillId="4" borderId="2" xfId="2" applyNumberFormat="1" applyFont="1" applyFill="1" applyBorder="1" applyAlignment="1">
      <alignment horizontal="center" vertical="center" wrapText="1"/>
    </xf>
    <xf numFmtId="192" fontId="121" fillId="4" borderId="2" xfId="2" applyNumberFormat="1" applyFont="1" applyFill="1" applyBorder="1" applyAlignment="1">
      <alignment horizontal="center" vertical="center"/>
    </xf>
    <xf numFmtId="0" fontId="133" fillId="4" borderId="0" xfId="0" applyFont="1" applyFill="1" applyAlignment="1">
      <alignment horizontal="center" vertical="center"/>
    </xf>
    <xf numFmtId="0" fontId="121" fillId="4" borderId="2" xfId="0" applyFont="1" applyFill="1" applyBorder="1" applyAlignment="1">
      <alignment horizontal="center" vertical="center" wrapText="1"/>
    </xf>
    <xf numFmtId="192" fontId="121" fillId="4" borderId="7" xfId="2" applyNumberFormat="1" applyFont="1" applyFill="1" applyBorder="1" applyAlignment="1">
      <alignment horizontal="center" vertical="center" wrapText="1"/>
    </xf>
    <xf numFmtId="192" fontId="121" fillId="4" borderId="11" xfId="2" applyNumberFormat="1" applyFont="1" applyFill="1" applyBorder="1" applyAlignment="1">
      <alignment horizontal="center" vertical="center" wrapText="1"/>
    </xf>
    <xf numFmtId="192" fontId="121" fillId="4" borderId="15" xfId="2" applyNumberFormat="1" applyFont="1" applyFill="1" applyBorder="1" applyAlignment="1">
      <alignment horizontal="center" vertical="center" wrapText="1"/>
    </xf>
    <xf numFmtId="0" fontId="72" fillId="4" borderId="1" xfId="0" applyNumberFormat="1" applyFont="1" applyFill="1" applyBorder="1" applyAlignment="1">
      <alignment horizontal="center"/>
    </xf>
    <xf numFmtId="0" fontId="121" fillId="4" borderId="11" xfId="0" applyFont="1" applyFill="1" applyBorder="1" applyAlignment="1">
      <alignment horizontal="center" vertical="center" wrapText="1"/>
    </xf>
    <xf numFmtId="0" fontId="121" fillId="4" borderId="15" xfId="0" applyFont="1" applyFill="1" applyBorder="1" applyAlignment="1">
      <alignment horizontal="center" vertical="center" wrapText="1"/>
    </xf>
    <xf numFmtId="0" fontId="121" fillId="4" borderId="7" xfId="0" applyFont="1" applyFill="1" applyBorder="1" applyAlignment="1">
      <alignment horizontal="center" vertical="center" wrapText="1"/>
    </xf>
    <xf numFmtId="0" fontId="121" fillId="4" borderId="2" xfId="0" applyFont="1" applyFill="1" applyBorder="1" applyAlignment="1">
      <alignment horizontal="center" vertical="center"/>
    </xf>
    <xf numFmtId="0" fontId="121" fillId="4" borderId="25" xfId="0" applyFont="1" applyFill="1" applyBorder="1" applyAlignment="1">
      <alignment horizontal="left" vertical="center"/>
    </xf>
    <xf numFmtId="0" fontId="121" fillId="4" borderId="24" xfId="0" applyFont="1" applyFill="1" applyBorder="1" applyAlignment="1">
      <alignment horizontal="left" vertical="center"/>
    </xf>
    <xf numFmtId="0" fontId="195" fillId="4" borderId="0" xfId="0" applyFont="1" applyFill="1" applyAlignment="1">
      <alignment horizontal="center"/>
    </xf>
    <xf numFmtId="0" fontId="139" fillId="4" borderId="0" xfId="0" applyFont="1" applyFill="1" applyAlignment="1">
      <alignment horizontal="right"/>
    </xf>
    <xf numFmtId="0" fontId="198" fillId="4" borderId="0" xfId="0" applyFont="1" applyFill="1" applyAlignment="1">
      <alignment horizontal="center"/>
    </xf>
    <xf numFmtId="0" fontId="197" fillId="4" borderId="0" xfId="0" applyFont="1" applyFill="1" applyBorder="1" applyAlignment="1">
      <alignment horizontal="center"/>
    </xf>
    <xf numFmtId="0" fontId="197" fillId="4" borderId="0" xfId="0" applyFont="1" applyFill="1" applyAlignment="1">
      <alignment horizontal="center"/>
    </xf>
    <xf numFmtId="0" fontId="180" fillId="4" borderId="0" xfId="0" applyFont="1" applyFill="1" applyBorder="1" applyAlignment="1">
      <alignment horizontal="center" vertical="center"/>
    </xf>
    <xf numFmtId="0" fontId="180" fillId="4" borderId="0" xfId="0" applyFont="1" applyFill="1" applyAlignment="1">
      <alignment horizontal="center"/>
    </xf>
    <xf numFmtId="0" fontId="180" fillId="4" borderId="2" xfId="0" applyFont="1" applyFill="1" applyBorder="1" applyAlignment="1">
      <alignment horizontal="center" vertical="center" wrapText="1"/>
    </xf>
    <xf numFmtId="0" fontId="180" fillId="4" borderId="18" xfId="0" applyFont="1" applyFill="1" applyBorder="1" applyAlignment="1">
      <alignment horizontal="center" vertical="center" wrapText="1"/>
    </xf>
    <xf numFmtId="0" fontId="180" fillId="4" borderId="12" xfId="0" applyFont="1" applyFill="1" applyBorder="1" applyAlignment="1">
      <alignment horizontal="center" vertical="center" wrapText="1"/>
    </xf>
    <xf numFmtId="0" fontId="180" fillId="4" borderId="7" xfId="0" applyFont="1" applyFill="1" applyBorder="1" applyAlignment="1">
      <alignment horizontal="center" vertical="center" wrapText="1"/>
    </xf>
    <xf numFmtId="0" fontId="180" fillId="4" borderId="15" xfId="0" applyFont="1" applyFill="1" applyBorder="1" applyAlignment="1">
      <alignment horizontal="center" vertical="center" wrapText="1"/>
    </xf>
    <xf numFmtId="0" fontId="180" fillId="4" borderId="18" xfId="0" applyFont="1" applyFill="1" applyBorder="1" applyAlignment="1">
      <alignment horizontal="left" vertical="center"/>
    </xf>
    <xf numFmtId="0" fontId="180" fillId="4" borderId="12" xfId="0" applyFont="1" applyFill="1" applyBorder="1" applyAlignment="1">
      <alignment horizontal="left" vertical="center"/>
    </xf>
    <xf numFmtId="0" fontId="180" fillId="4" borderId="2" xfId="0" applyFont="1" applyFill="1" applyBorder="1" applyAlignment="1">
      <alignment horizontal="center" vertical="center"/>
    </xf>
    <xf numFmtId="0" fontId="180" fillId="4" borderId="11" xfId="0" applyFont="1" applyFill="1" applyBorder="1" applyAlignment="1">
      <alignment horizontal="center" vertical="center" wrapText="1"/>
    </xf>
    <xf numFmtId="0" fontId="180" fillId="4" borderId="24" xfId="0" applyFont="1" applyFill="1" applyBorder="1" applyAlignment="1">
      <alignment horizontal="center" vertical="center"/>
    </xf>
    <xf numFmtId="0" fontId="180" fillId="4" borderId="52" xfId="0" applyFont="1" applyFill="1" applyBorder="1" applyAlignment="1">
      <alignment horizontal="center" vertical="center"/>
    </xf>
    <xf numFmtId="0" fontId="180" fillId="4" borderId="22" xfId="0" applyFont="1" applyFill="1" applyBorder="1" applyAlignment="1">
      <alignment horizontal="center" vertical="center"/>
    </xf>
    <xf numFmtId="0" fontId="183" fillId="4" borderId="7" xfId="0" applyFont="1" applyFill="1" applyBorder="1" applyAlignment="1">
      <alignment horizontal="center" vertical="center"/>
    </xf>
    <xf numFmtId="0" fontId="183" fillId="4" borderId="11" xfId="0" applyFont="1" applyFill="1" applyBorder="1" applyAlignment="1">
      <alignment horizontal="center" vertical="center"/>
    </xf>
    <xf numFmtId="0" fontId="183" fillId="4" borderId="15" xfId="0" applyFont="1" applyFill="1" applyBorder="1" applyAlignment="1">
      <alignment horizontal="center" vertical="center"/>
    </xf>
    <xf numFmtId="192" fontId="180" fillId="4" borderId="7" xfId="12" applyNumberFormat="1" applyFont="1" applyFill="1" applyBorder="1" applyAlignment="1">
      <alignment horizontal="center" vertical="center" wrapText="1"/>
    </xf>
    <xf numFmtId="192" fontId="180" fillId="4" borderId="11" xfId="12" applyNumberFormat="1" applyFont="1" applyFill="1" applyBorder="1" applyAlignment="1">
      <alignment horizontal="center" vertical="center" wrapText="1"/>
    </xf>
    <xf numFmtId="192" fontId="180" fillId="4" borderId="15" xfId="12" applyNumberFormat="1" applyFont="1" applyFill="1" applyBorder="1" applyAlignment="1">
      <alignment horizontal="center" vertical="center" wrapText="1"/>
    </xf>
    <xf numFmtId="0" fontId="180" fillId="4" borderId="7" xfId="0" applyFont="1" applyFill="1" applyBorder="1" applyAlignment="1">
      <alignment horizontal="center" vertical="center"/>
    </xf>
    <xf numFmtId="0" fontId="180" fillId="4" borderId="11" xfId="0" applyFont="1" applyFill="1" applyBorder="1" applyAlignment="1">
      <alignment horizontal="center" vertical="center"/>
    </xf>
    <xf numFmtId="0" fontId="180" fillId="4" borderId="15" xfId="0" applyFont="1" applyFill="1" applyBorder="1" applyAlignment="1">
      <alignment horizontal="center" vertical="center"/>
    </xf>
    <xf numFmtId="0" fontId="187" fillId="4" borderId="0" xfId="0" applyFont="1" applyFill="1" applyAlignment="1">
      <alignment horizontal="right" vertical="center"/>
    </xf>
    <xf numFmtId="192" fontId="180" fillId="4" borderId="25" xfId="12" applyNumberFormat="1" applyFont="1" applyFill="1" applyBorder="1" applyAlignment="1">
      <alignment horizontal="center" vertical="center" wrapText="1"/>
    </xf>
    <xf numFmtId="192" fontId="180" fillId="4" borderId="14" xfId="12" applyNumberFormat="1" applyFont="1" applyFill="1" applyBorder="1" applyAlignment="1">
      <alignment horizontal="center" vertical="center" wrapText="1"/>
    </xf>
    <xf numFmtId="192" fontId="180" fillId="4" borderId="24" xfId="12" applyNumberFormat="1" applyFont="1" applyFill="1" applyBorder="1" applyAlignment="1">
      <alignment horizontal="center" vertical="center" wrapText="1"/>
    </xf>
    <xf numFmtId="192" fontId="180" fillId="4" borderId="8" xfId="12" applyNumberFormat="1" applyFont="1" applyFill="1" applyBorder="1" applyAlignment="1">
      <alignment horizontal="center" vertical="center" wrapText="1"/>
    </xf>
    <xf numFmtId="192" fontId="180" fillId="4" borderId="0" xfId="12" applyNumberFormat="1" applyFont="1" applyFill="1" applyBorder="1" applyAlignment="1">
      <alignment horizontal="center" vertical="center" wrapText="1"/>
    </xf>
    <xf numFmtId="192" fontId="180" fillId="4" borderId="52" xfId="12" applyNumberFormat="1" applyFont="1" applyFill="1" applyBorder="1" applyAlignment="1">
      <alignment horizontal="center" vertical="center" wrapText="1"/>
    </xf>
    <xf numFmtId="192" fontId="180" fillId="4" borderId="21" xfId="12" applyNumberFormat="1" applyFont="1" applyFill="1" applyBorder="1" applyAlignment="1">
      <alignment horizontal="center" vertical="center" wrapText="1"/>
    </xf>
    <xf numFmtId="192" fontId="180" fillId="4" borderId="1" xfId="12" applyNumberFormat="1" applyFont="1" applyFill="1" applyBorder="1" applyAlignment="1">
      <alignment horizontal="center" vertical="center" wrapText="1"/>
    </xf>
    <xf numFmtId="192" fontId="180" fillId="4" borderId="22" xfId="12" applyNumberFormat="1" applyFont="1" applyFill="1" applyBorder="1" applyAlignment="1">
      <alignment horizontal="center" vertical="center" wrapText="1"/>
    </xf>
    <xf numFmtId="0" fontId="180" fillId="4" borderId="25" xfId="0" applyFont="1" applyFill="1" applyBorder="1" applyAlignment="1">
      <alignment horizontal="center" vertical="center" wrapText="1"/>
    </xf>
    <xf numFmtId="0" fontId="180" fillId="4" borderId="24" xfId="0" applyFont="1" applyFill="1" applyBorder="1" applyAlignment="1">
      <alignment horizontal="center" vertical="center" wrapText="1"/>
    </xf>
    <xf numFmtId="0" fontId="180" fillId="4" borderId="8" xfId="0" applyFont="1" applyFill="1" applyBorder="1" applyAlignment="1">
      <alignment horizontal="center" vertical="center" wrapText="1"/>
    </xf>
    <xf numFmtId="0" fontId="180" fillId="4" borderId="52" xfId="0" applyFont="1" applyFill="1" applyBorder="1" applyAlignment="1">
      <alignment horizontal="center" vertical="center" wrapText="1"/>
    </xf>
    <xf numFmtId="0" fontId="180" fillId="4" borderId="21" xfId="0" applyFont="1" applyFill="1" applyBorder="1" applyAlignment="1">
      <alignment horizontal="center" vertical="center" wrapText="1"/>
    </xf>
    <xf numFmtId="0" fontId="180" fillId="4" borderId="22" xfId="0" applyFont="1" applyFill="1" applyBorder="1" applyAlignment="1">
      <alignment horizontal="center" vertical="center" wrapText="1"/>
    </xf>
    <xf numFmtId="0" fontId="139" fillId="4" borderId="0" xfId="0" applyFont="1" applyFill="1" applyAlignment="1">
      <alignment horizontal="right" vertical="center"/>
    </xf>
    <xf numFmtId="192" fontId="121" fillId="4" borderId="2" xfId="12" applyNumberFormat="1" applyFont="1" applyFill="1" applyBorder="1" applyAlignment="1">
      <alignment horizontal="center" vertical="center" wrapText="1"/>
    </xf>
    <xf numFmtId="192" fontId="121" fillId="4" borderId="2" xfId="12" applyNumberFormat="1" applyFont="1" applyFill="1" applyBorder="1" applyAlignment="1">
      <alignment horizontal="center" vertical="center"/>
    </xf>
    <xf numFmtId="0" fontId="121" fillId="4" borderId="18" xfId="0" applyFont="1" applyFill="1" applyBorder="1" applyAlignment="1">
      <alignment horizontal="center" vertical="center" wrapText="1"/>
    </xf>
    <xf numFmtId="0" fontId="121" fillId="4" borderId="12" xfId="0" applyFont="1" applyFill="1" applyBorder="1" applyAlignment="1">
      <alignment horizontal="center" vertical="center" wrapText="1"/>
    </xf>
    <xf numFmtId="0" fontId="121" fillId="4" borderId="18" xfId="0" applyFont="1" applyFill="1" applyBorder="1" applyAlignment="1">
      <alignment horizontal="left" vertical="center"/>
    </xf>
    <xf numFmtId="0" fontId="121" fillId="4" borderId="12" xfId="0" applyFont="1" applyFill="1" applyBorder="1" applyAlignment="1">
      <alignment horizontal="left" vertical="center"/>
    </xf>
    <xf numFmtId="0" fontId="121" fillId="4" borderId="18" xfId="0" applyFont="1" applyFill="1" applyBorder="1" applyAlignment="1">
      <alignment horizontal="center" vertical="center"/>
    </xf>
    <xf numFmtId="0" fontId="121" fillId="4" borderId="6" xfId="0" applyFont="1" applyFill="1" applyBorder="1" applyAlignment="1">
      <alignment horizontal="center" vertical="center"/>
    </xf>
    <xf numFmtId="0" fontId="121" fillId="4" borderId="12" xfId="0" applyFont="1" applyFill="1" applyBorder="1" applyAlignment="1">
      <alignment horizontal="center" vertical="center"/>
    </xf>
    <xf numFmtId="0" fontId="121" fillId="4" borderId="0" xfId="0" applyFont="1" applyFill="1" applyBorder="1" applyAlignment="1">
      <alignment horizontal="center"/>
    </xf>
    <xf numFmtId="0" fontId="120" fillId="4" borderId="0" xfId="0" applyFont="1" applyFill="1" applyBorder="1" applyAlignment="1">
      <alignment horizontal="center"/>
    </xf>
    <xf numFmtId="0" fontId="133" fillId="4" borderId="0" xfId="0" applyFont="1" applyFill="1" applyBorder="1" applyAlignment="1">
      <alignment horizontal="center" vertical="center"/>
    </xf>
    <xf numFmtId="0" fontId="207" fillId="0" borderId="0" xfId="6" applyFont="1" applyFill="1" applyAlignment="1"/>
    <xf numFmtId="0" fontId="207" fillId="0" borderId="0" xfId="6" applyFont="1" applyFill="1" applyAlignment="1">
      <alignment horizontal="center"/>
    </xf>
    <xf numFmtId="3" fontId="37" fillId="0" borderId="0" xfId="0" applyNumberFormat="1" applyFont="1" applyFill="1" applyAlignment="1">
      <alignment horizontal="center"/>
    </xf>
    <xf numFmtId="0" fontId="74" fillId="0" borderId="0" xfId="6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75" fillId="0" borderId="0" xfId="0" applyFont="1" applyFill="1" applyAlignment="1">
      <alignment horizontal="center"/>
    </xf>
    <xf numFmtId="0" fontId="37" fillId="0" borderId="2" xfId="0" applyFont="1" applyFill="1" applyBorder="1" applyAlignment="1">
      <alignment horizontal="center"/>
    </xf>
    <xf numFmtId="0" fontId="195" fillId="0" borderId="18" xfId="0" applyFont="1" applyFill="1" applyBorder="1" applyAlignment="1">
      <alignment horizontal="center"/>
    </xf>
    <xf numFmtId="0" fontId="195" fillId="0" borderId="6" xfId="0" applyFont="1" applyFill="1" applyBorder="1" applyAlignment="1">
      <alignment horizontal="center"/>
    </xf>
    <xf numFmtId="0" fontId="195" fillId="0" borderId="12" xfId="0" applyFont="1" applyFill="1" applyBorder="1" applyAlignment="1">
      <alignment horizontal="center"/>
    </xf>
    <xf numFmtId="0" fontId="153" fillId="0" borderId="0" xfId="6" applyFont="1" applyFill="1" applyAlignment="1">
      <alignment horizontal="left" indent="10"/>
    </xf>
    <xf numFmtId="0" fontId="37" fillId="0" borderId="0" xfId="0" quotePrefix="1" applyFont="1" applyFill="1" applyAlignment="1">
      <alignment horizontal="center"/>
    </xf>
    <xf numFmtId="0" fontId="38" fillId="0" borderId="0" xfId="0" applyNumberFormat="1" applyFont="1" applyFill="1" applyAlignment="1">
      <alignment horizontal="center"/>
    </xf>
    <xf numFmtId="191" fontId="38" fillId="0" borderId="4" xfId="1" applyNumberFormat="1" applyFont="1" applyFill="1" applyBorder="1" applyAlignment="1">
      <alignment horizontal="center" vertical="center"/>
    </xf>
    <xf numFmtId="188" fontId="38" fillId="0" borderId="4" xfId="1" applyFont="1" applyFill="1" applyBorder="1" applyAlignment="1">
      <alignment vertical="top"/>
    </xf>
    <xf numFmtId="188" fontId="38" fillId="0" borderId="4" xfId="1" applyFont="1" applyFill="1" applyBorder="1" applyAlignment="1">
      <alignment horizontal="center" vertical="center"/>
    </xf>
    <xf numFmtId="188" fontId="38" fillId="0" borderId="4" xfId="1" applyFont="1" applyFill="1" applyBorder="1" applyAlignment="1">
      <alignment horizontal="left" vertical="center"/>
    </xf>
    <xf numFmtId="0" fontId="158" fillId="0" borderId="2" xfId="0" applyNumberFormat="1" applyFont="1" applyFill="1" applyBorder="1" applyAlignment="1">
      <alignment horizontal="center" vertical="center"/>
    </xf>
    <xf numFmtId="191" fontId="153" fillId="0" borderId="0" xfId="0" applyNumberFormat="1" applyFont="1" applyFill="1" applyBorder="1" applyAlignment="1">
      <alignment horizontal="center" vertical="center"/>
    </xf>
    <xf numFmtId="2" fontId="37" fillId="0" borderId="18" xfId="0" applyNumberFormat="1" applyFont="1" applyFill="1" applyBorder="1" applyAlignment="1">
      <alignment horizontal="center" vertical="center"/>
    </xf>
    <xf numFmtId="0" fontId="37" fillId="0" borderId="12" xfId="0" applyNumberFormat="1" applyFont="1" applyFill="1" applyBorder="1" applyAlignment="1">
      <alignment horizontal="center" vertical="center"/>
    </xf>
    <xf numFmtId="191" fontId="37" fillId="0" borderId="18" xfId="1" applyNumberFormat="1" applyFont="1" applyFill="1" applyBorder="1" applyAlignment="1">
      <alignment horizontal="center" vertical="center"/>
    </xf>
    <xf numFmtId="191" fontId="37" fillId="0" borderId="12" xfId="1" applyNumberFormat="1" applyFont="1" applyFill="1" applyBorder="1" applyAlignment="1">
      <alignment horizontal="center" vertical="center"/>
    </xf>
    <xf numFmtId="0" fontId="37" fillId="0" borderId="18" xfId="0" applyNumberFormat="1" applyFont="1" applyFill="1" applyBorder="1" applyAlignment="1">
      <alignment horizontal="center" vertical="center"/>
    </xf>
    <xf numFmtId="0" fontId="37" fillId="0" borderId="6" xfId="0" applyNumberFormat="1" applyFont="1" applyFill="1" applyBorder="1" applyAlignment="1">
      <alignment horizontal="center" vertical="center"/>
    </xf>
    <xf numFmtId="191" fontId="37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37" fillId="0" borderId="2" xfId="0" applyNumberFormat="1" applyFont="1" applyFill="1" applyBorder="1" applyAlignment="1">
      <alignment horizontal="center" vertical="center"/>
    </xf>
    <xf numFmtId="188" fontId="38" fillId="0" borderId="47" xfId="1" applyFont="1" applyFill="1" applyBorder="1" applyAlignment="1">
      <alignment horizontal="center" vertical="center"/>
    </xf>
    <xf numFmtId="188" fontId="38" fillId="0" borderId="23" xfId="1" applyFont="1" applyFill="1" applyBorder="1" applyAlignment="1">
      <alignment horizontal="center" vertical="center"/>
    </xf>
    <xf numFmtId="188" fontId="38" fillId="0" borderId="47" xfId="1" applyFont="1" applyFill="1" applyBorder="1" applyAlignment="1">
      <alignment horizontal="left" vertical="center"/>
    </xf>
    <xf numFmtId="188" fontId="38" fillId="0" borderId="23" xfId="1" applyFont="1" applyFill="1" applyBorder="1" applyAlignment="1">
      <alignment horizontal="left" vertical="center"/>
    </xf>
    <xf numFmtId="188" fontId="38" fillId="0" borderId="48" xfId="1" applyFont="1" applyFill="1" applyBorder="1" applyAlignment="1">
      <alignment horizontal="center" vertical="center"/>
    </xf>
    <xf numFmtId="188" fontId="38" fillId="0" borderId="47" xfId="1" applyFont="1" applyFill="1" applyBorder="1" applyAlignment="1">
      <alignment vertical="top"/>
    </xf>
    <xf numFmtId="188" fontId="38" fillId="0" borderId="48" xfId="1" applyFont="1" applyFill="1" applyBorder="1" applyAlignment="1">
      <alignment vertical="top"/>
    </xf>
    <xf numFmtId="188" fontId="38" fillId="0" borderId="23" xfId="1" applyFont="1" applyFill="1" applyBorder="1" applyAlignment="1">
      <alignment vertical="top"/>
    </xf>
    <xf numFmtId="0" fontId="153" fillId="0" borderId="0" xfId="6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8" fillId="0" borderId="0" xfId="6" applyFont="1" applyFill="1" applyAlignment="1">
      <alignment horizontal="center"/>
    </xf>
    <xf numFmtId="0" fontId="17" fillId="0" borderId="0" xfId="6" applyFont="1" applyFill="1" applyBorder="1" applyAlignment="1">
      <alignment horizontal="center" vertical="center" wrapText="1" shrinkToFit="1"/>
    </xf>
    <xf numFmtId="0" fontId="46" fillId="0" borderId="7" xfId="6" applyFont="1" applyFill="1" applyBorder="1" applyAlignment="1">
      <alignment horizontal="center" vertical="center"/>
    </xf>
    <xf numFmtId="0" fontId="46" fillId="0" borderId="15" xfId="6" applyFont="1" applyFill="1" applyBorder="1" applyAlignment="1">
      <alignment horizontal="center" vertical="center"/>
    </xf>
    <xf numFmtId="0" fontId="46" fillId="0" borderId="7" xfId="6" applyFont="1" applyFill="1" applyBorder="1" applyAlignment="1">
      <alignment horizontal="center" vertical="center" wrapText="1"/>
    </xf>
    <xf numFmtId="0" fontId="10" fillId="0" borderId="7" xfId="6" applyFont="1" applyFill="1" applyBorder="1" applyAlignment="1">
      <alignment horizontal="center" vertical="center" wrapText="1" shrinkToFit="1"/>
    </xf>
    <xf numFmtId="0" fontId="10" fillId="0" borderId="15" xfId="6" applyFont="1" applyFill="1" applyBorder="1" applyAlignment="1">
      <alignment horizontal="center" vertical="center" wrapText="1" shrinkToFit="1"/>
    </xf>
    <xf numFmtId="195" fontId="46" fillId="0" borderId="7" xfId="3" applyNumberFormat="1" applyFont="1" applyFill="1" applyBorder="1" applyAlignment="1">
      <alignment horizontal="center" vertical="center" wrapText="1"/>
    </xf>
    <xf numFmtId="195" fontId="46" fillId="0" borderId="15" xfId="3" applyNumberFormat="1" applyFont="1" applyFill="1" applyBorder="1" applyAlignment="1">
      <alignment horizontal="center" vertical="center" wrapText="1"/>
    </xf>
    <xf numFmtId="0" fontId="51" fillId="0" borderId="0" xfId="6" applyFont="1" applyFill="1" applyBorder="1" applyAlignment="1">
      <alignment horizontal="right"/>
    </xf>
    <xf numFmtId="196" fontId="46" fillId="0" borderId="25" xfId="3" applyNumberFormat="1" applyFont="1" applyFill="1" applyBorder="1" applyAlignment="1">
      <alignment horizontal="center" vertical="center" wrapText="1"/>
    </xf>
    <xf numFmtId="196" fontId="46" fillId="0" borderId="21" xfId="3" applyNumberFormat="1" applyFont="1" applyFill="1" applyBorder="1" applyAlignment="1">
      <alignment horizontal="center" vertical="center" wrapText="1"/>
    </xf>
    <xf numFmtId="196" fontId="46" fillId="0" borderId="7" xfId="3" applyNumberFormat="1" applyFont="1" applyFill="1" applyBorder="1" applyAlignment="1">
      <alignment horizontal="center" vertical="center" wrapText="1"/>
    </xf>
    <xf numFmtId="196" fontId="46" fillId="0" borderId="15" xfId="3" applyNumberFormat="1" applyFont="1" applyFill="1" applyBorder="1" applyAlignment="1">
      <alignment horizontal="center" vertical="center" wrapText="1"/>
    </xf>
    <xf numFmtId="195" fontId="46" fillId="0" borderId="24" xfId="3" applyNumberFormat="1" applyFont="1" applyFill="1" applyBorder="1" applyAlignment="1">
      <alignment horizontal="center" vertical="center" wrapText="1"/>
    </xf>
    <xf numFmtId="195" fontId="46" fillId="0" borderId="22" xfId="3" applyNumberFormat="1" applyFont="1" applyFill="1" applyBorder="1" applyAlignment="1">
      <alignment horizontal="center" vertical="center" wrapText="1"/>
    </xf>
    <xf numFmtId="0" fontId="48" fillId="0" borderId="18" xfId="6" applyFont="1" applyFill="1" applyBorder="1" applyAlignment="1">
      <alignment horizontal="center" vertical="center"/>
    </xf>
    <xf numFmtId="0" fontId="48" fillId="0" borderId="6" xfId="6" applyFont="1" applyFill="1" applyBorder="1" applyAlignment="1">
      <alignment horizontal="center" vertical="center"/>
    </xf>
    <xf numFmtId="0" fontId="48" fillId="0" borderId="12" xfId="6" applyFont="1" applyFill="1" applyBorder="1" applyAlignment="1">
      <alignment horizontal="center" vertical="center"/>
    </xf>
    <xf numFmtId="0" fontId="80" fillId="0" borderId="2" xfId="6" applyFont="1" applyFill="1" applyBorder="1" applyAlignment="1">
      <alignment horizontal="center"/>
    </xf>
    <xf numFmtId="0" fontId="168" fillId="0" borderId="0" xfId="0" applyFont="1" applyFill="1" applyBorder="1" applyAlignment="1">
      <alignment horizontal="center" vertical="center"/>
    </xf>
    <xf numFmtId="0" fontId="76" fillId="0" borderId="2" xfId="0" applyFont="1" applyFill="1" applyBorder="1" applyAlignment="1">
      <alignment horizontal="center" vertical="center"/>
    </xf>
    <xf numFmtId="0" fontId="76" fillId="0" borderId="2" xfId="0" applyFont="1" applyFill="1" applyBorder="1" applyAlignment="1">
      <alignment horizontal="center" vertical="center" wrapText="1"/>
    </xf>
    <xf numFmtId="0" fontId="76" fillId="0" borderId="7" xfId="0" applyFont="1" applyFill="1" applyBorder="1" applyAlignment="1">
      <alignment horizontal="center" vertical="center" wrapText="1"/>
    </xf>
    <xf numFmtId="0" fontId="76" fillId="0" borderId="11" xfId="0" applyFont="1" applyFill="1" applyBorder="1" applyAlignment="1">
      <alignment horizontal="center" vertical="center" wrapText="1"/>
    </xf>
    <xf numFmtId="0" fontId="76" fillId="0" borderId="15" xfId="0" applyFont="1" applyFill="1" applyBorder="1" applyAlignment="1">
      <alignment horizontal="center" vertical="center" wrapText="1"/>
    </xf>
    <xf numFmtId="199" fontId="76" fillId="0" borderId="2" xfId="3" applyFont="1" applyFill="1" applyBorder="1" applyAlignment="1">
      <alignment horizontal="center" vertical="center"/>
    </xf>
    <xf numFmtId="192" fontId="76" fillId="0" borderId="7" xfId="12" applyNumberFormat="1" applyFont="1" applyFill="1" applyBorder="1" applyAlignment="1">
      <alignment horizontal="center" vertical="center" wrapText="1"/>
    </xf>
    <xf numFmtId="192" fontId="76" fillId="0" borderId="11" xfId="12" applyNumberFormat="1" applyFont="1" applyFill="1" applyBorder="1" applyAlignment="1">
      <alignment horizontal="center" vertical="center" wrapText="1"/>
    </xf>
    <xf numFmtId="192" fontId="76" fillId="0" borderId="15" xfId="12" applyNumberFormat="1" applyFont="1" applyFill="1" applyBorder="1" applyAlignment="1">
      <alignment horizontal="center" vertical="center" wrapText="1"/>
    </xf>
    <xf numFmtId="0" fontId="76" fillId="0" borderId="0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199" fontId="76" fillId="0" borderId="2" xfId="3" applyFont="1" applyFill="1" applyBorder="1" applyAlignment="1">
      <alignment horizontal="center" vertical="center" wrapText="1"/>
    </xf>
    <xf numFmtId="192" fontId="76" fillId="0" borderId="2" xfId="12" applyNumberFormat="1" applyFont="1" applyFill="1" applyBorder="1" applyAlignment="1">
      <alignment horizontal="center" vertical="center" wrapText="1"/>
    </xf>
    <xf numFmtId="191" fontId="81" fillId="0" borderId="0" xfId="0" applyNumberFormat="1" applyFont="1" applyFill="1" applyAlignment="1">
      <alignment horizontal="center"/>
    </xf>
    <xf numFmtId="188" fontId="4" fillId="0" borderId="0" xfId="0" applyNumberFormat="1" applyFont="1" applyFill="1" applyAlignment="1">
      <alignment horizontal="center" vertical="center"/>
    </xf>
    <xf numFmtId="187" fontId="74" fillId="0" borderId="0" xfId="6" applyNumberFormat="1" applyFont="1" applyFill="1" applyAlignment="1">
      <alignment horizontal="center"/>
    </xf>
    <xf numFmtId="0" fontId="37" fillId="0" borderId="0" xfId="0" applyFont="1" applyFill="1" applyAlignment="1">
      <alignment horizontal="center" vertical="center"/>
    </xf>
    <xf numFmtId="0" fontId="80" fillId="4" borderId="14" xfId="0" applyNumberFormat="1" applyFont="1" applyFill="1" applyBorder="1" applyAlignment="1">
      <alignment horizontal="center" vertical="center" shrinkToFit="1"/>
    </xf>
    <xf numFmtId="193" fontId="4" fillId="0" borderId="0" xfId="0" applyNumberFormat="1" applyFont="1" applyFill="1" applyAlignment="1">
      <alignment horizontal="center"/>
    </xf>
    <xf numFmtId="0" fontId="2" fillId="0" borderId="18" xfId="0" applyNumberFormat="1" applyFont="1" applyFill="1" applyBorder="1" applyAlignment="1">
      <alignment horizontal="left" vertical="center" shrinkToFit="1"/>
    </xf>
    <xf numFmtId="0" fontId="2" fillId="0" borderId="6" xfId="0" applyNumberFormat="1" applyFont="1" applyFill="1" applyBorder="1" applyAlignment="1">
      <alignment horizontal="left" vertical="center" shrinkToFit="1"/>
    </xf>
    <xf numFmtId="0" fontId="2" fillId="0" borderId="12" xfId="0" applyNumberFormat="1" applyFont="1" applyFill="1" applyBorder="1" applyAlignment="1">
      <alignment horizontal="left" vertical="center" shrinkToFit="1"/>
    </xf>
    <xf numFmtId="191" fontId="26" fillId="0" borderId="7" xfId="1" applyNumberFormat="1" applyFont="1" applyFill="1" applyBorder="1" applyAlignment="1">
      <alignment horizontal="center" vertical="center" wrapText="1"/>
    </xf>
    <xf numFmtId="191" fontId="26" fillId="0" borderId="15" xfId="1" applyNumberFormat="1" applyFont="1" applyFill="1" applyBorder="1" applyAlignment="1">
      <alignment horizontal="center" vertical="center" wrapText="1"/>
    </xf>
    <xf numFmtId="191" fontId="26" fillId="0" borderId="2" xfId="1" applyNumberFormat="1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3" fontId="26" fillId="0" borderId="7" xfId="1" applyNumberFormat="1" applyFont="1" applyFill="1" applyBorder="1" applyAlignment="1">
      <alignment horizontal="center" vertical="center" wrapText="1"/>
    </xf>
    <xf numFmtId="3" fontId="26" fillId="0" borderId="15" xfId="1" applyNumberFormat="1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>
      <alignment horizontal="left" vertical="center" shrinkToFit="1"/>
    </xf>
    <xf numFmtId="0" fontId="2" fillId="0" borderId="18" xfId="0" quotePrefix="1" applyFont="1" applyFill="1" applyBorder="1" applyAlignment="1">
      <alignment horizontal="left" vertical="center" shrinkToFit="1"/>
    </xf>
    <xf numFmtId="0" fontId="2" fillId="0" borderId="6" xfId="0" quotePrefix="1" applyFont="1" applyFill="1" applyBorder="1" applyAlignment="1">
      <alignment horizontal="left" vertical="center" shrinkToFit="1"/>
    </xf>
    <xf numFmtId="0" fontId="2" fillId="0" borderId="12" xfId="0" quotePrefix="1" applyFont="1" applyFill="1" applyBorder="1" applyAlignment="1">
      <alignment horizontal="left" vertical="center" shrinkToFit="1"/>
    </xf>
    <xf numFmtId="191" fontId="26" fillId="0" borderId="11" xfId="1" applyNumberFormat="1" applyFont="1" applyFill="1" applyBorder="1" applyAlignment="1">
      <alignment horizontal="center" vertical="center" wrapText="1"/>
    </xf>
    <xf numFmtId="191" fontId="26" fillId="0" borderId="7" xfId="0" applyNumberFormat="1" applyFont="1" applyFill="1" applyBorder="1" applyAlignment="1">
      <alignment horizontal="center" vertical="center" wrapText="1"/>
    </xf>
    <xf numFmtId="191" fontId="26" fillId="0" borderId="11" xfId="0" applyNumberFormat="1" applyFont="1" applyFill="1" applyBorder="1" applyAlignment="1">
      <alignment horizontal="center" vertical="center" wrapText="1"/>
    </xf>
    <xf numFmtId="191" fontId="26" fillId="0" borderId="15" xfId="0" applyNumberFormat="1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91" fontId="21" fillId="0" borderId="2" xfId="1" applyNumberFormat="1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shrinkToFit="1"/>
    </xf>
    <xf numFmtId="212" fontId="7" fillId="0" borderId="0" xfId="1" applyNumberFormat="1" applyFont="1" applyFill="1" applyBorder="1" applyAlignment="1">
      <alignment horizontal="center" vertical="center" shrinkToFit="1"/>
    </xf>
    <xf numFmtId="191" fontId="26" fillId="0" borderId="18" xfId="1" applyNumberFormat="1" applyFont="1" applyFill="1" applyBorder="1" applyAlignment="1">
      <alignment horizontal="center" vertical="center"/>
    </xf>
    <xf numFmtId="191" fontId="26" fillId="0" borderId="6" xfId="1" applyNumberFormat="1" applyFont="1" applyFill="1" applyBorder="1" applyAlignment="1">
      <alignment horizontal="center" vertical="center"/>
    </xf>
    <xf numFmtId="191" fontId="26" fillId="0" borderId="12" xfId="1" applyNumberFormat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 shrinkToFit="1"/>
    </xf>
    <xf numFmtId="190" fontId="26" fillId="0" borderId="2" xfId="1" applyNumberFormat="1" applyFont="1" applyFill="1" applyBorder="1" applyAlignment="1">
      <alignment horizontal="center" vertical="center" wrapText="1"/>
    </xf>
    <xf numFmtId="190" fontId="21" fillId="0" borderId="2" xfId="1" applyNumberFormat="1" applyFont="1" applyFill="1" applyBorder="1" applyAlignment="1">
      <alignment horizontal="center" vertical="center"/>
    </xf>
    <xf numFmtId="191" fontId="35" fillId="0" borderId="2" xfId="1" applyNumberFormat="1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shrinkToFit="1"/>
    </xf>
    <xf numFmtId="0" fontId="26" fillId="0" borderId="2" xfId="0" applyFont="1" applyFill="1" applyBorder="1" applyAlignment="1">
      <alignment horizontal="center" vertical="center" shrinkToFit="1"/>
    </xf>
    <xf numFmtId="0" fontId="26" fillId="0" borderId="7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92" fontId="76" fillId="0" borderId="2" xfId="12" applyNumberFormat="1" applyFont="1" applyFill="1" applyBorder="1" applyAlignment="1">
      <alignment horizontal="center" vertical="center"/>
    </xf>
    <xf numFmtId="0" fontId="76" fillId="0" borderId="0" xfId="0" applyFont="1" applyFill="1" applyAlignment="1">
      <alignment horizontal="center"/>
    </xf>
    <xf numFmtId="197" fontId="76" fillId="0" borderId="2" xfId="3" applyNumberFormat="1" applyFont="1" applyFill="1" applyBorder="1" applyAlignment="1">
      <alignment horizontal="center" vertical="center" wrapText="1"/>
    </xf>
    <xf numFmtId="0" fontId="76" fillId="0" borderId="18" xfId="0" applyFont="1" applyFill="1" applyBorder="1" applyAlignment="1">
      <alignment horizontal="center" vertical="center" wrapText="1"/>
    </xf>
    <xf numFmtId="0" fontId="76" fillId="0" borderId="12" xfId="0" applyFont="1" applyFill="1" applyBorder="1" applyAlignment="1">
      <alignment horizontal="center" vertical="center" wrapText="1"/>
    </xf>
    <xf numFmtId="197" fontId="76" fillId="0" borderId="2" xfId="3" applyNumberFormat="1" applyFont="1" applyFill="1" applyBorder="1" applyAlignment="1">
      <alignment horizontal="center" vertical="center"/>
    </xf>
    <xf numFmtId="0" fontId="76" fillId="0" borderId="0" xfId="0" quotePrefix="1" applyFont="1" applyFill="1" applyBorder="1" applyAlignment="1">
      <alignment horizontal="center"/>
    </xf>
    <xf numFmtId="0" fontId="126" fillId="4" borderId="0" xfId="7" applyFont="1" applyFill="1" applyBorder="1" applyAlignment="1">
      <alignment horizontal="center" vertical="center"/>
    </xf>
    <xf numFmtId="0" fontId="66" fillId="4" borderId="0" xfId="18" applyFont="1" applyFill="1" applyAlignment="1">
      <alignment horizontal="center"/>
    </xf>
    <xf numFmtId="0" fontId="99" fillId="4" borderId="0" xfId="7" applyFont="1" applyFill="1" applyBorder="1" applyAlignment="1">
      <alignment horizontal="center" vertical="center"/>
    </xf>
    <xf numFmtId="2" fontId="200" fillId="4" borderId="0" xfId="7" applyNumberFormat="1" applyFont="1" applyFill="1" applyBorder="1" applyAlignment="1">
      <alignment horizontal="center" vertical="center"/>
    </xf>
    <xf numFmtId="0" fontId="126" fillId="4" borderId="0" xfId="7" applyFont="1" applyFill="1" applyBorder="1" applyAlignment="1">
      <alignment horizontal="left" vertical="center"/>
    </xf>
    <xf numFmtId="43" fontId="126" fillId="4" borderId="0" xfId="1" applyNumberFormat="1" applyFont="1" applyFill="1" applyBorder="1" applyAlignment="1">
      <alignment horizontal="center" vertical="center"/>
    </xf>
    <xf numFmtId="196" fontId="126" fillId="4" borderId="0" xfId="7" applyNumberFormat="1" applyFont="1" applyFill="1" applyBorder="1" applyAlignment="1">
      <alignment horizontal="center" vertical="center"/>
    </xf>
    <xf numFmtId="2" fontId="66" fillId="4" borderId="56" xfId="7" applyNumberFormat="1" applyFont="1" applyFill="1" applyBorder="1" applyAlignment="1">
      <alignment vertical="center" shrinkToFit="1"/>
    </xf>
    <xf numFmtId="2" fontId="66" fillId="4" borderId="4" xfId="7" applyNumberFormat="1" applyFont="1" applyFill="1" applyBorder="1" applyAlignment="1">
      <alignment vertical="center" shrinkToFit="1"/>
    </xf>
    <xf numFmtId="0" fontId="66" fillId="4" borderId="56" xfId="7" applyFont="1" applyFill="1" applyBorder="1" applyAlignment="1">
      <alignment horizontal="center" vertical="center" shrinkToFit="1"/>
    </xf>
    <xf numFmtId="0" fontId="66" fillId="4" borderId="4" xfId="7" applyFont="1" applyFill="1" applyBorder="1" applyAlignment="1">
      <alignment horizontal="center" vertical="center" shrinkToFit="1"/>
    </xf>
    <xf numFmtId="43" fontId="66" fillId="4" borderId="56" xfId="1" applyNumberFormat="1" applyFont="1" applyFill="1" applyBorder="1" applyAlignment="1">
      <alignment horizontal="center" vertical="center" wrapText="1" shrinkToFit="1"/>
    </xf>
    <xf numFmtId="43" fontId="66" fillId="4" borderId="4" xfId="1" applyNumberFormat="1" applyFont="1" applyFill="1" applyBorder="1" applyAlignment="1">
      <alignment horizontal="center" vertical="center" wrapText="1" shrinkToFit="1"/>
    </xf>
    <xf numFmtId="2" fontId="66" fillId="4" borderId="56" xfId="1" applyNumberFormat="1" applyFont="1" applyFill="1" applyBorder="1" applyAlignment="1">
      <alignment horizontal="center" vertical="center" shrinkToFit="1"/>
    </xf>
    <xf numFmtId="2" fontId="66" fillId="4" borderId="56" xfId="1" applyNumberFormat="1" applyFont="1" applyFill="1" applyBorder="1" applyAlignment="1">
      <alignment horizontal="center" vertical="center" wrapText="1" shrinkToFit="1"/>
    </xf>
    <xf numFmtId="2" fontId="66" fillId="4" borderId="4" xfId="1" applyNumberFormat="1" applyFont="1" applyFill="1" applyBorder="1" applyAlignment="1">
      <alignment horizontal="center" vertical="center" wrapText="1" shrinkToFit="1"/>
    </xf>
    <xf numFmtId="43" fontId="66" fillId="4" borderId="56" xfId="1" applyNumberFormat="1" applyFont="1" applyFill="1" applyBorder="1" applyAlignment="1">
      <alignment horizontal="center" vertical="center" shrinkToFit="1"/>
    </xf>
    <xf numFmtId="43" fontId="66" fillId="4" borderId="4" xfId="1" applyNumberFormat="1" applyFont="1" applyFill="1" applyBorder="1" applyAlignment="1">
      <alignment horizontal="center" vertical="center" shrinkToFit="1"/>
    </xf>
    <xf numFmtId="2" fontId="67" fillId="4" borderId="4" xfId="1" applyNumberFormat="1" applyFont="1" applyFill="1" applyBorder="1" applyAlignment="1">
      <alignment horizontal="center" vertical="center" shrinkToFit="1"/>
    </xf>
    <xf numFmtId="0" fontId="66" fillId="4" borderId="58" xfId="7" applyFont="1" applyFill="1" applyBorder="1" applyAlignment="1">
      <alignment horizontal="center" vertical="center" shrinkToFit="1"/>
    </xf>
    <xf numFmtId="43" fontId="224" fillId="4" borderId="14" xfId="1" applyNumberFormat="1" applyFont="1" applyFill="1" applyBorder="1" applyAlignment="1">
      <alignment horizontal="right" vertical="center" shrinkToFit="1"/>
    </xf>
    <xf numFmtId="2" fontId="126" fillId="4" borderId="0" xfId="7" applyNumberFormat="1" applyFont="1" applyFill="1" applyBorder="1" applyAlignment="1">
      <alignment horizontal="center" vertical="center"/>
    </xf>
    <xf numFmtId="4" fontId="67" fillId="4" borderId="4" xfId="7" applyNumberFormat="1" applyFont="1" applyFill="1" applyBorder="1" applyAlignment="1">
      <alignment horizontal="center" vertical="center" shrinkToFit="1"/>
    </xf>
    <xf numFmtId="2" fontId="67" fillId="4" borderId="4" xfId="7" applyNumberFormat="1" applyFont="1" applyFill="1" applyBorder="1" applyAlignment="1">
      <alignment horizontal="center" vertical="center" shrinkToFit="1"/>
    </xf>
    <xf numFmtId="0" fontId="99" fillId="0" borderId="0" xfId="0" applyFont="1" applyFill="1" applyAlignment="1">
      <alignment horizontal="center"/>
    </xf>
    <xf numFmtId="0" fontId="37" fillId="0" borderId="15" xfId="0" applyFont="1" applyFill="1" applyBorder="1" applyAlignment="1">
      <alignment horizontal="center" vertical="center"/>
    </xf>
    <xf numFmtId="0" fontId="248" fillId="0" borderId="14" xfId="0" applyFont="1" applyBorder="1" applyAlignment="1">
      <alignment horizontal="left" indent="9"/>
    </xf>
    <xf numFmtId="187" fontId="216" fillId="0" borderId="1" xfId="0" applyNumberFormat="1" applyFont="1" applyFill="1" applyBorder="1" applyAlignment="1">
      <alignment horizontal="left" vertical="center"/>
    </xf>
    <xf numFmtId="187" fontId="83" fillId="0" borderId="18" xfId="3" applyNumberFormat="1" applyFont="1" applyFill="1" applyBorder="1" applyAlignment="1">
      <alignment horizontal="center" vertical="center" wrapText="1"/>
    </xf>
    <xf numFmtId="191" fontId="75" fillId="0" borderId="0" xfId="5" applyNumberFormat="1" applyFont="1" applyFill="1" applyAlignment="1">
      <alignment horizontal="center"/>
    </xf>
    <xf numFmtId="0" fontId="7" fillId="0" borderId="0" xfId="5" applyFont="1" applyFill="1" applyAlignment="1">
      <alignment horizontal="center"/>
    </xf>
    <xf numFmtId="188" fontId="7" fillId="0" borderId="0" xfId="1" applyFont="1" applyFill="1" applyAlignment="1">
      <alignment horizontal="center"/>
    </xf>
    <xf numFmtId="188" fontId="75" fillId="0" borderId="0" xfId="5" applyNumberFormat="1" applyFont="1" applyFill="1" applyAlignment="1">
      <alignment horizontal="center"/>
    </xf>
    <xf numFmtId="193" fontId="75" fillId="0" borderId="0" xfId="1" applyNumberFormat="1" applyFont="1" applyFill="1" applyAlignment="1">
      <alignment horizontal="center"/>
    </xf>
    <xf numFmtId="0" fontId="75" fillId="0" borderId="0" xfId="5" applyFont="1" applyFill="1" applyAlignment="1">
      <alignment horizontal="center"/>
    </xf>
    <xf numFmtId="0" fontId="3" fillId="0" borderId="18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3" fillId="0" borderId="12" xfId="4" applyFont="1" applyFill="1" applyBorder="1" applyAlignment="1">
      <alignment horizontal="center" vertical="center"/>
    </xf>
    <xf numFmtId="188" fontId="3" fillId="0" borderId="2" xfId="5" applyNumberFormat="1" applyFont="1" applyFill="1" applyBorder="1" applyAlignment="1">
      <alignment horizontal="center" vertical="center" shrinkToFit="1"/>
    </xf>
    <xf numFmtId="0" fontId="3" fillId="0" borderId="12" xfId="5" applyNumberFormat="1" applyFont="1" applyFill="1" applyBorder="1" applyAlignment="1">
      <alignment horizontal="center" vertical="center" shrinkToFit="1"/>
    </xf>
    <xf numFmtId="0" fontId="19" fillId="0" borderId="14" xfId="5" applyNumberFormat="1" applyFont="1" applyFill="1" applyBorder="1" applyAlignment="1">
      <alignment horizontal="center" vertical="center" shrinkToFit="1"/>
    </xf>
    <xf numFmtId="191" fontId="18" fillId="0" borderId="0" xfId="5" applyNumberFormat="1" applyFont="1" applyFill="1" applyBorder="1" applyAlignment="1">
      <alignment horizontal="center" vertical="center"/>
    </xf>
    <xf numFmtId="0" fontId="26" fillId="0" borderId="2" xfId="5" applyFont="1" applyFill="1" applyBorder="1" applyAlignment="1">
      <alignment horizontal="center" vertical="center" wrapText="1"/>
    </xf>
    <xf numFmtId="0" fontId="26" fillId="0" borderId="2" xfId="5" applyFont="1" applyFill="1" applyBorder="1" applyAlignment="1">
      <alignment horizontal="center" vertical="center"/>
    </xf>
    <xf numFmtId="0" fontId="26" fillId="0" borderId="18" xfId="5" applyFont="1" applyFill="1" applyBorder="1" applyAlignment="1">
      <alignment horizontal="center"/>
    </xf>
    <xf numFmtId="0" fontId="26" fillId="0" borderId="6" xfId="5" applyFont="1" applyFill="1" applyBorder="1" applyAlignment="1">
      <alignment horizontal="center"/>
    </xf>
    <xf numFmtId="0" fontId="26" fillId="0" borderId="12" xfId="5" applyFont="1" applyFill="1" applyBorder="1" applyAlignment="1">
      <alignment horizontal="center"/>
    </xf>
    <xf numFmtId="191" fontId="26" fillId="0" borderId="25" xfId="1" applyNumberFormat="1" applyFont="1" applyFill="1" applyBorder="1" applyAlignment="1">
      <alignment horizontal="center" vertical="center" wrapText="1"/>
    </xf>
    <xf numFmtId="191" fontId="26" fillId="0" borderId="14" xfId="1" applyNumberFormat="1" applyFont="1" applyFill="1" applyBorder="1" applyAlignment="1">
      <alignment horizontal="center" vertical="center" wrapText="1"/>
    </xf>
    <xf numFmtId="191" fontId="26" fillId="0" borderId="24" xfId="1" applyNumberFormat="1" applyFont="1" applyFill="1" applyBorder="1" applyAlignment="1">
      <alignment horizontal="center" vertical="center" wrapText="1"/>
    </xf>
    <xf numFmtId="0" fontId="26" fillId="0" borderId="2" xfId="5" applyNumberFormat="1" applyFont="1" applyFill="1" applyBorder="1" applyAlignment="1">
      <alignment horizontal="center" vertical="center" wrapText="1"/>
    </xf>
    <xf numFmtId="0" fontId="21" fillId="0" borderId="2" xfId="5" applyFont="1" applyFill="1" applyBorder="1" applyAlignment="1">
      <alignment horizontal="center" vertical="center" wrapText="1"/>
    </xf>
    <xf numFmtId="191" fontId="26" fillId="0" borderId="7" xfId="5" applyNumberFormat="1" applyFont="1" applyFill="1" applyBorder="1" applyAlignment="1">
      <alignment horizontal="center" vertical="center" wrapText="1"/>
    </xf>
    <xf numFmtId="191" fontId="26" fillId="0" borderId="11" xfId="5" applyNumberFormat="1" applyFont="1" applyFill="1" applyBorder="1" applyAlignment="1">
      <alignment horizontal="center" vertical="center" wrapText="1"/>
    </xf>
    <xf numFmtId="191" fontId="26" fillId="0" borderId="15" xfId="5" applyNumberFormat="1" applyFont="1" applyFill="1" applyBorder="1" applyAlignment="1">
      <alignment horizontal="center" vertical="center" wrapText="1"/>
    </xf>
    <xf numFmtId="0" fontId="26" fillId="0" borderId="2" xfId="5" applyNumberFormat="1" applyFont="1" applyFill="1" applyBorder="1" applyAlignment="1">
      <alignment horizontal="center" vertical="center" shrinkToFit="1"/>
    </xf>
    <xf numFmtId="0" fontId="26" fillId="0" borderId="2" xfId="5" applyFont="1" applyFill="1" applyBorder="1" applyAlignment="1">
      <alignment horizontal="center" vertical="center" shrinkToFit="1"/>
    </xf>
    <xf numFmtId="0" fontId="26" fillId="0" borderId="7" xfId="5" applyNumberFormat="1" applyFont="1" applyFill="1" applyBorder="1" applyAlignment="1">
      <alignment horizontal="center" vertical="center" wrapText="1"/>
    </xf>
    <xf numFmtId="0" fontId="26" fillId="0" borderId="11" xfId="5" applyFont="1" applyFill="1" applyBorder="1" applyAlignment="1">
      <alignment horizontal="center" vertical="center" wrapText="1"/>
    </xf>
    <xf numFmtId="0" fontId="21" fillId="0" borderId="15" xfId="5" applyFont="1" applyFill="1" applyBorder="1" applyAlignment="1">
      <alignment horizontal="center" vertical="center" wrapText="1"/>
    </xf>
    <xf numFmtId="0" fontId="38" fillId="0" borderId="0" xfId="5" applyNumberFormat="1" applyFont="1" applyFill="1" applyAlignment="1">
      <alignment horizontal="center"/>
    </xf>
    <xf numFmtId="0" fontId="38" fillId="0" borderId="0" xfId="5" applyFont="1" applyFill="1" applyAlignment="1">
      <alignment horizontal="center"/>
    </xf>
    <xf numFmtId="0" fontId="37" fillId="0" borderId="0" xfId="5" applyFont="1" applyFill="1" applyAlignment="1">
      <alignment horizontal="center"/>
    </xf>
    <xf numFmtId="0" fontId="37" fillId="0" borderId="0" xfId="5" applyNumberFormat="1" applyFont="1" applyFill="1" applyAlignment="1">
      <alignment horizontal="center"/>
    </xf>
    <xf numFmtId="0" fontId="17" fillId="0" borderId="0" xfId="5" applyNumberFormat="1" applyFont="1" applyFill="1" applyAlignment="1">
      <alignment horizontal="center"/>
    </xf>
    <xf numFmtId="0" fontId="10" fillId="0" borderId="2" xfId="5" applyFont="1" applyFill="1" applyBorder="1" applyAlignment="1">
      <alignment horizontal="center" vertical="center" wrapText="1"/>
    </xf>
    <xf numFmtId="0" fontId="79" fillId="0" borderId="14" xfId="0" applyNumberFormat="1" applyFont="1" applyFill="1" applyBorder="1" applyAlignment="1">
      <alignment horizontal="center" vertical="center" shrinkToFit="1"/>
    </xf>
    <xf numFmtId="190" fontId="21" fillId="0" borderId="2" xfId="1" applyNumberFormat="1" applyFont="1" applyFill="1" applyBorder="1" applyAlignment="1">
      <alignment horizontal="center"/>
    </xf>
    <xf numFmtId="0" fontId="38" fillId="0" borderId="0" xfId="0" applyFont="1" applyFill="1" applyAlignment="1">
      <alignment horizontal="center"/>
    </xf>
    <xf numFmtId="0" fontId="43" fillId="0" borderId="0" xfId="6" applyFont="1" applyFill="1" applyAlignment="1">
      <alignment horizontal="center"/>
    </xf>
    <xf numFmtId="191" fontId="26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91" fontId="24" fillId="0" borderId="0" xfId="0" applyNumberFormat="1" applyFont="1" applyFill="1" applyBorder="1" applyAlignment="1">
      <alignment horizontal="center" vertical="center"/>
    </xf>
    <xf numFmtId="191" fontId="26" fillId="0" borderId="2" xfId="1" applyNumberFormat="1" applyFont="1" applyFill="1" applyBorder="1" applyAlignment="1">
      <alignment horizontal="center" vertical="center"/>
    </xf>
    <xf numFmtId="200" fontId="26" fillId="0" borderId="31" xfId="0" applyNumberFormat="1" applyFont="1" applyBorder="1" applyAlignment="1">
      <alignment horizontal="center" vertical="center"/>
    </xf>
    <xf numFmtId="200" fontId="26" fillId="0" borderId="30" xfId="0" applyNumberFormat="1" applyFont="1" applyBorder="1" applyAlignment="1">
      <alignment horizontal="center" vertical="center"/>
    </xf>
    <xf numFmtId="200" fontId="26" fillId="0" borderId="0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/>
    </xf>
    <xf numFmtId="200" fontId="26" fillId="0" borderId="1" xfId="0" applyNumberFormat="1" applyFont="1" applyBorder="1" applyAlignment="1">
      <alignment horizontal="center" vertical="center"/>
    </xf>
    <xf numFmtId="0" fontId="82" fillId="0" borderId="0" xfId="0" applyFont="1" applyAlignment="1">
      <alignment horizontal="center"/>
    </xf>
    <xf numFmtId="0" fontId="2" fillId="0" borderId="0" xfId="4" applyFont="1" applyFill="1" applyAlignment="1">
      <alignment horizontal="center"/>
    </xf>
    <xf numFmtId="0" fontId="7" fillId="0" borderId="0" xfId="4" applyNumberFormat="1" applyFont="1" applyFill="1" applyAlignment="1">
      <alignment horizontal="center"/>
    </xf>
    <xf numFmtId="0" fontId="3" fillId="0" borderId="0" xfId="4" applyNumberFormat="1" applyFont="1" applyFill="1" applyAlignment="1">
      <alignment horizontal="center"/>
    </xf>
    <xf numFmtId="0" fontId="13" fillId="0" borderId="0" xfId="4" applyNumberFormat="1" applyFont="1" applyFill="1" applyAlignment="1">
      <alignment horizontal="center"/>
    </xf>
    <xf numFmtId="0" fontId="4" fillId="0" borderId="0" xfId="4" applyNumberFormat="1" applyFont="1" applyFill="1" applyBorder="1" applyAlignment="1">
      <alignment horizontal="center" vertical="justify"/>
    </xf>
    <xf numFmtId="0" fontId="4" fillId="0" borderId="0" xfId="4" applyFont="1" applyFill="1" applyBorder="1" applyAlignment="1">
      <alignment horizontal="center" vertical="justify"/>
    </xf>
    <xf numFmtId="0" fontId="3" fillId="0" borderId="2" xfId="4" applyFont="1" applyFill="1" applyBorder="1" applyAlignment="1">
      <alignment horizontal="center" vertical="center"/>
    </xf>
    <xf numFmtId="0" fontId="3" fillId="0" borderId="2" xfId="4" applyNumberFormat="1" applyFont="1" applyFill="1" applyBorder="1" applyAlignment="1">
      <alignment horizontal="center" vertical="center"/>
    </xf>
    <xf numFmtId="0" fontId="3" fillId="0" borderId="2" xfId="4" applyNumberFormat="1" applyFont="1" applyFill="1" applyBorder="1" applyAlignment="1">
      <alignment horizontal="center" vertical="center" wrapText="1"/>
    </xf>
    <xf numFmtId="0" fontId="3" fillId="0" borderId="7" xfId="4" applyFont="1" applyFill="1" applyBorder="1" applyAlignment="1">
      <alignment horizontal="center" vertical="center"/>
    </xf>
    <xf numFmtId="0" fontId="3" fillId="0" borderId="15" xfId="4" applyFont="1" applyFill="1" applyBorder="1" applyAlignment="1">
      <alignment horizontal="center" vertical="center"/>
    </xf>
    <xf numFmtId="0" fontId="3" fillId="0" borderId="18" xfId="4" applyNumberFormat="1" applyFont="1" applyFill="1" applyBorder="1" applyAlignment="1">
      <alignment horizontal="center"/>
    </xf>
    <xf numFmtId="0" fontId="3" fillId="0" borderId="6" xfId="4" applyNumberFormat="1" applyFont="1" applyFill="1" applyBorder="1" applyAlignment="1">
      <alignment horizontal="center"/>
    </xf>
    <xf numFmtId="0" fontId="3" fillId="0" borderId="2" xfId="4" applyFont="1" applyFill="1" applyBorder="1" applyAlignment="1">
      <alignment horizontal="center"/>
    </xf>
    <xf numFmtId="0" fontId="7" fillId="0" borderId="18" xfId="4" applyFont="1" applyFill="1" applyBorder="1" applyAlignment="1">
      <alignment horizontal="center"/>
    </xf>
    <xf numFmtId="0" fontId="7" fillId="0" borderId="6" xfId="4" applyFont="1" applyFill="1" applyBorder="1" applyAlignment="1">
      <alignment horizontal="center"/>
    </xf>
    <xf numFmtId="0" fontId="41" fillId="0" borderId="0" xfId="4" applyNumberFormat="1" applyFont="1" applyFill="1" applyBorder="1" applyAlignment="1">
      <alignment horizontal="right"/>
    </xf>
    <xf numFmtId="0" fontId="41" fillId="0" borderId="0" xfId="4" applyFont="1" applyFill="1" applyBorder="1" applyAlignment="1">
      <alignment horizontal="right"/>
    </xf>
    <xf numFmtId="0" fontId="2" fillId="0" borderId="0" xfId="4" applyFont="1" applyFill="1" applyAlignment="1">
      <alignment horizontal="center" vertical="center"/>
    </xf>
    <xf numFmtId="0" fontId="2" fillId="0" borderId="0" xfId="4" applyNumberFormat="1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89" fillId="0" borderId="0" xfId="4" applyNumberFormat="1" applyFont="1" applyFill="1" applyAlignment="1">
      <alignment horizontal="center"/>
    </xf>
    <xf numFmtId="0" fontId="21" fillId="0" borderId="18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3" fillId="0" borderId="25" xfId="4" applyNumberFormat="1" applyFont="1" applyFill="1" applyBorder="1" applyAlignment="1">
      <alignment horizontal="center" vertical="center"/>
    </xf>
    <xf numFmtId="0" fontId="3" fillId="0" borderId="24" xfId="4" applyNumberFormat="1" applyFont="1" applyFill="1" applyBorder="1" applyAlignment="1">
      <alignment horizontal="center" vertical="center"/>
    </xf>
    <xf numFmtId="0" fontId="3" fillId="0" borderId="21" xfId="4" applyNumberFormat="1" applyFont="1" applyFill="1" applyBorder="1" applyAlignment="1">
      <alignment horizontal="center" vertical="center"/>
    </xf>
    <xf numFmtId="0" fontId="3" fillId="0" borderId="22" xfId="4" applyNumberFormat="1" applyFont="1" applyFill="1" applyBorder="1" applyAlignment="1">
      <alignment horizontal="center" vertical="center"/>
    </xf>
    <xf numFmtId="0" fontId="3" fillId="0" borderId="18" xfId="4" applyNumberFormat="1" applyFont="1" applyFill="1" applyBorder="1" applyAlignment="1">
      <alignment horizontal="center" vertical="center"/>
    </xf>
    <xf numFmtId="0" fontId="3" fillId="0" borderId="6" xfId="4" applyNumberFormat="1" applyFont="1" applyFill="1" applyBorder="1" applyAlignment="1">
      <alignment horizontal="center" vertical="center"/>
    </xf>
    <xf numFmtId="0" fontId="3" fillId="0" borderId="12" xfId="4" applyNumberFormat="1" applyFont="1" applyFill="1" applyBorder="1" applyAlignment="1">
      <alignment horizontal="center" vertical="center"/>
    </xf>
    <xf numFmtId="0" fontId="41" fillId="0" borderId="14" xfId="4" applyNumberFormat="1" applyFont="1" applyFill="1" applyBorder="1" applyAlignment="1">
      <alignment horizontal="center"/>
    </xf>
    <xf numFmtId="0" fontId="7" fillId="0" borderId="18" xfId="4" applyFont="1" applyFill="1" applyBorder="1" applyAlignment="1">
      <alignment horizontal="center" vertical="center"/>
    </xf>
    <xf numFmtId="0" fontId="7" fillId="0" borderId="6" xfId="4" applyFont="1" applyFill="1" applyBorder="1" applyAlignment="1">
      <alignment horizontal="center" vertical="center"/>
    </xf>
    <xf numFmtId="0" fontId="7" fillId="0" borderId="12" xfId="4" applyFont="1" applyFill="1" applyBorder="1" applyAlignment="1">
      <alignment horizontal="center" vertical="center"/>
    </xf>
    <xf numFmtId="0" fontId="7" fillId="0" borderId="7" xfId="4" applyFont="1" applyFill="1" applyBorder="1" applyAlignment="1">
      <alignment horizontal="center" vertical="center" wrapText="1"/>
    </xf>
    <xf numFmtId="0" fontId="7" fillId="0" borderId="15" xfId="4" applyFont="1" applyFill="1" applyBorder="1" applyAlignment="1">
      <alignment horizontal="center" vertical="center"/>
    </xf>
    <xf numFmtId="0" fontId="78" fillId="0" borderId="14" xfId="0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right"/>
    </xf>
    <xf numFmtId="0" fontId="27" fillId="0" borderId="0" xfId="0" applyNumberFormat="1" applyFont="1" applyFill="1" applyAlignment="1">
      <alignment horizontal="center"/>
    </xf>
    <xf numFmtId="0" fontId="2" fillId="0" borderId="0" xfId="6" applyFont="1" applyAlignment="1">
      <alignment horizontal="center"/>
    </xf>
    <xf numFmtId="0" fontId="8" fillId="0" borderId="0" xfId="0" applyNumberFormat="1" applyFont="1" applyFill="1" applyBorder="1" applyAlignment="1">
      <alignment horizontal="center" vertical="center"/>
    </xf>
    <xf numFmtId="0" fontId="68" fillId="0" borderId="0" xfId="0" applyFont="1" applyFill="1" applyAlignment="1">
      <alignment horizontal="center"/>
    </xf>
    <xf numFmtId="0" fontId="13" fillId="0" borderId="0" xfId="0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 shrinkToFit="1"/>
    </xf>
    <xf numFmtId="0" fontId="3" fillId="0" borderId="12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4" fillId="0" borderId="0" xfId="6" applyFont="1" applyAlignment="1">
      <alignment horizontal="center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191" fontId="3" fillId="0" borderId="0" xfId="0" applyNumberFormat="1" applyFont="1" applyFill="1" applyAlignment="1">
      <alignment horizontal="center"/>
    </xf>
    <xf numFmtId="191" fontId="3" fillId="0" borderId="7" xfId="0" applyNumberFormat="1" applyFont="1" applyFill="1" applyBorder="1" applyAlignment="1">
      <alignment horizontal="center" vertical="center" wrapText="1"/>
    </xf>
    <xf numFmtId="191" fontId="3" fillId="0" borderId="1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shrinkToFi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191" fontId="3" fillId="0" borderId="0" xfId="0" applyNumberFormat="1" applyFont="1" applyFill="1" applyBorder="1" applyAlignment="1">
      <alignment horizontal="center" vertical="center"/>
    </xf>
    <xf numFmtId="0" fontId="64" fillId="0" borderId="14" xfId="0" applyNumberFormat="1" applyFont="1" applyFill="1" applyBorder="1" applyAlignment="1">
      <alignment horizontal="center" vertical="center" shrinkToFit="1"/>
    </xf>
    <xf numFmtId="187" fontId="13" fillId="0" borderId="0" xfId="0" applyNumberFormat="1" applyFont="1" applyAlignment="1">
      <alignment horizontal="center" vertical="center" wrapText="1"/>
    </xf>
    <xf numFmtId="187" fontId="37" fillId="0" borderId="0" xfId="17" applyNumberFormat="1" applyFont="1" applyFill="1" applyAlignment="1">
      <alignment horizontal="center"/>
    </xf>
    <xf numFmtId="187" fontId="37" fillId="0" borderId="0" xfId="17" quotePrefix="1" applyNumberFormat="1" applyFont="1" applyFill="1" applyAlignment="1">
      <alignment horizontal="center"/>
    </xf>
    <xf numFmtId="187" fontId="4" fillId="0" borderId="0" xfId="0" applyNumberFormat="1" applyFont="1" applyAlignment="1">
      <alignment horizontal="center"/>
    </xf>
    <xf numFmtId="187" fontId="37" fillId="0" borderId="0" xfId="0" applyNumberFormat="1" applyFont="1" applyAlignment="1">
      <alignment horizontal="center"/>
    </xf>
    <xf numFmtId="187" fontId="153" fillId="0" borderId="0" xfId="0" applyNumberFormat="1" applyFont="1" applyAlignment="1">
      <alignment horizontal="right" vertical="center"/>
    </xf>
    <xf numFmtId="0" fontId="132" fillId="0" borderId="0" xfId="0" applyFont="1" applyAlignment="1">
      <alignment horizontal="center"/>
    </xf>
    <xf numFmtId="187" fontId="37" fillId="0" borderId="0" xfId="0" applyNumberFormat="1" applyFont="1" applyAlignment="1">
      <alignment horizontal="center" vertical="center"/>
    </xf>
    <xf numFmtId="187" fontId="27" fillId="0" borderId="1" xfId="0" applyNumberFormat="1" applyFont="1" applyBorder="1" applyAlignment="1">
      <alignment horizontal="center"/>
    </xf>
    <xf numFmtId="187" fontId="37" fillId="0" borderId="18" xfId="0" applyNumberFormat="1" applyFont="1" applyBorder="1" applyAlignment="1">
      <alignment horizontal="center" vertical="center" shrinkToFit="1"/>
    </xf>
    <xf numFmtId="187" fontId="37" fillId="0" borderId="6" xfId="0" applyNumberFormat="1" applyFont="1" applyBorder="1" applyAlignment="1">
      <alignment horizontal="center" vertical="center" shrinkToFit="1"/>
    </xf>
    <xf numFmtId="187" fontId="37" fillId="0" borderId="12" xfId="0" applyNumberFormat="1" applyFont="1" applyBorder="1" applyAlignment="1">
      <alignment horizontal="center" vertical="center" shrinkToFit="1"/>
    </xf>
    <xf numFmtId="187" fontId="37" fillId="0" borderId="18" xfId="0" applyNumberFormat="1" applyFont="1" applyBorder="1" applyAlignment="1">
      <alignment horizontal="center" vertical="center"/>
    </xf>
    <xf numFmtId="187" fontId="37" fillId="0" borderId="6" xfId="0" applyNumberFormat="1" applyFont="1" applyBorder="1" applyAlignment="1">
      <alignment horizontal="center" vertical="center"/>
    </xf>
    <xf numFmtId="187" fontId="37" fillId="0" borderId="12" xfId="0" applyNumberFormat="1" applyFont="1" applyBorder="1" applyAlignment="1">
      <alignment horizontal="center" vertical="center"/>
    </xf>
    <xf numFmtId="187" fontId="221" fillId="0" borderId="0" xfId="0" applyNumberFormat="1" applyFont="1" applyAlignment="1">
      <alignment horizontal="center" vertical="center" wrapText="1"/>
    </xf>
    <xf numFmtId="187" fontId="2" fillId="0" borderId="0" xfId="0" applyNumberFormat="1" applyFont="1" applyAlignment="1">
      <alignment horizontal="center"/>
    </xf>
    <xf numFmtId="187" fontId="37" fillId="0" borderId="2" xfId="0" applyNumberFormat="1" applyFont="1" applyBorder="1" applyAlignment="1">
      <alignment horizontal="center" vertical="center"/>
    </xf>
    <xf numFmtId="187" fontId="37" fillId="0" borderId="2" xfId="0" applyNumberFormat="1" applyFont="1" applyBorder="1" applyAlignment="1">
      <alignment horizontal="center" vertical="center" shrinkToFit="1"/>
    </xf>
    <xf numFmtId="187" fontId="2" fillId="0" borderId="18" xfId="0" applyNumberFormat="1" applyFont="1" applyBorder="1" applyAlignment="1">
      <alignment horizontal="center" vertical="center"/>
    </xf>
    <xf numFmtId="187" fontId="2" fillId="0" borderId="6" xfId="0" applyNumberFormat="1" applyFont="1" applyBorder="1" applyAlignment="1">
      <alignment horizontal="center" vertical="center"/>
    </xf>
    <xf numFmtId="187" fontId="2" fillId="0" borderId="12" xfId="0" applyNumberFormat="1" applyFont="1" applyBorder="1" applyAlignment="1">
      <alignment horizontal="center" vertical="center"/>
    </xf>
    <xf numFmtId="0" fontId="7" fillId="0" borderId="0" xfId="5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0" fontId="26" fillId="0" borderId="18" xfId="5" applyFont="1" applyFill="1" applyBorder="1" applyAlignment="1">
      <alignment horizontal="center" vertical="center"/>
    </xf>
    <xf numFmtId="0" fontId="26" fillId="0" borderId="6" xfId="5" applyFont="1" applyFill="1" applyBorder="1" applyAlignment="1">
      <alignment horizontal="center" vertical="center"/>
    </xf>
    <xf numFmtId="0" fontId="26" fillId="0" borderId="12" xfId="5" applyFont="1" applyFill="1" applyBorder="1" applyAlignment="1">
      <alignment horizontal="center" vertical="center"/>
    </xf>
    <xf numFmtId="3" fontId="26" fillId="0" borderId="2" xfId="5" applyNumberFormat="1" applyFont="1" applyFill="1" applyBorder="1" applyAlignment="1">
      <alignment horizontal="center" vertical="center" wrapText="1"/>
    </xf>
    <xf numFmtId="0" fontId="48" fillId="0" borderId="0" xfId="6" applyFont="1" applyBorder="1" applyAlignment="1">
      <alignment horizontal="center"/>
    </xf>
    <xf numFmtId="0" fontId="51" fillId="0" borderId="0" xfId="6" applyFont="1" applyBorder="1" applyAlignment="1">
      <alignment horizontal="center"/>
    </xf>
    <xf numFmtId="195" fontId="37" fillId="2" borderId="0" xfId="3" applyNumberFormat="1" applyFont="1" applyFill="1" applyAlignment="1">
      <alignment horizontal="center"/>
    </xf>
    <xf numFmtId="0" fontId="38" fillId="2" borderId="0" xfId="6" applyFont="1" applyFill="1" applyAlignment="1">
      <alignment horizontal="center"/>
    </xf>
    <xf numFmtId="0" fontId="37" fillId="2" borderId="0" xfId="6" applyFont="1" applyFill="1" applyAlignment="1">
      <alignment horizontal="center"/>
    </xf>
    <xf numFmtId="0" fontId="52" fillId="0" borderId="2" xfId="6" applyFont="1" applyBorder="1" applyAlignment="1">
      <alignment horizontal="center" vertical="center"/>
    </xf>
    <xf numFmtId="0" fontId="192" fillId="2" borderId="0" xfId="6" applyFont="1" applyFill="1" applyAlignment="1">
      <alignment horizontal="center"/>
    </xf>
    <xf numFmtId="0" fontId="13" fillId="2" borderId="0" xfId="6" applyFont="1" applyFill="1" applyBorder="1" applyAlignment="1">
      <alignment horizontal="center" vertical="center" wrapText="1" shrinkToFit="1"/>
    </xf>
    <xf numFmtId="0" fontId="49" fillId="0" borderId="18" xfId="6" applyFont="1" applyBorder="1" applyAlignment="1">
      <alignment horizontal="center" vertical="center"/>
    </xf>
    <xf numFmtId="0" fontId="49" fillId="0" borderId="12" xfId="6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147" fillId="0" borderId="0" xfId="0" applyFont="1" applyAlignment="1">
      <alignment horizontal="center"/>
    </xf>
    <xf numFmtId="0" fontId="37" fillId="0" borderId="0" xfId="0" applyNumberFormat="1" applyFont="1" applyFill="1" applyAlignment="1">
      <alignment horizontal="center" vertical="center"/>
    </xf>
    <xf numFmtId="0" fontId="153" fillId="0" borderId="0" xfId="0" applyFont="1" applyFill="1" applyAlignment="1">
      <alignment horizontal="center"/>
    </xf>
    <xf numFmtId="0" fontId="38" fillId="0" borderId="0" xfId="0" applyNumberFormat="1" applyFont="1" applyFill="1" applyAlignment="1">
      <alignment horizontal="right"/>
    </xf>
    <xf numFmtId="0" fontId="153" fillId="0" borderId="0" xfId="0" applyFont="1" applyFill="1" applyAlignment="1">
      <alignment horizontal="right"/>
    </xf>
    <xf numFmtId="0" fontId="155" fillId="0" borderId="0" xfId="0" applyNumberFormat="1" applyFont="1" applyFill="1" applyBorder="1" applyAlignment="1">
      <alignment horizontal="center"/>
    </xf>
    <xf numFmtId="0" fontId="24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/>
    </xf>
    <xf numFmtId="0" fontId="132" fillId="0" borderId="18" xfId="0" applyFont="1" applyBorder="1" applyAlignment="1">
      <alignment horizontal="center"/>
    </xf>
    <xf numFmtId="0" fontId="132" fillId="0" borderId="6" xfId="0" applyFont="1" applyBorder="1" applyAlignment="1">
      <alignment horizontal="center"/>
    </xf>
    <xf numFmtId="3" fontId="37" fillId="0" borderId="2" xfId="0" applyNumberFormat="1" applyFont="1" applyFill="1" applyBorder="1" applyAlignment="1">
      <alignment horizontal="center" vertical="center" wrapText="1"/>
    </xf>
    <xf numFmtId="3" fontId="37" fillId="0" borderId="2" xfId="0" applyNumberFormat="1" applyFont="1" applyFill="1" applyBorder="1" applyAlignment="1">
      <alignment horizontal="center" vertical="center"/>
    </xf>
    <xf numFmtId="0" fontId="120" fillId="4" borderId="0" xfId="0" applyFont="1" applyFill="1" applyAlignment="1">
      <alignment horizontal="center"/>
    </xf>
    <xf numFmtId="0" fontId="159" fillId="4" borderId="0" xfId="0" applyFont="1" applyFill="1" applyAlignment="1">
      <alignment horizontal="center"/>
    </xf>
    <xf numFmtId="0" fontId="121" fillId="4" borderId="7" xfId="0" applyFont="1" applyFill="1" applyBorder="1" applyAlignment="1">
      <alignment horizontal="center" vertical="center"/>
    </xf>
    <xf numFmtId="0" fontId="121" fillId="4" borderId="15" xfId="0" applyFont="1" applyFill="1" applyBorder="1" applyAlignment="1">
      <alignment horizontal="center" vertical="center"/>
    </xf>
    <xf numFmtId="0" fontId="138" fillId="4" borderId="0" xfId="0" applyFont="1" applyFill="1" applyAlignment="1">
      <alignment horizontal="center"/>
    </xf>
    <xf numFmtId="0" fontId="2" fillId="4" borderId="18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139" fillId="4" borderId="0" xfId="0" applyFont="1" applyFill="1" applyAlignment="1">
      <alignment horizontal="center"/>
    </xf>
    <xf numFmtId="0" fontId="18" fillId="0" borderId="14" xfId="5" applyNumberFormat="1" applyFont="1" applyFill="1" applyBorder="1" applyAlignment="1">
      <alignment horizontal="center" vertical="center" shrinkToFit="1"/>
    </xf>
    <xf numFmtId="191" fontId="2" fillId="0" borderId="0" xfId="5" applyNumberFormat="1" applyFont="1" applyFill="1" applyBorder="1" applyAlignment="1">
      <alignment horizontal="center" vertical="center"/>
    </xf>
    <xf numFmtId="0" fontId="2" fillId="0" borderId="18" xfId="5" applyNumberFormat="1" applyFont="1" applyFill="1" applyBorder="1" applyAlignment="1">
      <alignment horizontal="center" vertical="center" shrinkToFit="1"/>
    </xf>
    <xf numFmtId="0" fontId="2" fillId="0" borderId="6" xfId="5" applyNumberFormat="1" applyFont="1" applyFill="1" applyBorder="1" applyAlignment="1">
      <alignment horizontal="center" vertical="center" shrinkToFit="1"/>
    </xf>
    <xf numFmtId="0" fontId="2" fillId="0" borderId="18" xfId="5" applyFont="1" applyFill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 wrapText="1"/>
    </xf>
    <xf numFmtId="0" fontId="2" fillId="0" borderId="12" xfId="5" applyFont="1" applyFill="1" applyBorder="1" applyAlignment="1">
      <alignment horizontal="center" vertical="center" wrapText="1"/>
    </xf>
    <xf numFmtId="0" fontId="18" fillId="0" borderId="0" xfId="5" applyNumberFormat="1" applyFont="1" applyFill="1" applyBorder="1" applyAlignment="1">
      <alignment horizontal="center" vertical="center" shrinkToFit="1"/>
    </xf>
    <xf numFmtId="0" fontId="201" fillId="2" borderId="0" xfId="6" applyFont="1" applyFill="1" applyBorder="1" applyAlignment="1">
      <alignment horizontal="center" vertical="center" wrapText="1" shrinkToFit="1"/>
    </xf>
    <xf numFmtId="195" fontId="126" fillId="2" borderId="0" xfId="3" applyNumberFormat="1" applyFont="1" applyFill="1" applyAlignment="1">
      <alignment horizontal="center"/>
    </xf>
    <xf numFmtId="0" fontId="99" fillId="2" borderId="0" xfId="6" applyFont="1" applyFill="1" applyAlignment="1">
      <alignment horizontal="center"/>
    </xf>
    <xf numFmtId="0" fontId="126" fillId="2" borderId="0" xfId="6" applyFont="1" applyFill="1" applyAlignment="1">
      <alignment horizontal="center"/>
    </xf>
    <xf numFmtId="0" fontId="199" fillId="2" borderId="0" xfId="6" applyFont="1" applyFill="1" applyAlignment="1">
      <alignment horizontal="center"/>
    </xf>
    <xf numFmtId="0" fontId="207" fillId="0" borderId="0" xfId="6" applyFont="1" applyAlignment="1">
      <alignment horizontal="center"/>
    </xf>
    <xf numFmtId="0" fontId="126" fillId="0" borderId="2" xfId="0" applyFont="1" applyBorder="1" applyAlignment="1">
      <alignment horizontal="center"/>
    </xf>
    <xf numFmtId="0" fontId="158" fillId="0" borderId="2" xfId="0" applyFont="1" applyBorder="1" applyAlignment="1">
      <alignment horizontal="center"/>
    </xf>
    <xf numFmtId="0" fontId="206" fillId="0" borderId="0" xfId="6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152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52" fillId="0" borderId="7" xfId="0" applyFont="1" applyBorder="1" applyAlignment="1">
      <alignment horizontal="center" vertical="center" wrapText="1"/>
    </xf>
    <xf numFmtId="0" fontId="152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53" fillId="0" borderId="14" xfId="0" applyFont="1" applyBorder="1" applyAlignment="1">
      <alignment horizontal="center"/>
    </xf>
    <xf numFmtId="0" fontId="37" fillId="0" borderId="0" xfId="6" applyFont="1" applyFill="1" applyBorder="1" applyAlignment="1">
      <alignment horizontal="center" vertical="center" wrapText="1" shrinkToFit="1"/>
    </xf>
    <xf numFmtId="0" fontId="203" fillId="0" borderId="0" xfId="0" applyFont="1" applyAlignment="1">
      <alignment horizontal="center" vertical="center"/>
    </xf>
    <xf numFmtId="0" fontId="164" fillId="4" borderId="18" xfId="0" applyFont="1" applyFill="1" applyBorder="1" applyAlignment="1">
      <alignment horizontal="center" vertical="center" wrapText="1"/>
    </xf>
    <xf numFmtId="0" fontId="164" fillId="4" borderId="6" xfId="0" applyFont="1" applyFill="1" applyBorder="1" applyAlignment="1">
      <alignment horizontal="center" vertical="center" wrapText="1"/>
    </xf>
    <xf numFmtId="192" fontId="164" fillId="4" borderId="2" xfId="12" applyNumberFormat="1" applyFont="1" applyFill="1" applyBorder="1" applyAlignment="1">
      <alignment horizontal="center" vertical="center" wrapText="1"/>
    </xf>
    <xf numFmtId="0" fontId="164" fillId="4" borderId="7" xfId="0" applyFont="1" applyFill="1" applyBorder="1" applyAlignment="1">
      <alignment horizontal="center" vertical="center" wrapText="1"/>
    </xf>
    <xf numFmtId="0" fontId="164" fillId="4" borderId="15" xfId="0" applyFont="1" applyFill="1" applyBorder="1" applyAlignment="1">
      <alignment horizontal="center" vertical="center" wrapText="1"/>
    </xf>
    <xf numFmtId="0" fontId="164" fillId="4" borderId="25" xfId="0" applyFont="1" applyFill="1" applyBorder="1" applyAlignment="1">
      <alignment horizontal="center" vertical="center"/>
    </xf>
    <xf numFmtId="0" fontId="164" fillId="4" borderId="14" xfId="0" applyFont="1" applyFill="1" applyBorder="1" applyAlignment="1">
      <alignment horizontal="center" vertical="center"/>
    </xf>
    <xf numFmtId="0" fontId="164" fillId="4" borderId="24" xfId="0" applyFont="1" applyFill="1" applyBorder="1" applyAlignment="1">
      <alignment horizontal="center" vertical="center"/>
    </xf>
    <xf numFmtId="0" fontId="164" fillId="4" borderId="21" xfId="0" applyFont="1" applyFill="1" applyBorder="1" applyAlignment="1">
      <alignment horizontal="center" vertical="center"/>
    </xf>
    <xf numFmtId="0" fontId="164" fillId="4" borderId="1" xfId="0" applyFont="1" applyFill="1" applyBorder="1" applyAlignment="1">
      <alignment horizontal="center" vertical="center"/>
    </xf>
    <xf numFmtId="0" fontId="164" fillId="4" borderId="22" xfId="0" applyFont="1" applyFill="1" applyBorder="1" applyAlignment="1">
      <alignment horizontal="center" vertical="center"/>
    </xf>
    <xf numFmtId="0" fontId="164" fillId="4" borderId="2" xfId="0" applyFont="1" applyFill="1" applyBorder="1" applyAlignment="1">
      <alignment horizontal="center" vertical="center"/>
    </xf>
    <xf numFmtId="0" fontId="188" fillId="4" borderId="7" xfId="0" applyFont="1" applyFill="1" applyBorder="1" applyAlignment="1">
      <alignment horizontal="center" vertical="center"/>
    </xf>
    <xf numFmtId="0" fontId="188" fillId="4" borderId="15" xfId="0" applyFont="1" applyFill="1" applyBorder="1" applyAlignment="1">
      <alignment horizontal="center" vertical="center"/>
    </xf>
    <xf numFmtId="0" fontId="190" fillId="4" borderId="14" xfId="0" applyFont="1" applyFill="1" applyBorder="1" applyAlignment="1">
      <alignment horizontal="center" vertical="center" shrinkToFit="1"/>
    </xf>
    <xf numFmtId="0" fontId="191" fillId="4" borderId="0" xfId="0" applyFont="1" applyFill="1" applyAlignment="1">
      <alignment horizontal="center"/>
    </xf>
    <xf numFmtId="0" fontId="189" fillId="4" borderId="0" xfId="0" applyFont="1" applyFill="1" applyBorder="1" applyAlignment="1">
      <alignment horizontal="center"/>
    </xf>
    <xf numFmtId="0" fontId="132" fillId="4" borderId="0" xfId="0" applyFont="1" applyFill="1" applyAlignment="1">
      <alignment horizontal="left"/>
    </xf>
    <xf numFmtId="0" fontId="116" fillId="0" borderId="0" xfId="0" applyFont="1" applyFill="1" applyAlignment="1">
      <alignment horizontal="center" vertical="center"/>
    </xf>
    <xf numFmtId="0" fontId="13" fillId="0" borderId="0" xfId="0" quotePrefix="1" applyFont="1" applyFill="1" applyAlignment="1">
      <alignment horizontal="center"/>
    </xf>
    <xf numFmtId="0" fontId="108" fillId="0" borderId="0" xfId="0" applyFont="1" applyFill="1" applyAlignment="1">
      <alignment horizontal="center" vertical="center"/>
    </xf>
    <xf numFmtId="0" fontId="107" fillId="0" borderId="0" xfId="0" applyFont="1" applyFill="1" applyAlignment="1">
      <alignment horizontal="center" vertical="center"/>
    </xf>
    <xf numFmtId="0" fontId="126" fillId="0" borderId="2" xfId="0" applyFont="1" applyFill="1" applyBorder="1" applyAlignment="1">
      <alignment horizontal="center" vertical="center" wrapText="1"/>
    </xf>
    <xf numFmtId="44" fontId="177" fillId="0" borderId="2" xfId="13" applyFont="1" applyFill="1" applyBorder="1" applyAlignment="1">
      <alignment horizontal="center" vertical="center" wrapText="1"/>
    </xf>
    <xf numFmtId="0" fontId="177" fillId="0" borderId="2" xfId="0" applyFont="1" applyFill="1" applyBorder="1" applyAlignment="1">
      <alignment horizontal="center" vertical="center" wrapText="1"/>
    </xf>
    <xf numFmtId="0" fontId="177" fillId="0" borderId="2" xfId="0" applyFont="1" applyFill="1" applyBorder="1" applyAlignment="1">
      <alignment horizontal="center" vertical="center"/>
    </xf>
    <xf numFmtId="0" fontId="126" fillId="0" borderId="2" xfId="0" applyFont="1" applyFill="1" applyBorder="1" applyAlignment="1">
      <alignment horizontal="center" vertical="center"/>
    </xf>
    <xf numFmtId="44" fontId="126" fillId="0" borderId="2" xfId="13" applyFont="1" applyFill="1" applyBorder="1" applyAlignment="1">
      <alignment horizontal="center" vertical="center" wrapText="1"/>
    </xf>
    <xf numFmtId="44" fontId="126" fillId="0" borderId="2" xfId="13" applyFont="1" applyFill="1" applyBorder="1" applyAlignment="1">
      <alignment horizontal="center" vertical="center"/>
    </xf>
    <xf numFmtId="206" fontId="126" fillId="0" borderId="18" xfId="16" applyNumberFormat="1" applyFont="1" applyFill="1" applyBorder="1" applyAlignment="1">
      <alignment horizontal="center" vertical="center" shrinkToFit="1"/>
    </xf>
    <xf numFmtId="206" fontId="126" fillId="0" borderId="6" xfId="16" applyNumberFormat="1" applyFont="1" applyFill="1" applyBorder="1" applyAlignment="1">
      <alignment horizontal="center" vertical="center" shrinkToFit="1"/>
    </xf>
    <xf numFmtId="206" fontId="126" fillId="0" borderId="12" xfId="16" applyNumberFormat="1" applyFont="1" applyFill="1" applyBorder="1" applyAlignment="1">
      <alignment horizontal="center" vertical="center" shrinkToFit="1"/>
    </xf>
    <xf numFmtId="206" fontId="230" fillId="0" borderId="18" xfId="16" applyNumberFormat="1" applyFont="1" applyFill="1" applyBorder="1" applyAlignment="1">
      <alignment horizontal="center" vertical="center" shrinkToFit="1"/>
    </xf>
    <xf numFmtId="206" fontId="230" fillId="0" borderId="6" xfId="16" applyNumberFormat="1" applyFont="1" applyFill="1" applyBorder="1" applyAlignment="1">
      <alignment horizontal="center" vertical="center" shrinkToFit="1"/>
    </xf>
    <xf numFmtId="206" fontId="230" fillId="0" borderId="12" xfId="16" applyNumberFormat="1" applyFont="1" applyFill="1" applyBorder="1" applyAlignment="1">
      <alignment horizontal="center" vertical="center" shrinkToFit="1"/>
    </xf>
    <xf numFmtId="43" fontId="126" fillId="0" borderId="18" xfId="16" applyFont="1" applyFill="1" applyBorder="1" applyAlignment="1">
      <alignment horizontal="center" vertical="center" shrinkToFit="1"/>
    </xf>
    <xf numFmtId="43" fontId="126" fillId="0" borderId="6" xfId="16" applyFont="1" applyFill="1" applyBorder="1" applyAlignment="1">
      <alignment horizontal="center" vertical="center" shrinkToFit="1"/>
    </xf>
    <xf numFmtId="43" fontId="126" fillId="0" borderId="12" xfId="16" applyFont="1" applyFill="1" applyBorder="1" applyAlignment="1">
      <alignment horizontal="center" vertical="center" shrinkToFit="1"/>
    </xf>
    <xf numFmtId="0" fontId="177" fillId="0" borderId="18" xfId="0" applyFont="1" applyFill="1" applyBorder="1" applyAlignment="1">
      <alignment horizontal="center" vertical="center"/>
    </xf>
    <xf numFmtId="0" fontId="177" fillId="0" borderId="6" xfId="0" applyFont="1" applyFill="1" applyBorder="1" applyAlignment="1">
      <alignment horizontal="center" vertical="center"/>
    </xf>
    <xf numFmtId="0" fontId="177" fillId="0" borderId="12" xfId="0" applyFont="1" applyFill="1" applyBorder="1" applyAlignment="1">
      <alignment horizontal="center" vertical="center"/>
    </xf>
    <xf numFmtId="206" fontId="126" fillId="0" borderId="2" xfId="16" applyNumberFormat="1" applyFont="1" applyFill="1" applyBorder="1" applyAlignment="1">
      <alignment horizontal="center" vertical="center" shrinkToFit="1"/>
    </xf>
    <xf numFmtId="192" fontId="126" fillId="0" borderId="2" xfId="16" applyNumberFormat="1" applyFont="1" applyFill="1" applyBorder="1" applyAlignment="1">
      <alignment horizontal="center" vertical="center" shrinkToFit="1"/>
    </xf>
    <xf numFmtId="43" fontId="126" fillId="0" borderId="2" xfId="16" applyFont="1" applyFill="1" applyBorder="1" applyAlignment="1">
      <alignment horizontal="center" vertical="center" shrinkToFit="1"/>
    </xf>
    <xf numFmtId="0" fontId="98" fillId="0" borderId="18" xfId="0" applyFont="1" applyFill="1" applyBorder="1" applyAlignment="1">
      <alignment horizontal="center" vertical="center"/>
    </xf>
    <xf numFmtId="0" fontId="98" fillId="0" borderId="6" xfId="0" applyFont="1" applyFill="1" applyBorder="1" applyAlignment="1">
      <alignment horizontal="center" vertical="center"/>
    </xf>
    <xf numFmtId="0" fontId="98" fillId="0" borderId="12" xfId="0" applyFont="1" applyFill="1" applyBorder="1" applyAlignment="1">
      <alignment horizontal="center" vertical="center"/>
    </xf>
    <xf numFmtId="192" fontId="38" fillId="0" borderId="18" xfId="16" applyNumberFormat="1" applyFont="1" applyFill="1" applyBorder="1" applyAlignment="1">
      <alignment horizontal="center" vertical="center" shrinkToFit="1"/>
    </xf>
    <xf numFmtId="192" fontId="38" fillId="0" borderId="6" xfId="16" applyNumberFormat="1" applyFont="1" applyFill="1" applyBorder="1" applyAlignment="1">
      <alignment horizontal="center" vertical="center" shrinkToFit="1"/>
    </xf>
    <xf numFmtId="192" fontId="38" fillId="0" borderId="12" xfId="16" applyNumberFormat="1" applyFont="1" applyFill="1" applyBorder="1" applyAlignment="1">
      <alignment horizontal="center" vertical="center" shrinkToFit="1"/>
    </xf>
    <xf numFmtId="206" fontId="38" fillId="0" borderId="18" xfId="16" applyNumberFormat="1" applyFont="1" applyFill="1" applyBorder="1" applyAlignment="1">
      <alignment horizontal="center" vertical="center" shrinkToFit="1"/>
    </xf>
    <xf numFmtId="206" fontId="38" fillId="0" borderId="6" xfId="16" applyNumberFormat="1" applyFont="1" applyFill="1" applyBorder="1" applyAlignment="1">
      <alignment horizontal="center" vertical="center" shrinkToFit="1"/>
    </xf>
    <xf numFmtId="206" fontId="38" fillId="0" borderId="12" xfId="16" applyNumberFormat="1" applyFont="1" applyFill="1" applyBorder="1" applyAlignment="1">
      <alignment horizontal="center" vertical="center" shrinkToFit="1"/>
    </xf>
    <xf numFmtId="192" fontId="138" fillId="0" borderId="18" xfId="16" applyNumberFormat="1" applyFont="1" applyFill="1" applyBorder="1" applyAlignment="1">
      <alignment horizontal="center" vertical="center" shrinkToFit="1"/>
    </xf>
    <xf numFmtId="192" fontId="138" fillId="0" borderId="6" xfId="16" applyNumberFormat="1" applyFont="1" applyFill="1" applyBorder="1" applyAlignment="1">
      <alignment horizontal="center" vertical="center" shrinkToFit="1"/>
    </xf>
    <xf numFmtId="192" fontId="138" fillId="0" borderId="12" xfId="16" applyNumberFormat="1" applyFont="1" applyFill="1" applyBorder="1" applyAlignment="1">
      <alignment horizontal="center" vertical="center" shrinkToFit="1"/>
    </xf>
    <xf numFmtId="192" fontId="230" fillId="0" borderId="18" xfId="16" applyNumberFormat="1" applyFont="1" applyFill="1" applyBorder="1" applyAlignment="1">
      <alignment horizontal="center" vertical="center" shrinkToFit="1"/>
    </xf>
    <xf numFmtId="192" fontId="230" fillId="0" borderId="6" xfId="16" applyNumberFormat="1" applyFont="1" applyFill="1" applyBorder="1" applyAlignment="1">
      <alignment horizontal="center" vertical="center" shrinkToFit="1"/>
    </xf>
    <xf numFmtId="192" fontId="230" fillId="0" borderId="12" xfId="16" applyNumberFormat="1" applyFont="1" applyFill="1" applyBorder="1" applyAlignment="1">
      <alignment horizontal="center" vertical="center" shrinkToFit="1"/>
    </xf>
    <xf numFmtId="192" fontId="126" fillId="0" borderId="18" xfId="16" applyNumberFormat="1" applyFont="1" applyFill="1" applyBorder="1" applyAlignment="1">
      <alignment horizontal="center" vertical="center" shrinkToFit="1"/>
    </xf>
    <xf numFmtId="192" fontId="126" fillId="0" borderId="6" xfId="16" applyNumberFormat="1" applyFont="1" applyFill="1" applyBorder="1" applyAlignment="1">
      <alignment horizontal="center" vertical="center" shrinkToFit="1"/>
    </xf>
    <xf numFmtId="192" fontId="126" fillId="0" borderId="12" xfId="16" applyNumberFormat="1" applyFont="1" applyFill="1" applyBorder="1" applyAlignment="1">
      <alignment horizontal="center" vertical="center" shrinkToFit="1"/>
    </xf>
    <xf numFmtId="0" fontId="177" fillId="0" borderId="0" xfId="0" applyFont="1" applyFill="1" applyAlignment="1">
      <alignment horizontal="center"/>
    </xf>
    <xf numFmtId="0" fontId="132" fillId="0" borderId="2" xfId="0" applyFont="1" applyFill="1" applyBorder="1" applyAlignment="1">
      <alignment horizontal="center" vertical="center"/>
    </xf>
    <xf numFmtId="206" fontId="37" fillId="0" borderId="2" xfId="16" applyNumberFormat="1" applyFont="1" applyFill="1" applyBorder="1" applyAlignment="1">
      <alignment horizontal="center" vertical="center" shrinkToFit="1"/>
    </xf>
    <xf numFmtId="192" fontId="37" fillId="0" borderId="2" xfId="16" applyNumberFormat="1" applyFont="1" applyFill="1" applyBorder="1" applyAlignment="1">
      <alignment horizontal="center" vertical="center" shrinkToFit="1"/>
    </xf>
    <xf numFmtId="43" fontId="37" fillId="0" borderId="2" xfId="16" applyFont="1" applyFill="1" applyBorder="1" applyAlignment="1">
      <alignment horizontal="center" vertical="center" shrinkToFit="1"/>
    </xf>
    <xf numFmtId="0" fontId="126" fillId="0" borderId="18" xfId="0" applyFont="1" applyFill="1" applyBorder="1" applyAlignment="1">
      <alignment horizontal="center" vertical="center"/>
    </xf>
    <xf numFmtId="0" fontId="126" fillId="0" borderId="12" xfId="0" applyFont="1" applyFill="1" applyBorder="1" applyAlignment="1">
      <alignment horizontal="center" vertical="center"/>
    </xf>
    <xf numFmtId="206" fontId="126" fillId="0" borderId="18" xfId="16" applyNumberFormat="1" applyFont="1" applyFill="1" applyBorder="1" applyAlignment="1">
      <alignment horizontal="center" vertical="center"/>
    </xf>
    <xf numFmtId="206" fontId="126" fillId="0" borderId="12" xfId="16" applyNumberFormat="1" applyFont="1" applyFill="1" applyBorder="1" applyAlignment="1">
      <alignment horizontal="center" vertical="center"/>
    </xf>
    <xf numFmtId="44" fontId="177" fillId="0" borderId="0" xfId="13" applyFont="1" applyFill="1" applyAlignment="1">
      <alignment horizontal="center"/>
    </xf>
    <xf numFmtId="0" fontId="206" fillId="0" borderId="14" xfId="0" applyFont="1" applyBorder="1" applyAlignment="1">
      <alignment horizontal="left"/>
    </xf>
    <xf numFmtId="0" fontId="207" fillId="0" borderId="0" xfId="0" applyFont="1" applyAlignment="1">
      <alignment horizontal="left" indent="3"/>
    </xf>
    <xf numFmtId="0" fontId="107" fillId="0" borderId="0" xfId="0" applyFont="1" applyAlignment="1">
      <alignment horizontal="center"/>
    </xf>
    <xf numFmtId="0" fontId="48" fillId="0" borderId="0" xfId="6" applyFont="1" applyFill="1" applyAlignment="1">
      <alignment horizontal="left" indent="2"/>
    </xf>
    <xf numFmtId="0" fontId="66" fillId="0" borderId="2" xfId="0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51" fillId="0" borderId="0" xfId="6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0" fontId="66" fillId="0" borderId="2" xfId="0" applyFont="1" applyFill="1" applyBorder="1" applyAlignment="1">
      <alignment horizontal="center" vertical="center"/>
    </xf>
    <xf numFmtId="0" fontId="66" fillId="0" borderId="2" xfId="0" applyFont="1" applyFill="1" applyBorder="1" applyAlignment="1">
      <alignment horizontal="center" vertical="center" wrapText="1"/>
    </xf>
    <xf numFmtId="0" fontId="225" fillId="0" borderId="0" xfId="0" applyFont="1" applyFill="1" applyAlignment="1">
      <alignment horizontal="center" vertical="center"/>
    </xf>
    <xf numFmtId="43" fontId="66" fillId="0" borderId="18" xfId="16" applyFont="1" applyBorder="1" applyAlignment="1">
      <alignment horizontal="center" vertical="center" shrinkToFit="1"/>
    </xf>
    <xf numFmtId="43" fontId="66" fillId="0" borderId="6" xfId="16" applyFont="1" applyBorder="1" applyAlignment="1">
      <alignment horizontal="center" vertical="center" shrinkToFit="1"/>
    </xf>
    <xf numFmtId="43" fontId="66" fillId="0" borderId="12" xfId="16" applyFont="1" applyBorder="1" applyAlignment="1">
      <alignment horizontal="center" vertical="center" shrinkToFit="1"/>
    </xf>
    <xf numFmtId="0" fontId="164" fillId="0" borderId="2" xfId="0" applyFont="1" applyBorder="1" applyAlignment="1">
      <alignment horizontal="center" vertical="center" wrapText="1"/>
    </xf>
    <xf numFmtId="0" fontId="164" fillId="0" borderId="2" xfId="0" applyFont="1" applyBorder="1" applyAlignment="1">
      <alignment horizontal="center" vertical="center"/>
    </xf>
    <xf numFmtId="206" fontId="66" fillId="0" borderId="2" xfId="16" applyNumberFormat="1" applyFont="1" applyBorder="1" applyAlignment="1">
      <alignment horizontal="center" vertical="center" shrinkToFit="1"/>
    </xf>
    <xf numFmtId="0" fontId="164" fillId="0" borderId="18" xfId="0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164" fillId="0" borderId="12" xfId="0" applyFont="1" applyBorder="1" applyAlignment="1">
      <alignment horizontal="center" vertical="center"/>
    </xf>
    <xf numFmtId="206" fontId="66" fillId="0" borderId="18" xfId="16" applyNumberFormat="1" applyFont="1" applyBorder="1" applyAlignment="1">
      <alignment horizontal="center" vertical="center" shrinkToFit="1"/>
    </xf>
    <xf numFmtId="206" fontId="66" fillId="0" borderId="6" xfId="16" applyNumberFormat="1" applyFont="1" applyBorder="1" applyAlignment="1">
      <alignment horizontal="center" vertical="center" shrinkToFit="1"/>
    </xf>
    <xf numFmtId="206" fontId="66" fillId="0" borderId="12" xfId="16" applyNumberFormat="1" applyFont="1" applyBorder="1" applyAlignment="1">
      <alignment horizontal="center" vertical="center" shrinkToFit="1"/>
    </xf>
    <xf numFmtId="206" fontId="95" fillId="0" borderId="18" xfId="16" applyNumberFormat="1" applyFont="1" applyBorder="1" applyAlignment="1">
      <alignment horizontal="center" vertical="center" shrinkToFit="1"/>
    </xf>
    <xf numFmtId="206" fontId="95" fillId="0" borderId="6" xfId="16" applyNumberFormat="1" applyFont="1" applyBorder="1" applyAlignment="1">
      <alignment horizontal="center" vertical="center" shrinkToFit="1"/>
    </xf>
    <xf numFmtId="206" fontId="95" fillId="0" borderId="12" xfId="16" applyNumberFormat="1" applyFont="1" applyBorder="1" applyAlignment="1">
      <alignment horizontal="center" vertical="center" shrinkToFit="1"/>
    </xf>
    <xf numFmtId="43" fontId="66" fillId="0" borderId="2" xfId="16" applyFont="1" applyBorder="1" applyAlignment="1">
      <alignment horizontal="center" vertical="center" shrinkToFit="1"/>
    </xf>
    <xf numFmtId="0" fontId="120" fillId="0" borderId="18" xfId="0" applyFont="1" applyBorder="1" applyAlignment="1">
      <alignment horizontal="center" vertical="center"/>
    </xf>
    <xf numFmtId="0" fontId="120" fillId="0" borderId="6" xfId="0" applyFont="1" applyBorder="1" applyAlignment="1">
      <alignment horizontal="center" vertical="center"/>
    </xf>
    <xf numFmtId="0" fontId="120" fillId="0" borderId="12" xfId="0" applyFont="1" applyBorder="1" applyAlignment="1">
      <alignment horizontal="center" vertical="center"/>
    </xf>
    <xf numFmtId="192" fontId="4" fillId="0" borderId="18" xfId="16" applyNumberFormat="1" applyFont="1" applyBorder="1" applyAlignment="1">
      <alignment horizontal="center" vertical="center" shrinkToFit="1"/>
    </xf>
    <xf numFmtId="192" fontId="4" fillId="0" borderId="6" xfId="16" applyNumberFormat="1" applyFont="1" applyBorder="1" applyAlignment="1">
      <alignment horizontal="center" vertical="center" shrinkToFit="1"/>
    </xf>
    <xf numFmtId="192" fontId="4" fillId="0" borderId="12" xfId="16" applyNumberFormat="1" applyFont="1" applyBorder="1" applyAlignment="1">
      <alignment horizontal="center" vertical="center" shrinkToFit="1"/>
    </xf>
    <xf numFmtId="206" fontId="4" fillId="0" borderId="18" xfId="16" applyNumberFormat="1" applyFont="1" applyBorder="1" applyAlignment="1">
      <alignment horizontal="center" vertical="center" shrinkToFit="1"/>
    </xf>
    <xf numFmtId="206" fontId="4" fillId="0" borderId="6" xfId="16" applyNumberFormat="1" applyFont="1" applyBorder="1" applyAlignment="1">
      <alignment horizontal="center" vertical="center" shrinkToFit="1"/>
    </xf>
    <xf numFmtId="206" fontId="4" fillId="0" borderId="12" xfId="16" applyNumberFormat="1" applyFont="1" applyBorder="1" applyAlignment="1">
      <alignment horizontal="center" vertical="center" shrinkToFit="1"/>
    </xf>
    <xf numFmtId="206" fontId="81" fillId="0" borderId="18" xfId="16" applyNumberFormat="1" applyFont="1" applyBorder="1" applyAlignment="1">
      <alignment horizontal="center" vertical="center" shrinkToFit="1"/>
    </xf>
    <xf numFmtId="206" fontId="81" fillId="0" borderId="6" xfId="16" applyNumberFormat="1" applyFont="1" applyBorder="1" applyAlignment="1">
      <alignment horizontal="center" vertical="center" shrinkToFit="1"/>
    </xf>
    <xf numFmtId="206" fontId="81" fillId="0" borderId="12" xfId="16" applyNumberFormat="1" applyFont="1" applyBorder="1" applyAlignment="1">
      <alignment horizontal="center" vertical="center" shrinkToFit="1"/>
    </xf>
    <xf numFmtId="0" fontId="121" fillId="0" borderId="2" xfId="0" applyFont="1" applyBorder="1" applyAlignment="1">
      <alignment horizontal="center" vertical="center"/>
    </xf>
    <xf numFmtId="206" fontId="2" fillId="0" borderId="2" xfId="16" applyNumberFormat="1" applyFont="1" applyBorder="1" applyAlignment="1">
      <alignment horizontal="center" vertical="center" shrinkToFit="1"/>
    </xf>
    <xf numFmtId="43" fontId="2" fillId="0" borderId="2" xfId="16" applyFont="1" applyBorder="1" applyAlignment="1">
      <alignment horizontal="center" vertical="center" shrinkToFit="1"/>
    </xf>
    <xf numFmtId="192" fontId="66" fillId="0" borderId="18" xfId="16" applyNumberFormat="1" applyFont="1" applyBorder="1" applyAlignment="1">
      <alignment horizontal="center" vertical="center" shrinkToFit="1"/>
    </xf>
    <xf numFmtId="192" fontId="66" fillId="0" borderId="6" xfId="16" applyNumberFormat="1" applyFont="1" applyBorder="1" applyAlignment="1">
      <alignment horizontal="center" vertical="center" shrinkToFit="1"/>
    </xf>
    <xf numFmtId="192" fontId="66" fillId="0" borderId="12" xfId="16" applyNumberFormat="1" applyFont="1" applyBorder="1" applyAlignment="1">
      <alignment horizontal="center" vertical="center" shrinkToFit="1"/>
    </xf>
    <xf numFmtId="0" fontId="159" fillId="0" borderId="14" xfId="0" applyFont="1" applyBorder="1" applyAlignment="1">
      <alignment horizontal="left" indent="12"/>
    </xf>
    <xf numFmtId="0" fontId="164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44" fontId="229" fillId="0" borderId="0" xfId="11" applyFont="1" applyAlignment="1">
      <alignment horizontal="center"/>
    </xf>
    <xf numFmtId="206" fontId="129" fillId="0" borderId="0" xfId="0" applyNumberFormat="1" applyFont="1" applyAlignment="1">
      <alignment horizontal="center"/>
    </xf>
    <xf numFmtId="0" fontId="129" fillId="0" borderId="0" xfId="0" applyFont="1" applyAlignment="1">
      <alignment horizontal="center"/>
    </xf>
    <xf numFmtId="218" fontId="83" fillId="0" borderId="0" xfId="0" applyNumberFormat="1" applyFont="1" applyFill="1" applyAlignment="1">
      <alignment horizontal="center"/>
    </xf>
    <xf numFmtId="187" fontId="83" fillId="0" borderId="11" xfId="0" applyNumberFormat="1" applyFont="1" applyFill="1" applyBorder="1" applyAlignment="1">
      <alignment horizontal="center" vertical="center" wrapText="1"/>
    </xf>
    <xf numFmtId="187" fontId="213" fillId="0" borderId="0" xfId="0" applyNumberFormat="1" applyFont="1" applyFill="1" applyAlignment="1">
      <alignment horizontal="center" vertical="center"/>
    </xf>
    <xf numFmtId="3" fontId="26" fillId="0" borderId="2" xfId="0" applyNumberFormat="1" applyFont="1" applyFill="1" applyBorder="1" applyAlignment="1">
      <alignment horizontal="center" vertical="center"/>
    </xf>
    <xf numFmtId="3" fontId="26" fillId="5" borderId="0" xfId="0" applyNumberFormat="1" applyFont="1" applyFill="1" applyBorder="1" applyAlignment="1">
      <alignment horizontal="center" vertical="center"/>
    </xf>
    <xf numFmtId="3" fontId="26" fillId="5" borderId="14" xfId="0" applyNumberFormat="1" applyFont="1" applyFill="1" applyBorder="1" applyAlignment="1">
      <alignment horizontal="center" vertical="center"/>
    </xf>
    <xf numFmtId="3" fontId="26" fillId="5" borderId="24" xfId="0" applyNumberFormat="1" applyFont="1" applyFill="1" applyBorder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247" fillId="0" borderId="0" xfId="0" quotePrefix="1" applyFont="1" applyFill="1" applyBorder="1" applyAlignment="1">
      <alignment horizontal="center"/>
    </xf>
    <xf numFmtId="0" fontId="126" fillId="0" borderId="7" xfId="0" applyFont="1" applyBorder="1" applyAlignment="1">
      <alignment horizontal="center" vertical="center" wrapText="1"/>
    </xf>
    <xf numFmtId="0" fontId="126" fillId="0" borderId="15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126" fillId="0" borderId="7" xfId="0" applyFont="1" applyBorder="1" applyAlignment="1">
      <alignment horizontal="center" vertical="center"/>
    </xf>
    <xf numFmtId="0" fontId="126" fillId="0" borderId="18" xfId="0" applyFont="1" applyBorder="1" applyAlignment="1">
      <alignment horizontal="center"/>
    </xf>
    <xf numFmtId="0" fontId="126" fillId="0" borderId="12" xfId="0" applyFont="1" applyBorder="1" applyAlignment="1">
      <alignment horizontal="center"/>
    </xf>
    <xf numFmtId="0" fontId="201" fillId="0" borderId="0" xfId="0" applyFont="1" applyAlignment="1">
      <alignment horizontal="center" vertical="center"/>
    </xf>
    <xf numFmtId="0" fontId="126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38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7" fillId="0" borderId="18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126" fillId="4" borderId="7" xfId="0" applyFont="1" applyFill="1" applyBorder="1" applyAlignment="1">
      <alignment horizontal="center" vertical="center" wrapText="1"/>
    </xf>
    <xf numFmtId="0" fontId="126" fillId="4" borderId="15" xfId="0" applyFont="1" applyFill="1" applyBorder="1" applyAlignment="1">
      <alignment horizontal="center" vertical="center" wrapText="1"/>
    </xf>
    <xf numFmtId="0" fontId="126" fillId="4" borderId="25" xfId="0" applyFont="1" applyFill="1" applyBorder="1" applyAlignment="1">
      <alignment horizontal="center" vertical="center"/>
    </xf>
    <xf numFmtId="0" fontId="126" fillId="4" borderId="14" xfId="0" applyFont="1" applyFill="1" applyBorder="1" applyAlignment="1">
      <alignment horizontal="center" vertical="center"/>
    </xf>
    <xf numFmtId="0" fontId="126" fillId="4" borderId="24" xfId="0" applyFont="1" applyFill="1" applyBorder="1" applyAlignment="1">
      <alignment horizontal="center" vertical="center"/>
    </xf>
  </cellXfs>
  <cellStyles count="22">
    <cellStyle name="Comma" xfId="1" builtinId="3"/>
    <cellStyle name="Comma 11" xfId="10"/>
    <cellStyle name="Comma 2" xfId="2"/>
    <cellStyle name="Comma 2 2" xfId="12"/>
    <cellStyle name="Comma 21" xfId="17"/>
    <cellStyle name="Comma 21 4" xfId="21"/>
    <cellStyle name="Comma 22" xfId="16"/>
    <cellStyle name="Comma 3" xfId="3"/>
    <cellStyle name="Comma_Sheet1" xfId="20"/>
    <cellStyle name="Currency" xfId="11" builtinId="4"/>
    <cellStyle name="Currency 2" xfId="13"/>
    <cellStyle name="Normal" xfId="0" builtinId="0"/>
    <cellStyle name="Normal 10" xfId="9"/>
    <cellStyle name="Normal 2" xfId="4"/>
    <cellStyle name="Normal 2 2" xfId="19"/>
    <cellStyle name="Normal 3" xfId="5"/>
    <cellStyle name="Normal 4" xfId="6"/>
    <cellStyle name="Normal 4 2" xfId="18"/>
    <cellStyle name="Normal 5" xfId="15"/>
    <cellStyle name="Normal_KE HOACH SAN XUAT HANG THANG NAM 2016" xfId="7"/>
    <cellStyle name="Normal_Sheet1" xfId="8"/>
    <cellStyle name="Percent" xfId="14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5"/>
        </patternFill>
      </fill>
    </dxf>
    <dxf>
      <fill>
        <patternFill>
          <bgColor indexed="34"/>
        </patternFill>
      </fill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34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ill>
        <patternFill>
          <bgColor indexed="34"/>
        </patternFill>
      </fill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34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1.xml"/><Relationship Id="rId89" Type="http://schemas.openxmlformats.org/officeDocument/2006/relationships/externalLink" Target="externalLinks/externalLink6.xml"/><Relationship Id="rId112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externalLink" Target="externalLinks/externalLink4.xml"/><Relationship Id="rId102" Type="http://schemas.openxmlformats.org/officeDocument/2006/relationships/externalLink" Target="externalLinks/externalLink19.xml"/><Relationship Id="rId110" Type="http://schemas.openxmlformats.org/officeDocument/2006/relationships/externalLink" Target="externalLinks/externalLink27.xml"/><Relationship Id="rId115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externalLink" Target="externalLinks/externalLink7.xml"/><Relationship Id="rId95" Type="http://schemas.openxmlformats.org/officeDocument/2006/relationships/externalLink" Target="externalLinks/externalLink1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17.xml"/><Relationship Id="rId105" Type="http://schemas.openxmlformats.org/officeDocument/2006/relationships/externalLink" Target="externalLinks/externalLink22.xml"/><Relationship Id="rId113" Type="http://schemas.openxmlformats.org/officeDocument/2006/relationships/externalLink" Target="externalLinks/externalLink3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2.xml"/><Relationship Id="rId93" Type="http://schemas.openxmlformats.org/officeDocument/2006/relationships/externalLink" Target="externalLinks/externalLink10.xml"/><Relationship Id="rId9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20.xml"/><Relationship Id="rId108" Type="http://schemas.openxmlformats.org/officeDocument/2006/relationships/externalLink" Target="externalLinks/externalLink25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externalLink" Target="externalLinks/externalLink5.xml"/><Relationship Id="rId91" Type="http://schemas.openxmlformats.org/officeDocument/2006/relationships/externalLink" Target="externalLinks/externalLink8.xml"/><Relationship Id="rId96" Type="http://schemas.openxmlformats.org/officeDocument/2006/relationships/externalLink" Target="externalLinks/externalLink13.xml"/><Relationship Id="rId111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23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externalLink" Target="externalLinks/externalLink3.xml"/><Relationship Id="rId94" Type="http://schemas.openxmlformats.org/officeDocument/2006/relationships/externalLink" Target="externalLinks/externalLink11.xml"/><Relationship Id="rId99" Type="http://schemas.openxmlformats.org/officeDocument/2006/relationships/externalLink" Target="externalLinks/externalLink16.xml"/><Relationship Id="rId10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26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4.xml"/><Relationship Id="rId104" Type="http://schemas.openxmlformats.org/officeDocument/2006/relationships/externalLink" Target="externalLinks/externalLink2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1350818</xdr:colOff>
      <xdr:row>5</xdr:row>
      <xdr:rowOff>17319</xdr:rowOff>
    </xdr:from>
    <xdr:to>
      <xdr:col>5</xdr:col>
      <xdr:colOff>138546</xdr:colOff>
      <xdr:row>5</xdr:row>
      <xdr:rowOff>17319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E00-000003000000}"/>
            </a:ext>
          </a:extLst>
        </xdr:cNvPr>
        <xdr:cNvCxnSpPr/>
      </xdr:nvCxnSpPr>
      <xdr:spPr>
        <a:xfrm>
          <a:off x="2372591" y="1402774"/>
          <a:ext cx="26496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1002631</xdr:colOff>
      <xdr:row>4</xdr:row>
      <xdr:rowOff>284080</xdr:rowOff>
    </xdr:from>
    <xdr:to>
      <xdr:col>5</xdr:col>
      <xdr:colOff>534737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E00-000003000000}"/>
            </a:ext>
          </a:extLst>
        </xdr:cNvPr>
        <xdr:cNvCxnSpPr/>
      </xdr:nvCxnSpPr>
      <xdr:spPr>
        <a:xfrm flipV="1">
          <a:off x="1687763" y="1487238"/>
          <a:ext cx="2757237" cy="167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5</xdr:row>
      <xdr:rowOff>0</xdr:rowOff>
    </xdr:from>
    <xdr:to>
      <xdr:col>5</xdr:col>
      <xdr:colOff>247650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E00-000003000000}"/>
            </a:ext>
          </a:extLst>
        </xdr:cNvPr>
        <xdr:cNvCxnSpPr/>
      </xdr:nvCxnSpPr>
      <xdr:spPr>
        <a:xfrm>
          <a:off x="1352550" y="1000125"/>
          <a:ext cx="14954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1350818</xdr:colOff>
      <xdr:row>5</xdr:row>
      <xdr:rowOff>17319</xdr:rowOff>
    </xdr:from>
    <xdr:to>
      <xdr:col>5</xdr:col>
      <xdr:colOff>138546</xdr:colOff>
      <xdr:row>5</xdr:row>
      <xdr:rowOff>17319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E00-000003000000}"/>
            </a:ext>
          </a:extLst>
        </xdr:cNvPr>
        <xdr:cNvCxnSpPr/>
      </xdr:nvCxnSpPr>
      <xdr:spPr>
        <a:xfrm>
          <a:off x="2379518" y="1398444"/>
          <a:ext cx="26453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200025</xdr:rowOff>
    </xdr:from>
    <xdr:to>
      <xdr:col>32</xdr:col>
      <xdr:colOff>390525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 flipV="1">
          <a:off x="695325" y="1038225"/>
          <a:ext cx="1990725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29552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4</xdr:row>
      <xdr:rowOff>200025</xdr:rowOff>
    </xdr:from>
    <xdr:to>
      <xdr:col>32</xdr:col>
      <xdr:colOff>390525</xdr:colOff>
      <xdr:row>5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 flipV="1">
          <a:off x="695325" y="1038225"/>
          <a:ext cx="1800225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10502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1038225</xdr:colOff>
      <xdr:row>4</xdr:row>
      <xdr:rowOff>180976</xdr:rowOff>
    </xdr:from>
    <xdr:to>
      <xdr:col>4</xdr:col>
      <xdr:colOff>390525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1504950" y="1019176"/>
          <a:ext cx="16192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3933825" y="21859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113501</xdr:colOff>
      <xdr:row>7</xdr:row>
      <xdr:rowOff>15875</xdr:rowOff>
    </xdr:from>
    <xdr:to>
      <xdr:col>5</xdr:col>
      <xdr:colOff>1333500</xdr:colOff>
      <xdr:row>7</xdr:row>
      <xdr:rowOff>34637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CxnSpPr/>
      </xdr:nvCxnSpPr>
      <xdr:spPr>
        <a:xfrm>
          <a:off x="4564274" y="2042102"/>
          <a:ext cx="2986453" cy="187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756285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113501</xdr:colOff>
      <xdr:row>7</xdr:row>
      <xdr:rowOff>15875</xdr:rowOff>
    </xdr:from>
    <xdr:to>
      <xdr:col>5</xdr:col>
      <xdr:colOff>1333500</xdr:colOff>
      <xdr:row>7</xdr:row>
      <xdr:rowOff>34637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CxnSpPr/>
      </xdr:nvCxnSpPr>
      <xdr:spPr>
        <a:xfrm>
          <a:off x="4571201" y="2054225"/>
          <a:ext cx="2982124" cy="187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441960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781410</xdr:colOff>
      <xdr:row>6</xdr:row>
      <xdr:rowOff>233632</xdr:rowOff>
    </xdr:from>
    <xdr:to>
      <xdr:col>6</xdr:col>
      <xdr:colOff>965157</xdr:colOff>
      <xdr:row>6</xdr:row>
      <xdr:rowOff>247047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3890514" y="1958915"/>
          <a:ext cx="2789643" cy="134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</xdr:rowOff>
    </xdr:from>
    <xdr:to>
      <xdr:col>6</xdr:col>
      <xdr:colOff>143796</xdr:colOff>
      <xdr:row>5</xdr:row>
      <xdr:rowOff>20210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2057400" y="1143000"/>
          <a:ext cx="1934496" cy="106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773906</xdr:colOff>
      <xdr:row>5</xdr:row>
      <xdr:rowOff>35719</xdr:rowOff>
    </xdr:from>
    <xdr:to>
      <xdr:col>6</xdr:col>
      <xdr:colOff>750094</xdr:colOff>
      <xdr:row>5</xdr:row>
      <xdr:rowOff>35719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12094" y="1119188"/>
          <a:ext cx="2047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1333500</xdr:colOff>
      <xdr:row>5</xdr:row>
      <xdr:rowOff>9525</xdr:rowOff>
    </xdr:from>
    <xdr:to>
      <xdr:col>4</xdr:col>
      <xdr:colOff>57150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2019300" y="1057275"/>
          <a:ext cx="1209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684944</xdr:colOff>
      <xdr:row>5</xdr:row>
      <xdr:rowOff>0</xdr:rowOff>
    </xdr:from>
    <xdr:to>
      <xdr:col>6</xdr:col>
      <xdr:colOff>32107</xdr:colOff>
      <xdr:row>5</xdr:row>
      <xdr:rowOff>10702</xdr:rowOff>
    </xdr:to>
    <xdr:cxnSp macro="">
      <xdr:nvCxnSpPr>
        <xdr:cNvPr id="3" name="Straight Connector 2"/>
        <xdr:cNvCxnSpPr/>
      </xdr:nvCxnSpPr>
      <xdr:spPr>
        <a:xfrm>
          <a:off x="2333090" y="1048820"/>
          <a:ext cx="1947809" cy="107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1344706</xdr:colOff>
      <xdr:row>6</xdr:row>
      <xdr:rowOff>0</xdr:rowOff>
    </xdr:from>
    <xdr:to>
      <xdr:col>6</xdr:col>
      <xdr:colOff>33618</xdr:colOff>
      <xdr:row>6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658471" y="1243853"/>
          <a:ext cx="1882588" cy="11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8</xdr:row>
      <xdr:rowOff>0</xdr:rowOff>
    </xdr:from>
    <xdr:to>
      <xdr:col>4</xdr:col>
      <xdr:colOff>514350</xdr:colOff>
      <xdr:row>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809625" y="1676400"/>
          <a:ext cx="2028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</xdr:row>
      <xdr:rowOff>0</xdr:rowOff>
    </xdr:from>
    <xdr:to>
      <xdr:col>2</xdr:col>
      <xdr:colOff>723900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CxnSpPr/>
      </xdr:nvCxnSpPr>
      <xdr:spPr>
        <a:xfrm flipV="1">
          <a:off x="1038225" y="1047750"/>
          <a:ext cx="18002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192909</xdr:rowOff>
    </xdr:from>
    <xdr:to>
      <xdr:col>6</xdr:col>
      <xdr:colOff>1190625</xdr:colOff>
      <xdr:row>2</xdr:row>
      <xdr:rowOff>4762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2190750" y="392934"/>
          <a:ext cx="2362200" cy="214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4</xdr:row>
      <xdr:rowOff>272543</xdr:rowOff>
    </xdr:from>
    <xdr:to>
      <xdr:col>5</xdr:col>
      <xdr:colOff>466725</xdr:colOff>
      <xdr:row>5</xdr:row>
      <xdr:rowOff>2241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1000125" y="1253618"/>
          <a:ext cx="1838325" cy="154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22411</xdr:colOff>
      <xdr:row>2</xdr:row>
      <xdr:rowOff>0</xdr:rowOff>
    </xdr:from>
    <xdr:to>
      <xdr:col>2</xdr:col>
      <xdr:colOff>974911</xdr:colOff>
      <xdr:row>2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627529" y="392206"/>
          <a:ext cx="952500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34</xdr:col>
      <xdr:colOff>156882</xdr:colOff>
      <xdr:row>2</xdr:row>
      <xdr:rowOff>11206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CxnSpPr/>
      </xdr:nvCxnSpPr>
      <xdr:spPr>
        <a:xfrm flipV="1">
          <a:off x="9368117" y="392206"/>
          <a:ext cx="296955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400-000014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00000000-0008-0000-0400-000017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0400-000019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0400-00001A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1200150</xdr:colOff>
      <xdr:row>1</xdr:row>
      <xdr:rowOff>180975</xdr:rowOff>
    </xdr:from>
    <xdr:to>
      <xdr:col>1</xdr:col>
      <xdr:colOff>3086100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00000000-0008-0000-0400-00001D000000}"/>
            </a:ext>
          </a:extLst>
        </xdr:cNvPr>
        <xdr:cNvCxnSpPr/>
      </xdr:nvCxnSpPr>
      <xdr:spPr>
        <a:xfrm>
          <a:off x="1619250" y="379095"/>
          <a:ext cx="1885950" cy="171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0400-00001E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1084568</xdr:colOff>
      <xdr:row>5</xdr:row>
      <xdr:rowOff>44022</xdr:rowOff>
    </xdr:from>
    <xdr:to>
      <xdr:col>2</xdr:col>
      <xdr:colOff>894629</xdr:colOff>
      <xdr:row>5</xdr:row>
      <xdr:rowOff>44022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492782" y="1268665"/>
          <a:ext cx="151095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843643</xdr:colOff>
      <xdr:row>2</xdr:row>
      <xdr:rowOff>32088</xdr:rowOff>
    </xdr:from>
    <xdr:to>
      <xdr:col>11</xdr:col>
      <xdr:colOff>408214</xdr:colOff>
      <xdr:row>2</xdr:row>
      <xdr:rowOff>32088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5823857" y="521945"/>
          <a:ext cx="25309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326381</xdr:colOff>
      <xdr:row>2</xdr:row>
      <xdr:rowOff>27214</xdr:rowOff>
    </xdr:from>
    <xdr:to>
      <xdr:col>16</xdr:col>
      <xdr:colOff>326571</xdr:colOff>
      <xdr:row>2</xdr:row>
      <xdr:rowOff>27216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1865238" y="517071"/>
          <a:ext cx="19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990600</xdr:colOff>
      <xdr:row>4</xdr:row>
      <xdr:rowOff>19050</xdr:rowOff>
    </xdr:from>
    <xdr:to>
      <xdr:col>4</xdr:col>
      <xdr:colOff>419100</xdr:colOff>
      <xdr:row>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962400" y="1695450"/>
          <a:ext cx="2476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952500</xdr:colOff>
      <xdr:row>2</xdr:row>
      <xdr:rowOff>38100</xdr:rowOff>
    </xdr:from>
    <xdr:to>
      <xdr:col>14</xdr:col>
      <xdr:colOff>304800</xdr:colOff>
      <xdr:row>2</xdr:row>
      <xdr:rowOff>57150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12763500" y="876300"/>
          <a:ext cx="40195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1142999</xdr:colOff>
      <xdr:row>4</xdr:row>
      <xdr:rowOff>21772</xdr:rowOff>
    </xdr:from>
    <xdr:to>
      <xdr:col>3</xdr:col>
      <xdr:colOff>163285</xdr:colOff>
      <xdr:row>4</xdr:row>
      <xdr:rowOff>21772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447799" y="974272"/>
          <a:ext cx="171586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2</xdr:row>
      <xdr:rowOff>54429</xdr:rowOff>
    </xdr:from>
    <xdr:to>
      <xdr:col>11</xdr:col>
      <xdr:colOff>817789</xdr:colOff>
      <xdr:row>2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7252607" y="544286"/>
          <a:ext cx="247786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</xdr:colOff>
      <xdr:row>1</xdr:row>
      <xdr:rowOff>28686</xdr:rowOff>
    </xdr:from>
    <xdr:to>
      <xdr:col>0</xdr:col>
      <xdr:colOff>336</xdr:colOff>
      <xdr:row>1</xdr:row>
      <xdr:rowOff>28686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36" y="22871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-1008</xdr:colOff>
      <xdr:row>3</xdr:row>
      <xdr:rowOff>12214</xdr:rowOff>
    </xdr:from>
    <xdr:to>
      <xdr:col>0</xdr:col>
      <xdr:colOff>-1008</xdr:colOff>
      <xdr:row>3</xdr:row>
      <xdr:rowOff>12214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-1008" y="412264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415741</xdr:colOff>
      <xdr:row>7</xdr:row>
      <xdr:rowOff>6163</xdr:rowOff>
    </xdr:from>
    <xdr:to>
      <xdr:col>1</xdr:col>
      <xdr:colOff>2041750</xdr:colOff>
      <xdr:row>7</xdr:row>
      <xdr:rowOff>6163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07947" y="1597398"/>
          <a:ext cx="16260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425375</xdr:colOff>
      <xdr:row>5</xdr:row>
      <xdr:rowOff>17144</xdr:rowOff>
    </xdr:from>
    <xdr:to>
      <xdr:col>4</xdr:col>
      <xdr:colOff>126125</xdr:colOff>
      <xdr:row>5</xdr:row>
      <xdr:rowOff>17144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711125" y="579119"/>
          <a:ext cx="1967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</xdr:colOff>
      <xdr:row>1</xdr:row>
      <xdr:rowOff>28686</xdr:rowOff>
    </xdr:from>
    <xdr:to>
      <xdr:col>0</xdr:col>
      <xdr:colOff>336</xdr:colOff>
      <xdr:row>1</xdr:row>
      <xdr:rowOff>28686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36" y="22871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-1008</xdr:colOff>
      <xdr:row>3</xdr:row>
      <xdr:rowOff>12214</xdr:rowOff>
    </xdr:from>
    <xdr:to>
      <xdr:col>0</xdr:col>
      <xdr:colOff>-1008</xdr:colOff>
      <xdr:row>3</xdr:row>
      <xdr:rowOff>12214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-1008" y="612289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863973</xdr:colOff>
      <xdr:row>7</xdr:row>
      <xdr:rowOff>17369</xdr:rowOff>
    </xdr:from>
    <xdr:to>
      <xdr:col>2</xdr:col>
      <xdr:colOff>270097</xdr:colOff>
      <xdr:row>7</xdr:row>
      <xdr:rowOff>17369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256179" y="1642222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460089</xdr:colOff>
      <xdr:row>5</xdr:row>
      <xdr:rowOff>24972</xdr:rowOff>
    </xdr:from>
    <xdr:to>
      <xdr:col>3</xdr:col>
      <xdr:colOff>1333500</xdr:colOff>
      <xdr:row>5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CxnSpPr/>
      </xdr:nvCxnSpPr>
      <xdr:spPr>
        <a:xfrm>
          <a:off x="1736439" y="1072722"/>
          <a:ext cx="1911636" cy="36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5</xdr:row>
      <xdr:rowOff>0</xdr:rowOff>
    </xdr:from>
    <xdr:to>
      <xdr:col>4</xdr:col>
      <xdr:colOff>133350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 flipV="1">
          <a:off x="2009775" y="10382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2</xdr:row>
      <xdr:rowOff>43255</xdr:rowOff>
    </xdr:from>
    <xdr:to>
      <xdr:col>8</xdr:col>
      <xdr:colOff>981075</xdr:colOff>
      <xdr:row>2</xdr:row>
      <xdr:rowOff>60624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CxnSpPr/>
      </xdr:nvCxnSpPr>
      <xdr:spPr>
        <a:xfrm flipH="1">
          <a:off x="5181600" y="452830"/>
          <a:ext cx="2952750" cy="173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1309687</xdr:colOff>
      <xdr:row>5</xdr:row>
      <xdr:rowOff>0</xdr:rowOff>
    </xdr:from>
    <xdr:to>
      <xdr:col>5</xdr:col>
      <xdr:colOff>500062</xdr:colOff>
      <xdr:row>5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666875" y="1083469"/>
          <a:ext cx="1857375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202406</xdr:colOff>
      <xdr:row>5</xdr:row>
      <xdr:rowOff>23812</xdr:rowOff>
    </xdr:from>
    <xdr:to>
      <xdr:col>6</xdr:col>
      <xdr:colOff>392906</xdr:colOff>
      <xdr:row>5</xdr:row>
      <xdr:rowOff>23812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3174206" y="1214437"/>
          <a:ext cx="2066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1109379</xdr:colOff>
      <xdr:row>5</xdr:row>
      <xdr:rowOff>44823</xdr:rowOff>
    </xdr:from>
    <xdr:to>
      <xdr:col>1</xdr:col>
      <xdr:colOff>3070411</xdr:colOff>
      <xdr:row>5</xdr:row>
      <xdr:rowOff>46411</xdr:rowOff>
    </xdr:to>
    <xdr:cxnSp macro="">
      <xdr:nvCxnSpPr>
        <xdr:cNvPr id="2" name="Straight Connector 1"/>
        <xdr:cNvCxnSpPr/>
      </xdr:nvCxnSpPr>
      <xdr:spPr>
        <a:xfrm>
          <a:off x="1404654" y="1035423"/>
          <a:ext cx="1913407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1109379</xdr:colOff>
      <xdr:row>5</xdr:row>
      <xdr:rowOff>44823</xdr:rowOff>
    </xdr:from>
    <xdr:to>
      <xdr:col>1</xdr:col>
      <xdr:colOff>3070411</xdr:colOff>
      <xdr:row>5</xdr:row>
      <xdr:rowOff>46411</xdr:rowOff>
    </xdr:to>
    <xdr:cxnSp macro="">
      <xdr:nvCxnSpPr>
        <xdr:cNvPr id="3" name="Straight Connector 2"/>
        <xdr:cNvCxnSpPr/>
      </xdr:nvCxnSpPr>
      <xdr:spPr>
        <a:xfrm>
          <a:off x="1404654" y="1035423"/>
          <a:ext cx="1913407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1109379</xdr:colOff>
      <xdr:row>5</xdr:row>
      <xdr:rowOff>44823</xdr:rowOff>
    </xdr:from>
    <xdr:to>
      <xdr:col>1</xdr:col>
      <xdr:colOff>3070411</xdr:colOff>
      <xdr:row>5</xdr:row>
      <xdr:rowOff>46411</xdr:rowOff>
    </xdr:to>
    <xdr:cxnSp macro="">
      <xdr:nvCxnSpPr>
        <xdr:cNvPr id="4" name="Straight Connector 3"/>
        <xdr:cNvCxnSpPr/>
      </xdr:nvCxnSpPr>
      <xdr:spPr>
        <a:xfrm>
          <a:off x="1404654" y="1035423"/>
          <a:ext cx="1961032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981075</xdr:colOff>
      <xdr:row>6</xdr:row>
      <xdr:rowOff>0</xdr:rowOff>
    </xdr:from>
    <xdr:to>
      <xdr:col>3</xdr:col>
      <xdr:colOff>447675</xdr:colOff>
      <xdr:row>6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314450" y="1228725"/>
          <a:ext cx="1952625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7362825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599154</xdr:colOff>
      <xdr:row>6</xdr:row>
      <xdr:rowOff>276533</xdr:rowOff>
    </xdr:from>
    <xdr:to>
      <xdr:col>5</xdr:col>
      <xdr:colOff>30727</xdr:colOff>
      <xdr:row>6</xdr:row>
      <xdr:rowOff>276533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4178710" y="1997178"/>
          <a:ext cx="19664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727710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522339</xdr:colOff>
      <xdr:row>6</xdr:row>
      <xdr:rowOff>276534</xdr:rowOff>
    </xdr:from>
    <xdr:to>
      <xdr:col>5</xdr:col>
      <xdr:colOff>998590</xdr:colOff>
      <xdr:row>6</xdr:row>
      <xdr:rowOff>276534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3875139" y="2019609"/>
          <a:ext cx="305752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838825" y="23383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501316</xdr:colOff>
      <xdr:row>7</xdr:row>
      <xdr:rowOff>33421</xdr:rowOff>
    </xdr:from>
    <xdr:to>
      <xdr:col>5</xdr:col>
      <xdr:colOff>802105</xdr:colOff>
      <xdr:row>7</xdr:row>
      <xdr:rowOff>33421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3810000" y="2372895"/>
          <a:ext cx="17546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6657975" y="23383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558961</xdr:colOff>
      <xdr:row>7</xdr:row>
      <xdr:rowOff>17546</xdr:rowOff>
    </xdr:from>
    <xdr:to>
      <xdr:col>5</xdr:col>
      <xdr:colOff>859750</xdr:colOff>
      <xdr:row>7</xdr:row>
      <xdr:rowOff>17546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3883186" y="2332121"/>
          <a:ext cx="256773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6896100" y="209073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992769</xdr:colOff>
      <xdr:row>6</xdr:row>
      <xdr:rowOff>254894</xdr:rowOff>
    </xdr:from>
    <xdr:to>
      <xdr:col>4</xdr:col>
      <xdr:colOff>335388</xdr:colOff>
      <xdr:row>6</xdr:row>
      <xdr:rowOff>268310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 flipV="1">
          <a:off x="2924600" y="2052570"/>
          <a:ext cx="1717161" cy="134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6896100" y="211931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630550</xdr:colOff>
      <xdr:row>6</xdr:row>
      <xdr:rowOff>281725</xdr:rowOff>
    </xdr:from>
    <xdr:to>
      <xdr:col>5</xdr:col>
      <xdr:colOff>751290</xdr:colOff>
      <xdr:row>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 flipV="1">
          <a:off x="3888100" y="2081950"/>
          <a:ext cx="2473415" cy="13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7447430" y="454174"/>
          <a:ext cx="348222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41</xdr:row>
      <xdr:rowOff>180975</xdr:rowOff>
    </xdr:from>
    <xdr:to>
      <xdr:col>40</xdr:col>
      <xdr:colOff>28575</xdr:colOff>
      <xdr:row>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000-000003000000}"/>
            </a:ext>
          </a:extLst>
        </xdr:cNvPr>
        <xdr:cNvCxnSpPr/>
      </xdr:nvCxnSpPr>
      <xdr:spPr>
        <a:xfrm flipV="1">
          <a:off x="5743575" y="8620125"/>
          <a:ext cx="311467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6807350" y="488464"/>
          <a:ext cx="3337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558725</xdr:colOff>
      <xdr:row>1</xdr:row>
      <xdr:rowOff>45719</xdr:rowOff>
    </xdr:from>
    <xdr:to>
      <xdr:col>4</xdr:col>
      <xdr:colOff>259480</xdr:colOff>
      <xdr:row>1</xdr:row>
      <xdr:rowOff>45719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873050" y="259079"/>
          <a:ext cx="173147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7367420" y="486559"/>
          <a:ext cx="34345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453950</xdr:colOff>
      <xdr:row>2</xdr:row>
      <xdr:rowOff>245744</xdr:rowOff>
    </xdr:from>
    <xdr:to>
      <xdr:col>4</xdr:col>
      <xdr:colOff>154698</xdr:colOff>
      <xdr:row>2</xdr:row>
      <xdr:rowOff>245744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874955" y="259079"/>
          <a:ext cx="195433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558725</xdr:colOff>
      <xdr:row>1</xdr:row>
      <xdr:rowOff>45719</xdr:rowOff>
    </xdr:from>
    <xdr:to>
      <xdr:col>4</xdr:col>
      <xdr:colOff>259475</xdr:colOff>
      <xdr:row>1</xdr:row>
      <xdr:rowOff>45719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844475" y="255269"/>
          <a:ext cx="1977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400-000003000000}"/>
            </a:ext>
          </a:extLst>
        </xdr:cNvPr>
        <xdr:cNvCxnSpPr/>
      </xdr:nvCxnSpPr>
      <xdr:spPr>
        <a:xfrm>
          <a:off x="7055000" y="488464"/>
          <a:ext cx="3337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0</xdr:rowOff>
    </xdr:from>
    <xdr:to>
      <xdr:col>5</xdr:col>
      <xdr:colOff>57126</xdr:colOff>
      <xdr:row>6</xdr:row>
      <xdr:rowOff>1588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904875" y="1247775"/>
          <a:ext cx="17144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6</xdr:row>
      <xdr:rowOff>9525</xdr:rowOff>
    </xdr:from>
    <xdr:to>
      <xdr:col>3</xdr:col>
      <xdr:colOff>371475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1009650" y="1257300"/>
          <a:ext cx="1762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4</xdr:row>
      <xdr:rowOff>190500</xdr:rowOff>
    </xdr:from>
    <xdr:to>
      <xdr:col>2</xdr:col>
      <xdr:colOff>1295400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B00-000003000000}"/>
            </a:ext>
          </a:extLst>
        </xdr:cNvPr>
        <xdr:cNvCxnSpPr/>
      </xdr:nvCxnSpPr>
      <xdr:spPr>
        <a:xfrm>
          <a:off x="885825" y="923925"/>
          <a:ext cx="18573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SpPr txBox="1"/>
      </xdr:nvSpPr>
      <xdr:spPr>
        <a:xfrm>
          <a:off x="12839700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392206</xdr:colOff>
      <xdr:row>2</xdr:row>
      <xdr:rowOff>22412</xdr:rowOff>
    </xdr:from>
    <xdr:to>
      <xdr:col>12</xdr:col>
      <xdr:colOff>190500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E00-000003000000}"/>
            </a:ext>
          </a:extLst>
        </xdr:cNvPr>
        <xdr:cNvCxnSpPr/>
      </xdr:nvCxnSpPr>
      <xdr:spPr>
        <a:xfrm>
          <a:off x="5878606" y="441512"/>
          <a:ext cx="3341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12525375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392206</xdr:colOff>
      <xdr:row>2</xdr:row>
      <xdr:rowOff>22412</xdr:rowOff>
    </xdr:from>
    <xdr:to>
      <xdr:col>12</xdr:col>
      <xdr:colOff>190500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F00-000003000000}"/>
            </a:ext>
          </a:extLst>
        </xdr:cNvPr>
        <xdr:cNvCxnSpPr/>
      </xdr:nvCxnSpPr>
      <xdr:spPr>
        <a:xfrm>
          <a:off x="5564281" y="441512"/>
          <a:ext cx="3341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907676</xdr:colOff>
      <xdr:row>5</xdr:row>
      <xdr:rowOff>26333</xdr:rowOff>
    </xdr:from>
    <xdr:to>
      <xdr:col>2</xdr:col>
      <xdr:colOff>832037</xdr:colOff>
      <xdr:row>5</xdr:row>
      <xdr:rowOff>26333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CxnSpPr/>
      </xdr:nvCxnSpPr>
      <xdr:spPr>
        <a:xfrm>
          <a:off x="1317251" y="1007408"/>
          <a:ext cx="172458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1057275</xdr:colOff>
      <xdr:row>2</xdr:row>
      <xdr:rowOff>35858</xdr:rowOff>
    </xdr:from>
    <xdr:to>
      <xdr:col>5</xdr:col>
      <xdr:colOff>0</xdr:colOff>
      <xdr:row>2</xdr:row>
      <xdr:rowOff>35858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000-000003000000}"/>
            </a:ext>
          </a:extLst>
        </xdr:cNvPr>
        <xdr:cNvCxnSpPr/>
      </xdr:nvCxnSpPr>
      <xdr:spPr>
        <a:xfrm>
          <a:off x="1466850" y="445433"/>
          <a:ext cx="3629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5</xdr:row>
      <xdr:rowOff>44022</xdr:rowOff>
    </xdr:from>
    <xdr:to>
      <xdr:col>4</xdr:col>
      <xdr:colOff>352425</xdr:colOff>
      <xdr:row>5</xdr:row>
      <xdr:rowOff>44022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100-000003000000}"/>
            </a:ext>
          </a:extLst>
        </xdr:cNvPr>
        <xdr:cNvCxnSpPr/>
      </xdr:nvCxnSpPr>
      <xdr:spPr>
        <a:xfrm>
          <a:off x="1009650" y="1063197"/>
          <a:ext cx="2019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538843</xdr:colOff>
      <xdr:row>2</xdr:row>
      <xdr:rowOff>3513</xdr:rowOff>
    </xdr:from>
    <xdr:to>
      <xdr:col>5</xdr:col>
      <xdr:colOff>638175</xdr:colOff>
      <xdr:row>2</xdr:row>
      <xdr:rowOff>3513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CxnSpPr/>
      </xdr:nvCxnSpPr>
      <xdr:spPr>
        <a:xfrm>
          <a:off x="2310493" y="413088"/>
          <a:ext cx="2480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4</xdr:row>
      <xdr:rowOff>190500</xdr:rowOff>
    </xdr:from>
    <xdr:to>
      <xdr:col>2</xdr:col>
      <xdr:colOff>1295400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885825" y="923925"/>
          <a:ext cx="18573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1323975</xdr:colOff>
      <xdr:row>5</xdr:row>
      <xdr:rowOff>0</xdr:rowOff>
    </xdr:from>
    <xdr:to>
      <xdr:col>3</xdr:col>
      <xdr:colOff>952500</xdr:colOff>
      <xdr:row>5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695450" y="971550"/>
          <a:ext cx="1038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5</xdr:row>
      <xdr:rowOff>28575</xdr:rowOff>
    </xdr:from>
    <xdr:to>
      <xdr:col>2</xdr:col>
      <xdr:colOff>400050</xdr:colOff>
      <xdr:row>5</xdr:row>
      <xdr:rowOff>28576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CxnSpPr/>
      </xdr:nvCxnSpPr>
      <xdr:spPr>
        <a:xfrm>
          <a:off x="2514600" y="1076325"/>
          <a:ext cx="130492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19050</xdr:rowOff>
    </xdr:from>
    <xdr:to>
      <xdr:col>3</xdr:col>
      <xdr:colOff>155761</xdr:colOff>
      <xdr:row>2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CxnSpPr/>
      </xdr:nvCxnSpPr>
      <xdr:spPr>
        <a:xfrm>
          <a:off x="904875" y="400050"/>
          <a:ext cx="97491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33</xdr:col>
      <xdr:colOff>156882</xdr:colOff>
      <xdr:row>2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500-000003000000}"/>
            </a:ext>
          </a:extLst>
        </xdr:cNvPr>
        <xdr:cNvCxnSpPr/>
      </xdr:nvCxnSpPr>
      <xdr:spPr>
        <a:xfrm flipV="1">
          <a:off x="8960783" y="381000"/>
          <a:ext cx="237844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33</xdr:col>
      <xdr:colOff>156882</xdr:colOff>
      <xdr:row>2</xdr:row>
      <xdr:rowOff>11206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CxnSpPr/>
      </xdr:nvCxnSpPr>
      <xdr:spPr>
        <a:xfrm flipV="1">
          <a:off x="8960783" y="381000"/>
          <a:ext cx="237844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900792</xdr:colOff>
      <xdr:row>4</xdr:row>
      <xdr:rowOff>5443</xdr:rowOff>
    </xdr:from>
    <xdr:to>
      <xdr:col>3</xdr:col>
      <xdr:colOff>171450</xdr:colOff>
      <xdr:row>4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CxnSpPr/>
      </xdr:nvCxnSpPr>
      <xdr:spPr>
        <a:xfrm>
          <a:off x="1205592" y="824593"/>
          <a:ext cx="1966233" cy="40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2</xdr:row>
      <xdr:rowOff>69397</xdr:rowOff>
    </xdr:from>
    <xdr:to>
      <xdr:col>10</xdr:col>
      <xdr:colOff>1152525</xdr:colOff>
      <xdr:row>2</xdr:row>
      <xdr:rowOff>69397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4286250" y="478972"/>
          <a:ext cx="262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571497</xdr:colOff>
      <xdr:row>4</xdr:row>
      <xdr:rowOff>285750</xdr:rowOff>
    </xdr:from>
    <xdr:to>
      <xdr:col>6</xdr:col>
      <xdr:colOff>27214</xdr:colOff>
      <xdr:row>5</xdr:row>
      <xdr:rowOff>13607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F00-000003000000}"/>
            </a:ext>
          </a:extLst>
        </xdr:cNvPr>
        <xdr:cNvCxnSpPr/>
      </xdr:nvCxnSpPr>
      <xdr:spPr>
        <a:xfrm>
          <a:off x="1197426" y="1524000"/>
          <a:ext cx="2231574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</xdr:row>
      <xdr:rowOff>9525</xdr:rowOff>
    </xdr:from>
    <xdr:to>
      <xdr:col>2</xdr:col>
      <xdr:colOff>200025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209675" y="1685925"/>
          <a:ext cx="1809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1085850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A00-00000C000000}"/>
            </a:ext>
          </a:extLst>
        </xdr:cNvPr>
        <xdr:cNvCxnSpPr/>
      </xdr:nvCxnSpPr>
      <xdr:spPr>
        <a:xfrm>
          <a:off x="1781175" y="971550"/>
          <a:ext cx="1085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97054</xdr:colOff>
      <xdr:row>4</xdr:row>
      <xdr:rowOff>200025</xdr:rowOff>
    </xdr:from>
    <xdr:to>
      <xdr:col>2</xdr:col>
      <xdr:colOff>595508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B00-000003000000}"/>
            </a:ext>
          </a:extLst>
        </xdr:cNvPr>
        <xdr:cNvCxnSpPr/>
      </xdr:nvCxnSpPr>
      <xdr:spPr>
        <a:xfrm>
          <a:off x="935254" y="1038225"/>
          <a:ext cx="2117704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B00-000002000000}"/>
            </a:ext>
          </a:extLst>
        </xdr:cNvPr>
        <xdr:cNvCxnSpPr/>
      </xdr:nvCxnSpPr>
      <xdr:spPr>
        <a:xfrm>
          <a:off x="1504950" y="981075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B00-000003000000}"/>
            </a:ext>
          </a:extLst>
        </xdr:cNvPr>
        <xdr:cNvCxnSpPr/>
      </xdr:nvCxnSpPr>
      <xdr:spPr>
        <a:xfrm>
          <a:off x="1504950" y="981075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6562725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269364</xdr:colOff>
      <xdr:row>7</xdr:row>
      <xdr:rowOff>15875</xdr:rowOff>
    </xdr:from>
    <xdr:to>
      <xdr:col>6</xdr:col>
      <xdr:colOff>15875</xdr:colOff>
      <xdr:row>7</xdr:row>
      <xdr:rowOff>15875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CxnSpPr/>
      </xdr:nvCxnSpPr>
      <xdr:spPr>
        <a:xfrm>
          <a:off x="3869814" y="2054225"/>
          <a:ext cx="27087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5</xdr:row>
      <xdr:rowOff>9525</xdr:rowOff>
    </xdr:from>
    <xdr:to>
      <xdr:col>2</xdr:col>
      <xdr:colOff>285750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485900" y="10572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5</xdr:row>
      <xdr:rowOff>9525</xdr:rowOff>
    </xdr:from>
    <xdr:to>
      <xdr:col>2</xdr:col>
      <xdr:colOff>285750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200150" y="1057275"/>
          <a:ext cx="847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354408</xdr:colOff>
      <xdr:row>5</xdr:row>
      <xdr:rowOff>0</xdr:rowOff>
    </xdr:from>
    <xdr:to>
      <xdr:col>2</xdr:col>
      <xdr:colOff>102792</xdr:colOff>
      <xdr:row>5</xdr:row>
      <xdr:rowOff>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 flipV="1">
          <a:off x="354408" y="1047750"/>
          <a:ext cx="207248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995620</xdr:colOff>
      <xdr:row>4</xdr:row>
      <xdr:rowOff>200025</xdr:rowOff>
    </xdr:from>
    <xdr:to>
      <xdr:col>4</xdr:col>
      <xdr:colOff>137855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367095" y="1038225"/>
          <a:ext cx="13806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219075</xdr:rowOff>
    </xdr:from>
    <xdr:to>
      <xdr:col>2</xdr:col>
      <xdr:colOff>1619250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295400" y="1085850"/>
          <a:ext cx="1076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219075</xdr:rowOff>
    </xdr:from>
    <xdr:to>
      <xdr:col>2</xdr:col>
      <xdr:colOff>1619250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171575" y="1085850"/>
          <a:ext cx="1076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</xdr:row>
      <xdr:rowOff>171451</xdr:rowOff>
    </xdr:from>
    <xdr:to>
      <xdr:col>3</xdr:col>
      <xdr:colOff>333375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219075" y="1009651"/>
          <a:ext cx="1876425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THIEN%20NT3/THIEN%20NT3/Nhan%20Su/Copy%20of%20Danh%20s&#225;ch%20c&#244;ng%20nh&#226;n%20khai%20th&#225;c%20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&#7893;ng%20h&#7907;p%20m&#7911;%20%20NT3.%20T4.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56F597E-0000-0000-0000-000000000000%7d/L&#432;&#417;ng%20T6.24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Nhan%20Su/Danh%20s&#225;ch%20c&#244;ng%20nh&#226;n%20khai%20th&#225;c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Users/Admin/Desktop/Ch&#7845;m%20c&#244;ng%20t&#7921;%20&#273;&#7897;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Users/ADMINI~1/AppData/Local/Temp/WPDNSE/%7bEE06B19D-625E-AE8E-72A0-E7430C1E25F7%7d/Th&#225;ng%20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i&#7873;n%20l&#432;&#417;ng/L&#432;&#417;ng/L&#432;&#417;ng%20C&#225;n%20b&#7897;/N&#259;m%202020/Th&#225;ng%2011/N&#244;ng%20tr&#432;&#7901;ng%201_Th&#225;ng%2008.20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n&#244;ng%20NT3.%20T4%20t&#7927;%20gi&#225;%20m&#7899;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9055C99-0000-0000-0000-000000000000%7d/l&#432;&#417;ng%20t&#7893;%20&#273;&#7897;i%20%20-%20Ph&#432;&#7907;n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Rar$DIa0.503/L&#432;&#417;ng%20NT3.%20T07.24%20c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Download/th%20m&#7911;%20cn%20th&#225;ng%2002.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1/N&#244;ng%20tr&#432;&#7901;ng%203%20l&#432;&#417;ng%20T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2/N&#244;ng%20tr&#432;&#7901;ng%203%20luong%20T0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3/N&#244;ng%20tr&#432;&#7901;ng%203%20l&#432;&#417;ng%20T0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4/N&#244;ng%20tr&#432;&#7901;ng%203%20l&#432;&#417;ng%20T04.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5/N&#244;ntr&#432;&#7901;ng3%20%20th&#225;ng5.2021c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6/L&#432;&#417;ngN&#244;ngtr&#432;&#7901;ng3_Th&#225;ng06%20C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7/L&#432;&#417;ngN&#244;ngtr&#432;&#7901;ng3_Th&#225;ng07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ang%2008/L&#432;&#417;ngN&#244;ngtr&#432;&#7901;ng3_Th&#225;ng0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9/N&#244;ngtr&#432;&#7901;ng3_Th&#225;ng09%20c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10/N&#244;ng%20tr&#432;&#7901;ng%203_%20Th&#225;ng%2010.2021%20.c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11/N&#244;ng%20tr&#432;&#7901;ng%203_%20Th&#225;ng%2011.2021%20c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i&#7873;n%20l&#432;&#417;ng/B&#7843;o%20hi&#7875;m%20x&#227;%20h&#7897;i/N&#259;m%202019/Th&#225;ng%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9.23%20new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11.23%20-%20thu&#7871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10.23%20thu&#234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uong%20th&#225;ng%2008.23%20thu&#234;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4A6D204-0000-0000-0000-000000000000%7d/BCSL%20&#272;1%20KX%2031%2001%20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quyen/SL%20QUyEN%202023/N&#258;M%202024/TH&#7888;NG%20K&#202;%20THEO%20D&#213;I%20M&#7910;%20C&#193;C%20&#272;&#7896;I%202024/N&#259;m%202024/THEO%20DOI%20CONG%20NHAN%20202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4A6D204-0000-0000-0000-000000000000%7d/&#272;&#7897;i%203%20ng&#224;y%2031%20th&#225;ng%201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D9" t="str">
            <v>01278</v>
          </cell>
          <cell r="E9" t="str">
            <v>Xom Chết</v>
          </cell>
        </row>
        <row r="10">
          <cell r="D10" t="str">
            <v>01991</v>
          </cell>
          <cell r="E10" t="str">
            <v>A Lưng</v>
          </cell>
        </row>
        <row r="11">
          <cell r="D11" t="str">
            <v>01280</v>
          </cell>
          <cell r="E11" t="str">
            <v>A Ngen</v>
          </cell>
        </row>
        <row r="12">
          <cell r="D12" t="str">
            <v>01281</v>
          </cell>
          <cell r="E12" t="str">
            <v>Xà Ngái</v>
          </cell>
        </row>
        <row r="13">
          <cell r="D13" t="str">
            <v>01282</v>
          </cell>
          <cell r="E13" t="str">
            <v>Thanh</v>
          </cell>
        </row>
        <row r="14">
          <cell r="D14" t="str">
            <v>01283</v>
          </cell>
          <cell r="E14" t="str">
            <v>Tà Khơ</v>
          </cell>
        </row>
        <row r="15">
          <cell r="D15" t="str">
            <v>01284</v>
          </cell>
          <cell r="E15" t="str">
            <v>A Pan</v>
          </cell>
        </row>
        <row r="16">
          <cell r="D16" t="str">
            <v>01285</v>
          </cell>
          <cell r="E16" t="str">
            <v>P Lo</v>
          </cell>
        </row>
        <row r="17">
          <cell r="D17" t="str">
            <v>01286</v>
          </cell>
          <cell r="E17" t="str">
            <v>A Tiên</v>
          </cell>
        </row>
        <row r="18">
          <cell r="D18" t="str">
            <v>01287</v>
          </cell>
          <cell r="E18" t="str">
            <v>La Hơi</v>
          </cell>
        </row>
        <row r="19">
          <cell r="D19" t="str">
            <v>01288</v>
          </cell>
          <cell r="E19" t="str">
            <v>Mao</v>
          </cell>
        </row>
        <row r="20">
          <cell r="D20" t="str">
            <v>01289</v>
          </cell>
          <cell r="E20" t="str">
            <v>A Len</v>
          </cell>
        </row>
        <row r="21">
          <cell r="D21" t="str">
            <v>01290</v>
          </cell>
          <cell r="E21" t="str">
            <v>Khai</v>
          </cell>
        </row>
        <row r="22">
          <cell r="D22" t="str">
            <v>01992</v>
          </cell>
          <cell r="E22" t="str">
            <v>Phò Súc</v>
          </cell>
        </row>
        <row r="23">
          <cell r="D23" t="str">
            <v>01292</v>
          </cell>
          <cell r="E23" t="str">
            <v>Xã Võ</v>
          </cell>
        </row>
        <row r="24">
          <cell r="D24" t="str">
            <v>01293</v>
          </cell>
          <cell r="E24" t="str">
            <v>A Pa Rơ</v>
          </cell>
        </row>
        <row r="25">
          <cell r="D25" t="str">
            <v>01294</v>
          </cell>
          <cell r="E25" t="str">
            <v>Bước</v>
          </cell>
        </row>
        <row r="26">
          <cell r="D26" t="str">
            <v>01295</v>
          </cell>
          <cell r="E26" t="str">
            <v>Banh</v>
          </cell>
        </row>
        <row r="27">
          <cell r="D27" t="str">
            <v>01296</v>
          </cell>
          <cell r="E27" t="str">
            <v>Dã Lay</v>
          </cell>
        </row>
        <row r="28">
          <cell r="D28" t="str">
            <v>01297</v>
          </cell>
          <cell r="E28" t="str">
            <v>A Chun</v>
          </cell>
        </row>
        <row r="29">
          <cell r="D29" t="str">
            <v>01298</v>
          </cell>
          <cell r="E29" t="str">
            <v>A Cát</v>
          </cell>
        </row>
        <row r="30">
          <cell r="D30" t="str">
            <v>01299</v>
          </cell>
          <cell r="E30" t="str">
            <v>Bớp</v>
          </cell>
        </row>
        <row r="31">
          <cell r="D31" t="str">
            <v>01993</v>
          </cell>
          <cell r="E31" t="str">
            <v>Ngân</v>
          </cell>
        </row>
        <row r="32">
          <cell r="D32" t="str">
            <v>01301</v>
          </cell>
          <cell r="E32" t="str">
            <v>Khươn</v>
          </cell>
        </row>
        <row r="33">
          <cell r="D33" t="str">
            <v>01302</v>
          </cell>
          <cell r="E33" t="str">
            <v>Cuôn Ngoc Sáng</v>
          </cell>
        </row>
        <row r="34">
          <cell r="D34" t="str">
            <v>01303</v>
          </cell>
          <cell r="E34" t="str">
            <v>Nang En</v>
          </cell>
        </row>
        <row r="35">
          <cell r="D35" t="str">
            <v>01304</v>
          </cell>
          <cell r="E35" t="str">
            <v>A Luốc</v>
          </cell>
        </row>
        <row r="36">
          <cell r="D36" t="str">
            <v>01305</v>
          </cell>
          <cell r="E36" t="str">
            <v>A Têng</v>
          </cell>
        </row>
        <row r="37">
          <cell r="D37" t="str">
            <v>01307</v>
          </cell>
          <cell r="E37" t="str">
            <v>Hắc</v>
          </cell>
        </row>
        <row r="38">
          <cell r="D38" t="str">
            <v>01308</v>
          </cell>
          <cell r="E38" t="str">
            <v>Khon Sa Văn ( Cha Phon)</v>
          </cell>
        </row>
        <row r="39">
          <cell r="D39" t="str">
            <v>01309</v>
          </cell>
          <cell r="E39" t="str">
            <v>A Ra</v>
          </cell>
        </row>
        <row r="40">
          <cell r="D40" t="str">
            <v>01310</v>
          </cell>
          <cell r="E40" t="str">
            <v>Cha Phau</v>
          </cell>
        </row>
        <row r="41">
          <cell r="D41" t="str">
            <v>01311</v>
          </cell>
          <cell r="E41" t="str">
            <v>A Lai</v>
          </cell>
        </row>
        <row r="42">
          <cell r="D42" t="str">
            <v>01312</v>
          </cell>
          <cell r="E42" t="str">
            <v>A Mèo</v>
          </cell>
        </row>
        <row r="43">
          <cell r="D43" t="str">
            <v>01314</v>
          </cell>
          <cell r="E43" t="str">
            <v>Beo</v>
          </cell>
        </row>
        <row r="44">
          <cell r="D44" t="str">
            <v>01315</v>
          </cell>
          <cell r="E44" t="str">
            <v>Xin Xay</v>
          </cell>
        </row>
        <row r="45">
          <cell r="D45" t="str">
            <v>01316</v>
          </cell>
          <cell r="E45" t="str">
            <v>Khăm Bun</v>
          </cell>
        </row>
        <row r="46">
          <cell r="D46" t="str">
            <v>01318</v>
          </cell>
          <cell r="E46" t="str">
            <v>Đốt</v>
          </cell>
        </row>
        <row r="47">
          <cell r="D47" t="str">
            <v>01321</v>
          </cell>
          <cell r="E47" t="str">
            <v>Phò Nọi</v>
          </cell>
        </row>
        <row r="48">
          <cell r="D48" t="str">
            <v>01324</v>
          </cell>
          <cell r="E48" t="str">
            <v>Khăm Xén</v>
          </cell>
        </row>
        <row r="49">
          <cell r="D49" t="str">
            <v>01325</v>
          </cell>
          <cell r="E49" t="str">
            <v>Pon</v>
          </cell>
        </row>
        <row r="50">
          <cell r="D50" t="str">
            <v>01326</v>
          </cell>
          <cell r="E50" t="str">
            <v>Săn Đây</v>
          </cell>
        </row>
        <row r="51">
          <cell r="D51" t="str">
            <v>01327</v>
          </cell>
          <cell r="E51" t="str">
            <v xml:space="preserve"> A Xinh</v>
          </cell>
        </row>
        <row r="52">
          <cell r="D52" t="str">
            <v>01328</v>
          </cell>
          <cell r="E52" t="str">
            <v>Long</v>
          </cell>
        </row>
        <row r="53">
          <cell r="D53" t="str">
            <v>01329</v>
          </cell>
          <cell r="E53" t="str">
            <v>B Têng</v>
          </cell>
        </row>
        <row r="54">
          <cell r="D54" t="str">
            <v>01330</v>
          </cell>
          <cell r="E54" t="str">
            <v>Sâm Lết</v>
          </cell>
        </row>
        <row r="55">
          <cell r="D55" t="str">
            <v>01331</v>
          </cell>
          <cell r="E55" t="str">
            <v>Chết</v>
          </cell>
        </row>
        <row r="56">
          <cell r="D56" t="str">
            <v>01333</v>
          </cell>
          <cell r="E56" t="str">
            <v>Việt</v>
          </cell>
        </row>
        <row r="57">
          <cell r="D57" t="str">
            <v>01334</v>
          </cell>
          <cell r="E57" t="str">
            <v>A Roan</v>
          </cell>
        </row>
        <row r="58">
          <cell r="D58" t="str">
            <v>01335</v>
          </cell>
          <cell r="E58" t="str">
            <v>A Cổ</v>
          </cell>
        </row>
        <row r="59">
          <cell r="D59" t="str">
            <v>01336</v>
          </cell>
          <cell r="E59" t="str">
            <v>Khăm Son</v>
          </cell>
        </row>
        <row r="60">
          <cell r="D60" t="str">
            <v>01337</v>
          </cell>
          <cell r="E60" t="str">
            <v>Chết C</v>
          </cell>
        </row>
        <row r="61">
          <cell r="D61" t="str">
            <v>01344</v>
          </cell>
          <cell r="E61" t="str">
            <v>A Chăng</v>
          </cell>
        </row>
        <row r="62">
          <cell r="D62" t="str">
            <v>01347</v>
          </cell>
          <cell r="E62" t="str">
            <v>A Vở</v>
          </cell>
        </row>
        <row r="63">
          <cell r="D63" t="str">
            <v>01348</v>
          </cell>
          <cell r="E63" t="str">
            <v>Phò Hôm</v>
          </cell>
        </row>
        <row r="64">
          <cell r="D64" t="str">
            <v>01994</v>
          </cell>
          <cell r="E64" t="str">
            <v>Khăm</v>
          </cell>
        </row>
        <row r="65">
          <cell r="D65" t="str">
            <v>01995</v>
          </cell>
          <cell r="E65" t="str">
            <v>Xã Ngon</v>
          </cell>
        </row>
        <row r="66">
          <cell r="D66" t="str">
            <v>01996</v>
          </cell>
          <cell r="E66" t="str">
            <v>Thong Chăn</v>
          </cell>
        </row>
        <row r="67">
          <cell r="D67" t="str">
            <v>01997</v>
          </cell>
          <cell r="E67" t="str">
            <v>A Mai</v>
          </cell>
        </row>
        <row r="68">
          <cell r="D68" t="str">
            <v>01998</v>
          </cell>
          <cell r="E68" t="str">
            <v>Thông May</v>
          </cell>
        </row>
        <row r="69">
          <cell r="D69" t="str">
            <v>01999</v>
          </cell>
          <cell r="E69" t="str">
            <v>Tà Đăng</v>
          </cell>
        </row>
        <row r="70">
          <cell r="D70" t="str">
            <v>02000</v>
          </cell>
          <cell r="E70" t="str">
            <v>Linh</v>
          </cell>
        </row>
        <row r="71">
          <cell r="D71" t="str">
            <v>02001</v>
          </cell>
          <cell r="E71" t="str">
            <v>A Lau</v>
          </cell>
        </row>
        <row r="72">
          <cell r="D72" t="str">
            <v>02002</v>
          </cell>
          <cell r="E72" t="str">
            <v>Khăm Pha</v>
          </cell>
        </row>
        <row r="73">
          <cell r="D73" t="str">
            <v>01313</v>
          </cell>
          <cell r="E73" t="str">
            <v>Keo</v>
          </cell>
        </row>
        <row r="74">
          <cell r="D74" t="str">
            <v>02003</v>
          </cell>
          <cell r="E74" t="str">
            <v>Mân</v>
          </cell>
        </row>
        <row r="75">
          <cell r="D75" t="str">
            <v>02004</v>
          </cell>
          <cell r="E75" t="str">
            <v>Mèo</v>
          </cell>
        </row>
        <row r="76">
          <cell r="D76" t="str">
            <v>02005</v>
          </cell>
          <cell r="E76" t="str">
            <v>A Lun</v>
          </cell>
        </row>
        <row r="77">
          <cell r="D77" t="str">
            <v>01345</v>
          </cell>
          <cell r="E77" t="str">
            <v>Thong</v>
          </cell>
        </row>
        <row r="78">
          <cell r="D78" t="str">
            <v>02006</v>
          </cell>
          <cell r="E78" t="str">
            <v>Phò Thay</v>
          </cell>
        </row>
        <row r="79">
          <cell r="D79" t="str">
            <v>02007</v>
          </cell>
          <cell r="E79" t="str">
            <v>Chiệp</v>
          </cell>
        </row>
        <row r="80">
          <cell r="D80" t="str">
            <v>02008</v>
          </cell>
          <cell r="E80" t="str">
            <v>Nhỏ</v>
          </cell>
        </row>
        <row r="81">
          <cell r="D81" t="str">
            <v>02009</v>
          </cell>
          <cell r="E81" t="str">
            <v>Phò Xeng</v>
          </cell>
        </row>
        <row r="82">
          <cell r="D82" t="str">
            <v>02010</v>
          </cell>
          <cell r="E82" t="str">
            <v>Ra Măn</v>
          </cell>
        </row>
        <row r="83">
          <cell r="D83" t="str">
            <v>02011</v>
          </cell>
          <cell r="E83" t="str">
            <v>Vếu</v>
          </cell>
        </row>
        <row r="84">
          <cell r="D84" t="str">
            <v>02012</v>
          </cell>
          <cell r="E84" t="str">
            <v>A Chới</v>
          </cell>
        </row>
        <row r="85">
          <cell r="D85" t="str">
            <v>02013</v>
          </cell>
          <cell r="E85" t="str">
            <v>Phò Đăm</v>
          </cell>
        </row>
        <row r="86">
          <cell r="D86" t="str">
            <v>02014</v>
          </cell>
          <cell r="E86" t="str">
            <v>Pho Măn</v>
          </cell>
        </row>
        <row r="87">
          <cell r="D87" t="str">
            <v>02015</v>
          </cell>
          <cell r="E87" t="str">
            <v>Ăm</v>
          </cell>
        </row>
        <row r="88">
          <cell r="D88" t="str">
            <v>02016</v>
          </cell>
          <cell r="E88" t="str">
            <v>Phò Pa</v>
          </cell>
        </row>
        <row r="89">
          <cell r="D89" t="str">
            <v>02017</v>
          </cell>
          <cell r="E89" t="str">
            <v>A Nam</v>
          </cell>
        </row>
        <row r="90">
          <cell r="D90" t="str">
            <v>01351</v>
          </cell>
          <cell r="E90" t="str">
            <v>Ói</v>
          </cell>
        </row>
        <row r="91">
          <cell r="D91" t="str">
            <v>01352</v>
          </cell>
          <cell r="E91" t="str">
            <v xml:space="preserve"> A Te</v>
          </cell>
        </row>
        <row r="92">
          <cell r="D92" t="str">
            <v>01353</v>
          </cell>
          <cell r="E92" t="str">
            <v>Lun</v>
          </cell>
        </row>
        <row r="93">
          <cell r="D93" t="str">
            <v>01354</v>
          </cell>
          <cell r="E93" t="str">
            <v xml:space="preserve"> A Bười</v>
          </cell>
        </row>
        <row r="94">
          <cell r="D94" t="str">
            <v>01355</v>
          </cell>
          <cell r="E94" t="str">
            <v>Phò Xing</v>
          </cell>
        </row>
        <row r="95">
          <cell r="D95" t="str">
            <v>01356</v>
          </cell>
          <cell r="E95" t="str">
            <v>Khăm Son</v>
          </cell>
        </row>
        <row r="96">
          <cell r="D96" t="str">
            <v>01357</v>
          </cell>
          <cell r="E96" t="str">
            <v>Vông Đươn</v>
          </cell>
        </row>
        <row r="97">
          <cell r="D97" t="str">
            <v>01360</v>
          </cell>
          <cell r="E97" t="str">
            <v>Pho Têng</v>
          </cell>
        </row>
        <row r="98">
          <cell r="D98" t="str">
            <v>01362</v>
          </cell>
          <cell r="E98" t="str">
            <v>Mo Ket</v>
          </cell>
        </row>
        <row r="99">
          <cell r="D99" t="str">
            <v>01363</v>
          </cell>
          <cell r="E99" t="str">
            <v>A Môm</v>
          </cell>
        </row>
        <row r="100">
          <cell r="D100" t="str">
            <v>01364</v>
          </cell>
          <cell r="E100" t="str">
            <v>Pa lăng</v>
          </cell>
        </row>
        <row r="101">
          <cell r="D101" t="str">
            <v>01365</v>
          </cell>
          <cell r="E101" t="str">
            <v>Sa Mối</v>
          </cell>
        </row>
        <row r="102">
          <cell r="D102" t="str">
            <v>01366</v>
          </cell>
          <cell r="E102" t="str">
            <v>A Tốt</v>
          </cell>
        </row>
        <row r="103">
          <cell r="D103" t="str">
            <v>02018</v>
          </cell>
          <cell r="E103" t="str">
            <v>A Ói</v>
          </cell>
        </row>
        <row r="104">
          <cell r="D104" t="str">
            <v>02019</v>
          </cell>
          <cell r="E104" t="str">
            <v>A Linh</v>
          </cell>
        </row>
        <row r="105">
          <cell r="D105" t="str">
            <v>02020</v>
          </cell>
          <cell r="E105" t="str">
            <v>A Lóc</v>
          </cell>
        </row>
        <row r="106">
          <cell r="D106" t="str">
            <v>02021</v>
          </cell>
          <cell r="E106" t="str">
            <v>B Têng</v>
          </cell>
        </row>
        <row r="107">
          <cell r="D107" t="str">
            <v>02022</v>
          </cell>
          <cell r="E107" t="str">
            <v>Phò Cau</v>
          </cell>
        </row>
        <row r="108">
          <cell r="D108" t="str">
            <v>01370</v>
          </cell>
          <cell r="E108" t="str">
            <v>A Căm</v>
          </cell>
        </row>
        <row r="109">
          <cell r="D109" t="str">
            <v>01371</v>
          </cell>
          <cell r="E109" t="str">
            <v>Thảo Ly</v>
          </cell>
        </row>
        <row r="110">
          <cell r="D110" t="str">
            <v>01372</v>
          </cell>
          <cell r="E110" t="str">
            <v>Phò Lay</v>
          </cell>
        </row>
        <row r="111">
          <cell r="D111" t="str">
            <v>01373</v>
          </cell>
          <cell r="E111" t="str">
            <v>Phò Hung</v>
          </cell>
        </row>
        <row r="112">
          <cell r="D112" t="str">
            <v>01374</v>
          </cell>
          <cell r="E112" t="str">
            <v>Phò Núi</v>
          </cell>
        </row>
        <row r="113">
          <cell r="D113" t="str">
            <v>01375</v>
          </cell>
          <cell r="E113" t="str">
            <v>Phò Linh</v>
          </cell>
        </row>
        <row r="114">
          <cell r="D114" t="str">
            <v>01376</v>
          </cell>
          <cell r="E114" t="str">
            <v>Bun Ka</v>
          </cell>
        </row>
        <row r="115">
          <cell r="D115" t="str">
            <v>01377</v>
          </cell>
          <cell r="E115" t="str">
            <v>Phò Bang</v>
          </cell>
        </row>
        <row r="116">
          <cell r="D116" t="str">
            <v>02023</v>
          </cell>
          <cell r="E116" t="str">
            <v>Cha Diệc</v>
          </cell>
        </row>
        <row r="117">
          <cell r="D117" t="str">
            <v>01379</v>
          </cell>
          <cell r="E117" t="str">
            <v>Phò Đắc</v>
          </cell>
        </row>
        <row r="118">
          <cell r="D118" t="str">
            <v>01380</v>
          </cell>
          <cell r="E118" t="str">
            <v>Thảo Chay</v>
          </cell>
        </row>
        <row r="119">
          <cell r="D119" t="str">
            <v>01381</v>
          </cell>
          <cell r="E119" t="str">
            <v>Thảo Mừng</v>
          </cell>
        </row>
        <row r="120">
          <cell r="D120" t="str">
            <v>01382</v>
          </cell>
          <cell r="E120" t="str">
            <v>Thảo Truy</v>
          </cell>
        </row>
        <row r="121">
          <cell r="D121" t="str">
            <v>01383</v>
          </cell>
          <cell r="E121" t="str">
            <v>Phò Xăm</v>
          </cell>
        </row>
        <row r="122">
          <cell r="D122" t="str">
            <v>02024</v>
          </cell>
          <cell r="E122" t="str">
            <v>Cha Ngon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N (4)"/>
      <sheetName val="Hổ trợ xăng CN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Thanh toán mủ dây"/>
      <sheetName val="Lương Đội 1"/>
      <sheetName val="Tong luong NT (2)"/>
      <sheetName val="Lương Đội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THSX"/>
      <sheetName val="Phụ cấp 300K"/>
      <sheetName val="học cạo"/>
      <sheetName val="KTCC"/>
      <sheetName val="lương con cb"/>
      <sheetName val="HẠNG KT"/>
      <sheetName val="Thuong 3 T "/>
      <sheetName val="Thuong 1T  "/>
      <sheetName val="Ung luong"/>
      <sheetName val="Tiền thưởng tết dương lịch"/>
      <sheetName val="HS bảo hiểm"/>
      <sheetName val="Sheet4"/>
      <sheetName val="Sheet3"/>
      <sheetName val="Truy lãnh"/>
      <sheetName val="Mủ CN (tam ung)"/>
      <sheetName val="Mủ CN"/>
      <sheetName val="Mủ CN (TH)"/>
      <sheetName val="Sheet6"/>
    </sheetNames>
    <sheetDataSet>
      <sheetData sheetId="0" refreshError="1"/>
      <sheetData sheetId="1" refreshError="1"/>
      <sheetData sheetId="2" refreshError="1"/>
      <sheetData sheetId="3">
        <row r="13">
          <cell r="C13" t="str">
            <v>A Nhợp</v>
          </cell>
          <cell r="D13" t="str">
            <v>Đội 1</v>
          </cell>
          <cell r="AE13">
            <v>8</v>
          </cell>
          <cell r="AI13">
            <v>8</v>
          </cell>
        </row>
        <row r="14">
          <cell r="C14" t="str">
            <v>A Chan</v>
          </cell>
          <cell r="D14" t="str">
            <v>Đội 1</v>
          </cell>
          <cell r="AE14">
            <v>6</v>
          </cell>
          <cell r="AI14">
            <v>6</v>
          </cell>
        </row>
        <row r="15">
          <cell r="C15" t="str">
            <v>Phò Đùa</v>
          </cell>
          <cell r="D15" t="str">
            <v>Đội 1</v>
          </cell>
          <cell r="AE15">
            <v>5</v>
          </cell>
          <cell r="AI15">
            <v>5</v>
          </cell>
        </row>
        <row r="16">
          <cell r="C16" t="str">
            <v>Xúc</v>
          </cell>
          <cell r="D16" t="str">
            <v>Đội 1</v>
          </cell>
          <cell r="AE16">
            <v>4</v>
          </cell>
          <cell r="AI16">
            <v>4</v>
          </cell>
        </row>
        <row r="17">
          <cell r="C17" t="str">
            <v>Phơ</v>
          </cell>
          <cell r="D17" t="str">
            <v>Đội 1</v>
          </cell>
          <cell r="AE17">
            <v>16</v>
          </cell>
          <cell r="AI17">
            <v>16</v>
          </cell>
        </row>
        <row r="18">
          <cell r="C18" t="str">
            <v>A Phơ</v>
          </cell>
          <cell r="D18" t="str">
            <v>Đội 1</v>
          </cell>
          <cell r="AE18">
            <v>15</v>
          </cell>
          <cell r="AI18">
            <v>15</v>
          </cell>
        </row>
        <row r="19">
          <cell r="C19" t="str">
            <v>Nang Xây</v>
          </cell>
          <cell r="D19" t="str">
            <v>Đội 1</v>
          </cell>
          <cell r="AE19">
            <v>8</v>
          </cell>
          <cell r="AI19">
            <v>8</v>
          </cell>
        </row>
        <row r="20">
          <cell r="C20" t="str">
            <v>Nang Sun</v>
          </cell>
          <cell r="D20" t="str">
            <v>Đội 1</v>
          </cell>
          <cell r="AE20">
            <v>9</v>
          </cell>
          <cell r="AI20">
            <v>9</v>
          </cell>
        </row>
        <row r="21">
          <cell r="C21" t="str">
            <v>Thảo Ben</v>
          </cell>
          <cell r="D21" t="str">
            <v>Đội 1</v>
          </cell>
          <cell r="AE21">
            <v>3</v>
          </cell>
          <cell r="AI21">
            <v>3</v>
          </cell>
        </row>
        <row r="22">
          <cell r="C22" t="str">
            <v>Nang Nhăn</v>
          </cell>
          <cell r="D22" t="str">
            <v>Đội 1</v>
          </cell>
          <cell r="AE22">
            <v>10</v>
          </cell>
          <cell r="AI22">
            <v>10</v>
          </cell>
        </row>
        <row r="23">
          <cell r="C23" t="str">
            <v>Phò Thít</v>
          </cell>
          <cell r="D23" t="str">
            <v>Đội 1</v>
          </cell>
          <cell r="AE23">
            <v>6</v>
          </cell>
          <cell r="AI23">
            <v>6</v>
          </cell>
        </row>
        <row r="24">
          <cell r="C24" t="str">
            <v>A Bợp</v>
          </cell>
          <cell r="D24" t="str">
            <v>Đội 1</v>
          </cell>
          <cell r="AE24">
            <v>5</v>
          </cell>
          <cell r="AI24">
            <v>5</v>
          </cell>
        </row>
        <row r="25">
          <cell r="C25" t="str">
            <v>A Cơ</v>
          </cell>
          <cell r="D25" t="str">
            <v>Đội 1</v>
          </cell>
          <cell r="AE25">
            <v>4</v>
          </cell>
          <cell r="AI25">
            <v>4</v>
          </cell>
        </row>
        <row r="26">
          <cell r="C26" t="str">
            <v>Xa Vạt Đi</v>
          </cell>
          <cell r="D26" t="str">
            <v>Đội 1</v>
          </cell>
          <cell r="AE26">
            <v>5</v>
          </cell>
          <cell r="AI26">
            <v>5</v>
          </cell>
        </row>
        <row r="27">
          <cell r="C27" t="str">
            <v>Nguyễn Thi Thanh Trà</v>
          </cell>
          <cell r="D27" t="str">
            <v>Đội 1</v>
          </cell>
          <cell r="AE27">
            <v>18</v>
          </cell>
          <cell r="AI27">
            <v>18</v>
          </cell>
        </row>
        <row r="28">
          <cell r="C28" t="str">
            <v>A Han</v>
          </cell>
          <cell r="D28" t="str">
            <v>Đội 1</v>
          </cell>
          <cell r="AE28">
            <v>6</v>
          </cell>
          <cell r="AI28">
            <v>6</v>
          </cell>
        </row>
        <row r="29">
          <cell r="C29" t="str">
            <v>Thảo Bun Ten</v>
          </cell>
          <cell r="D29" t="str">
            <v>Đội 1</v>
          </cell>
          <cell r="AE29">
            <v>7</v>
          </cell>
          <cell r="AI29">
            <v>7</v>
          </cell>
        </row>
        <row r="30">
          <cell r="C30" t="str">
            <v>Nang Đào</v>
          </cell>
          <cell r="D30" t="str">
            <v>Đội 1</v>
          </cell>
          <cell r="AE30">
            <v>9</v>
          </cell>
          <cell r="AI30">
            <v>9</v>
          </cell>
        </row>
        <row r="31">
          <cell r="C31" t="str">
            <v>Phò Nhạc</v>
          </cell>
          <cell r="D31" t="str">
            <v>Đội 1</v>
          </cell>
          <cell r="AE31">
            <v>12</v>
          </cell>
          <cell r="AI31">
            <v>12</v>
          </cell>
        </row>
        <row r="32">
          <cell r="C32" t="str">
            <v>Van</v>
          </cell>
          <cell r="D32" t="str">
            <v>Đội 1</v>
          </cell>
          <cell r="AE32">
            <v>4</v>
          </cell>
          <cell r="AI32">
            <v>4</v>
          </cell>
        </row>
        <row r="33">
          <cell r="C33" t="str">
            <v>Thảo Xi</v>
          </cell>
          <cell r="D33" t="str">
            <v>Đội 1</v>
          </cell>
          <cell r="AE33">
            <v>10</v>
          </cell>
          <cell r="AI33">
            <v>10</v>
          </cell>
        </row>
        <row r="34">
          <cell r="C34" t="str">
            <v>Húc</v>
          </cell>
          <cell r="D34" t="str">
            <v>Đội 1</v>
          </cell>
          <cell r="AE34">
            <v>4</v>
          </cell>
          <cell r="AI34">
            <v>4</v>
          </cell>
        </row>
        <row r="35">
          <cell r="C35" t="str">
            <v>Thảo Nét</v>
          </cell>
          <cell r="D35" t="str">
            <v>Đội 1</v>
          </cell>
          <cell r="AE35">
            <v>9</v>
          </cell>
          <cell r="AI35">
            <v>9</v>
          </cell>
        </row>
        <row r="36">
          <cell r="C36" t="str">
            <v>Thảo út</v>
          </cell>
          <cell r="D36" t="str">
            <v>Đội 1</v>
          </cell>
          <cell r="AE36">
            <v>8</v>
          </cell>
          <cell r="AI36">
            <v>8</v>
          </cell>
        </row>
        <row r="37">
          <cell r="C37" t="str">
            <v>Tà Lọt</v>
          </cell>
          <cell r="D37" t="str">
            <v>Đội 1</v>
          </cell>
          <cell r="AE37">
            <v>4</v>
          </cell>
          <cell r="AI37">
            <v>4</v>
          </cell>
        </row>
        <row r="38">
          <cell r="C38" t="str">
            <v>A Nghen</v>
          </cell>
          <cell r="D38" t="str">
            <v>Đội 1</v>
          </cell>
          <cell r="AE38">
            <v>4</v>
          </cell>
          <cell r="AI38">
            <v>4</v>
          </cell>
        </row>
        <row r="39">
          <cell r="C39" t="str">
            <v>Thảo Xâm</v>
          </cell>
          <cell r="D39" t="str">
            <v>Đội 1</v>
          </cell>
          <cell r="AE39">
            <v>6</v>
          </cell>
          <cell r="AI39">
            <v>6</v>
          </cell>
        </row>
        <row r="40">
          <cell r="C40" t="str">
            <v>Thảo Von</v>
          </cell>
          <cell r="D40" t="str">
            <v>Đội 1</v>
          </cell>
          <cell r="AE40">
            <v>9</v>
          </cell>
          <cell r="AI40">
            <v>9</v>
          </cell>
        </row>
        <row r="41">
          <cell r="C41" t="str">
            <v>Nang Phen</v>
          </cell>
          <cell r="D41" t="str">
            <v>Đội 1</v>
          </cell>
          <cell r="AE41">
            <v>7</v>
          </cell>
          <cell r="AI41">
            <v>7</v>
          </cell>
        </row>
        <row r="42">
          <cell r="C42" t="str">
            <v>Nang Bun Ten</v>
          </cell>
          <cell r="D42" t="str">
            <v>Đội 1</v>
          </cell>
          <cell r="AE42">
            <v>7</v>
          </cell>
          <cell r="AI42">
            <v>7</v>
          </cell>
        </row>
        <row r="43">
          <cell r="C43" t="str">
            <v>Cha Lơ</v>
          </cell>
          <cell r="D43" t="str">
            <v>Đội 1</v>
          </cell>
          <cell r="AI43">
            <v>0</v>
          </cell>
        </row>
        <row r="44">
          <cell r="C44" t="str">
            <v>Dã  Lay</v>
          </cell>
          <cell r="D44" t="str">
            <v>Đội 1</v>
          </cell>
          <cell r="AE44">
            <v>3</v>
          </cell>
          <cell r="AI44">
            <v>3</v>
          </cell>
        </row>
        <row r="45">
          <cell r="C45" t="str">
            <v>Thảo Xen</v>
          </cell>
          <cell r="D45" t="str">
            <v>Đội 1</v>
          </cell>
          <cell r="AE45">
            <v>4</v>
          </cell>
          <cell r="AI45">
            <v>4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145</v>
          </cell>
          <cell r="AG46">
            <v>0</v>
          </cell>
          <cell r="AH46">
            <v>0</v>
          </cell>
          <cell r="AI46">
            <v>145</v>
          </cell>
        </row>
        <row r="47">
          <cell r="C47" t="str">
            <v>Nàng Ăn</v>
          </cell>
          <cell r="D47" t="str">
            <v>Đội 1</v>
          </cell>
          <cell r="AE47">
            <v>5</v>
          </cell>
          <cell r="AI47">
            <v>5</v>
          </cell>
        </row>
        <row r="48">
          <cell r="C48" t="str">
            <v>Thảo Ơ</v>
          </cell>
          <cell r="D48" t="str">
            <v>Đội 1</v>
          </cell>
          <cell r="AE48">
            <v>7</v>
          </cell>
          <cell r="AI48">
            <v>7</v>
          </cell>
        </row>
        <row r="49">
          <cell r="C49" t="str">
            <v>Thảo Ui</v>
          </cell>
          <cell r="D49" t="str">
            <v>Đội 1</v>
          </cell>
          <cell r="AE49">
            <v>9</v>
          </cell>
          <cell r="AI49">
            <v>9</v>
          </cell>
        </row>
        <row r="50">
          <cell r="C50" t="str">
            <v>Thảo Tin</v>
          </cell>
          <cell r="D50" t="str">
            <v>Đội 1</v>
          </cell>
          <cell r="AE50">
            <v>10</v>
          </cell>
          <cell r="AI50">
            <v>10</v>
          </cell>
        </row>
        <row r="51">
          <cell r="C51" t="str">
            <v>Nàng Xái</v>
          </cell>
          <cell r="D51" t="str">
            <v>Đội 1</v>
          </cell>
          <cell r="AE51">
            <v>15</v>
          </cell>
          <cell r="AI51">
            <v>15</v>
          </cell>
        </row>
        <row r="52">
          <cell r="C52" t="str">
            <v>Thảo Phôn Xay</v>
          </cell>
          <cell r="D52" t="str">
            <v>Đội 1</v>
          </cell>
          <cell r="AE52">
            <v>13</v>
          </cell>
          <cell r="AI52">
            <v>13</v>
          </cell>
        </row>
        <row r="53">
          <cell r="C53" t="str">
            <v>Nàng Phêng</v>
          </cell>
          <cell r="D53" t="str">
            <v>Đội 1</v>
          </cell>
          <cell r="AE53">
            <v>7</v>
          </cell>
          <cell r="AI53">
            <v>7</v>
          </cell>
        </row>
        <row r="54">
          <cell r="C54" t="str">
            <v>Thảo Phíc</v>
          </cell>
          <cell r="D54" t="str">
            <v>Đội 1</v>
          </cell>
          <cell r="AE54">
            <v>9</v>
          </cell>
          <cell r="AI54">
            <v>9</v>
          </cell>
        </row>
        <row r="55">
          <cell r="C55" t="str">
            <v>Nàng Chai</v>
          </cell>
          <cell r="D55" t="str">
            <v>Đội 1</v>
          </cell>
          <cell r="AE55">
            <v>10</v>
          </cell>
          <cell r="AI55">
            <v>10</v>
          </cell>
        </row>
        <row r="56">
          <cell r="C56" t="str">
            <v>Nàng Xanh</v>
          </cell>
          <cell r="D56" t="str">
            <v>Đội 1</v>
          </cell>
          <cell r="AE56">
            <v>11</v>
          </cell>
          <cell r="AI56">
            <v>11</v>
          </cell>
        </row>
        <row r="57">
          <cell r="C57" t="str">
            <v>Thảo Xượm</v>
          </cell>
          <cell r="D57" t="str">
            <v>Đội 1</v>
          </cell>
          <cell r="AE57">
            <v>14</v>
          </cell>
          <cell r="AI57">
            <v>14</v>
          </cell>
        </row>
        <row r="58">
          <cell r="C58" t="str">
            <v>Thảo Tích</v>
          </cell>
          <cell r="D58" t="str">
            <v>Đội 1</v>
          </cell>
          <cell r="AE58">
            <v>13</v>
          </cell>
          <cell r="AI58">
            <v>13</v>
          </cell>
        </row>
        <row r="59">
          <cell r="C59" t="str">
            <v>Nàng Thoong</v>
          </cell>
          <cell r="D59" t="str">
            <v>Đội 1</v>
          </cell>
          <cell r="AE59">
            <v>7</v>
          </cell>
          <cell r="AI59">
            <v>7</v>
          </cell>
        </row>
        <row r="60">
          <cell r="C60" t="str">
            <v>Thảo Xoan Chay</v>
          </cell>
          <cell r="D60" t="str">
            <v>Đội 1</v>
          </cell>
          <cell r="AE60">
            <v>8</v>
          </cell>
          <cell r="AI60">
            <v>8</v>
          </cell>
        </row>
        <row r="61">
          <cell r="C61" t="str">
            <v>Nàng Út</v>
          </cell>
          <cell r="D61" t="str">
            <v>Đội 1</v>
          </cell>
          <cell r="AE61">
            <v>7</v>
          </cell>
          <cell r="AI61">
            <v>7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19</v>
          </cell>
          <cell r="AH62">
            <v>0</v>
          </cell>
          <cell r="AI62">
            <v>19</v>
          </cell>
        </row>
        <row r="63">
          <cell r="C63" t="str">
            <v>Phương</v>
          </cell>
          <cell r="D63" t="str">
            <v>Đội 3</v>
          </cell>
          <cell r="AF63">
            <v>1</v>
          </cell>
          <cell r="AI63">
            <v>1</v>
          </cell>
        </row>
        <row r="64">
          <cell r="C64" t="str">
            <v>Nhung</v>
          </cell>
          <cell r="D64" t="str">
            <v>Đội 3</v>
          </cell>
          <cell r="AF64">
            <v>2</v>
          </cell>
          <cell r="AI64">
            <v>2</v>
          </cell>
        </row>
        <row r="65">
          <cell r="C65" t="str">
            <v>Xăm Chết</v>
          </cell>
          <cell r="D65" t="str">
            <v>Đội 3</v>
          </cell>
          <cell r="AF65">
            <v>4</v>
          </cell>
          <cell r="AI65">
            <v>4</v>
          </cell>
        </row>
        <row r="66">
          <cell r="C66" t="str">
            <v>Thảo Po Mua</v>
          </cell>
          <cell r="D66" t="str">
            <v>Đội 3</v>
          </cell>
          <cell r="AF66">
            <v>7</v>
          </cell>
          <cell r="AI66">
            <v>7</v>
          </cell>
        </row>
        <row r="67">
          <cell r="C67" t="str">
            <v>Thảo Từn Vàng</v>
          </cell>
          <cell r="D67" t="str">
            <v>Đội 3</v>
          </cell>
          <cell r="AF67">
            <v>5</v>
          </cell>
          <cell r="AI67">
            <v>5</v>
          </cell>
        </row>
        <row r="68"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380</v>
          </cell>
          <cell r="AF68">
            <v>19</v>
          </cell>
          <cell r="AG68">
            <v>0</v>
          </cell>
          <cell r="AH68">
            <v>0</v>
          </cell>
          <cell r="AI68">
            <v>399</v>
          </cell>
        </row>
        <row r="70">
          <cell r="AE70" t="str">
            <v>Huyện Noong, ngày 30 tháng 04 năm 2025</v>
          </cell>
        </row>
        <row r="71">
          <cell r="G71" t="str">
            <v>PHÒNG KT- NN</v>
          </cell>
          <cell r="O71" t="str">
            <v>GIÁM ĐỐC NT</v>
          </cell>
          <cell r="V71" t="str">
            <v>TL. TC - KT</v>
          </cell>
          <cell r="AB71" t="str">
            <v>TL.KH -NN</v>
          </cell>
          <cell r="AI71" t="str">
            <v xml:space="preserve">     NGƯỜI LẬP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CVK "/>
      <sheetName val="Tổng Hợp CVK"/>
      <sheetName val="Hang KT"/>
      <sheetName val="Chấm công KT"/>
      <sheetName val="BTH mủ"/>
      <sheetName val="TONGHOPCONGDOI"/>
      <sheetName val="tiền TB"/>
      <sheetName val="Bảng ĐP - BV "/>
      <sheetName val="Bảng CC vn"/>
      <sheetName val="CNKT "/>
      <sheetName val="CNKT Đ1"/>
      <sheetName val="CNKT Đ2"/>
      <sheetName val="CNKT Đ3"/>
      <sheetName val="CNKTĐ4 "/>
      <sheetName val="Lương bảo vệ "/>
      <sheetName val="Lương Đội phó "/>
      <sheetName val="LƯƠNG CN TRỰC TIẾP "/>
      <sheetName val="Tổng lương NT"/>
      <sheetName val="Lương bảo vệ"/>
      <sheetName val="Lương thuế"/>
      <sheetName val="LƯƠNG USD VN"/>
      <sheetName val="BẢNG KÊ LƯƠNG"/>
      <sheetName val="cách tính lương tổ đội"/>
      <sheetName val="Tỉ lệ hoàn thành"/>
      <sheetName val="Trạm cán"/>
      <sheetName val="PLcon"/>
      <sheetName val="PLcon NT"/>
      <sheetName val="BHXH "/>
      <sheetName val="Phân Toán CVK"/>
      <sheetName val="Phân toán "/>
      <sheetName val="TT lương tạp vụ"/>
      <sheetName val="Khối lượng TC"/>
      <sheetName val="Hổ trợ vi gô"/>
      <sheetName val="Báo cáo SX T1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>
            <v>0</v>
          </cell>
        </row>
        <row r="13">
          <cell r="B13">
            <v>0</v>
          </cell>
        </row>
        <row r="16">
          <cell r="B16">
            <v>0</v>
          </cell>
        </row>
        <row r="18">
          <cell r="B18">
            <v>0</v>
          </cell>
        </row>
        <row r="26">
          <cell r="B26">
            <v>0</v>
          </cell>
        </row>
        <row r="34">
          <cell r="B34">
            <v>0</v>
          </cell>
        </row>
        <row r="36">
          <cell r="B36">
            <v>0</v>
          </cell>
        </row>
        <row r="40">
          <cell r="B40">
            <v>0</v>
          </cell>
        </row>
        <row r="41">
          <cell r="B41">
            <v>0</v>
          </cell>
        </row>
        <row r="47">
          <cell r="B47">
            <v>0</v>
          </cell>
        </row>
        <row r="50">
          <cell r="B50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7">
          <cell r="B57">
            <v>0</v>
          </cell>
        </row>
        <row r="62">
          <cell r="B62">
            <v>0</v>
          </cell>
        </row>
        <row r="65">
          <cell r="B65">
            <v>0</v>
          </cell>
        </row>
        <row r="67">
          <cell r="B67">
            <v>0</v>
          </cell>
        </row>
        <row r="69">
          <cell r="B69">
            <v>0</v>
          </cell>
        </row>
        <row r="72">
          <cell r="B72">
            <v>0</v>
          </cell>
        </row>
      </sheetData>
      <sheetData sheetId="6" refreshError="1"/>
      <sheetData sheetId="7" refreshError="1">
        <row r="14">
          <cell r="M14" t="str">
            <v>x</v>
          </cell>
        </row>
      </sheetData>
      <sheetData sheetId="8" refreshError="1">
        <row r="10">
          <cell r="AK10">
            <v>25</v>
          </cell>
        </row>
      </sheetData>
      <sheetData sheetId="9" refreshError="1">
        <row r="16">
          <cell r="D16" t="str">
            <v>CNKT</v>
          </cell>
        </row>
        <row r="17">
          <cell r="D17" t="str">
            <v>CNKT</v>
          </cell>
        </row>
        <row r="18">
          <cell r="D18" t="str">
            <v>CNKT</v>
          </cell>
        </row>
        <row r="19">
          <cell r="D19" t="str">
            <v>CNKT</v>
          </cell>
        </row>
        <row r="20">
          <cell r="D20" t="str">
            <v>CNKT</v>
          </cell>
        </row>
        <row r="21">
          <cell r="D21" t="str">
            <v>CNKT</v>
          </cell>
        </row>
        <row r="22">
          <cell r="D22" t="str">
            <v>CNKT</v>
          </cell>
        </row>
        <row r="23">
          <cell r="D23" t="str">
            <v>CNKT</v>
          </cell>
        </row>
        <row r="24">
          <cell r="D24" t="str">
            <v>CNKT</v>
          </cell>
        </row>
        <row r="25">
          <cell r="D25" t="str">
            <v>CNKT</v>
          </cell>
        </row>
        <row r="26">
          <cell r="D26" t="str">
            <v>CNKT</v>
          </cell>
        </row>
        <row r="27">
          <cell r="D27" t="str">
            <v>CNKT</v>
          </cell>
        </row>
        <row r="28">
          <cell r="D28" t="str">
            <v>CNKT</v>
          </cell>
        </row>
        <row r="29">
          <cell r="D29" t="str">
            <v>CNKT</v>
          </cell>
        </row>
        <row r="30">
          <cell r="D30" t="str">
            <v>CNKT</v>
          </cell>
        </row>
        <row r="31">
          <cell r="D31" t="str">
            <v>CNKT</v>
          </cell>
        </row>
        <row r="32">
          <cell r="D32" t="str">
            <v>CNKT</v>
          </cell>
        </row>
        <row r="33">
          <cell r="D33" t="str">
            <v>CNKT</v>
          </cell>
        </row>
        <row r="34">
          <cell r="D34" t="str">
            <v>CNKT</v>
          </cell>
        </row>
        <row r="35">
          <cell r="D35" t="str">
            <v>CNKT</v>
          </cell>
        </row>
        <row r="36">
          <cell r="D36" t="str">
            <v>CNKT</v>
          </cell>
        </row>
        <row r="37">
          <cell r="D37" t="str">
            <v>CNKT</v>
          </cell>
        </row>
        <row r="38">
          <cell r="D38" t="str">
            <v>CNKT</v>
          </cell>
        </row>
        <row r="39">
          <cell r="D39" t="str">
            <v>CNKT</v>
          </cell>
        </row>
        <row r="40">
          <cell r="D40" t="str">
            <v>CNKT</v>
          </cell>
        </row>
        <row r="41">
          <cell r="D41" t="str">
            <v>CNKT</v>
          </cell>
        </row>
        <row r="42">
          <cell r="D42" t="str">
            <v>CNKT</v>
          </cell>
        </row>
        <row r="43">
          <cell r="D43" t="str">
            <v>CNKT</v>
          </cell>
        </row>
        <row r="44">
          <cell r="D44" t="str">
            <v>CNKT</v>
          </cell>
        </row>
        <row r="45">
          <cell r="D45" t="str">
            <v>CNKT</v>
          </cell>
        </row>
        <row r="46">
          <cell r="D46" t="str">
            <v>CNKT</v>
          </cell>
        </row>
        <row r="47">
          <cell r="D47" t="str">
            <v>CNKT</v>
          </cell>
        </row>
        <row r="48">
          <cell r="D48" t="str">
            <v>CNKT</v>
          </cell>
        </row>
        <row r="49">
          <cell r="D49" t="str">
            <v>CNKT</v>
          </cell>
        </row>
        <row r="50">
          <cell r="D50" t="str">
            <v>CNKT</v>
          </cell>
        </row>
        <row r="51">
          <cell r="D51" t="str">
            <v>CNKT</v>
          </cell>
        </row>
        <row r="52">
          <cell r="D52" t="str">
            <v>CNKT</v>
          </cell>
        </row>
        <row r="53">
          <cell r="D53" t="str">
            <v>CNKT</v>
          </cell>
        </row>
        <row r="54">
          <cell r="D54" t="str">
            <v>CNKT</v>
          </cell>
        </row>
        <row r="55">
          <cell r="D55" t="str">
            <v>CNKT</v>
          </cell>
        </row>
        <row r="56">
          <cell r="D56" t="str">
            <v>CNKT</v>
          </cell>
        </row>
        <row r="57">
          <cell r="D57" t="str">
            <v>CNKT</v>
          </cell>
        </row>
        <row r="58">
          <cell r="D58" t="str">
            <v>CNKT</v>
          </cell>
        </row>
        <row r="59">
          <cell r="D59" t="str">
            <v>CNKT</v>
          </cell>
        </row>
        <row r="60">
          <cell r="D60" t="str">
            <v>CNKT</v>
          </cell>
        </row>
        <row r="61">
          <cell r="D61" t="str">
            <v>CNKT</v>
          </cell>
        </row>
        <row r="62">
          <cell r="D62" t="str">
            <v>CNKT</v>
          </cell>
        </row>
        <row r="63">
          <cell r="D63" t="str">
            <v>CNKT</v>
          </cell>
        </row>
        <row r="64">
          <cell r="D64" t="str">
            <v>CNKT</v>
          </cell>
        </row>
        <row r="65">
          <cell r="D65" t="str">
            <v>CNKT</v>
          </cell>
        </row>
        <row r="66">
          <cell r="D66" t="str">
            <v>CNKT</v>
          </cell>
        </row>
        <row r="67">
          <cell r="D67" t="str">
            <v>CNKT</v>
          </cell>
        </row>
        <row r="68">
          <cell r="D68" t="str">
            <v>CNKT</v>
          </cell>
        </row>
        <row r="69">
          <cell r="D69" t="str">
            <v>CNKT</v>
          </cell>
        </row>
        <row r="70">
          <cell r="D70" t="str">
            <v>CNKT</v>
          </cell>
        </row>
        <row r="71">
          <cell r="D71" t="str">
            <v>CNKT</v>
          </cell>
        </row>
        <row r="72">
          <cell r="D72" t="str">
            <v>CNKT</v>
          </cell>
        </row>
        <row r="73">
          <cell r="D73" t="str">
            <v>CNKT</v>
          </cell>
        </row>
        <row r="74">
          <cell r="D74" t="str">
            <v>CNKT</v>
          </cell>
        </row>
        <row r="76">
          <cell r="D76" t="str">
            <v>CNKT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8">
          <cell r="I18">
            <v>3000000</v>
          </cell>
        </row>
        <row r="19">
          <cell r="I19">
            <v>3000000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ên độ"/>
      <sheetName val="Trông dặm"/>
      <sheetName val="kh bổ sung"/>
      <sheetName val="Xuông tày"/>
      <sheetName val="Đội 2 TC"/>
      <sheetName val="KHSXT5 (2)"/>
      <sheetName val="Đội 2 TC (2)"/>
      <sheetName val="TIẾN ĐỘ"/>
      <sheetName val="KHSXT6"/>
      <sheetName val="TLNN"/>
      <sheetName val="BCKLT5"/>
      <sheetName val="Bổ sungT5 (2)"/>
      <sheetName val="Đội 1"/>
      <sheetName val="Đội 2"/>
      <sheetName val="Đội3"/>
      <sheetName val="X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0">
          <cell r="H80">
            <v>625.06999999999994</v>
          </cell>
        </row>
      </sheetData>
      <sheetData sheetId="13">
        <row r="36">
          <cell r="H36">
            <v>460.4699999999998</v>
          </cell>
        </row>
      </sheetData>
      <sheetData sheetId="14">
        <row r="21">
          <cell r="H21">
            <v>463.68000000000006</v>
          </cell>
        </row>
      </sheetData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ã số NV"/>
      <sheetName val="PLC CB"/>
      <sheetName val="PLC "/>
      <sheetName val="PH1"/>
      <sheetName val="PH2"/>
      <sheetName val="PH3"/>
      <sheetName val="PH4"/>
      <sheetName val="PH5"/>
      <sheetName val="MỦ DÂY"/>
      <sheetName val="MỦ TẠP"/>
      <sheetName val="THC KT"/>
      <sheetName val="CHẤM CÔNG KT"/>
      <sheetName val="LƯƠNG CNTT"/>
      <sheetName val="LƯƠNG USD NGƯỜI VIỆT"/>
      <sheetName val="BẢNG KÊ LƯƠNG"/>
      <sheetName val="LƯƠNG KT"/>
      <sheetName val="USD NGƯỜI LÀO"/>
      <sheetName val="BVC"/>
      <sheetName val="TRẠM CÁN"/>
      <sheetName val="KTCB2"/>
      <sheetName val="NĐT"/>
      <sheetName val="TH LƯƠNG NT1"/>
      <sheetName val="KEO LAI"/>
      <sheetName val="T BẢN"/>
      <sheetName val="CV KHÁC"/>
      <sheetName val="CV KHÁC (2)"/>
      <sheetName val="CCBVL"/>
      <sheetName val="CCBV"/>
      <sheetName val="CCDT"/>
      <sheetName val="CCTC"/>
      <sheetName val="CCCB"/>
      <sheetName val="PC TIỀN ĂN"/>
      <sheetName val="PC CHỐNG CHÁY"/>
      <sheetName val="CCCNSCM"/>
      <sheetName val="THSCM"/>
      <sheetName val="BỐC MỦ"/>
      <sheetName val="BHX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1">
          <cell r="K41">
            <v>82953529.433999985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Thanh toán mủ dây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1">
          <cell r="G41">
            <v>767064279.84524405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Hổ TRỢ NẾP"/>
      <sheetName val="Tổng lương NT"/>
      <sheetName val="Lương bảo vệ"/>
      <sheetName val="LƯƠNG USD VN"/>
      <sheetName val="BẢNG KÊ LƯƠNG"/>
      <sheetName val="TỶ LỆ HT NT1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1"/>
      <sheetName val="TỶ LỆ HT NT2"/>
      <sheetName val="TỶ LỆ HT NT3"/>
      <sheetName val="TỶ LỆ HT SP"/>
      <sheetName val="LƯƠNG (NT1)"/>
      <sheetName val="LƯƠNG (NT2)"/>
      <sheetName val="LƯƠNG (NT3)"/>
      <sheetName val="LƯƠNG (S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4">
          <cell r="B24" t="str">
            <v>Trần Điền</v>
          </cell>
          <cell r="C24" t="str">
            <v>Đội trưởng</v>
          </cell>
          <cell r="D24" t="str">
            <v>Đội 1</v>
          </cell>
          <cell r="E24">
            <v>32</v>
          </cell>
          <cell r="F24">
            <v>32</v>
          </cell>
          <cell r="G24">
            <v>1</v>
          </cell>
        </row>
        <row r="25">
          <cell r="B25" t="str">
            <v>Nguyễn Phúc Hào</v>
          </cell>
          <cell r="C25" t="str">
            <v>NVNN</v>
          </cell>
          <cell r="D25" t="str">
            <v>Đội 1</v>
          </cell>
          <cell r="E25">
            <v>23</v>
          </cell>
          <cell r="F25">
            <v>23</v>
          </cell>
          <cell r="G25">
            <v>1</v>
          </cell>
        </row>
        <row r="26">
          <cell r="B26" t="str">
            <v>Lê Đức Thọ</v>
          </cell>
          <cell r="C26" t="str">
            <v>Đội trưởng</v>
          </cell>
          <cell r="D26" t="str">
            <v>Đội 2</v>
          </cell>
          <cell r="E26">
            <v>25</v>
          </cell>
          <cell r="F26">
            <v>25</v>
          </cell>
          <cell r="G26">
            <v>1</v>
          </cell>
        </row>
        <row r="27">
          <cell r="B27" t="str">
            <v>Nguyễn Thanh Hải</v>
          </cell>
          <cell r="C27" t="str">
            <v>Trợ lý BV</v>
          </cell>
          <cell r="D27" t="str">
            <v>Đội 2</v>
          </cell>
          <cell r="E27">
            <v>90</v>
          </cell>
          <cell r="F27">
            <v>91</v>
          </cell>
          <cell r="G27">
            <v>1.0111111111111111</v>
          </cell>
        </row>
        <row r="28">
          <cell r="B28" t="str">
            <v>Cha Phau</v>
          </cell>
          <cell r="C28" t="str">
            <v>Đội phó</v>
          </cell>
          <cell r="D28" t="str">
            <v>Đội 2</v>
          </cell>
          <cell r="E28">
            <v>90</v>
          </cell>
          <cell r="F28">
            <v>91</v>
          </cell>
          <cell r="G28">
            <v>1.0111111111111111</v>
          </cell>
        </row>
        <row r="29">
          <cell r="B29" t="str">
            <v>Hồ Xuân Chương</v>
          </cell>
          <cell r="C29" t="str">
            <v>Đội trưởng</v>
          </cell>
          <cell r="D29" t="str">
            <v>Đội 3</v>
          </cell>
          <cell r="E29">
            <v>40</v>
          </cell>
          <cell r="F29">
            <v>41</v>
          </cell>
          <cell r="G29">
            <v>1.0249999999999999</v>
          </cell>
        </row>
        <row r="30">
          <cell r="B30" t="str">
            <v>Phun Thong</v>
          </cell>
          <cell r="C30" t="str">
            <v>Đội phó</v>
          </cell>
          <cell r="D30" t="str">
            <v>Đội 3</v>
          </cell>
          <cell r="E30">
            <v>40</v>
          </cell>
          <cell r="F30">
            <v>41</v>
          </cell>
          <cell r="G30">
            <v>1.0249999999999999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BCKL"/>
      <sheetName val="HTSL"/>
      <sheetName val="Lương Đội 1"/>
      <sheetName val="Tong luong NT (2)"/>
      <sheetName val="Lương Đội"/>
      <sheetName val="Tong luong NT"/>
      <sheetName val="Phu cấp người Việt "/>
      <sheetName val="Lương đội phó người Lào"/>
      <sheetName val="VCKD"/>
      <sheetName val="Đội 1"/>
      <sheetName val="Đội 1 (tu)"/>
      <sheetName val="Đội 2"/>
      <sheetName val="Đội 2 (tu)"/>
      <sheetName val="Đội 3"/>
      <sheetName val="Đội 3 (2)"/>
      <sheetName val="BVNT"/>
      <sheetName val="KTCB"/>
      <sheetName val="Trạm cán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THSX"/>
      <sheetName val="Phụ cấp 300K"/>
      <sheetName val="học cạo"/>
      <sheetName val="CVK"/>
      <sheetName val="THKT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HS bảo hiểm"/>
      <sheetName val="Sheet1"/>
      <sheetName val="Sheet4"/>
      <sheetName val="Sheet3"/>
      <sheetName val="Châm công tiền xăng"/>
      <sheetName val="TTTX"/>
      <sheetName val="Truy lãnh"/>
      <sheetName val="Sheet2"/>
      <sheetName val="chấm công người việt"/>
      <sheetName val="Chấm Công Tái xế"/>
      <sheetName val="Mủ CN"/>
      <sheetName val="Mủ CN (TH)"/>
      <sheetName val="Mủ CN (TT)"/>
      <sheetName val="Mủ CN (tam ung)"/>
      <sheetName val="Mu dây CN"/>
      <sheetName val="CN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E11">
            <v>688.6</v>
          </cell>
        </row>
        <row r="17">
          <cell r="Y17">
            <v>370987812.36108685</v>
          </cell>
        </row>
        <row r="87">
          <cell r="D87" t="str">
            <v>Thảo Xin</v>
          </cell>
          <cell r="F87" t="str">
            <v>CNKT</v>
          </cell>
          <cell r="G87" t="str">
            <v>Khai thác</v>
          </cell>
          <cell r="H87">
            <v>0</v>
          </cell>
          <cell r="J87">
            <v>0</v>
          </cell>
          <cell r="K87">
            <v>2646</v>
          </cell>
          <cell r="L87">
            <v>0</v>
          </cell>
        </row>
        <row r="88">
          <cell r="D88" t="str">
            <v>Nàng Khêm</v>
          </cell>
          <cell r="F88" t="str">
            <v>CNKT</v>
          </cell>
          <cell r="G88" t="str">
            <v>Khai thác</v>
          </cell>
          <cell r="H88">
            <v>0</v>
          </cell>
          <cell r="J88">
            <v>0</v>
          </cell>
          <cell r="K88">
            <v>2667</v>
          </cell>
          <cell r="L88">
            <v>0</v>
          </cell>
        </row>
        <row r="89">
          <cell r="D89" t="str">
            <v>Thảo Xin (2)</v>
          </cell>
          <cell r="F89" t="str">
            <v>CNKT</v>
          </cell>
          <cell r="G89" t="str">
            <v>Khai thác</v>
          </cell>
          <cell r="H89">
            <v>0</v>
          </cell>
          <cell r="J89">
            <v>0</v>
          </cell>
          <cell r="K89">
            <v>2020</v>
          </cell>
          <cell r="L89">
            <v>0</v>
          </cell>
        </row>
        <row r="90">
          <cell r="D90" t="str">
            <v>Nàng Lem (2)</v>
          </cell>
          <cell r="F90" t="str">
            <v>CNKT</v>
          </cell>
          <cell r="G90" t="str">
            <v>Khai thác</v>
          </cell>
          <cell r="H90">
            <v>0</v>
          </cell>
          <cell r="J90">
            <v>0</v>
          </cell>
          <cell r="K90">
            <v>1987</v>
          </cell>
          <cell r="L90">
            <v>0</v>
          </cell>
        </row>
        <row r="91">
          <cell r="D91" t="str">
            <v>A Phết</v>
          </cell>
          <cell r="F91" t="str">
            <v>CNKT</v>
          </cell>
          <cell r="G91" t="str">
            <v>Khai thác</v>
          </cell>
          <cell r="H91">
            <v>0</v>
          </cell>
          <cell r="J91">
            <v>0</v>
          </cell>
          <cell r="K91">
            <v>1454</v>
          </cell>
          <cell r="L91">
            <v>0</v>
          </cell>
        </row>
        <row r="92">
          <cell r="D92" t="str">
            <v>A Pên</v>
          </cell>
          <cell r="F92" t="str">
            <v>CNKT</v>
          </cell>
          <cell r="G92" t="str">
            <v>Khai thác</v>
          </cell>
          <cell r="H92">
            <v>0</v>
          </cell>
          <cell r="J92">
            <v>0</v>
          </cell>
          <cell r="K92">
            <v>1659</v>
          </cell>
          <cell r="L92">
            <v>0</v>
          </cell>
        </row>
        <row r="93">
          <cell r="D93" t="str">
            <v>Nàng Lem</v>
          </cell>
          <cell r="F93" t="str">
            <v>CNKT</v>
          </cell>
          <cell r="G93" t="str">
            <v>Khai thác</v>
          </cell>
          <cell r="H93">
            <v>0</v>
          </cell>
          <cell r="J93">
            <v>0</v>
          </cell>
          <cell r="K93">
            <v>2666</v>
          </cell>
          <cell r="L93">
            <v>0</v>
          </cell>
        </row>
        <row r="94">
          <cell r="D94" t="str">
            <v>Thảo Khăm</v>
          </cell>
          <cell r="F94" t="str">
            <v>CNKT</v>
          </cell>
          <cell r="G94" t="str">
            <v>Khai thác</v>
          </cell>
          <cell r="H94">
            <v>0</v>
          </cell>
          <cell r="J94">
            <v>0</v>
          </cell>
          <cell r="K94">
            <v>2670</v>
          </cell>
          <cell r="L94">
            <v>0</v>
          </cell>
        </row>
        <row r="95">
          <cell r="D95" t="str">
            <v>Nàng Phít</v>
          </cell>
          <cell r="F95" t="str">
            <v>CNKT</v>
          </cell>
          <cell r="G95" t="str">
            <v>Khai thác</v>
          </cell>
          <cell r="H95">
            <v>0</v>
          </cell>
          <cell r="J95">
            <v>0</v>
          </cell>
          <cell r="K95">
            <v>2706</v>
          </cell>
          <cell r="L95">
            <v>0</v>
          </cell>
        </row>
        <row r="96">
          <cell r="D96" t="str">
            <v>Thảo Nạm</v>
          </cell>
          <cell r="F96" t="str">
            <v>CNKT</v>
          </cell>
          <cell r="G96" t="str">
            <v>Khai thác</v>
          </cell>
          <cell r="H96">
            <v>0</v>
          </cell>
          <cell r="J96">
            <v>0</v>
          </cell>
          <cell r="K96">
            <v>2721</v>
          </cell>
          <cell r="L96">
            <v>0</v>
          </cell>
        </row>
        <row r="97">
          <cell r="D97" t="str">
            <v>Thảo Cẩu</v>
          </cell>
          <cell r="F97" t="str">
            <v>CNKT</v>
          </cell>
          <cell r="G97" t="str">
            <v>Khai thác</v>
          </cell>
          <cell r="H97">
            <v>0</v>
          </cell>
          <cell r="J97">
            <v>0</v>
          </cell>
          <cell r="K97">
            <v>1852</v>
          </cell>
          <cell r="L97">
            <v>0</v>
          </cell>
        </row>
        <row r="98">
          <cell r="D98" t="str">
            <v>Nàng Chao</v>
          </cell>
          <cell r="F98" t="str">
            <v>CNKT</v>
          </cell>
          <cell r="G98" t="str">
            <v>Khai thác</v>
          </cell>
          <cell r="H98">
            <v>0</v>
          </cell>
          <cell r="J98">
            <v>0</v>
          </cell>
          <cell r="K98">
            <v>1785</v>
          </cell>
          <cell r="L98">
            <v>0</v>
          </cell>
        </row>
        <row r="99">
          <cell r="D99" t="str">
            <v>Nàng Viêng</v>
          </cell>
          <cell r="F99" t="str">
            <v>CNKT</v>
          </cell>
          <cell r="G99" t="str">
            <v>Khai thác</v>
          </cell>
          <cell r="H99">
            <v>0</v>
          </cell>
          <cell r="J99">
            <v>0</v>
          </cell>
          <cell r="K99">
            <v>2293</v>
          </cell>
          <cell r="L99">
            <v>0</v>
          </cell>
        </row>
        <row r="100">
          <cell r="D100" t="str">
            <v>Thảo Đăm</v>
          </cell>
          <cell r="F100" t="str">
            <v>CNKT</v>
          </cell>
          <cell r="G100" t="str">
            <v>Khai thác</v>
          </cell>
          <cell r="H100">
            <v>0</v>
          </cell>
          <cell r="J100">
            <v>0</v>
          </cell>
          <cell r="K100">
            <v>2307</v>
          </cell>
          <cell r="L100">
            <v>0</v>
          </cell>
        </row>
        <row r="101">
          <cell r="D101" t="str">
            <v>A Long</v>
          </cell>
          <cell r="F101" t="str">
            <v>CNKT</v>
          </cell>
          <cell r="G101" t="str">
            <v>Khai thác</v>
          </cell>
          <cell r="H101">
            <v>0</v>
          </cell>
          <cell r="J101">
            <v>0</v>
          </cell>
          <cell r="K101">
            <v>2016</v>
          </cell>
          <cell r="L101">
            <v>0</v>
          </cell>
        </row>
        <row r="102">
          <cell r="D102" t="str">
            <v>Thảo Penta</v>
          </cell>
          <cell r="F102" t="str">
            <v>CNKT</v>
          </cell>
          <cell r="G102" t="str">
            <v>Khai thác</v>
          </cell>
          <cell r="H102">
            <v>0</v>
          </cell>
          <cell r="J102">
            <v>0</v>
          </cell>
          <cell r="K102">
            <v>2519</v>
          </cell>
          <cell r="L102">
            <v>0</v>
          </cell>
        </row>
        <row r="103">
          <cell r="D103" t="str">
            <v>A Lau</v>
          </cell>
          <cell r="F103" t="str">
            <v>CNKT</v>
          </cell>
          <cell r="G103" t="str">
            <v>Khai thác</v>
          </cell>
          <cell r="H103">
            <v>0</v>
          </cell>
          <cell r="J103">
            <v>0</v>
          </cell>
          <cell r="K103">
            <v>2264</v>
          </cell>
          <cell r="L103">
            <v>0</v>
          </cell>
        </row>
        <row r="104">
          <cell r="D104" t="str">
            <v xml:space="preserve">Nàng Tim </v>
          </cell>
          <cell r="F104" t="str">
            <v>CNKT</v>
          </cell>
          <cell r="G104" t="str">
            <v>Khai thác</v>
          </cell>
          <cell r="H104">
            <v>0</v>
          </cell>
          <cell r="J104">
            <v>0</v>
          </cell>
          <cell r="K104">
            <v>2526</v>
          </cell>
          <cell r="L104">
            <v>0</v>
          </cell>
        </row>
        <row r="105">
          <cell r="D105" t="str">
            <v>Nàng Tim B</v>
          </cell>
          <cell r="F105" t="str">
            <v>CNKT</v>
          </cell>
          <cell r="G105" t="str">
            <v>Khai thác</v>
          </cell>
          <cell r="H105">
            <v>0</v>
          </cell>
          <cell r="J105">
            <v>0</v>
          </cell>
          <cell r="K105">
            <v>2532</v>
          </cell>
          <cell r="L105">
            <v>0</v>
          </cell>
        </row>
        <row r="106">
          <cell r="D106" t="str">
            <v>Bun Khẳm</v>
          </cell>
          <cell r="F106" t="str">
            <v>CNKT</v>
          </cell>
          <cell r="G106" t="str">
            <v>Khai thác</v>
          </cell>
          <cell r="H106">
            <v>0</v>
          </cell>
          <cell r="J106">
            <v>0</v>
          </cell>
          <cell r="K106">
            <v>2450</v>
          </cell>
          <cell r="L106">
            <v>0</v>
          </cell>
        </row>
        <row r="107">
          <cell r="D107" t="str">
            <v>Thảo Phao</v>
          </cell>
          <cell r="F107" t="str">
            <v>CNKT</v>
          </cell>
          <cell r="G107" t="str">
            <v>Khai thác</v>
          </cell>
          <cell r="H107">
            <v>0</v>
          </cell>
          <cell r="J107">
            <v>0</v>
          </cell>
          <cell r="K107">
            <v>1853</v>
          </cell>
          <cell r="L107">
            <v>0</v>
          </cell>
        </row>
        <row r="108">
          <cell r="D108" t="str">
            <v xml:space="preserve">Thảo Sành </v>
          </cell>
          <cell r="F108" t="str">
            <v>CNKT</v>
          </cell>
          <cell r="G108" t="str">
            <v>Khai thác</v>
          </cell>
          <cell r="H108">
            <v>0</v>
          </cell>
          <cell r="J108">
            <v>0</v>
          </cell>
          <cell r="K108">
            <v>2463</v>
          </cell>
          <cell r="L108">
            <v>0</v>
          </cell>
        </row>
        <row r="109">
          <cell r="D109" t="str">
            <v>Thảo Vy</v>
          </cell>
          <cell r="F109" t="str">
            <v>CNKT</v>
          </cell>
          <cell r="G109" t="str">
            <v>Khai thác</v>
          </cell>
          <cell r="H109">
            <v>0</v>
          </cell>
          <cell r="J109">
            <v>0</v>
          </cell>
          <cell r="K109">
            <v>2968</v>
          </cell>
          <cell r="L109">
            <v>0</v>
          </cell>
        </row>
        <row r="110">
          <cell r="D110" t="str">
            <v>Nàng Thỏng</v>
          </cell>
          <cell r="F110" t="str">
            <v>CNKT</v>
          </cell>
          <cell r="G110" t="str">
            <v>Khai thác</v>
          </cell>
          <cell r="H110">
            <v>0</v>
          </cell>
          <cell r="J110">
            <v>0</v>
          </cell>
          <cell r="K110">
            <v>2973</v>
          </cell>
          <cell r="L110">
            <v>0</v>
          </cell>
        </row>
        <row r="111">
          <cell r="D111" t="str">
            <v>Chen Tho</v>
          </cell>
          <cell r="F111" t="str">
            <v>CNKT</v>
          </cell>
          <cell r="G111" t="str">
            <v>Khai thác</v>
          </cell>
          <cell r="H111">
            <v>0</v>
          </cell>
          <cell r="J111">
            <v>0</v>
          </cell>
          <cell r="K111">
            <v>1889</v>
          </cell>
          <cell r="L111">
            <v>0</v>
          </cell>
        </row>
        <row r="112">
          <cell r="D112" t="str">
            <v>A Luốt</v>
          </cell>
          <cell r="F112" t="str">
            <v>CNKT</v>
          </cell>
          <cell r="G112" t="str">
            <v>Khai thác</v>
          </cell>
          <cell r="H112">
            <v>0</v>
          </cell>
          <cell r="J112">
            <v>0</v>
          </cell>
          <cell r="K112">
            <v>1596</v>
          </cell>
          <cell r="L112">
            <v>0</v>
          </cell>
        </row>
        <row r="113">
          <cell r="D113" t="str">
            <v>Măng Lau</v>
          </cell>
          <cell r="F113" t="str">
            <v>CNKT</v>
          </cell>
          <cell r="G113" t="str">
            <v>Khai thác</v>
          </cell>
          <cell r="H113">
            <v>0</v>
          </cell>
          <cell r="J113">
            <v>0</v>
          </cell>
          <cell r="K113">
            <v>1892</v>
          </cell>
          <cell r="L113">
            <v>0</v>
          </cell>
        </row>
        <row r="114">
          <cell r="D114" t="str">
            <v>Con Tho</v>
          </cell>
          <cell r="F114" t="str">
            <v>CNKT</v>
          </cell>
          <cell r="G114" t="str">
            <v>Khai thác</v>
          </cell>
          <cell r="H114">
            <v>0</v>
          </cell>
          <cell r="J114">
            <v>0</v>
          </cell>
          <cell r="K114">
            <v>1731</v>
          </cell>
          <cell r="L114">
            <v>0</v>
          </cell>
        </row>
        <row r="115">
          <cell r="D115" t="str">
            <v>Thăm Den</v>
          </cell>
          <cell r="F115" t="str">
            <v>CNKT</v>
          </cell>
          <cell r="G115" t="str">
            <v>Khai thác</v>
          </cell>
          <cell r="H115">
            <v>0</v>
          </cell>
          <cell r="J115">
            <v>0</v>
          </cell>
          <cell r="K115">
            <v>1482</v>
          </cell>
          <cell r="L115">
            <v>0</v>
          </cell>
        </row>
        <row r="116">
          <cell r="D116" t="str">
            <v xml:space="preserve">Thảo Tươi </v>
          </cell>
          <cell r="F116" t="str">
            <v>CNKT</v>
          </cell>
          <cell r="G116" t="str">
            <v>Khai thác</v>
          </cell>
          <cell r="H116">
            <v>0</v>
          </cell>
          <cell r="J116">
            <v>0</v>
          </cell>
          <cell r="K116">
            <v>2885</v>
          </cell>
          <cell r="L116">
            <v>0</v>
          </cell>
        </row>
        <row r="117">
          <cell r="D117" t="str">
            <v>Thảo Thong Veo</v>
          </cell>
          <cell r="F117" t="str">
            <v>CNKT</v>
          </cell>
          <cell r="G117" t="str">
            <v>Khai thác</v>
          </cell>
          <cell r="H117">
            <v>0</v>
          </cell>
          <cell r="J117">
            <v>0</v>
          </cell>
          <cell r="K117">
            <v>2554</v>
          </cell>
          <cell r="L117">
            <v>0</v>
          </cell>
        </row>
        <row r="118">
          <cell r="D118" t="str">
            <v>Thong Veo (2)</v>
          </cell>
          <cell r="F118" t="str">
            <v>CNKT</v>
          </cell>
          <cell r="G118" t="str">
            <v>Khai thác</v>
          </cell>
          <cell r="H118">
            <v>0</v>
          </cell>
          <cell r="J118">
            <v>0</v>
          </cell>
          <cell r="K118">
            <v>2562</v>
          </cell>
          <cell r="L118">
            <v>0</v>
          </cell>
        </row>
        <row r="119">
          <cell r="D119" t="str">
            <v>Nàng Bua Khăm</v>
          </cell>
          <cell r="F119" t="str">
            <v>CNKT</v>
          </cell>
          <cell r="G119" t="str">
            <v>Khai thác</v>
          </cell>
          <cell r="H119">
            <v>0</v>
          </cell>
          <cell r="J119">
            <v>0</v>
          </cell>
          <cell r="K119">
            <v>2568</v>
          </cell>
          <cell r="L119">
            <v>0</v>
          </cell>
        </row>
        <row r="120">
          <cell r="D120" t="str">
            <v>Thảo Đen  (2)</v>
          </cell>
          <cell r="F120" t="str">
            <v>CNKT</v>
          </cell>
          <cell r="G120" t="str">
            <v>Khai thác</v>
          </cell>
          <cell r="H120">
            <v>0</v>
          </cell>
          <cell r="J120">
            <v>0</v>
          </cell>
          <cell r="K120">
            <v>1940</v>
          </cell>
          <cell r="L120">
            <v>0</v>
          </cell>
        </row>
        <row r="121">
          <cell r="D121" t="str">
            <v>Thảo Vông</v>
          </cell>
          <cell r="F121" t="str">
            <v>CNKT</v>
          </cell>
          <cell r="G121" t="str">
            <v>Khai thác</v>
          </cell>
          <cell r="H121">
            <v>0</v>
          </cell>
          <cell r="J121">
            <v>0</v>
          </cell>
          <cell r="K121">
            <v>2429</v>
          </cell>
          <cell r="L121">
            <v>0</v>
          </cell>
        </row>
        <row r="122">
          <cell r="D122" t="str">
            <v>Thảo Đen</v>
          </cell>
          <cell r="F122" t="str">
            <v>CNKT</v>
          </cell>
          <cell r="G122" t="str">
            <v>Khai thác</v>
          </cell>
          <cell r="H122">
            <v>0</v>
          </cell>
          <cell r="J122">
            <v>0</v>
          </cell>
          <cell r="K122">
            <v>2024</v>
          </cell>
          <cell r="L122">
            <v>0</v>
          </cell>
        </row>
        <row r="123">
          <cell r="D123" t="str">
            <v>Nàng Nâu</v>
          </cell>
          <cell r="F123" t="str">
            <v>CNKT</v>
          </cell>
          <cell r="G123" t="str">
            <v>Khai thác</v>
          </cell>
          <cell r="H123">
            <v>0</v>
          </cell>
          <cell r="J123">
            <v>0</v>
          </cell>
          <cell r="K123">
            <v>1992</v>
          </cell>
          <cell r="L123">
            <v>0</v>
          </cell>
        </row>
        <row r="124">
          <cell r="D124" t="str">
            <v>Thảo Bua Khăm</v>
          </cell>
          <cell r="F124" t="str">
            <v>CNKT</v>
          </cell>
          <cell r="G124" t="str">
            <v>Khai thác</v>
          </cell>
          <cell r="H124">
            <v>0</v>
          </cell>
          <cell r="J124">
            <v>0</v>
          </cell>
          <cell r="K124">
            <v>1607</v>
          </cell>
          <cell r="L124">
            <v>0</v>
          </cell>
        </row>
        <row r="125">
          <cell r="D125" t="str">
            <v>Thảo Săm Lết</v>
          </cell>
          <cell r="F125" t="str">
            <v>CNKT</v>
          </cell>
          <cell r="G125" t="str">
            <v>Khai thác</v>
          </cell>
          <cell r="H125">
            <v>0</v>
          </cell>
          <cell r="J125">
            <v>0</v>
          </cell>
          <cell r="K125">
            <v>2801</v>
          </cell>
          <cell r="L125">
            <v>0</v>
          </cell>
        </row>
        <row r="126">
          <cell r="D126" t="str">
            <v>A Beo</v>
          </cell>
          <cell r="F126" t="str">
            <v>CNKT</v>
          </cell>
          <cell r="G126" t="str">
            <v>Khai thác</v>
          </cell>
          <cell r="H126">
            <v>0</v>
          </cell>
          <cell r="J126">
            <v>0</v>
          </cell>
          <cell r="K126">
            <v>2242</v>
          </cell>
          <cell r="L126">
            <v>0</v>
          </cell>
        </row>
        <row r="127">
          <cell r="D127" t="str">
            <v>Tà Pệc</v>
          </cell>
          <cell r="F127" t="str">
            <v>CNKT</v>
          </cell>
          <cell r="G127" t="str">
            <v>Khai thác</v>
          </cell>
          <cell r="H127">
            <v>0</v>
          </cell>
          <cell r="J127">
            <v>0</v>
          </cell>
          <cell r="K127">
            <v>2102</v>
          </cell>
          <cell r="L127">
            <v>0</v>
          </cell>
        </row>
        <row r="128">
          <cell r="D128" t="str">
            <v>Khăm Phoong</v>
          </cell>
          <cell r="F128" t="str">
            <v>CNKT</v>
          </cell>
          <cell r="G128" t="str">
            <v>Khai thác</v>
          </cell>
          <cell r="H128">
            <v>0</v>
          </cell>
          <cell r="J128">
            <v>0</v>
          </cell>
          <cell r="K128">
            <v>993</v>
          </cell>
          <cell r="L128">
            <v>0</v>
          </cell>
        </row>
        <row r="129">
          <cell r="D129" t="str">
            <v>Thảo Nhui</v>
          </cell>
          <cell r="F129" t="str">
            <v>CNKT</v>
          </cell>
          <cell r="G129" t="str">
            <v>Khai thác</v>
          </cell>
          <cell r="H129">
            <v>0</v>
          </cell>
          <cell r="J129">
            <v>0</v>
          </cell>
          <cell r="K129">
            <v>2706</v>
          </cell>
          <cell r="L129">
            <v>0</v>
          </cell>
        </row>
        <row r="130">
          <cell r="D130" t="str">
            <v>Thảo Nọi</v>
          </cell>
          <cell r="F130" t="str">
            <v>CNKT</v>
          </cell>
          <cell r="G130" t="str">
            <v>Khai thác</v>
          </cell>
          <cell r="H130">
            <v>0</v>
          </cell>
          <cell r="J130">
            <v>0</v>
          </cell>
          <cell r="K130">
            <v>2971</v>
          </cell>
          <cell r="L130">
            <v>0</v>
          </cell>
        </row>
        <row r="131">
          <cell r="D131" t="str">
            <v>Nàng Thong</v>
          </cell>
          <cell r="F131" t="str">
            <v>CNKT</v>
          </cell>
          <cell r="G131" t="str">
            <v>Khai thác</v>
          </cell>
          <cell r="H131">
            <v>0</v>
          </cell>
          <cell r="J131">
            <v>0</v>
          </cell>
          <cell r="K131">
            <v>2574</v>
          </cell>
          <cell r="L131">
            <v>0</v>
          </cell>
        </row>
        <row r="132">
          <cell r="D132" t="str">
            <v>Thảo Phò Mực</v>
          </cell>
          <cell r="F132" t="str">
            <v>CNKT</v>
          </cell>
          <cell r="H132">
            <v>0</v>
          </cell>
          <cell r="J132">
            <v>0</v>
          </cell>
          <cell r="K132">
            <v>2198</v>
          </cell>
          <cell r="L132">
            <v>0</v>
          </cell>
        </row>
        <row r="133">
          <cell r="D133" t="str">
            <v>Thảo Von</v>
          </cell>
          <cell r="F133" t="str">
            <v>CNKT</v>
          </cell>
          <cell r="H133">
            <v>0</v>
          </cell>
          <cell r="J133">
            <v>0</v>
          </cell>
          <cell r="K133">
            <v>2433</v>
          </cell>
          <cell r="L133">
            <v>0</v>
          </cell>
        </row>
        <row r="134">
          <cell r="D134" t="str">
            <v>Thảo Ký</v>
          </cell>
          <cell r="F134" t="str">
            <v>CNKT</v>
          </cell>
          <cell r="H134">
            <v>0</v>
          </cell>
          <cell r="J134">
            <v>0</v>
          </cell>
          <cell r="K134">
            <v>3207</v>
          </cell>
          <cell r="L134">
            <v>0</v>
          </cell>
        </row>
        <row r="135">
          <cell r="D135" t="str">
            <v>Nàng Nạ</v>
          </cell>
          <cell r="F135" t="str">
            <v>CNKT</v>
          </cell>
          <cell r="H135">
            <v>0</v>
          </cell>
          <cell r="J135">
            <v>0</v>
          </cell>
          <cell r="K135">
            <v>3095</v>
          </cell>
          <cell r="L135">
            <v>0</v>
          </cell>
        </row>
        <row r="136">
          <cell r="D136" t="str">
            <v>Thảo Xin Xay</v>
          </cell>
          <cell r="F136" t="str">
            <v>CNKT</v>
          </cell>
          <cell r="H136">
            <v>0</v>
          </cell>
          <cell r="J136">
            <v>0</v>
          </cell>
          <cell r="K136">
            <v>2748</v>
          </cell>
          <cell r="L136">
            <v>0</v>
          </cell>
        </row>
        <row r="137">
          <cell r="D137" t="str">
            <v>Thảo Xy</v>
          </cell>
          <cell r="F137" t="str">
            <v>CNKT</v>
          </cell>
          <cell r="H137">
            <v>0</v>
          </cell>
          <cell r="J137">
            <v>0</v>
          </cell>
          <cell r="K137">
            <v>2481</v>
          </cell>
          <cell r="L137">
            <v>0</v>
          </cell>
        </row>
        <row r="138">
          <cell r="D138" t="str">
            <v>Nàng Xy Thong</v>
          </cell>
          <cell r="F138" t="str">
            <v>CNKT</v>
          </cell>
          <cell r="H138">
            <v>0</v>
          </cell>
          <cell r="J138">
            <v>0</v>
          </cell>
          <cell r="K138">
            <v>2482</v>
          </cell>
          <cell r="L138">
            <v>0</v>
          </cell>
        </row>
        <row r="139">
          <cell r="D139" t="str">
            <v>Thảo Sen</v>
          </cell>
          <cell r="F139" t="str">
            <v>CNKT</v>
          </cell>
          <cell r="H139">
            <v>0</v>
          </cell>
          <cell r="J139">
            <v>0</v>
          </cell>
          <cell r="K139">
            <v>1657</v>
          </cell>
          <cell r="L139">
            <v>0</v>
          </cell>
        </row>
        <row r="140">
          <cell r="D140" t="str">
            <v>Thảo Khêm</v>
          </cell>
          <cell r="F140" t="str">
            <v>CNKT</v>
          </cell>
          <cell r="H140">
            <v>0</v>
          </cell>
          <cell r="J140">
            <v>0</v>
          </cell>
          <cell r="K140">
            <v>1521</v>
          </cell>
          <cell r="L140">
            <v>0</v>
          </cell>
        </row>
        <row r="141">
          <cell r="D141" t="str">
            <v>Thảo Khăm Say</v>
          </cell>
          <cell r="F141" t="str">
            <v>CNKT</v>
          </cell>
          <cell r="H141">
            <v>0</v>
          </cell>
          <cell r="J141">
            <v>0</v>
          </cell>
          <cell r="K141">
            <v>855</v>
          </cell>
          <cell r="L141">
            <v>0</v>
          </cell>
        </row>
        <row r="142">
          <cell r="D142" t="str">
            <v>Thảo Pho Lâu A</v>
          </cell>
          <cell r="F142" t="str">
            <v>CNKT</v>
          </cell>
          <cell r="H142">
            <v>0</v>
          </cell>
          <cell r="J142">
            <v>0</v>
          </cell>
          <cell r="K142">
            <v>832</v>
          </cell>
          <cell r="L142">
            <v>0</v>
          </cell>
        </row>
        <row r="143">
          <cell r="D143" t="str">
            <v>Thảo Pho Lâu B</v>
          </cell>
          <cell r="F143" t="str">
            <v>CNKT</v>
          </cell>
          <cell r="H143">
            <v>0</v>
          </cell>
          <cell r="J143">
            <v>0</v>
          </cell>
          <cell r="K143">
            <v>597</v>
          </cell>
          <cell r="L143">
            <v>0</v>
          </cell>
        </row>
        <row r="144">
          <cell r="D144" t="str">
            <v>Thảo Lẹ</v>
          </cell>
          <cell r="F144" t="str">
            <v>CNKT</v>
          </cell>
          <cell r="H144">
            <v>0</v>
          </cell>
          <cell r="J144">
            <v>0</v>
          </cell>
          <cell r="K144">
            <v>1887</v>
          </cell>
          <cell r="L144">
            <v>0</v>
          </cell>
        </row>
        <row r="145">
          <cell r="D145" t="str">
            <v>Thảo Lôi</v>
          </cell>
          <cell r="F145" t="str">
            <v>CNKT</v>
          </cell>
          <cell r="H145">
            <v>0</v>
          </cell>
          <cell r="J145">
            <v>0</v>
          </cell>
          <cell r="K145">
            <v>1830</v>
          </cell>
          <cell r="L145">
            <v>0</v>
          </cell>
        </row>
        <row r="146">
          <cell r="D146" t="str">
            <v>Thảo Cho</v>
          </cell>
          <cell r="F146" t="str">
            <v>CNKT</v>
          </cell>
          <cell r="H146">
            <v>0</v>
          </cell>
          <cell r="J146">
            <v>0</v>
          </cell>
          <cell r="K146">
            <v>875</v>
          </cell>
          <cell r="L146">
            <v>0</v>
          </cell>
        </row>
        <row r="147">
          <cell r="D147" t="str">
            <v>Bun Phết</v>
          </cell>
          <cell r="F147" t="str">
            <v>CNKT</v>
          </cell>
          <cell r="H147">
            <v>0</v>
          </cell>
          <cell r="J147">
            <v>0</v>
          </cell>
          <cell r="K147">
            <v>1375</v>
          </cell>
          <cell r="L147">
            <v>0</v>
          </cell>
        </row>
        <row r="148">
          <cell r="D148" t="str">
            <v>Thảo Chay</v>
          </cell>
          <cell r="F148" t="str">
            <v>CNKT</v>
          </cell>
          <cell r="H148">
            <v>0</v>
          </cell>
          <cell r="J148">
            <v>0</v>
          </cell>
          <cell r="K148">
            <v>1262</v>
          </cell>
          <cell r="L148">
            <v>0</v>
          </cell>
        </row>
        <row r="149">
          <cell r="D149" t="str">
            <v>Cha Chiệp</v>
          </cell>
          <cell r="F149" t="str">
            <v>CNOL</v>
          </cell>
          <cell r="H149">
            <v>0</v>
          </cell>
          <cell r="J149">
            <v>0</v>
          </cell>
          <cell r="K149">
            <v>1880</v>
          </cell>
          <cell r="L149">
            <v>0</v>
          </cell>
        </row>
        <row r="150">
          <cell r="D150" t="str">
            <v>A Nem</v>
          </cell>
          <cell r="F150" t="str">
            <v>CNOL</v>
          </cell>
          <cell r="H150">
            <v>0</v>
          </cell>
          <cell r="J150">
            <v>0</v>
          </cell>
          <cell r="K150">
            <v>2208</v>
          </cell>
          <cell r="L150">
            <v>0</v>
          </cell>
        </row>
        <row r="151">
          <cell r="D151" t="str">
            <v>Mèo</v>
          </cell>
          <cell r="F151" t="str">
            <v>CNOL</v>
          </cell>
          <cell r="H151">
            <v>0</v>
          </cell>
          <cell r="J151">
            <v>0</v>
          </cell>
          <cell r="K151">
            <v>1525</v>
          </cell>
          <cell r="L151">
            <v>0</v>
          </cell>
        </row>
        <row r="152">
          <cell r="D152" t="str">
            <v>Bò Khiên</v>
          </cell>
          <cell r="F152" t="str">
            <v>CNOL</v>
          </cell>
          <cell r="H152">
            <v>0</v>
          </cell>
          <cell r="J152">
            <v>0</v>
          </cell>
          <cell r="K152">
            <v>1859</v>
          </cell>
          <cell r="L152">
            <v>0</v>
          </cell>
        </row>
        <row r="153">
          <cell r="D153" t="str">
            <v>A Thay</v>
          </cell>
          <cell r="F153" t="str">
            <v>CNOL</v>
          </cell>
          <cell r="H153">
            <v>0</v>
          </cell>
          <cell r="J153">
            <v>0</v>
          </cell>
          <cell r="K153">
            <v>2327</v>
          </cell>
          <cell r="L153">
            <v>0</v>
          </cell>
        </row>
        <row r="154">
          <cell r="D154" t="str">
            <v>A Thưng</v>
          </cell>
          <cell r="F154" t="str">
            <v>CNOL</v>
          </cell>
          <cell r="H154">
            <v>0</v>
          </cell>
          <cell r="J154">
            <v>0</v>
          </cell>
          <cell r="K154">
            <v>1892</v>
          </cell>
          <cell r="L154">
            <v>0</v>
          </cell>
        </row>
        <row r="155">
          <cell r="D155" t="str">
            <v>Đốt</v>
          </cell>
          <cell r="F155" t="str">
            <v>CNKT</v>
          </cell>
          <cell r="H155">
            <v>0</v>
          </cell>
          <cell r="J155">
            <v>0</v>
          </cell>
          <cell r="K155">
            <v>2027</v>
          </cell>
          <cell r="L155">
            <v>0</v>
          </cell>
        </row>
        <row r="156">
          <cell r="D156" t="str">
            <v>Phò Phòm</v>
          </cell>
          <cell r="F156" t="str">
            <v>CNKT</v>
          </cell>
          <cell r="H156">
            <v>0</v>
          </cell>
          <cell r="J156">
            <v>0</v>
          </cell>
          <cell r="K156">
            <v>1745</v>
          </cell>
          <cell r="L156">
            <v>0</v>
          </cell>
        </row>
        <row r="157">
          <cell r="D157" t="str">
            <v>A Hồng</v>
          </cell>
          <cell r="F157" t="str">
            <v>CNKT</v>
          </cell>
          <cell r="H157">
            <v>0</v>
          </cell>
          <cell r="J157">
            <v>0</v>
          </cell>
          <cell r="K157">
            <v>1824</v>
          </cell>
          <cell r="L157">
            <v>0</v>
          </cell>
        </row>
        <row r="158">
          <cell r="D158" t="str">
            <v>Xơm Mái</v>
          </cell>
          <cell r="F158" t="str">
            <v>CNKT</v>
          </cell>
          <cell r="H158">
            <v>0</v>
          </cell>
          <cell r="J158">
            <v>0</v>
          </cell>
          <cell r="K158">
            <v>1971</v>
          </cell>
          <cell r="L158">
            <v>0</v>
          </cell>
        </row>
        <row r="159">
          <cell r="D159" t="str">
            <v>Cha Măn</v>
          </cell>
          <cell r="F159" t="str">
            <v>CNKT</v>
          </cell>
          <cell r="H159">
            <v>0</v>
          </cell>
          <cell r="J159">
            <v>0</v>
          </cell>
          <cell r="K159">
            <v>2060</v>
          </cell>
          <cell r="L159">
            <v>0</v>
          </cell>
        </row>
        <row r="160">
          <cell r="D160" t="str">
            <v>Nhung</v>
          </cell>
          <cell r="F160" t="str">
            <v>CNKT</v>
          </cell>
          <cell r="H160">
            <v>0</v>
          </cell>
          <cell r="J160">
            <v>0</v>
          </cell>
          <cell r="K160">
            <v>1978</v>
          </cell>
          <cell r="L160">
            <v>0</v>
          </cell>
        </row>
        <row r="161">
          <cell r="D161" t="str">
            <v>A Bối</v>
          </cell>
          <cell r="F161" t="str">
            <v>CNKT</v>
          </cell>
          <cell r="H161">
            <v>0</v>
          </cell>
          <cell r="J161">
            <v>0</v>
          </cell>
          <cell r="K161">
            <v>1611</v>
          </cell>
          <cell r="L161">
            <v>0</v>
          </cell>
        </row>
        <row r="162">
          <cell r="D162" t="str">
            <v>Chiệp</v>
          </cell>
          <cell r="F162" t="str">
            <v>CNKT</v>
          </cell>
          <cell r="G162" t="str">
            <v>Khai thác</v>
          </cell>
          <cell r="H162">
            <v>0</v>
          </cell>
          <cell r="J162">
            <v>0</v>
          </cell>
          <cell r="K162">
            <v>2076</v>
          </cell>
          <cell r="L162">
            <v>0</v>
          </cell>
        </row>
        <row r="163">
          <cell r="D163" t="str">
            <v>Phon</v>
          </cell>
          <cell r="F163" t="str">
            <v>CNKT</v>
          </cell>
          <cell r="G163" t="str">
            <v>Khai thác</v>
          </cell>
          <cell r="H163">
            <v>0</v>
          </cell>
          <cell r="J163">
            <v>0</v>
          </cell>
          <cell r="K163">
            <v>1663</v>
          </cell>
          <cell r="L163">
            <v>0</v>
          </cell>
        </row>
        <row r="164">
          <cell r="D164" t="str">
            <v>Minh</v>
          </cell>
          <cell r="F164" t="str">
            <v>CNKT</v>
          </cell>
          <cell r="G164" t="str">
            <v>Khai thác</v>
          </cell>
          <cell r="H164">
            <v>0</v>
          </cell>
          <cell r="J164">
            <v>0</v>
          </cell>
          <cell r="K164">
            <v>1519</v>
          </cell>
          <cell r="L164">
            <v>0</v>
          </cell>
        </row>
        <row r="165">
          <cell r="D165" t="str">
            <v>A Pan</v>
          </cell>
          <cell r="F165" t="str">
            <v>CNKT</v>
          </cell>
          <cell r="G165" t="str">
            <v>Khai thác</v>
          </cell>
          <cell r="H165">
            <v>0</v>
          </cell>
          <cell r="J165">
            <v>0</v>
          </cell>
          <cell r="K165">
            <v>1975</v>
          </cell>
          <cell r="L165">
            <v>0</v>
          </cell>
        </row>
        <row r="166">
          <cell r="D166" t="str">
            <v>A Phương</v>
          </cell>
          <cell r="F166" t="str">
            <v>CNKT</v>
          </cell>
          <cell r="G166" t="str">
            <v>Khai thác</v>
          </cell>
          <cell r="H166">
            <v>0</v>
          </cell>
          <cell r="J166">
            <v>0</v>
          </cell>
          <cell r="K166">
            <v>1722</v>
          </cell>
          <cell r="L166">
            <v>0</v>
          </cell>
        </row>
        <row r="167">
          <cell r="D167" t="str">
            <v>Nàng Nọi</v>
          </cell>
          <cell r="F167" t="str">
            <v>CNKT</v>
          </cell>
          <cell r="G167" t="str">
            <v>Khai thác</v>
          </cell>
          <cell r="H167">
            <v>0</v>
          </cell>
          <cell r="J167">
            <v>0</v>
          </cell>
          <cell r="K167">
            <v>2560</v>
          </cell>
          <cell r="L167">
            <v>0</v>
          </cell>
        </row>
        <row r="168">
          <cell r="D168" t="str">
            <v>A Lúc</v>
          </cell>
          <cell r="F168" t="str">
            <v>CNKT</v>
          </cell>
          <cell r="G168" t="str">
            <v>Khai thác</v>
          </cell>
          <cell r="H168">
            <v>0</v>
          </cell>
          <cell r="J168">
            <v>0</v>
          </cell>
          <cell r="K168">
            <v>1812</v>
          </cell>
          <cell r="L168">
            <v>0</v>
          </cell>
        </row>
        <row r="169">
          <cell r="D169" t="str">
            <v>Phò Thưng</v>
          </cell>
          <cell r="F169" t="str">
            <v>CNKT</v>
          </cell>
          <cell r="G169" t="str">
            <v>Khai thác</v>
          </cell>
          <cell r="H169">
            <v>0</v>
          </cell>
          <cell r="J169">
            <v>0</v>
          </cell>
          <cell r="K169">
            <v>1622</v>
          </cell>
          <cell r="L169">
            <v>0</v>
          </cell>
        </row>
        <row r="170">
          <cell r="D170" t="str">
            <v>A Tè</v>
          </cell>
          <cell r="F170" t="str">
            <v>CNKT</v>
          </cell>
          <cell r="G170" t="str">
            <v>Khai thác</v>
          </cell>
          <cell r="H170">
            <v>0</v>
          </cell>
          <cell r="J170">
            <v>0</v>
          </cell>
          <cell r="K170">
            <v>2016</v>
          </cell>
          <cell r="L170">
            <v>0</v>
          </cell>
        </row>
        <row r="171">
          <cell r="D171" t="str">
            <v>Xóm Chết</v>
          </cell>
          <cell r="F171" t="str">
            <v>CNKT</v>
          </cell>
          <cell r="G171" t="str">
            <v>Khai thác</v>
          </cell>
          <cell r="H171">
            <v>0</v>
          </cell>
          <cell r="J171">
            <v>0</v>
          </cell>
          <cell r="K171">
            <v>1875</v>
          </cell>
          <cell r="L171">
            <v>0</v>
          </cell>
        </row>
        <row r="172">
          <cell r="D172" t="str">
            <v>A Lưng</v>
          </cell>
          <cell r="F172" t="str">
            <v>CNKT</v>
          </cell>
          <cell r="G172" t="str">
            <v>Khai thác</v>
          </cell>
          <cell r="H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A Lun</v>
          </cell>
          <cell r="F173" t="str">
            <v>CNKT</v>
          </cell>
          <cell r="G173" t="str">
            <v>Khai thác</v>
          </cell>
          <cell r="H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H174">
            <v>0</v>
          </cell>
          <cell r="K174">
            <v>58383</v>
          </cell>
          <cell r="L174">
            <v>0</v>
          </cell>
          <cell r="Y174">
            <v>154673014.16026446</v>
          </cell>
        </row>
        <row r="175">
          <cell r="D175" t="str">
            <v>Thông Đăm</v>
          </cell>
          <cell r="F175" t="str">
            <v>CNKT</v>
          </cell>
          <cell r="G175" t="str">
            <v>Khai thác</v>
          </cell>
          <cell r="H175">
            <v>0</v>
          </cell>
          <cell r="J175">
            <v>0</v>
          </cell>
          <cell r="K175">
            <v>2205</v>
          </cell>
        </row>
        <row r="176">
          <cell r="D176" t="str">
            <v>A Bươi</v>
          </cell>
          <cell r="F176" t="str">
            <v>CNKT</v>
          </cell>
          <cell r="G176" t="str">
            <v>Khai thác</v>
          </cell>
          <cell r="H176">
            <v>0</v>
          </cell>
          <cell r="J176">
            <v>0</v>
          </cell>
          <cell r="K176">
            <v>2292</v>
          </cell>
        </row>
        <row r="177">
          <cell r="D177" t="str">
            <v>Lun</v>
          </cell>
          <cell r="F177" t="str">
            <v>CNKT</v>
          </cell>
          <cell r="G177" t="str">
            <v>Khai thác</v>
          </cell>
          <cell r="H177">
            <v>0</v>
          </cell>
          <cell r="J177">
            <v>0</v>
          </cell>
          <cell r="K177">
            <v>1788</v>
          </cell>
        </row>
        <row r="178">
          <cell r="D178" t="str">
            <v>A Phay</v>
          </cell>
          <cell r="F178" t="str">
            <v>CNKT</v>
          </cell>
          <cell r="G178" t="str">
            <v>Khai thác</v>
          </cell>
          <cell r="H178">
            <v>0</v>
          </cell>
          <cell r="J178">
            <v>0</v>
          </cell>
          <cell r="K178">
            <v>1979</v>
          </cell>
        </row>
        <row r="179">
          <cell r="D179" t="str">
            <v>A Pon</v>
          </cell>
          <cell r="F179" t="str">
            <v>CNKT</v>
          </cell>
          <cell r="G179" t="str">
            <v>Khai thác</v>
          </cell>
          <cell r="H179">
            <v>0</v>
          </cell>
          <cell r="J179">
            <v>0</v>
          </cell>
          <cell r="K179">
            <v>1390</v>
          </cell>
        </row>
        <row r="180">
          <cell r="D180" t="str">
            <v>Ta Lốt</v>
          </cell>
          <cell r="F180" t="str">
            <v>CNKT</v>
          </cell>
          <cell r="G180" t="str">
            <v>Khai thác</v>
          </cell>
          <cell r="H180">
            <v>0</v>
          </cell>
          <cell r="J180">
            <v>0</v>
          </cell>
          <cell r="K180">
            <v>1800</v>
          </cell>
        </row>
        <row r="181">
          <cell r="D181" t="str">
            <v>Phò Lăng</v>
          </cell>
          <cell r="F181" t="str">
            <v>CNKT</v>
          </cell>
          <cell r="G181" t="str">
            <v>Khai thác</v>
          </cell>
          <cell r="H181">
            <v>0</v>
          </cell>
          <cell r="J181">
            <v>0</v>
          </cell>
          <cell r="K181">
            <v>1615</v>
          </cell>
        </row>
        <row r="182">
          <cell r="D182" t="str">
            <v>A Têng</v>
          </cell>
          <cell r="F182" t="str">
            <v>CNKT</v>
          </cell>
          <cell r="G182" t="str">
            <v>Khai thác</v>
          </cell>
          <cell r="H182">
            <v>0</v>
          </cell>
          <cell r="J182">
            <v>0</v>
          </cell>
          <cell r="K182">
            <v>1934</v>
          </cell>
        </row>
        <row r="183">
          <cell r="D183" t="str">
            <v>Ói</v>
          </cell>
          <cell r="F183" t="str">
            <v>CNKT</v>
          </cell>
          <cell r="G183" t="str">
            <v>Khai thác</v>
          </cell>
          <cell r="H183">
            <v>0</v>
          </cell>
          <cell r="J183">
            <v>0</v>
          </cell>
          <cell r="K183">
            <v>1797</v>
          </cell>
        </row>
        <row r="184">
          <cell r="D184" t="str">
            <v>Ta Dạt</v>
          </cell>
          <cell r="F184" t="str">
            <v>CNKT</v>
          </cell>
          <cell r="G184" t="str">
            <v>Khai thác</v>
          </cell>
          <cell r="H184">
            <v>0</v>
          </cell>
          <cell r="J184">
            <v>0</v>
          </cell>
          <cell r="K184">
            <v>1426</v>
          </cell>
        </row>
        <row r="185">
          <cell r="D185" t="str">
            <v>Ra Măn</v>
          </cell>
          <cell r="F185" t="str">
            <v>CNKT</v>
          </cell>
          <cell r="G185" t="str">
            <v>Khai thác</v>
          </cell>
          <cell r="H185">
            <v>0</v>
          </cell>
          <cell r="J185">
            <v>0</v>
          </cell>
          <cell r="K185">
            <v>1293</v>
          </cell>
        </row>
        <row r="186">
          <cell r="D186" t="str">
            <v>Ta Học</v>
          </cell>
          <cell r="F186" t="str">
            <v>CNKT</v>
          </cell>
          <cell r="G186" t="str">
            <v>Khai thác</v>
          </cell>
          <cell r="H186">
            <v>0</v>
          </cell>
          <cell r="J186">
            <v>0</v>
          </cell>
          <cell r="K186">
            <v>1570</v>
          </cell>
        </row>
        <row r="187">
          <cell r="D187" t="str">
            <v>Phò Têng</v>
          </cell>
          <cell r="F187" t="str">
            <v>CNKT</v>
          </cell>
          <cell r="G187" t="str">
            <v>Khai thác</v>
          </cell>
          <cell r="H187">
            <v>0</v>
          </cell>
          <cell r="J187">
            <v>0</v>
          </cell>
          <cell r="K187">
            <v>2059</v>
          </cell>
        </row>
        <row r="188">
          <cell r="D188" t="str">
            <v>Ma</v>
          </cell>
          <cell r="F188" t="str">
            <v>CNKT</v>
          </cell>
          <cell r="G188" t="str">
            <v>Khai thác</v>
          </cell>
          <cell r="H188">
            <v>0</v>
          </cell>
          <cell r="J188">
            <v>0</v>
          </cell>
          <cell r="K188">
            <v>2300</v>
          </cell>
        </row>
        <row r="189">
          <cell r="D189" t="str">
            <v>Phò Thoong</v>
          </cell>
          <cell r="F189" t="str">
            <v>CNKT</v>
          </cell>
          <cell r="G189" t="str">
            <v>Khai thác</v>
          </cell>
          <cell r="H189">
            <v>0</v>
          </cell>
          <cell r="J189">
            <v>0</v>
          </cell>
          <cell r="K189">
            <v>1736</v>
          </cell>
        </row>
        <row r="190">
          <cell r="D190" t="str">
            <v>Cha Hô</v>
          </cell>
          <cell r="F190" t="str">
            <v>CNKT</v>
          </cell>
          <cell r="G190" t="str">
            <v>Khai thác</v>
          </cell>
          <cell r="H190">
            <v>0</v>
          </cell>
          <cell r="J190">
            <v>0</v>
          </cell>
          <cell r="K190">
            <v>2029</v>
          </cell>
        </row>
        <row r="191">
          <cell r="D191" t="str">
            <v>Cha Khuất</v>
          </cell>
          <cell r="F191" t="str">
            <v>CNKT</v>
          </cell>
          <cell r="G191" t="str">
            <v>Khai thác</v>
          </cell>
          <cell r="H191">
            <v>0</v>
          </cell>
          <cell r="J191">
            <v>0</v>
          </cell>
          <cell r="K191">
            <v>1833</v>
          </cell>
        </row>
        <row r="192">
          <cell r="D192" t="str">
            <v>A Lay</v>
          </cell>
          <cell r="F192" t="str">
            <v>CNKT</v>
          </cell>
          <cell r="G192" t="str">
            <v>Khai thác</v>
          </cell>
          <cell r="H192">
            <v>0</v>
          </cell>
          <cell r="J192">
            <v>0</v>
          </cell>
          <cell r="K192">
            <v>1764</v>
          </cell>
        </row>
        <row r="193">
          <cell r="D193" t="str">
            <v>A Lóc</v>
          </cell>
          <cell r="F193" t="str">
            <v>CNKT</v>
          </cell>
          <cell r="G193" t="str">
            <v>Khai thác</v>
          </cell>
          <cell r="H193">
            <v>0</v>
          </cell>
          <cell r="J193">
            <v>0</v>
          </cell>
          <cell r="K193">
            <v>1480</v>
          </cell>
        </row>
        <row r="194">
          <cell r="D194" t="str">
            <v>Keo</v>
          </cell>
          <cell r="F194" t="str">
            <v>CNKT</v>
          </cell>
          <cell r="G194" t="str">
            <v>Khai thác</v>
          </cell>
          <cell r="H194">
            <v>0</v>
          </cell>
          <cell r="J194">
            <v>0</v>
          </cell>
          <cell r="K194">
            <v>2110</v>
          </cell>
        </row>
        <row r="195">
          <cell r="D195" t="str">
            <v>Ngân</v>
          </cell>
          <cell r="F195" t="str">
            <v>CNKT</v>
          </cell>
          <cell r="G195" t="str">
            <v>Khai thác</v>
          </cell>
          <cell r="H195">
            <v>0</v>
          </cell>
          <cell r="J195">
            <v>0</v>
          </cell>
          <cell r="K195">
            <v>1974</v>
          </cell>
        </row>
        <row r="196">
          <cell r="D196" t="str">
            <v>A Tay</v>
          </cell>
          <cell r="F196" t="str">
            <v>CNKT</v>
          </cell>
          <cell r="G196" t="str">
            <v>Khai thác</v>
          </cell>
          <cell r="H196">
            <v>0</v>
          </cell>
          <cell r="J196">
            <v>0</v>
          </cell>
          <cell r="K196">
            <v>1718</v>
          </cell>
        </row>
        <row r="197">
          <cell r="D197" t="str">
            <v>A Vêu</v>
          </cell>
          <cell r="F197" t="str">
            <v>CNKT</v>
          </cell>
          <cell r="G197" t="str">
            <v>Khai thác</v>
          </cell>
          <cell r="H197">
            <v>0</v>
          </cell>
          <cell r="J197">
            <v>0</v>
          </cell>
          <cell r="K197">
            <v>1786</v>
          </cell>
        </row>
        <row r="198">
          <cell r="D198" t="str">
            <v>A Long</v>
          </cell>
          <cell r="F198" t="str">
            <v>CNKT</v>
          </cell>
          <cell r="G198" t="str">
            <v>Khai thác</v>
          </cell>
          <cell r="H198">
            <v>0</v>
          </cell>
          <cell r="J198">
            <v>0</v>
          </cell>
          <cell r="K198">
            <v>1711</v>
          </cell>
        </row>
        <row r="199">
          <cell r="D199" t="str">
            <v>Bang</v>
          </cell>
          <cell r="F199" t="str">
            <v>CNKT</v>
          </cell>
          <cell r="G199" t="str">
            <v>Khai thác</v>
          </cell>
          <cell r="H199">
            <v>0</v>
          </cell>
          <cell r="J199">
            <v>0</v>
          </cell>
          <cell r="K199">
            <v>1714</v>
          </cell>
        </row>
        <row r="200">
          <cell r="D200" t="str">
            <v>Bun Đương</v>
          </cell>
          <cell r="F200" t="str">
            <v>CNKT</v>
          </cell>
          <cell r="G200" t="str">
            <v>Khai thác</v>
          </cell>
          <cell r="H200">
            <v>0</v>
          </cell>
          <cell r="J200">
            <v>0</v>
          </cell>
          <cell r="K200">
            <v>3203</v>
          </cell>
        </row>
        <row r="201">
          <cell r="D201" t="str">
            <v>Phay</v>
          </cell>
          <cell r="F201" t="str">
            <v>CNKT</v>
          </cell>
          <cell r="G201" t="str">
            <v>Khai thác</v>
          </cell>
          <cell r="H201">
            <v>0</v>
          </cell>
          <cell r="J201">
            <v>0</v>
          </cell>
          <cell r="K201">
            <v>2402</v>
          </cell>
        </row>
        <row r="202">
          <cell r="D202" t="str">
            <v>Bươi</v>
          </cell>
          <cell r="F202" t="str">
            <v>CNKT</v>
          </cell>
          <cell r="G202" t="str">
            <v>Khai thác</v>
          </cell>
          <cell r="H202">
            <v>0</v>
          </cell>
          <cell r="J202">
            <v>0</v>
          </cell>
          <cell r="K202">
            <v>2375</v>
          </cell>
        </row>
        <row r="203">
          <cell r="D203" t="str">
            <v>A Bổ</v>
          </cell>
          <cell r="F203" t="str">
            <v>CNKT</v>
          </cell>
          <cell r="G203" t="str">
            <v>Khai thác</v>
          </cell>
          <cell r="H203">
            <v>0</v>
          </cell>
          <cell r="J203">
            <v>0</v>
          </cell>
          <cell r="K203">
            <v>3328</v>
          </cell>
        </row>
        <row r="204">
          <cell r="D204" t="str">
            <v>A Bưng</v>
          </cell>
          <cell r="F204" t="str">
            <v>CNKT</v>
          </cell>
          <cell r="G204" t="str">
            <v>Khai thác</v>
          </cell>
          <cell r="H204">
            <v>0</v>
          </cell>
          <cell r="J204">
            <v>0</v>
          </cell>
          <cell r="K204">
            <v>1772</v>
          </cell>
        </row>
        <row r="205">
          <cell r="D205" t="str">
            <v>Cha Sơ</v>
          </cell>
        </row>
        <row r="206">
          <cell r="H206">
            <v>8711.9450883341287</v>
          </cell>
          <cell r="I206">
            <v>0</v>
          </cell>
          <cell r="J206">
            <v>217798627.20835322</v>
          </cell>
          <cell r="K206">
            <v>306486</v>
          </cell>
          <cell r="L206">
            <v>30</v>
          </cell>
        </row>
        <row r="208">
          <cell r="H208" t="e">
            <v>#REF!</v>
          </cell>
        </row>
        <row r="209">
          <cell r="I209" t="str">
            <v>PHÒNG TC- HC</v>
          </cell>
          <cell r="J209" t="str">
            <v>PHÒNG TC - HC</v>
          </cell>
        </row>
        <row r="219">
          <cell r="J219" t="str">
            <v>Võ Thị Phượng</v>
          </cell>
        </row>
      </sheetData>
      <sheetData sheetId="17"/>
      <sheetData sheetId="18">
        <row r="17">
          <cell r="L17" t="str">
            <v>A</v>
          </cell>
          <cell r="M17">
            <v>85689.384000000005</v>
          </cell>
        </row>
        <row r="18">
          <cell r="L18" t="str">
            <v>B</v>
          </cell>
          <cell r="M18">
            <v>164547.85600000003</v>
          </cell>
        </row>
        <row r="19">
          <cell r="L19" t="str">
            <v>B</v>
          </cell>
          <cell r="M19">
            <v>83072.703999999998</v>
          </cell>
        </row>
        <row r="20">
          <cell r="L20" t="str">
            <v>A</v>
          </cell>
          <cell r="M20">
            <v>80648.832000000009</v>
          </cell>
        </row>
        <row r="21">
          <cell r="L21" t="str">
            <v>A</v>
          </cell>
          <cell r="M21">
            <v>213383.36800000002</v>
          </cell>
        </row>
        <row r="22">
          <cell r="L22" t="str">
            <v>A</v>
          </cell>
          <cell r="M22">
            <v>161297.66400000002</v>
          </cell>
        </row>
        <row r="23">
          <cell r="L23" t="str">
            <v>A</v>
          </cell>
          <cell r="M23">
            <v>280590.728</v>
          </cell>
        </row>
        <row r="24">
          <cell r="L24" t="str">
            <v>A</v>
          </cell>
          <cell r="M24">
            <v>95770.487999999998</v>
          </cell>
        </row>
        <row r="25">
          <cell r="L25" t="str">
            <v>A</v>
          </cell>
          <cell r="M25">
            <v>191540.976</v>
          </cell>
        </row>
        <row r="26">
          <cell r="L26" t="str">
            <v>A</v>
          </cell>
          <cell r="M26">
            <v>92410.12</v>
          </cell>
        </row>
        <row r="27">
          <cell r="L27" t="str">
            <v>A</v>
          </cell>
          <cell r="M27">
            <v>142815.64000000001</v>
          </cell>
        </row>
        <row r="28">
          <cell r="L28" t="str">
            <v>A</v>
          </cell>
          <cell r="M28">
            <v>273869.99200000003</v>
          </cell>
        </row>
        <row r="29">
          <cell r="L29" t="str">
            <v>A</v>
          </cell>
          <cell r="M29">
            <v>157937.296</v>
          </cell>
        </row>
        <row r="30">
          <cell r="L30" t="str">
            <v>A</v>
          </cell>
          <cell r="M30">
            <v>132734.53599999999</v>
          </cell>
        </row>
        <row r="31">
          <cell r="L31" t="str">
            <v>A</v>
          </cell>
          <cell r="M31">
            <v>134414.72</v>
          </cell>
        </row>
        <row r="32">
          <cell r="L32" t="str">
            <v>A</v>
          </cell>
          <cell r="M32">
            <v>129374.16800000001</v>
          </cell>
        </row>
        <row r="33">
          <cell r="L33" t="str">
            <v>A</v>
          </cell>
          <cell r="M33">
            <v>213383.36800000002</v>
          </cell>
        </row>
        <row r="34">
          <cell r="L34" t="str">
            <v>A</v>
          </cell>
          <cell r="M34">
            <v>277230.36</v>
          </cell>
        </row>
        <row r="35">
          <cell r="L35" t="str">
            <v>A</v>
          </cell>
          <cell r="M35">
            <v>191540.976</v>
          </cell>
        </row>
        <row r="36">
          <cell r="L36" t="str">
            <v>B</v>
          </cell>
          <cell r="M36">
            <v>223657.28</v>
          </cell>
        </row>
        <row r="37">
          <cell r="L37" t="str">
            <v>A</v>
          </cell>
          <cell r="M37">
            <v>211703.18400000004</v>
          </cell>
        </row>
        <row r="38">
          <cell r="L38" t="str">
            <v>A</v>
          </cell>
          <cell r="M38">
            <v>184820.24</v>
          </cell>
        </row>
        <row r="39">
          <cell r="L39" t="str">
            <v>A</v>
          </cell>
          <cell r="M39">
            <v>152896.74400000001</v>
          </cell>
        </row>
        <row r="40">
          <cell r="L40" t="str">
            <v>A</v>
          </cell>
          <cell r="M40">
            <v>173058.95200000002</v>
          </cell>
        </row>
        <row r="41">
          <cell r="L41" t="str">
            <v>A</v>
          </cell>
          <cell r="M41">
            <v>92410.12</v>
          </cell>
        </row>
        <row r="42">
          <cell r="L42" t="str">
            <v>A</v>
          </cell>
          <cell r="M42">
            <v>159617.48000000001</v>
          </cell>
        </row>
        <row r="43">
          <cell r="L43" t="str">
            <v>A</v>
          </cell>
          <cell r="M43">
            <v>186500.42400000003</v>
          </cell>
        </row>
        <row r="44">
          <cell r="L44" t="str">
            <v>A</v>
          </cell>
          <cell r="M44">
            <v>139455.27200000003</v>
          </cell>
        </row>
        <row r="45">
          <cell r="L45" t="str">
            <v>A</v>
          </cell>
          <cell r="M45">
            <v>273869.99200000003</v>
          </cell>
        </row>
        <row r="46">
          <cell r="L46" t="str">
            <v>A</v>
          </cell>
          <cell r="M46">
            <v>162977.84800000003</v>
          </cell>
        </row>
        <row r="47">
          <cell r="L47" t="str">
            <v>A</v>
          </cell>
          <cell r="M47">
            <v>184820.24</v>
          </cell>
        </row>
        <row r="48">
          <cell r="L48" t="str">
            <v>A</v>
          </cell>
          <cell r="M48">
            <v>161297.66400000002</v>
          </cell>
        </row>
        <row r="49">
          <cell r="L49" t="str">
            <v>A</v>
          </cell>
          <cell r="M49">
            <v>109211.96</v>
          </cell>
        </row>
        <row r="50">
          <cell r="L50" t="str">
            <v>A</v>
          </cell>
          <cell r="M50">
            <v>539339.06400000001</v>
          </cell>
        </row>
        <row r="51">
          <cell r="L51" t="str">
            <v>A</v>
          </cell>
          <cell r="M51">
            <v>535978.696</v>
          </cell>
        </row>
        <row r="52">
          <cell r="L52" t="str">
            <v>A</v>
          </cell>
          <cell r="M52">
            <v>535978.696</v>
          </cell>
        </row>
        <row r="53">
          <cell r="L53" t="str">
            <v>B</v>
          </cell>
          <cell r="M53">
            <v>314717.74400000006</v>
          </cell>
        </row>
        <row r="54">
          <cell r="L54" t="str">
            <v>A</v>
          </cell>
          <cell r="M54">
            <v>537658.88</v>
          </cell>
        </row>
        <row r="55">
          <cell r="L55" t="str">
            <v>B</v>
          </cell>
          <cell r="M55">
            <v>145377.23199999999</v>
          </cell>
        </row>
        <row r="56">
          <cell r="L56" t="str">
            <v>B</v>
          </cell>
          <cell r="M56">
            <v>477668.04800000007</v>
          </cell>
        </row>
        <row r="57">
          <cell r="L57" t="str">
            <v>B</v>
          </cell>
          <cell r="M57">
            <v>214071.96800000002</v>
          </cell>
        </row>
        <row r="58">
          <cell r="L58" t="str">
            <v>B</v>
          </cell>
          <cell r="M58">
            <v>329095.71200000006</v>
          </cell>
        </row>
        <row r="59">
          <cell r="L59" t="str">
            <v>A</v>
          </cell>
          <cell r="M59">
            <v>109211.96</v>
          </cell>
        </row>
        <row r="60">
          <cell r="L60" t="str">
            <v>A</v>
          </cell>
          <cell r="M60">
            <v>309153.85600000003</v>
          </cell>
        </row>
        <row r="61">
          <cell r="L61" t="str">
            <v>A</v>
          </cell>
          <cell r="M61">
            <v>84009.2</v>
          </cell>
        </row>
      </sheetData>
      <sheetData sheetId="19"/>
      <sheetData sheetId="20">
        <row r="11">
          <cell r="D11">
            <v>688.6</v>
          </cell>
        </row>
        <row r="16">
          <cell r="L16" t="str">
            <v>A</v>
          </cell>
        </row>
        <row r="17">
          <cell r="L17" t="str">
            <v>A</v>
          </cell>
        </row>
        <row r="18">
          <cell r="L18" t="str">
            <v>A</v>
          </cell>
        </row>
        <row r="19">
          <cell r="L19" t="str">
            <v>B</v>
          </cell>
        </row>
        <row r="20">
          <cell r="L20" t="str">
            <v>A</v>
          </cell>
        </row>
        <row r="21">
          <cell r="L21" t="str">
            <v>B</v>
          </cell>
        </row>
        <row r="22">
          <cell r="L22" t="str">
            <v>A</v>
          </cell>
        </row>
        <row r="23">
          <cell r="L23" t="str">
            <v>A</v>
          </cell>
        </row>
        <row r="24">
          <cell r="L24" t="str">
            <v>A</v>
          </cell>
        </row>
        <row r="25">
          <cell r="L25" t="str">
            <v>A</v>
          </cell>
        </row>
        <row r="26">
          <cell r="L26" t="str">
            <v>A</v>
          </cell>
        </row>
        <row r="27">
          <cell r="L27" t="str">
            <v>A</v>
          </cell>
        </row>
        <row r="28">
          <cell r="L28" t="str">
            <v>A</v>
          </cell>
        </row>
        <row r="29">
          <cell r="L29" t="str">
            <v>A</v>
          </cell>
        </row>
        <row r="30">
          <cell r="L30" t="str">
            <v>B</v>
          </cell>
        </row>
        <row r="31">
          <cell r="L31" t="str">
            <v>A</v>
          </cell>
        </row>
        <row r="32">
          <cell r="L32" t="str">
            <v>A</v>
          </cell>
        </row>
        <row r="33">
          <cell r="L33" t="str">
            <v>A</v>
          </cell>
        </row>
        <row r="34">
          <cell r="L34" t="str">
            <v>A</v>
          </cell>
        </row>
        <row r="35">
          <cell r="L35" t="str">
            <v>A</v>
          </cell>
        </row>
        <row r="36">
          <cell r="L36" t="str">
            <v>A</v>
          </cell>
        </row>
        <row r="37">
          <cell r="L37" t="str">
            <v>A</v>
          </cell>
        </row>
        <row r="38">
          <cell r="L38" t="str">
            <v>A</v>
          </cell>
        </row>
        <row r="39">
          <cell r="L39" t="str">
            <v>A</v>
          </cell>
        </row>
        <row r="40">
          <cell r="L40" t="str">
            <v>A</v>
          </cell>
        </row>
        <row r="41">
          <cell r="L41" t="str">
            <v>A</v>
          </cell>
        </row>
        <row r="42">
          <cell r="L42" t="str">
            <v>B</v>
          </cell>
        </row>
        <row r="43">
          <cell r="L43" t="str">
            <v>A</v>
          </cell>
        </row>
        <row r="44">
          <cell r="L44" t="str">
            <v>B</v>
          </cell>
        </row>
        <row r="45">
          <cell r="L45" t="str">
            <v>A</v>
          </cell>
        </row>
        <row r="46">
          <cell r="L46" t="str">
            <v>A</v>
          </cell>
        </row>
        <row r="47">
          <cell r="L47" t="str">
            <v>B</v>
          </cell>
        </row>
        <row r="48">
          <cell r="L48" t="str">
            <v>A</v>
          </cell>
        </row>
        <row r="49">
          <cell r="L49" t="str">
            <v>A</v>
          </cell>
        </row>
        <row r="50">
          <cell r="L50" t="str">
            <v>A</v>
          </cell>
        </row>
        <row r="51">
          <cell r="L51" t="str">
            <v>A</v>
          </cell>
        </row>
        <row r="52">
          <cell r="L52" t="str">
            <v>A</v>
          </cell>
        </row>
        <row r="53">
          <cell r="L53" t="str">
            <v>A</v>
          </cell>
        </row>
        <row r="54">
          <cell r="L54" t="str">
            <v>A</v>
          </cell>
        </row>
        <row r="55">
          <cell r="L55" t="str">
            <v>B</v>
          </cell>
        </row>
        <row r="56">
          <cell r="L56" t="str">
            <v>A</v>
          </cell>
        </row>
        <row r="57">
          <cell r="L57" t="str">
            <v>A</v>
          </cell>
        </row>
        <row r="58">
          <cell r="L58" t="str">
            <v>A</v>
          </cell>
        </row>
        <row r="59">
          <cell r="L59" t="str">
            <v>A</v>
          </cell>
        </row>
        <row r="60">
          <cell r="L60" t="str">
            <v>A</v>
          </cell>
        </row>
        <row r="61">
          <cell r="L61" t="str">
            <v>A</v>
          </cell>
        </row>
        <row r="62">
          <cell r="L62" t="str">
            <v>A</v>
          </cell>
        </row>
        <row r="63">
          <cell r="L63" t="str">
            <v>A</v>
          </cell>
        </row>
        <row r="64">
          <cell r="L64" t="str">
            <v>A</v>
          </cell>
        </row>
        <row r="65">
          <cell r="L65" t="str">
            <v>A</v>
          </cell>
        </row>
        <row r="66">
          <cell r="L66" t="str">
            <v>B</v>
          </cell>
        </row>
        <row r="67">
          <cell r="L67" t="str">
            <v>B</v>
          </cell>
        </row>
        <row r="68">
          <cell r="L68" t="str">
            <v>A</v>
          </cell>
        </row>
        <row r="69">
          <cell r="L69" t="str">
            <v>A</v>
          </cell>
        </row>
        <row r="70">
          <cell r="L70" t="str">
            <v>A</v>
          </cell>
        </row>
        <row r="71">
          <cell r="L71" t="str">
            <v>A</v>
          </cell>
        </row>
        <row r="72">
          <cell r="L72" t="str">
            <v>A</v>
          </cell>
        </row>
        <row r="73">
          <cell r="L73" t="str">
            <v>A</v>
          </cell>
        </row>
        <row r="74">
          <cell r="L74" t="str">
            <v>A</v>
          </cell>
        </row>
        <row r="75">
          <cell r="L75" t="str">
            <v>A</v>
          </cell>
        </row>
        <row r="76">
          <cell r="L76" t="str">
            <v>A</v>
          </cell>
        </row>
        <row r="77">
          <cell r="L77" t="str">
            <v>A</v>
          </cell>
        </row>
        <row r="78">
          <cell r="L78" t="str">
            <v>A</v>
          </cell>
        </row>
        <row r="79">
          <cell r="L79" t="str">
            <v>B</v>
          </cell>
        </row>
        <row r="80">
          <cell r="L80" t="str">
            <v>A</v>
          </cell>
        </row>
        <row r="81">
          <cell r="L81" t="str">
            <v>A</v>
          </cell>
        </row>
        <row r="82">
          <cell r="L82" t="str">
            <v>A</v>
          </cell>
        </row>
        <row r="83">
          <cell r="L83" t="str">
            <v>B</v>
          </cell>
        </row>
        <row r="84">
          <cell r="L84" t="str">
            <v>A</v>
          </cell>
        </row>
        <row r="85">
          <cell r="L85" t="str">
            <v>A</v>
          </cell>
        </row>
        <row r="86">
          <cell r="L86" t="str">
            <v>A</v>
          </cell>
        </row>
        <row r="87">
          <cell r="L87" t="str">
            <v>B</v>
          </cell>
        </row>
        <row r="88">
          <cell r="L88" t="str">
            <v>B</v>
          </cell>
        </row>
        <row r="89">
          <cell r="L89" t="str">
            <v>A</v>
          </cell>
        </row>
        <row r="90">
          <cell r="L90" t="str">
            <v>B</v>
          </cell>
        </row>
        <row r="91">
          <cell r="L91" t="str">
            <v>A</v>
          </cell>
        </row>
        <row r="92">
          <cell r="L92" t="str">
            <v>A</v>
          </cell>
        </row>
        <row r="93">
          <cell r="L93" t="str">
            <v>B</v>
          </cell>
        </row>
        <row r="94">
          <cell r="L94" t="str">
            <v>B</v>
          </cell>
        </row>
        <row r="95">
          <cell r="L95" t="str">
            <v>A</v>
          </cell>
        </row>
        <row r="96">
          <cell r="L96" t="str">
            <v>A</v>
          </cell>
        </row>
        <row r="97">
          <cell r="L97" t="str">
            <v>A</v>
          </cell>
        </row>
        <row r="98">
          <cell r="M98">
            <v>11223518.944000004</v>
          </cell>
        </row>
      </sheetData>
      <sheetData sheetId="21"/>
      <sheetData sheetId="22">
        <row r="43">
          <cell r="K43">
            <v>2895728.264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72">
          <cell r="B72" t="str">
            <v>Thảo Xin</v>
          </cell>
          <cell r="E72" t="str">
            <v>CN-KT</v>
          </cell>
          <cell r="N72">
            <v>0</v>
          </cell>
          <cell r="O72">
            <v>2646</v>
          </cell>
          <cell r="P72">
            <v>1119.3679090161688</v>
          </cell>
          <cell r="Q72">
            <v>0</v>
          </cell>
          <cell r="R72">
            <v>0</v>
          </cell>
          <cell r="S72">
            <v>1119.3679090161688</v>
          </cell>
          <cell r="T72">
            <v>27</v>
          </cell>
          <cell r="U72">
            <v>4</v>
          </cell>
          <cell r="V72">
            <v>31</v>
          </cell>
          <cell r="Z72" t="str">
            <v>A</v>
          </cell>
        </row>
        <row r="73">
          <cell r="B73" t="str">
            <v>Nàng Khêm</v>
          </cell>
          <cell r="E73" t="str">
            <v>CN-KT</v>
          </cell>
          <cell r="N73">
            <v>0</v>
          </cell>
          <cell r="O73">
            <v>2667</v>
          </cell>
          <cell r="P73">
            <v>1128.251781309948</v>
          </cell>
          <cell r="Q73">
            <v>0</v>
          </cell>
          <cell r="R73">
            <v>0</v>
          </cell>
          <cell r="S73">
            <v>1128.251781309948</v>
          </cell>
          <cell r="T73">
            <v>27</v>
          </cell>
          <cell r="U73">
            <v>4</v>
          </cell>
          <cell r="V73">
            <v>31</v>
          </cell>
          <cell r="Z73" t="str">
            <v>A</v>
          </cell>
        </row>
        <row r="74">
          <cell r="B74" t="str">
            <v>Thảo Xin (2)</v>
          </cell>
          <cell r="E74" t="str">
            <v>CN-KT</v>
          </cell>
          <cell r="N74">
            <v>0</v>
          </cell>
          <cell r="O74">
            <v>2020</v>
          </cell>
          <cell r="P74">
            <v>854.54390635399136</v>
          </cell>
          <cell r="Q74">
            <v>0</v>
          </cell>
          <cell r="R74">
            <v>0</v>
          </cell>
          <cell r="S74">
            <v>854.54390635399136</v>
          </cell>
          <cell r="T74">
            <v>27</v>
          </cell>
          <cell r="U74">
            <v>3</v>
          </cell>
          <cell r="V74">
            <v>30</v>
          </cell>
          <cell r="Z74" t="str">
            <v>A</v>
          </cell>
        </row>
        <row r="75">
          <cell r="B75" t="str">
            <v>Nàng Lem (2)</v>
          </cell>
          <cell r="E75" t="str">
            <v>CN-KT</v>
          </cell>
          <cell r="N75">
            <v>0</v>
          </cell>
          <cell r="O75">
            <v>1987</v>
          </cell>
          <cell r="P75">
            <v>840.5835356066242</v>
          </cell>
          <cell r="Q75">
            <v>0</v>
          </cell>
          <cell r="R75">
            <v>0</v>
          </cell>
          <cell r="S75">
            <v>840.5835356066242</v>
          </cell>
          <cell r="T75">
            <v>27</v>
          </cell>
          <cell r="U75">
            <v>3</v>
          </cell>
          <cell r="V75">
            <v>30</v>
          </cell>
          <cell r="Z75" t="str">
            <v>B</v>
          </cell>
        </row>
        <row r="76">
          <cell r="B76" t="str">
            <v>A Phết</v>
          </cell>
          <cell r="E76" t="str">
            <v>CN-KT</v>
          </cell>
          <cell r="N76">
            <v>0</v>
          </cell>
          <cell r="O76">
            <v>1454</v>
          </cell>
          <cell r="P76">
            <v>615.10239595975418</v>
          </cell>
          <cell r="Q76">
            <v>0</v>
          </cell>
          <cell r="R76">
            <v>0</v>
          </cell>
          <cell r="S76">
            <v>615.10239595975418</v>
          </cell>
          <cell r="T76">
            <v>25</v>
          </cell>
          <cell r="U76">
            <v>4</v>
          </cell>
          <cell r="V76">
            <v>29</v>
          </cell>
          <cell r="Z76" t="str">
            <v>A</v>
          </cell>
        </row>
        <row r="77">
          <cell r="B77" t="str">
            <v>A Pên</v>
          </cell>
          <cell r="E77" t="str">
            <v>CN-KT</v>
          </cell>
          <cell r="N77">
            <v>0</v>
          </cell>
          <cell r="O77">
            <v>1659</v>
          </cell>
          <cell r="P77">
            <v>701.82591120855034</v>
          </cell>
          <cell r="Q77">
            <v>0</v>
          </cell>
          <cell r="R77">
            <v>0</v>
          </cell>
          <cell r="S77">
            <v>701.82591120855034</v>
          </cell>
          <cell r="T77">
            <v>26</v>
          </cell>
          <cell r="U77">
            <v>4</v>
          </cell>
          <cell r="V77">
            <v>30</v>
          </cell>
          <cell r="Z77" t="str">
            <v>B</v>
          </cell>
        </row>
        <row r="78">
          <cell r="B78" t="str">
            <v>Nàng Lem</v>
          </cell>
          <cell r="E78" t="str">
            <v>CN-KT</v>
          </cell>
          <cell r="N78">
            <v>0</v>
          </cell>
          <cell r="O78">
            <v>2666</v>
          </cell>
          <cell r="P78">
            <v>1127.828739772149</v>
          </cell>
          <cell r="Q78">
            <v>0</v>
          </cell>
          <cell r="R78">
            <v>0</v>
          </cell>
          <cell r="S78">
            <v>1127.828739772149</v>
          </cell>
          <cell r="T78">
            <v>27</v>
          </cell>
          <cell r="U78">
            <v>4</v>
          </cell>
          <cell r="V78">
            <v>31</v>
          </cell>
          <cell r="Z78" t="str">
            <v>A</v>
          </cell>
        </row>
        <row r="79">
          <cell r="B79" t="str">
            <v>Thảo Khăm</v>
          </cell>
          <cell r="E79" t="str">
            <v>CN-KT</v>
          </cell>
          <cell r="N79">
            <v>0</v>
          </cell>
          <cell r="O79">
            <v>2670</v>
          </cell>
          <cell r="P79">
            <v>1129.520905923345</v>
          </cell>
          <cell r="Q79">
            <v>0</v>
          </cell>
          <cell r="R79">
            <v>0</v>
          </cell>
          <cell r="S79">
            <v>1129.520905923345</v>
          </cell>
          <cell r="T79">
            <v>27</v>
          </cell>
          <cell r="U79">
            <v>4</v>
          </cell>
          <cell r="V79">
            <v>31</v>
          </cell>
          <cell r="Z79" t="str">
            <v>A</v>
          </cell>
        </row>
        <row r="80">
          <cell r="B80" t="str">
            <v>Nàng Phít</v>
          </cell>
          <cell r="E80" t="str">
            <v>CN-KT</v>
          </cell>
          <cell r="N80">
            <v>0</v>
          </cell>
          <cell r="O80">
            <v>2706</v>
          </cell>
          <cell r="P80">
            <v>1144.7504012841091</v>
          </cell>
          <cell r="Q80">
            <v>0</v>
          </cell>
          <cell r="R80">
            <v>0</v>
          </cell>
          <cell r="S80">
            <v>1144.7504012841091</v>
          </cell>
          <cell r="T80">
            <v>27</v>
          </cell>
          <cell r="U80">
            <v>4</v>
          </cell>
          <cell r="V80">
            <v>31</v>
          </cell>
          <cell r="Z80" t="str">
            <v>A</v>
          </cell>
        </row>
        <row r="81">
          <cell r="B81" t="str">
            <v>Thảo Nạm</v>
          </cell>
          <cell r="E81" t="str">
            <v>CN-KT</v>
          </cell>
          <cell r="N81">
            <v>0</v>
          </cell>
          <cell r="O81">
            <v>2721</v>
          </cell>
          <cell r="P81">
            <v>1151.0960243510942</v>
          </cell>
          <cell r="Q81">
            <v>0</v>
          </cell>
          <cell r="R81">
            <v>0</v>
          </cell>
          <cell r="S81">
            <v>1151.0960243510942</v>
          </cell>
          <cell r="T81">
            <v>27</v>
          </cell>
          <cell r="U81">
            <v>4</v>
          </cell>
          <cell r="V81">
            <v>31</v>
          </cell>
          <cell r="Z81" t="str">
            <v>A</v>
          </cell>
        </row>
        <row r="82">
          <cell r="B82" t="str">
            <v>Thảo Cẩu</v>
          </cell>
          <cell r="E82" t="str">
            <v>CN-KT</v>
          </cell>
          <cell r="N82">
            <v>0</v>
          </cell>
          <cell r="O82">
            <v>1852</v>
          </cell>
          <cell r="P82">
            <v>783.4729280037584</v>
          </cell>
          <cell r="Q82">
            <v>0</v>
          </cell>
          <cell r="R82">
            <v>0</v>
          </cell>
          <cell r="S82">
            <v>783.4729280037584</v>
          </cell>
          <cell r="T82">
            <v>26</v>
          </cell>
          <cell r="U82">
            <v>4</v>
          </cell>
          <cell r="V82">
            <v>30</v>
          </cell>
          <cell r="Z82" t="str">
            <v>A</v>
          </cell>
        </row>
        <row r="83">
          <cell r="B83" t="str">
            <v>Nàng Chao</v>
          </cell>
          <cell r="E83" t="str">
            <v>CN-KT</v>
          </cell>
          <cell r="N83">
            <v>0</v>
          </cell>
          <cell r="O83">
            <v>1785</v>
          </cell>
          <cell r="P83">
            <v>755.12914497122506</v>
          </cell>
          <cell r="Q83">
            <v>0</v>
          </cell>
          <cell r="R83">
            <v>0</v>
          </cell>
          <cell r="S83">
            <v>755.12914497122506</v>
          </cell>
          <cell r="T83">
            <v>26</v>
          </cell>
          <cell r="U83">
            <v>4</v>
          </cell>
          <cell r="V83">
            <v>30</v>
          </cell>
          <cell r="Z83" t="str">
            <v>A</v>
          </cell>
        </row>
        <row r="84">
          <cell r="B84" t="str">
            <v>Nàng Viêng</v>
          </cell>
          <cell r="E84" t="str">
            <v>CN-KT</v>
          </cell>
          <cell r="N84">
            <v>0</v>
          </cell>
          <cell r="O84">
            <v>2293</v>
          </cell>
          <cell r="P84">
            <v>970.03424617311987</v>
          </cell>
          <cell r="Q84">
            <v>0</v>
          </cell>
          <cell r="R84">
            <v>0</v>
          </cell>
          <cell r="S84">
            <v>970.03424617311987</v>
          </cell>
          <cell r="T84">
            <v>27</v>
          </cell>
          <cell r="U84">
            <v>4</v>
          </cell>
          <cell r="V84">
            <v>31</v>
          </cell>
          <cell r="Z84" t="str">
            <v>A</v>
          </cell>
        </row>
        <row r="85">
          <cell r="B85" t="str">
            <v>Thảo Đăm</v>
          </cell>
          <cell r="E85" t="str">
            <v>CN-KT</v>
          </cell>
          <cell r="N85">
            <v>0</v>
          </cell>
          <cell r="O85">
            <v>2307</v>
          </cell>
          <cell r="P85">
            <v>975.95682770230599</v>
          </cell>
          <cell r="Q85">
            <v>0</v>
          </cell>
          <cell r="R85">
            <v>0</v>
          </cell>
          <cell r="S85">
            <v>975.95682770230599</v>
          </cell>
          <cell r="T85">
            <v>27</v>
          </cell>
          <cell r="U85">
            <v>4</v>
          </cell>
          <cell r="V85">
            <v>31</v>
          </cell>
          <cell r="Z85" t="str">
            <v>A</v>
          </cell>
        </row>
        <row r="86">
          <cell r="B86" t="str">
            <v>A Long</v>
          </cell>
          <cell r="E86" t="str">
            <v>CN-KT</v>
          </cell>
          <cell r="N86">
            <v>0</v>
          </cell>
          <cell r="O86">
            <v>2016</v>
          </cell>
          <cell r="P86">
            <v>852.85174020279533</v>
          </cell>
          <cell r="Q86">
            <v>0</v>
          </cell>
          <cell r="R86">
            <v>0</v>
          </cell>
          <cell r="S86">
            <v>852.85174020279533</v>
          </cell>
          <cell r="T86">
            <v>26</v>
          </cell>
          <cell r="U86">
            <v>4</v>
          </cell>
          <cell r="V86">
            <v>30</v>
          </cell>
          <cell r="Z86" t="str">
            <v>A</v>
          </cell>
        </row>
        <row r="87">
          <cell r="B87" t="str">
            <v>Thảo Penta</v>
          </cell>
          <cell r="E87" t="str">
            <v>CN-KT</v>
          </cell>
          <cell r="N87">
            <v>0</v>
          </cell>
          <cell r="O87">
            <v>2519</v>
          </cell>
          <cell r="P87">
            <v>1065.6416337156952</v>
          </cell>
          <cell r="Q87">
            <v>0</v>
          </cell>
          <cell r="R87">
            <v>0</v>
          </cell>
          <cell r="S87">
            <v>1065.6416337156952</v>
          </cell>
          <cell r="T87">
            <v>27</v>
          </cell>
          <cell r="U87">
            <v>4</v>
          </cell>
          <cell r="V87">
            <v>31</v>
          </cell>
          <cell r="Z87" t="str">
            <v>A</v>
          </cell>
        </row>
        <row r="88">
          <cell r="B88" t="str">
            <v>A Lau</v>
          </cell>
          <cell r="E88" t="str">
            <v>CN-KT</v>
          </cell>
          <cell r="N88">
            <v>0</v>
          </cell>
          <cell r="O88">
            <v>2264</v>
          </cell>
          <cell r="P88">
            <v>957.76604157694874</v>
          </cell>
          <cell r="Q88">
            <v>0</v>
          </cell>
          <cell r="R88">
            <v>0</v>
          </cell>
          <cell r="S88">
            <v>957.76604157694874</v>
          </cell>
          <cell r="T88">
            <v>27</v>
          </cell>
          <cell r="U88">
            <v>4</v>
          </cell>
          <cell r="V88">
            <v>31</v>
          </cell>
          <cell r="Z88" t="str">
            <v>B</v>
          </cell>
        </row>
        <row r="89">
          <cell r="B89" t="str">
            <v xml:space="preserve">Nàng Tim </v>
          </cell>
          <cell r="E89" t="str">
            <v>CN-KT</v>
          </cell>
          <cell r="N89">
            <v>0</v>
          </cell>
          <cell r="O89">
            <v>2526</v>
          </cell>
          <cell r="P89">
            <v>1068.6029244802883</v>
          </cell>
          <cell r="Q89">
            <v>0</v>
          </cell>
          <cell r="R89">
            <v>0</v>
          </cell>
          <cell r="S89">
            <v>1068.6029244802883</v>
          </cell>
          <cell r="T89">
            <v>27</v>
          </cell>
          <cell r="U89">
            <v>4</v>
          </cell>
          <cell r="V89">
            <v>31</v>
          </cell>
          <cell r="Z89" t="str">
            <v>A</v>
          </cell>
        </row>
        <row r="90">
          <cell r="B90" t="str">
            <v>Nàng Tim B</v>
          </cell>
          <cell r="E90" t="str">
            <v>CN-KT</v>
          </cell>
          <cell r="N90">
            <v>0</v>
          </cell>
          <cell r="O90">
            <v>2532</v>
          </cell>
          <cell r="P90">
            <v>1071.1411737070821</v>
          </cell>
          <cell r="Q90">
            <v>0</v>
          </cell>
          <cell r="R90">
            <v>0</v>
          </cell>
          <cell r="S90">
            <v>1071.1411737070821</v>
          </cell>
          <cell r="T90">
            <v>27</v>
          </cell>
          <cell r="U90">
            <v>4</v>
          </cell>
          <cell r="V90">
            <v>31</v>
          </cell>
          <cell r="Z90" t="str">
            <v>A</v>
          </cell>
        </row>
        <row r="91">
          <cell r="B91" t="str">
            <v>Bun Khẳm</v>
          </cell>
          <cell r="E91" t="str">
            <v>CN-KT</v>
          </cell>
          <cell r="N91">
            <v>0</v>
          </cell>
          <cell r="O91">
            <v>2450</v>
          </cell>
          <cell r="P91">
            <v>1036.4517676075636</v>
          </cell>
          <cell r="Q91">
            <v>0</v>
          </cell>
          <cell r="R91">
            <v>0</v>
          </cell>
          <cell r="S91">
            <v>1036.4517676075636</v>
          </cell>
          <cell r="T91">
            <v>27</v>
          </cell>
          <cell r="U91">
            <v>4</v>
          </cell>
          <cell r="V91">
            <v>31</v>
          </cell>
          <cell r="Z91" t="str">
            <v>A</v>
          </cell>
        </row>
        <row r="92">
          <cell r="B92" t="str">
            <v>Thảo Phao</v>
          </cell>
          <cell r="E92" t="str">
            <v>CN-KT</v>
          </cell>
          <cell r="N92">
            <v>0</v>
          </cell>
          <cell r="O92">
            <v>1853</v>
          </cell>
          <cell r="P92">
            <v>783.89596954155741</v>
          </cell>
          <cell r="Q92">
            <v>0</v>
          </cell>
          <cell r="R92">
            <v>0</v>
          </cell>
          <cell r="S92">
            <v>783.89596954155741</v>
          </cell>
          <cell r="T92">
            <v>27</v>
          </cell>
          <cell r="U92">
            <v>4</v>
          </cell>
          <cell r="V92">
            <v>31</v>
          </cell>
          <cell r="Z92" t="str">
            <v>A</v>
          </cell>
        </row>
        <row r="93">
          <cell r="B93" t="str">
            <v xml:space="preserve">Thảo Sành </v>
          </cell>
          <cell r="E93" t="str">
            <v>CN-KT</v>
          </cell>
          <cell r="N93">
            <v>0</v>
          </cell>
          <cell r="O93">
            <v>2463</v>
          </cell>
          <cell r="P93">
            <v>1041.9513075989507</v>
          </cell>
          <cell r="Q93">
            <v>0</v>
          </cell>
          <cell r="R93">
            <v>0</v>
          </cell>
          <cell r="S93">
            <v>1041.9513075989507</v>
          </cell>
          <cell r="T93">
            <v>27</v>
          </cell>
          <cell r="U93">
            <v>4</v>
          </cell>
          <cell r="V93">
            <v>31</v>
          </cell>
          <cell r="Z93" t="str">
            <v>A</v>
          </cell>
        </row>
        <row r="94">
          <cell r="B94" t="str">
            <v>Thảo Vy</v>
          </cell>
          <cell r="E94" t="str">
            <v>CN-KT</v>
          </cell>
          <cell r="N94">
            <v>0</v>
          </cell>
          <cell r="O94">
            <v>2968</v>
          </cell>
          <cell r="P94">
            <v>1255.5872841874486</v>
          </cell>
          <cell r="Q94">
            <v>0</v>
          </cell>
          <cell r="R94">
            <v>0</v>
          </cell>
          <cell r="S94">
            <v>1255.5872841874486</v>
          </cell>
          <cell r="T94">
            <v>27</v>
          </cell>
          <cell r="U94">
            <v>4</v>
          </cell>
          <cell r="V94">
            <v>31</v>
          </cell>
          <cell r="Z94" t="str">
            <v>A</v>
          </cell>
        </row>
        <row r="95">
          <cell r="B95" t="str">
            <v>Nàng Thỏng</v>
          </cell>
          <cell r="E95" t="str">
            <v>CN-KT</v>
          </cell>
          <cell r="N95">
            <v>0</v>
          </cell>
          <cell r="O95">
            <v>2973</v>
          </cell>
          <cell r="P95">
            <v>1257.7024918764437</v>
          </cell>
          <cell r="Q95">
            <v>0</v>
          </cell>
          <cell r="R95">
            <v>0</v>
          </cell>
          <cell r="S95">
            <v>1257.7024918764437</v>
          </cell>
          <cell r="T95">
            <v>27</v>
          </cell>
          <cell r="U95">
            <v>4</v>
          </cell>
          <cell r="V95">
            <v>31</v>
          </cell>
          <cell r="Z95" t="str">
            <v>A</v>
          </cell>
        </row>
        <row r="96">
          <cell r="B96" t="str">
            <v>Chen Tho</v>
          </cell>
          <cell r="E96" t="str">
            <v>CN-KT</v>
          </cell>
          <cell r="N96">
            <v>0</v>
          </cell>
          <cell r="O96">
            <v>1889</v>
          </cell>
          <cell r="P96">
            <v>799.1254649023216</v>
          </cell>
          <cell r="Q96">
            <v>0</v>
          </cell>
          <cell r="R96">
            <v>0</v>
          </cell>
          <cell r="S96">
            <v>799.1254649023216</v>
          </cell>
          <cell r="T96">
            <v>27</v>
          </cell>
          <cell r="U96">
            <v>4</v>
          </cell>
          <cell r="V96">
            <v>31</v>
          </cell>
          <cell r="Z96" t="str">
            <v>A</v>
          </cell>
        </row>
        <row r="97">
          <cell r="B97" t="str">
            <v>A Luốt</v>
          </cell>
          <cell r="E97" t="str">
            <v>CN-KT</v>
          </cell>
          <cell r="N97">
            <v>0</v>
          </cell>
          <cell r="O97">
            <v>1596</v>
          </cell>
          <cell r="P97">
            <v>675.17429432721292</v>
          </cell>
          <cell r="Q97">
            <v>0</v>
          </cell>
          <cell r="R97">
            <v>0</v>
          </cell>
          <cell r="S97">
            <v>675.17429432721292</v>
          </cell>
          <cell r="T97">
            <v>27</v>
          </cell>
          <cell r="U97">
            <v>4</v>
          </cell>
          <cell r="V97">
            <v>31</v>
          </cell>
          <cell r="Z97" t="str">
            <v>A</v>
          </cell>
        </row>
        <row r="98">
          <cell r="B98" t="str">
            <v>Măng Lau</v>
          </cell>
          <cell r="E98" t="str">
            <v>CN-KT</v>
          </cell>
          <cell r="N98">
            <v>0</v>
          </cell>
          <cell r="O98">
            <v>1892</v>
          </cell>
          <cell r="P98">
            <v>800.39458951571862</v>
          </cell>
          <cell r="Q98">
            <v>0</v>
          </cell>
          <cell r="R98">
            <v>0</v>
          </cell>
          <cell r="S98">
            <v>800.39458951571862</v>
          </cell>
          <cell r="T98">
            <v>27</v>
          </cell>
          <cell r="U98">
            <v>4</v>
          </cell>
          <cell r="V98">
            <v>31</v>
          </cell>
          <cell r="Z98" t="str">
            <v>A</v>
          </cell>
        </row>
        <row r="99">
          <cell r="B99" t="str">
            <v>Con Tho</v>
          </cell>
          <cell r="E99" t="str">
            <v>CN-KT</v>
          </cell>
          <cell r="N99">
            <v>0</v>
          </cell>
          <cell r="O99">
            <v>1731</v>
          </cell>
          <cell r="P99">
            <v>732.28490193007872</v>
          </cell>
          <cell r="Q99">
            <v>0</v>
          </cell>
          <cell r="R99">
            <v>0</v>
          </cell>
          <cell r="S99">
            <v>732.28490193007872</v>
          </cell>
          <cell r="T99">
            <v>27</v>
          </cell>
          <cell r="U99">
            <v>4</v>
          </cell>
          <cell r="V99">
            <v>31</v>
          </cell>
          <cell r="Z99" t="str">
            <v>A</v>
          </cell>
        </row>
        <row r="100">
          <cell r="B100" t="str">
            <v>Thăm Den</v>
          </cell>
          <cell r="E100" t="str">
            <v>CN-KT</v>
          </cell>
          <cell r="N100">
            <v>0</v>
          </cell>
          <cell r="O100">
            <v>1482</v>
          </cell>
          <cell r="P100">
            <v>626.9475590181263</v>
          </cell>
          <cell r="Q100">
            <v>0</v>
          </cell>
          <cell r="R100">
            <v>0</v>
          </cell>
          <cell r="S100">
            <v>626.9475590181263</v>
          </cell>
          <cell r="T100">
            <v>24</v>
          </cell>
          <cell r="U100">
            <v>4</v>
          </cell>
          <cell r="V100">
            <v>28</v>
          </cell>
          <cell r="Z100" t="str">
            <v>B</v>
          </cell>
        </row>
        <row r="101">
          <cell r="B101" t="str">
            <v xml:space="preserve">Thảo Tươi </v>
          </cell>
          <cell r="E101" t="str">
            <v>CN-KT</v>
          </cell>
          <cell r="N101">
            <v>0</v>
          </cell>
          <cell r="O101">
            <v>2885</v>
          </cell>
          <cell r="P101">
            <v>1220.4748365501312</v>
          </cell>
          <cell r="Q101">
            <v>0</v>
          </cell>
          <cell r="R101">
            <v>0</v>
          </cell>
          <cell r="S101">
            <v>1220.4748365501312</v>
          </cell>
          <cell r="T101">
            <v>27</v>
          </cell>
          <cell r="U101">
            <v>4</v>
          </cell>
          <cell r="V101">
            <v>31</v>
          </cell>
          <cell r="Z101" t="str">
            <v>A</v>
          </cell>
        </row>
        <row r="102">
          <cell r="B102" t="str">
            <v>Thảo Thong Veo</v>
          </cell>
          <cell r="E102" t="str">
            <v>CN-KT</v>
          </cell>
          <cell r="N102">
            <v>0</v>
          </cell>
          <cell r="O102">
            <v>2554</v>
          </cell>
          <cell r="P102">
            <v>1080.4480875386603</v>
          </cell>
          <cell r="Q102">
            <v>0</v>
          </cell>
          <cell r="R102">
            <v>0</v>
          </cell>
          <cell r="S102">
            <v>1080.4480875386603</v>
          </cell>
          <cell r="T102">
            <v>27</v>
          </cell>
          <cell r="U102">
            <v>4</v>
          </cell>
          <cell r="V102">
            <v>31</v>
          </cell>
          <cell r="Z102" t="str">
            <v>B</v>
          </cell>
        </row>
        <row r="103">
          <cell r="B103" t="str">
            <v>Thong Veo (2)</v>
          </cell>
          <cell r="E103" t="str">
            <v>CN-KT</v>
          </cell>
          <cell r="N103">
            <v>0</v>
          </cell>
          <cell r="O103">
            <v>2562</v>
          </cell>
          <cell r="P103">
            <v>1083.8324198410523</v>
          </cell>
          <cell r="Q103">
            <v>0</v>
          </cell>
          <cell r="R103">
            <v>0</v>
          </cell>
          <cell r="S103">
            <v>1083.8324198410523</v>
          </cell>
          <cell r="T103">
            <v>27</v>
          </cell>
          <cell r="U103">
            <v>4</v>
          </cell>
          <cell r="V103">
            <v>31</v>
          </cell>
          <cell r="Z103" t="str">
            <v>A</v>
          </cell>
        </row>
        <row r="104">
          <cell r="B104" t="str">
            <v>Nàng Bua Khăm</v>
          </cell>
          <cell r="E104" t="str">
            <v>CN-KT</v>
          </cell>
          <cell r="N104">
            <v>0</v>
          </cell>
          <cell r="O104">
            <v>2568</v>
          </cell>
          <cell r="P104">
            <v>1086.3706690678464</v>
          </cell>
          <cell r="Q104">
            <v>0</v>
          </cell>
          <cell r="R104">
            <v>0</v>
          </cell>
          <cell r="S104">
            <v>1086.3706690678464</v>
          </cell>
          <cell r="T104">
            <v>27</v>
          </cell>
          <cell r="U104">
            <v>4</v>
          </cell>
          <cell r="V104">
            <v>31</v>
          </cell>
          <cell r="Z104" t="str">
            <v>A</v>
          </cell>
        </row>
        <row r="105">
          <cell r="B105" t="str">
            <v>Thảo Đen  (2)</v>
          </cell>
          <cell r="E105" t="str">
            <v>CN-KT</v>
          </cell>
          <cell r="N105">
            <v>0</v>
          </cell>
          <cell r="O105">
            <v>1940</v>
          </cell>
          <cell r="P105">
            <v>820.70058333007091</v>
          </cell>
          <cell r="Q105">
            <v>0</v>
          </cell>
          <cell r="R105">
            <v>0</v>
          </cell>
          <cell r="S105">
            <v>820.70058333007091</v>
          </cell>
          <cell r="T105">
            <v>27</v>
          </cell>
          <cell r="U105">
            <v>4</v>
          </cell>
          <cell r="V105">
            <v>31</v>
          </cell>
          <cell r="Z105" t="str">
            <v>B</v>
          </cell>
        </row>
        <row r="106">
          <cell r="B106" t="str">
            <v>Thảo Vông</v>
          </cell>
          <cell r="E106" t="str">
            <v>CN-KT</v>
          </cell>
          <cell r="N106">
            <v>0</v>
          </cell>
          <cell r="O106">
            <v>2429</v>
          </cell>
          <cell r="P106">
            <v>1027.5678953137847</v>
          </cell>
          <cell r="Q106">
            <v>0</v>
          </cell>
          <cell r="R106">
            <v>0</v>
          </cell>
          <cell r="S106">
            <v>1027.5678953137847</v>
          </cell>
          <cell r="T106">
            <v>26</v>
          </cell>
          <cell r="U106">
            <v>4</v>
          </cell>
          <cell r="V106">
            <v>30</v>
          </cell>
          <cell r="Z106" t="str">
            <v>A</v>
          </cell>
        </row>
        <row r="107">
          <cell r="B107" t="str">
            <v>Thảo Đen</v>
          </cell>
          <cell r="E107" t="str">
            <v>CN-KT</v>
          </cell>
          <cell r="N107">
            <v>0</v>
          </cell>
          <cell r="O107">
            <v>2024</v>
          </cell>
          <cell r="P107">
            <v>856.23607250518739</v>
          </cell>
          <cell r="Q107">
            <v>0</v>
          </cell>
          <cell r="R107">
            <v>0</v>
          </cell>
          <cell r="S107">
            <v>856.23607250518739</v>
          </cell>
          <cell r="T107">
            <v>27</v>
          </cell>
          <cell r="U107">
            <v>4</v>
          </cell>
          <cell r="V107">
            <v>31</v>
          </cell>
          <cell r="Z107" t="str">
            <v>A</v>
          </cell>
        </row>
        <row r="108">
          <cell r="B108" t="str">
            <v>Nàng Nâu</v>
          </cell>
          <cell r="E108" t="str">
            <v>CN-KT</v>
          </cell>
          <cell r="N108">
            <v>0</v>
          </cell>
          <cell r="O108">
            <v>1992</v>
          </cell>
          <cell r="P108">
            <v>842.69874329561912</v>
          </cell>
          <cell r="Q108">
            <v>0</v>
          </cell>
          <cell r="R108">
            <v>0</v>
          </cell>
          <cell r="S108">
            <v>842.69874329561912</v>
          </cell>
          <cell r="T108">
            <v>27</v>
          </cell>
          <cell r="U108">
            <v>4</v>
          </cell>
          <cell r="V108">
            <v>31</v>
          </cell>
          <cell r="Z108" t="str">
            <v>A</v>
          </cell>
        </row>
        <row r="109">
          <cell r="B109" t="str">
            <v>Thảo Bua Khăm</v>
          </cell>
          <cell r="E109" t="str">
            <v>CN-KT</v>
          </cell>
          <cell r="N109">
            <v>0</v>
          </cell>
          <cell r="O109">
            <v>1607</v>
          </cell>
          <cell r="P109">
            <v>679.82775124300201</v>
          </cell>
          <cell r="R109">
            <v>0</v>
          </cell>
          <cell r="S109">
            <v>679.82775124300201</v>
          </cell>
          <cell r="T109">
            <v>27</v>
          </cell>
          <cell r="U109">
            <v>4</v>
          </cell>
          <cell r="V109">
            <v>31</v>
          </cell>
          <cell r="Z109" t="str">
            <v>A</v>
          </cell>
        </row>
        <row r="110">
          <cell r="B110" t="str">
            <v>Thảo Săm Lết</v>
          </cell>
          <cell r="E110" t="str">
            <v>CN-KT</v>
          </cell>
          <cell r="N110">
            <v>0</v>
          </cell>
          <cell r="O110">
            <v>2801</v>
          </cell>
          <cell r="P110">
            <v>1184.9393473750147</v>
          </cell>
          <cell r="R110">
            <v>0</v>
          </cell>
          <cell r="S110">
            <v>1184.9393473750147</v>
          </cell>
          <cell r="T110">
            <v>27</v>
          </cell>
          <cell r="U110">
            <v>4</v>
          </cell>
          <cell r="V110">
            <v>31</v>
          </cell>
          <cell r="Z110" t="str">
            <v>A</v>
          </cell>
        </row>
        <row r="111">
          <cell r="B111" t="str">
            <v>A Beo</v>
          </cell>
          <cell r="E111" t="str">
            <v>CN-KT</v>
          </cell>
          <cell r="N111">
            <v>0</v>
          </cell>
          <cell r="O111">
            <v>2242</v>
          </cell>
          <cell r="P111">
            <v>948.45912774537055</v>
          </cell>
          <cell r="Q111">
            <v>0</v>
          </cell>
          <cell r="R111">
            <v>0</v>
          </cell>
          <cell r="S111">
            <v>948.45912774537055</v>
          </cell>
          <cell r="T111">
            <v>24</v>
          </cell>
          <cell r="U111">
            <v>3</v>
          </cell>
          <cell r="V111">
            <v>27</v>
          </cell>
          <cell r="Z111" t="str">
            <v>A</v>
          </cell>
        </row>
        <row r="112">
          <cell r="B112" t="str">
            <v>Tà Pệc</v>
          </cell>
          <cell r="E112" t="str">
            <v>CN-KT</v>
          </cell>
          <cell r="N112">
            <v>0</v>
          </cell>
          <cell r="O112">
            <v>2102</v>
          </cell>
          <cell r="P112">
            <v>889.23331245350982</v>
          </cell>
          <cell r="Q112">
            <v>0</v>
          </cell>
          <cell r="R112">
            <v>0</v>
          </cell>
          <cell r="S112">
            <v>889.23331245350982</v>
          </cell>
          <cell r="T112">
            <v>27</v>
          </cell>
          <cell r="U112">
            <v>3</v>
          </cell>
          <cell r="V112">
            <v>30</v>
          </cell>
          <cell r="Z112" t="str">
            <v>A</v>
          </cell>
        </row>
        <row r="113">
          <cell r="B113" t="str">
            <v>Khăm Phoong</v>
          </cell>
          <cell r="E113" t="str">
            <v>CN-KT</v>
          </cell>
          <cell r="N113">
            <v>0</v>
          </cell>
          <cell r="O113">
            <v>993</v>
          </cell>
          <cell r="P113">
            <v>420.08024703441259</v>
          </cell>
          <cell r="Q113">
            <v>0</v>
          </cell>
          <cell r="R113">
            <v>0</v>
          </cell>
          <cell r="S113">
            <v>420.08024703441259</v>
          </cell>
          <cell r="T113">
            <v>23</v>
          </cell>
          <cell r="U113">
            <v>3</v>
          </cell>
          <cell r="V113">
            <v>26</v>
          </cell>
          <cell r="Z113" t="str">
            <v>B</v>
          </cell>
        </row>
        <row r="114">
          <cell r="B114" t="str">
            <v>Thảo Nhui</v>
          </cell>
          <cell r="E114" t="str">
            <v>CN-KT</v>
          </cell>
          <cell r="N114">
            <v>0</v>
          </cell>
          <cell r="O114">
            <v>2706</v>
          </cell>
          <cell r="P114">
            <v>1144.7504012841091</v>
          </cell>
          <cell r="Q114">
            <v>0</v>
          </cell>
          <cell r="R114">
            <v>0</v>
          </cell>
          <cell r="S114">
            <v>1144.7504012841091</v>
          </cell>
          <cell r="T114">
            <v>27</v>
          </cell>
          <cell r="U114">
            <v>4</v>
          </cell>
          <cell r="V114">
            <v>31</v>
          </cell>
          <cell r="Z114" t="str">
            <v>A</v>
          </cell>
        </row>
        <row r="115">
          <cell r="B115" t="str">
            <v>Thảo Nọi</v>
          </cell>
          <cell r="E115" t="str">
            <v>CN-KT</v>
          </cell>
          <cell r="N115">
            <v>0</v>
          </cell>
          <cell r="O115">
            <v>2971</v>
          </cell>
          <cell r="P115">
            <v>1256.8564088008457</v>
          </cell>
          <cell r="Q115">
            <v>0</v>
          </cell>
          <cell r="R115">
            <v>0</v>
          </cell>
          <cell r="S115">
            <v>1256.8564088008457</v>
          </cell>
          <cell r="T115">
            <v>27</v>
          </cell>
          <cell r="U115">
            <v>4</v>
          </cell>
          <cell r="V115">
            <v>31</v>
          </cell>
          <cell r="Z115" t="str">
            <v>A</v>
          </cell>
        </row>
        <row r="116">
          <cell r="B116" t="str">
            <v>Nàng Thong</v>
          </cell>
          <cell r="E116" t="str">
            <v>CN-KT</v>
          </cell>
          <cell r="N116">
            <v>0</v>
          </cell>
          <cell r="O116">
            <v>2574</v>
          </cell>
          <cell r="P116">
            <v>1088.9089182946404</v>
          </cell>
          <cell r="Q116">
            <v>0</v>
          </cell>
          <cell r="R116">
            <v>0</v>
          </cell>
          <cell r="S116">
            <v>1088.9089182946404</v>
          </cell>
          <cell r="T116">
            <v>27</v>
          </cell>
          <cell r="U116">
            <v>4</v>
          </cell>
          <cell r="V116">
            <v>31</v>
          </cell>
          <cell r="Z116" t="str">
            <v>A</v>
          </cell>
        </row>
        <row r="117">
          <cell r="B117" t="str">
            <v>Thảo Phò Mực</v>
          </cell>
          <cell r="E117" t="str">
            <v>CN-KT</v>
          </cell>
          <cell r="N117">
            <v>0</v>
          </cell>
          <cell r="O117">
            <v>2198</v>
          </cell>
          <cell r="P117">
            <v>929.84530008221429</v>
          </cell>
          <cell r="Q117">
            <v>0</v>
          </cell>
          <cell r="R117">
            <v>0</v>
          </cell>
          <cell r="S117">
            <v>929.84530008221429</v>
          </cell>
          <cell r="T117">
            <v>24</v>
          </cell>
          <cell r="U117">
            <v>4</v>
          </cell>
          <cell r="V117">
            <v>28</v>
          </cell>
          <cell r="Z117" t="str">
            <v>A</v>
          </cell>
        </row>
        <row r="118">
          <cell r="B118" t="str">
            <v>Thảo Von</v>
          </cell>
          <cell r="E118" t="str">
            <v>CN-KT</v>
          </cell>
          <cell r="N118">
            <v>0</v>
          </cell>
          <cell r="O118">
            <v>2433</v>
          </cell>
          <cell r="P118">
            <v>1029.2600614649807</v>
          </cell>
          <cell r="Q118">
            <v>0</v>
          </cell>
          <cell r="R118">
            <v>0</v>
          </cell>
          <cell r="S118">
            <v>1029.2600614649807</v>
          </cell>
          <cell r="T118">
            <v>26</v>
          </cell>
          <cell r="U118">
            <v>3</v>
          </cell>
          <cell r="V118">
            <v>29</v>
          </cell>
          <cell r="Z118" t="str">
            <v>A</v>
          </cell>
        </row>
        <row r="119">
          <cell r="B119" t="str">
            <v>Thảo Ký</v>
          </cell>
          <cell r="E119" t="str">
            <v>CN-KT</v>
          </cell>
          <cell r="N119">
            <v>0</v>
          </cell>
          <cell r="O119">
            <v>3207</v>
          </cell>
          <cell r="P119">
            <v>1356.694211721411</v>
          </cell>
          <cell r="Q119">
            <v>0</v>
          </cell>
          <cell r="R119">
            <v>0</v>
          </cell>
          <cell r="S119">
            <v>1356.694211721411</v>
          </cell>
          <cell r="T119">
            <v>27</v>
          </cell>
          <cell r="U119">
            <v>4</v>
          </cell>
          <cell r="V119">
            <v>31</v>
          </cell>
          <cell r="Z119" t="str">
            <v>A</v>
          </cell>
        </row>
        <row r="120">
          <cell r="B120" t="str">
            <v>Nàng Nạ</v>
          </cell>
          <cell r="E120" t="str">
            <v>CN-KT</v>
          </cell>
          <cell r="N120">
            <v>0</v>
          </cell>
          <cell r="O120">
            <v>3095</v>
          </cell>
          <cell r="P120">
            <v>1309.3135594879222</v>
          </cell>
          <cell r="Q120">
            <v>0</v>
          </cell>
          <cell r="R120">
            <v>0</v>
          </cell>
          <cell r="S120">
            <v>1309.3135594879222</v>
          </cell>
          <cell r="T120">
            <v>27</v>
          </cell>
          <cell r="U120">
            <v>4</v>
          </cell>
          <cell r="V120">
            <v>31</v>
          </cell>
          <cell r="Z120" t="str">
            <v>A</v>
          </cell>
        </row>
        <row r="121">
          <cell r="B121" t="str">
            <v>Thảo Xin Xay</v>
          </cell>
          <cell r="E121" t="str">
            <v>CN-KT</v>
          </cell>
          <cell r="N121">
            <v>0</v>
          </cell>
          <cell r="O121">
            <v>2748</v>
          </cell>
          <cell r="P121">
            <v>1162.5181458716675</v>
          </cell>
          <cell r="Q121">
            <v>0</v>
          </cell>
          <cell r="R121">
            <v>0</v>
          </cell>
          <cell r="S121">
            <v>1162.5181458716675</v>
          </cell>
          <cell r="T121">
            <v>27</v>
          </cell>
          <cell r="U121">
            <v>4</v>
          </cell>
          <cell r="V121">
            <v>31</v>
          </cell>
          <cell r="Z121" t="str">
            <v>A</v>
          </cell>
        </row>
        <row r="122">
          <cell r="B122" t="str">
            <v>Thảo Xy</v>
          </cell>
          <cell r="E122" t="str">
            <v>CN-KT</v>
          </cell>
          <cell r="N122">
            <v>0</v>
          </cell>
          <cell r="O122">
            <v>2481</v>
          </cell>
          <cell r="P122">
            <v>1049.5660552793329</v>
          </cell>
          <cell r="Q122">
            <v>0</v>
          </cell>
          <cell r="R122">
            <v>0</v>
          </cell>
          <cell r="S122">
            <v>1049.5660552793329</v>
          </cell>
          <cell r="T122">
            <v>27</v>
          </cell>
          <cell r="U122">
            <v>4</v>
          </cell>
          <cell r="V122">
            <v>31</v>
          </cell>
          <cell r="Z122" t="str">
            <v>A</v>
          </cell>
        </row>
        <row r="123">
          <cell r="B123" t="str">
            <v>Nàng Xy Thong</v>
          </cell>
          <cell r="E123" t="str">
            <v>CN-KT</v>
          </cell>
          <cell r="N123">
            <v>0</v>
          </cell>
          <cell r="O123">
            <v>2482</v>
          </cell>
          <cell r="P123">
            <v>1049.9890968171319</v>
          </cell>
          <cell r="Q123">
            <v>0</v>
          </cell>
          <cell r="R123">
            <v>0</v>
          </cell>
          <cell r="S123">
            <v>1049.9890968171319</v>
          </cell>
          <cell r="T123">
            <v>27</v>
          </cell>
          <cell r="U123">
            <v>4</v>
          </cell>
          <cell r="V123">
            <v>31</v>
          </cell>
          <cell r="Z123" t="str">
            <v>A</v>
          </cell>
        </row>
        <row r="124">
          <cell r="B124" t="str">
            <v>Thảo Sen</v>
          </cell>
          <cell r="E124" t="str">
            <v>CN-KT</v>
          </cell>
          <cell r="N124">
            <v>0</v>
          </cell>
          <cell r="O124">
            <v>1657</v>
          </cell>
          <cell r="P124">
            <v>700.97982813295232</v>
          </cell>
          <cell r="Q124">
            <v>0</v>
          </cell>
          <cell r="R124">
            <v>0</v>
          </cell>
          <cell r="S124">
            <v>700.97982813295232</v>
          </cell>
          <cell r="T124">
            <v>25</v>
          </cell>
          <cell r="U124">
            <v>4</v>
          </cell>
          <cell r="V124">
            <v>29</v>
          </cell>
          <cell r="Z124" t="str">
            <v>B</v>
          </cell>
        </row>
        <row r="125">
          <cell r="B125" t="str">
            <v>Thảo Khêm</v>
          </cell>
          <cell r="E125" t="str">
            <v>CN-KT</v>
          </cell>
          <cell r="N125">
            <v>0</v>
          </cell>
          <cell r="O125">
            <v>1521</v>
          </cell>
          <cell r="P125">
            <v>643.44617899228751</v>
          </cell>
          <cell r="Q125">
            <v>0</v>
          </cell>
          <cell r="R125">
            <v>0</v>
          </cell>
          <cell r="S125">
            <v>643.44617899228751</v>
          </cell>
          <cell r="T125">
            <v>26</v>
          </cell>
          <cell r="U125">
            <v>4</v>
          </cell>
          <cell r="V125">
            <v>30</v>
          </cell>
          <cell r="Z125" t="str">
            <v>B</v>
          </cell>
        </row>
        <row r="126">
          <cell r="B126" t="str">
            <v>Thảo Khăm Say</v>
          </cell>
          <cell r="E126" t="str">
            <v>CN-KT</v>
          </cell>
          <cell r="N126">
            <v>0</v>
          </cell>
          <cell r="O126">
            <v>855</v>
          </cell>
          <cell r="P126">
            <v>361.70051481814977</v>
          </cell>
          <cell r="Q126">
            <v>0</v>
          </cell>
          <cell r="R126">
            <v>0</v>
          </cell>
          <cell r="S126">
            <v>361.70051481814977</v>
          </cell>
          <cell r="T126">
            <v>27</v>
          </cell>
          <cell r="U126">
            <v>4</v>
          </cell>
          <cell r="V126">
            <v>31</v>
          </cell>
          <cell r="Z126" t="str">
            <v>A</v>
          </cell>
        </row>
        <row r="127">
          <cell r="B127" t="str">
            <v>Thảo Pho Lâu A</v>
          </cell>
          <cell r="E127" t="str">
            <v>CN-KT</v>
          </cell>
          <cell r="N127">
            <v>0</v>
          </cell>
          <cell r="O127">
            <v>832</v>
          </cell>
          <cell r="P127">
            <v>351.97055944877269</v>
          </cell>
          <cell r="Q127">
            <v>0</v>
          </cell>
          <cell r="R127">
            <v>0</v>
          </cell>
          <cell r="S127">
            <v>351.97055944877269</v>
          </cell>
          <cell r="T127">
            <v>22</v>
          </cell>
          <cell r="U127">
            <v>3</v>
          </cell>
          <cell r="V127">
            <v>25</v>
          </cell>
          <cell r="Z127" t="str">
            <v>A</v>
          </cell>
        </row>
        <row r="128">
          <cell r="B128" t="str">
            <v>Thảo Pho Lâu B</v>
          </cell>
          <cell r="E128" t="str">
            <v>CN-KT</v>
          </cell>
          <cell r="N128">
            <v>0</v>
          </cell>
          <cell r="O128">
            <v>597</v>
          </cell>
          <cell r="P128">
            <v>252.55579806600636</v>
          </cell>
          <cell r="Q128">
            <v>0</v>
          </cell>
          <cell r="R128">
            <v>0</v>
          </cell>
          <cell r="S128">
            <v>252.55579806600636</v>
          </cell>
          <cell r="T128">
            <v>21</v>
          </cell>
          <cell r="U128">
            <v>3</v>
          </cell>
          <cell r="V128">
            <v>24</v>
          </cell>
          <cell r="Z128" t="str">
            <v>A</v>
          </cell>
        </row>
        <row r="129">
          <cell r="B129" t="str">
            <v>Thảo Lẹ</v>
          </cell>
          <cell r="E129" t="str">
            <v>CN-KT</v>
          </cell>
          <cell r="N129">
            <v>0</v>
          </cell>
          <cell r="O129">
            <v>1887</v>
          </cell>
          <cell r="P129">
            <v>798.27938182672358</v>
          </cell>
          <cell r="Q129">
            <v>0</v>
          </cell>
          <cell r="R129">
            <v>0</v>
          </cell>
          <cell r="S129">
            <v>798.27938182672358</v>
          </cell>
          <cell r="T129">
            <v>27</v>
          </cell>
          <cell r="U129">
            <v>4</v>
          </cell>
          <cell r="V129">
            <v>31</v>
          </cell>
          <cell r="Z129" t="str">
            <v>A</v>
          </cell>
        </row>
        <row r="130">
          <cell r="B130" t="str">
            <v>Thảo Lôi</v>
          </cell>
          <cell r="E130" t="str">
            <v>CN-KT</v>
          </cell>
          <cell r="N130">
            <v>0</v>
          </cell>
          <cell r="O130">
            <v>1830</v>
          </cell>
          <cell r="P130">
            <v>774.16601417218021</v>
          </cell>
          <cell r="Q130">
            <v>0</v>
          </cell>
          <cell r="R130">
            <v>0</v>
          </cell>
          <cell r="S130">
            <v>774.16601417218021</v>
          </cell>
          <cell r="T130">
            <v>27</v>
          </cell>
          <cell r="U130">
            <v>4</v>
          </cell>
          <cell r="V130">
            <v>31</v>
          </cell>
          <cell r="Z130" t="str">
            <v>A</v>
          </cell>
        </row>
        <row r="131">
          <cell r="B131" t="str">
            <v>Thảo Cho</v>
          </cell>
          <cell r="E131" t="str">
            <v>CN-KT</v>
          </cell>
          <cell r="N131">
            <v>0</v>
          </cell>
          <cell r="O131">
            <v>875</v>
          </cell>
          <cell r="P131">
            <v>370.16134557412988</v>
          </cell>
          <cell r="Q131">
            <v>0</v>
          </cell>
          <cell r="R131">
            <v>0</v>
          </cell>
          <cell r="S131">
            <v>370.16134557412988</v>
          </cell>
          <cell r="T131">
            <v>26</v>
          </cell>
          <cell r="U131">
            <v>4</v>
          </cell>
          <cell r="V131">
            <v>30</v>
          </cell>
          <cell r="Z131" t="str">
            <v>A</v>
          </cell>
        </row>
        <row r="132">
          <cell r="B132" t="str">
            <v>Bun Phết</v>
          </cell>
          <cell r="E132" t="str">
            <v>CN-KT</v>
          </cell>
          <cell r="N132">
            <v>0</v>
          </cell>
          <cell r="O132">
            <v>1375</v>
          </cell>
          <cell r="P132">
            <v>581.68211447363274</v>
          </cell>
          <cell r="Q132">
            <v>0</v>
          </cell>
          <cell r="R132">
            <v>0</v>
          </cell>
          <cell r="S132">
            <v>581.68211447363274</v>
          </cell>
          <cell r="T132">
            <v>27</v>
          </cell>
          <cell r="U132">
            <v>4</v>
          </cell>
          <cell r="V132">
            <v>31</v>
          </cell>
          <cell r="Z132" t="str">
            <v>A</v>
          </cell>
        </row>
        <row r="133">
          <cell r="B133" t="str">
            <v>Thảo Chay</v>
          </cell>
          <cell r="E133" t="str">
            <v>CN-KT</v>
          </cell>
          <cell r="N133">
            <v>0</v>
          </cell>
          <cell r="O133">
            <v>1262</v>
          </cell>
          <cell r="P133">
            <v>533.87842070234512</v>
          </cell>
          <cell r="Q133">
            <v>0</v>
          </cell>
          <cell r="R133">
            <v>0</v>
          </cell>
          <cell r="S133">
            <v>533.87842070234512</v>
          </cell>
          <cell r="T133">
            <v>27</v>
          </cell>
          <cell r="U133">
            <v>4</v>
          </cell>
          <cell r="V133">
            <v>31</v>
          </cell>
          <cell r="Z133" t="str">
            <v>A</v>
          </cell>
        </row>
        <row r="134">
          <cell r="B134" t="str">
            <v>Cha Chiệp</v>
          </cell>
          <cell r="E134" t="str">
            <v>CN-ÔL</v>
          </cell>
          <cell r="N134">
            <v>0</v>
          </cell>
          <cell r="O134">
            <v>1880</v>
          </cell>
          <cell r="P134">
            <v>795.31809106213052</v>
          </cell>
          <cell r="Q134">
            <v>0</v>
          </cell>
          <cell r="R134">
            <v>0</v>
          </cell>
          <cell r="S134">
            <v>795.31809106213052</v>
          </cell>
          <cell r="T134">
            <v>27</v>
          </cell>
          <cell r="U134">
            <v>4</v>
          </cell>
          <cell r="V134">
            <v>31</v>
          </cell>
          <cell r="Z134" t="str">
            <v>A</v>
          </cell>
        </row>
        <row r="135">
          <cell r="B135" t="str">
            <v>A Nem</v>
          </cell>
          <cell r="E135" t="str">
            <v>CN-ÔL</v>
          </cell>
          <cell r="N135">
            <v>0</v>
          </cell>
          <cell r="O135">
            <v>2208</v>
          </cell>
          <cell r="P135">
            <v>934.07571546020438</v>
          </cell>
          <cell r="Q135">
            <v>0</v>
          </cell>
          <cell r="R135">
            <v>0</v>
          </cell>
          <cell r="S135">
            <v>934.07571546020438</v>
          </cell>
          <cell r="T135">
            <v>27</v>
          </cell>
          <cell r="U135">
            <v>4</v>
          </cell>
          <cell r="V135">
            <v>31</v>
          </cell>
          <cell r="Z135" t="str">
            <v>A</v>
          </cell>
        </row>
        <row r="136">
          <cell r="B136" t="str">
            <v>Mèo</v>
          </cell>
          <cell r="E136" t="str">
            <v>CN-ÔL</v>
          </cell>
          <cell r="N136">
            <v>0</v>
          </cell>
          <cell r="O136">
            <v>1525</v>
          </cell>
          <cell r="P136">
            <v>645.13834514348355</v>
          </cell>
          <cell r="Q136">
            <v>0</v>
          </cell>
          <cell r="R136">
            <v>0</v>
          </cell>
          <cell r="S136">
            <v>645.13834514348355</v>
          </cell>
          <cell r="T136">
            <v>25</v>
          </cell>
          <cell r="U136">
            <v>4</v>
          </cell>
          <cell r="V136">
            <v>29</v>
          </cell>
          <cell r="Z136" t="str">
            <v>A</v>
          </cell>
        </row>
        <row r="137">
          <cell r="B137" t="str">
            <v>Bò Khiên</v>
          </cell>
          <cell r="E137" t="str">
            <v>CN-ÔL</v>
          </cell>
          <cell r="N137">
            <v>0</v>
          </cell>
          <cell r="O137">
            <v>1859</v>
          </cell>
          <cell r="P137">
            <v>786.43421876835146</v>
          </cell>
          <cell r="Q137">
            <v>0</v>
          </cell>
          <cell r="R137">
            <v>0</v>
          </cell>
          <cell r="S137">
            <v>786.43421876835146</v>
          </cell>
          <cell r="T137">
            <v>27</v>
          </cell>
          <cell r="U137">
            <v>4</v>
          </cell>
          <cell r="V137">
            <v>31</v>
          </cell>
          <cell r="Z137" t="str">
            <v>B</v>
          </cell>
        </row>
        <row r="138">
          <cell r="B138" t="str">
            <v>A Thay</v>
          </cell>
          <cell r="E138" t="str">
            <v>CN-ÔL</v>
          </cell>
          <cell r="N138">
            <v>0</v>
          </cell>
          <cell r="O138">
            <v>2327</v>
          </cell>
          <cell r="P138">
            <v>984.41765845828604</v>
          </cell>
          <cell r="Q138">
            <v>0</v>
          </cell>
          <cell r="R138">
            <v>0</v>
          </cell>
          <cell r="S138">
            <v>984.41765845828604</v>
          </cell>
          <cell r="T138">
            <v>27</v>
          </cell>
          <cell r="U138">
            <v>4</v>
          </cell>
          <cell r="V138">
            <v>31</v>
          </cell>
          <cell r="Z138" t="str">
            <v>A</v>
          </cell>
        </row>
        <row r="139">
          <cell r="B139" t="str">
            <v>A Thưng</v>
          </cell>
          <cell r="E139" t="str">
            <v>CN-ÔL</v>
          </cell>
          <cell r="N139">
            <v>0</v>
          </cell>
          <cell r="O139">
            <v>1892</v>
          </cell>
          <cell r="P139">
            <v>800.39458951571862</v>
          </cell>
          <cell r="Q139">
            <v>0</v>
          </cell>
          <cell r="R139">
            <v>0</v>
          </cell>
          <cell r="S139">
            <v>800.39458951571862</v>
          </cell>
          <cell r="T139">
            <v>27</v>
          </cell>
          <cell r="U139">
            <v>4</v>
          </cell>
          <cell r="V139">
            <v>31</v>
          </cell>
          <cell r="Z139" t="str">
            <v>A</v>
          </cell>
        </row>
        <row r="140">
          <cell r="B140" t="str">
            <v>Đốt</v>
          </cell>
          <cell r="E140" t="str">
            <v>CN-ÔL</v>
          </cell>
          <cell r="N140">
            <v>0</v>
          </cell>
          <cell r="O140">
            <v>2027</v>
          </cell>
          <cell r="P140">
            <v>857.50519711858442</v>
          </cell>
          <cell r="Q140">
            <v>0</v>
          </cell>
          <cell r="R140">
            <v>0</v>
          </cell>
          <cell r="S140">
            <v>857.50519711858442</v>
          </cell>
          <cell r="T140">
            <v>22</v>
          </cell>
          <cell r="U140">
            <v>3</v>
          </cell>
          <cell r="V140">
            <v>25</v>
          </cell>
          <cell r="Z140" t="str">
            <v>A</v>
          </cell>
        </row>
        <row r="141">
          <cell r="B141" t="str">
            <v>Phò Phòm</v>
          </cell>
          <cell r="E141" t="str">
            <v>CN-KT</v>
          </cell>
          <cell r="N141">
            <v>0</v>
          </cell>
          <cell r="O141">
            <v>1745</v>
          </cell>
          <cell r="P141">
            <v>738.20748345926484</v>
          </cell>
          <cell r="Q141">
            <v>0</v>
          </cell>
          <cell r="R141">
            <v>0</v>
          </cell>
          <cell r="S141">
            <v>738.20748345926484</v>
          </cell>
          <cell r="T141">
            <v>26</v>
          </cell>
          <cell r="U141">
            <v>4</v>
          </cell>
          <cell r="V141">
            <v>30</v>
          </cell>
          <cell r="Z141" t="str">
            <v>B</v>
          </cell>
        </row>
        <row r="142">
          <cell r="B142" t="str">
            <v>A Hồng</v>
          </cell>
          <cell r="E142" t="str">
            <v>CN-KT</v>
          </cell>
          <cell r="N142">
            <v>0</v>
          </cell>
          <cell r="O142">
            <v>1824</v>
          </cell>
          <cell r="P142">
            <v>771.62776494538628</v>
          </cell>
          <cell r="Q142">
            <v>0</v>
          </cell>
          <cell r="R142">
            <v>0</v>
          </cell>
          <cell r="S142">
            <v>771.62776494538628</v>
          </cell>
          <cell r="T142">
            <v>27</v>
          </cell>
          <cell r="U142">
            <v>4</v>
          </cell>
          <cell r="V142">
            <v>31</v>
          </cell>
          <cell r="Z142" t="str">
            <v>A</v>
          </cell>
        </row>
        <row r="143">
          <cell r="B143" t="str">
            <v>Xơm Mái</v>
          </cell>
          <cell r="E143" t="str">
            <v>CN-KT</v>
          </cell>
          <cell r="N143">
            <v>0</v>
          </cell>
          <cell r="O143">
            <v>1971</v>
          </cell>
          <cell r="P143">
            <v>833.81487100184006</v>
          </cell>
          <cell r="Q143">
            <v>0</v>
          </cell>
          <cell r="R143">
            <v>0</v>
          </cell>
          <cell r="S143">
            <v>833.81487100184006</v>
          </cell>
          <cell r="T143">
            <v>27</v>
          </cell>
          <cell r="U143">
            <v>4</v>
          </cell>
          <cell r="V143">
            <v>31</v>
          </cell>
          <cell r="Z143" t="str">
            <v>A</v>
          </cell>
        </row>
        <row r="144">
          <cell r="B144" t="str">
            <v>Cha Măn</v>
          </cell>
          <cell r="E144" t="str">
            <v>CN-KT</v>
          </cell>
          <cell r="N144">
            <v>0</v>
          </cell>
          <cell r="O144">
            <v>2060</v>
          </cell>
          <cell r="P144">
            <v>871.46556786595158</v>
          </cell>
          <cell r="Q144">
            <v>0</v>
          </cell>
          <cell r="R144">
            <v>0</v>
          </cell>
          <cell r="S144">
            <v>871.46556786595158</v>
          </cell>
          <cell r="T144">
            <v>27</v>
          </cell>
          <cell r="U144">
            <v>4</v>
          </cell>
          <cell r="V144">
            <v>31</v>
          </cell>
          <cell r="Z144" t="str">
            <v>A</v>
          </cell>
        </row>
        <row r="145">
          <cell r="B145" t="str">
            <v>Nhung</v>
          </cell>
          <cell r="E145" t="str">
            <v>CN-KT</v>
          </cell>
          <cell r="N145">
            <v>0</v>
          </cell>
          <cell r="O145">
            <v>1978</v>
          </cell>
          <cell r="P145">
            <v>836.77616176643312</v>
          </cell>
          <cell r="Q145">
            <v>0</v>
          </cell>
          <cell r="R145">
            <v>0</v>
          </cell>
          <cell r="S145">
            <v>836.77616176643312</v>
          </cell>
          <cell r="T145">
            <v>27</v>
          </cell>
          <cell r="U145">
            <v>4</v>
          </cell>
          <cell r="V145">
            <v>31</v>
          </cell>
          <cell r="Z145" t="str">
            <v>B</v>
          </cell>
        </row>
        <row r="146">
          <cell r="B146" t="str">
            <v>A Bối</v>
          </cell>
          <cell r="E146" t="str">
            <v>CN-KT</v>
          </cell>
          <cell r="N146">
            <v>0</v>
          </cell>
          <cell r="O146">
            <v>1611</v>
          </cell>
          <cell r="P146">
            <v>681.51991739419805</v>
          </cell>
          <cell r="Q146">
            <v>0</v>
          </cell>
          <cell r="R146">
            <v>0</v>
          </cell>
          <cell r="S146">
            <v>681.51991739419805</v>
          </cell>
          <cell r="T146">
            <v>24</v>
          </cell>
          <cell r="U146">
            <v>3</v>
          </cell>
          <cell r="V146">
            <v>27</v>
          </cell>
          <cell r="Z146" t="str">
            <v>B</v>
          </cell>
        </row>
        <row r="147">
          <cell r="B147" t="str">
            <v>Chiệp</v>
          </cell>
          <cell r="E147" t="str">
            <v>CN-KT</v>
          </cell>
          <cell r="N147">
            <v>0</v>
          </cell>
          <cell r="O147">
            <v>2076</v>
          </cell>
          <cell r="P147">
            <v>878.23423247073561</v>
          </cell>
          <cell r="Q147">
            <v>0</v>
          </cell>
          <cell r="R147">
            <v>0</v>
          </cell>
          <cell r="S147">
            <v>878.23423247073561</v>
          </cell>
          <cell r="T147">
            <v>27</v>
          </cell>
          <cell r="U147">
            <v>4</v>
          </cell>
          <cell r="V147">
            <v>31</v>
          </cell>
          <cell r="Z147" t="str">
            <v>A</v>
          </cell>
        </row>
        <row r="148">
          <cell r="B148" t="str">
            <v>Phon</v>
          </cell>
          <cell r="E148" t="str">
            <v>CN-KT</v>
          </cell>
          <cell r="N148">
            <v>0</v>
          </cell>
          <cell r="O148">
            <v>1663</v>
          </cell>
          <cell r="P148">
            <v>703.51807735974637</v>
          </cell>
          <cell r="Q148">
            <v>0</v>
          </cell>
          <cell r="R148">
            <v>0</v>
          </cell>
          <cell r="S148">
            <v>703.51807735974637</v>
          </cell>
          <cell r="T148">
            <v>26</v>
          </cell>
          <cell r="U148">
            <v>3</v>
          </cell>
          <cell r="V148">
            <v>29</v>
          </cell>
          <cell r="Z148" t="str">
            <v>B</v>
          </cell>
        </row>
        <row r="149">
          <cell r="B149" t="str">
            <v>Minh</v>
          </cell>
          <cell r="E149" t="str">
            <v>CN-KT</v>
          </cell>
          <cell r="N149">
            <v>0</v>
          </cell>
          <cell r="O149">
            <v>1519</v>
          </cell>
          <cell r="P149">
            <v>642.6000959166895</v>
          </cell>
          <cell r="Q149">
            <v>0</v>
          </cell>
          <cell r="R149">
            <v>0</v>
          </cell>
          <cell r="S149">
            <v>642.6000959166895</v>
          </cell>
          <cell r="T149">
            <v>24</v>
          </cell>
          <cell r="U149">
            <v>4</v>
          </cell>
          <cell r="V149">
            <v>28</v>
          </cell>
          <cell r="Z149" t="str">
            <v>A</v>
          </cell>
        </row>
        <row r="150">
          <cell r="B150" t="str">
            <v>A Pan</v>
          </cell>
          <cell r="E150" t="str">
            <v>CN-KT</v>
          </cell>
          <cell r="N150">
            <v>0</v>
          </cell>
          <cell r="O150">
            <v>1975</v>
          </cell>
          <cell r="P150">
            <v>835.50703715303609</v>
          </cell>
          <cell r="Q150">
            <v>0</v>
          </cell>
          <cell r="R150">
            <v>0</v>
          </cell>
          <cell r="S150">
            <v>835.50703715303609</v>
          </cell>
          <cell r="T150">
            <v>26</v>
          </cell>
          <cell r="U150">
            <v>4</v>
          </cell>
          <cell r="V150">
            <v>30</v>
          </cell>
          <cell r="Z150" t="str">
            <v>A</v>
          </cell>
        </row>
        <row r="151">
          <cell r="B151" t="str">
            <v>A Phương</v>
          </cell>
          <cell r="E151" t="str">
            <v>CN-KT</v>
          </cell>
          <cell r="N151">
            <v>0</v>
          </cell>
          <cell r="O151">
            <v>1722</v>
          </cell>
          <cell r="P151">
            <v>728.47752808988764</v>
          </cell>
          <cell r="Q151">
            <v>0</v>
          </cell>
          <cell r="R151">
            <v>0</v>
          </cell>
          <cell r="S151">
            <v>728.47752808988764</v>
          </cell>
          <cell r="T151">
            <v>27</v>
          </cell>
          <cell r="U151">
            <v>4</v>
          </cell>
          <cell r="V151">
            <v>31</v>
          </cell>
          <cell r="Z151" t="str">
            <v>B</v>
          </cell>
        </row>
        <row r="152">
          <cell r="B152" t="str">
            <v>Nàng Nọi</v>
          </cell>
          <cell r="E152" t="str">
            <v>CN-KT</v>
          </cell>
          <cell r="N152">
            <v>0</v>
          </cell>
          <cell r="O152">
            <v>2560</v>
          </cell>
          <cell r="P152">
            <v>1082.9863367654543</v>
          </cell>
          <cell r="Q152">
            <v>0</v>
          </cell>
          <cell r="R152">
            <v>0</v>
          </cell>
          <cell r="S152">
            <v>1082.9863367654543</v>
          </cell>
          <cell r="T152">
            <v>27</v>
          </cell>
          <cell r="U152">
            <v>4</v>
          </cell>
          <cell r="V152">
            <v>31</v>
          </cell>
          <cell r="Z152" t="str">
            <v>B</v>
          </cell>
        </row>
        <row r="153">
          <cell r="B153" t="str">
            <v>A Lúc</v>
          </cell>
          <cell r="E153" t="str">
            <v>CN-KT</v>
          </cell>
          <cell r="N153">
            <v>0</v>
          </cell>
          <cell r="O153">
            <v>1812</v>
          </cell>
          <cell r="P153">
            <v>766.55126649179817</v>
          </cell>
          <cell r="Q153">
            <v>0</v>
          </cell>
          <cell r="R153">
            <v>0</v>
          </cell>
          <cell r="S153">
            <v>766.55126649179817</v>
          </cell>
          <cell r="T153">
            <v>26</v>
          </cell>
          <cell r="U153">
            <v>4</v>
          </cell>
          <cell r="V153">
            <v>30</v>
          </cell>
          <cell r="Z153" t="str">
            <v>A</v>
          </cell>
        </row>
        <row r="154">
          <cell r="B154" t="str">
            <v>Phò Thưng</v>
          </cell>
          <cell r="E154" t="str">
            <v>CN-KT</v>
          </cell>
          <cell r="N154">
            <v>0</v>
          </cell>
          <cell r="O154">
            <v>1622</v>
          </cell>
          <cell r="P154">
            <v>686.17337430998714</v>
          </cell>
          <cell r="Q154">
            <v>0</v>
          </cell>
          <cell r="R154">
            <v>0</v>
          </cell>
          <cell r="S154">
            <v>686.17337430998714</v>
          </cell>
          <cell r="T154">
            <v>22</v>
          </cell>
          <cell r="U154">
            <v>4</v>
          </cell>
          <cell r="V154">
            <v>26</v>
          </cell>
          <cell r="Z154" t="str">
            <v>A</v>
          </cell>
        </row>
        <row r="155">
          <cell r="B155" t="str">
            <v>A Tè</v>
          </cell>
          <cell r="E155" t="str">
            <v>CN-KT</v>
          </cell>
          <cell r="N155">
            <v>0</v>
          </cell>
          <cell r="O155">
            <v>2016</v>
          </cell>
          <cell r="P155">
            <v>852.85174020279533</v>
          </cell>
          <cell r="Q155">
            <v>0</v>
          </cell>
          <cell r="R155">
            <v>0</v>
          </cell>
          <cell r="S155">
            <v>852.85174020279533</v>
          </cell>
          <cell r="T155">
            <v>27</v>
          </cell>
          <cell r="U155">
            <v>4</v>
          </cell>
          <cell r="V155">
            <v>31</v>
          </cell>
          <cell r="Z155" t="str">
            <v>B</v>
          </cell>
        </row>
        <row r="156">
          <cell r="B156" t="str">
            <v>Xóm Chết</v>
          </cell>
          <cell r="E156" t="str">
            <v>CN-KT</v>
          </cell>
          <cell r="N156">
            <v>0</v>
          </cell>
          <cell r="O156">
            <v>1875</v>
          </cell>
          <cell r="P156">
            <v>793.20288337313548</v>
          </cell>
          <cell r="Q156">
            <v>0</v>
          </cell>
          <cell r="R156">
            <v>0</v>
          </cell>
          <cell r="S156">
            <v>793.20288337313548</v>
          </cell>
          <cell r="T156">
            <v>27</v>
          </cell>
          <cell r="U156">
            <v>4</v>
          </cell>
          <cell r="V156">
            <v>31</v>
          </cell>
          <cell r="Z156" t="str">
            <v>A</v>
          </cell>
        </row>
        <row r="157">
          <cell r="B157" t="str">
            <v>A Lưng</v>
          </cell>
          <cell r="E157" t="str">
            <v>CN-KT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7</v>
          </cell>
          <cell r="U157">
            <v>2</v>
          </cell>
          <cell r="V157">
            <v>9</v>
          </cell>
          <cell r="Z157">
            <v>0</v>
          </cell>
        </row>
        <row r="158">
          <cell r="B158" t="str">
            <v>A Lun</v>
          </cell>
          <cell r="E158" t="str">
            <v>CN-KT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0</v>
          </cell>
          <cell r="V158">
            <v>5</v>
          </cell>
          <cell r="Z158">
            <v>0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58383</v>
          </cell>
          <cell r="P159">
            <v>24698.434101319341</v>
          </cell>
          <cell r="Q159">
            <v>0</v>
          </cell>
          <cell r="R159">
            <v>0</v>
          </cell>
          <cell r="S159">
            <v>24698.434101319341</v>
          </cell>
          <cell r="T159">
            <v>802</v>
          </cell>
          <cell r="U159">
            <v>119</v>
          </cell>
          <cell r="V159">
            <v>921</v>
          </cell>
          <cell r="W159">
            <v>0</v>
          </cell>
          <cell r="X159">
            <v>0</v>
          </cell>
          <cell r="Y159">
            <v>0</v>
          </cell>
        </row>
        <row r="160">
          <cell r="B160" t="str">
            <v>Thông Đăm</v>
          </cell>
          <cell r="C160" t="str">
            <v>01351</v>
          </cell>
          <cell r="E160" t="str">
            <v>CN-KT</v>
          </cell>
          <cell r="N160">
            <v>0</v>
          </cell>
          <cell r="O160">
            <v>2205</v>
          </cell>
          <cell r="P160">
            <v>932.80659084680735</v>
          </cell>
          <cell r="Q160">
            <v>0</v>
          </cell>
          <cell r="R160">
            <v>0</v>
          </cell>
          <cell r="S160">
            <v>932.80659084680735</v>
          </cell>
          <cell r="T160">
            <v>27</v>
          </cell>
          <cell r="U160">
            <v>4</v>
          </cell>
          <cell r="V160">
            <v>31</v>
          </cell>
          <cell r="Z160" t="str">
            <v>A</v>
          </cell>
        </row>
        <row r="161">
          <cell r="B161" t="str">
            <v>A Bươi</v>
          </cell>
          <cell r="C161" t="str">
            <v>01352</v>
          </cell>
          <cell r="E161" t="str">
            <v>CN-KT</v>
          </cell>
          <cell r="N161">
            <v>0</v>
          </cell>
          <cell r="O161">
            <v>2292</v>
          </cell>
          <cell r="P161">
            <v>969.61120463532086</v>
          </cell>
          <cell r="Q161">
            <v>0</v>
          </cell>
          <cell r="R161">
            <v>0</v>
          </cell>
          <cell r="S161">
            <v>969.61120463532086</v>
          </cell>
          <cell r="T161">
            <v>27</v>
          </cell>
          <cell r="U161">
            <v>4</v>
          </cell>
          <cell r="V161">
            <v>31</v>
          </cell>
          <cell r="Z161" t="str">
            <v>B</v>
          </cell>
        </row>
        <row r="162">
          <cell r="B162" t="str">
            <v>Lun</v>
          </cell>
          <cell r="C162" t="str">
            <v>01353</v>
          </cell>
          <cell r="E162" t="str">
            <v>CN-KT</v>
          </cell>
          <cell r="N162">
            <v>0</v>
          </cell>
          <cell r="O162">
            <v>1788</v>
          </cell>
          <cell r="P162">
            <v>756.39826958462197</v>
          </cell>
          <cell r="Q162">
            <v>0</v>
          </cell>
          <cell r="R162">
            <v>0</v>
          </cell>
          <cell r="S162">
            <v>756.39826958462197</v>
          </cell>
          <cell r="T162">
            <v>27</v>
          </cell>
          <cell r="U162">
            <v>4</v>
          </cell>
          <cell r="V162">
            <v>31</v>
          </cell>
          <cell r="Z162" t="str">
            <v>B</v>
          </cell>
        </row>
        <row r="163">
          <cell r="B163" t="str">
            <v>A Phay</v>
          </cell>
          <cell r="C163" t="str">
            <v>01354</v>
          </cell>
          <cell r="E163" t="str">
            <v>CN-KT</v>
          </cell>
          <cell r="N163">
            <v>0</v>
          </cell>
          <cell r="O163">
            <v>1979</v>
          </cell>
          <cell r="P163">
            <v>837.19920330423213</v>
          </cell>
          <cell r="Q163">
            <v>0</v>
          </cell>
          <cell r="R163">
            <v>0</v>
          </cell>
          <cell r="S163">
            <v>837.19920330423213</v>
          </cell>
          <cell r="T163">
            <v>27</v>
          </cell>
          <cell r="U163">
            <v>4</v>
          </cell>
          <cell r="V163">
            <v>31</v>
          </cell>
          <cell r="Z163" t="str">
            <v>A</v>
          </cell>
        </row>
        <row r="164">
          <cell r="B164" t="str">
            <v>A Pon</v>
          </cell>
          <cell r="C164" t="str">
            <v>01355</v>
          </cell>
          <cell r="E164" t="str">
            <v>CN-KT</v>
          </cell>
          <cell r="N164">
            <v>0</v>
          </cell>
          <cell r="O164">
            <v>1390</v>
          </cell>
          <cell r="P164">
            <v>588.02773754061775</v>
          </cell>
          <cell r="Q164">
            <v>0</v>
          </cell>
          <cell r="R164">
            <v>0</v>
          </cell>
          <cell r="S164">
            <v>588.02773754061775</v>
          </cell>
          <cell r="T164">
            <v>27</v>
          </cell>
          <cell r="U164">
            <v>4</v>
          </cell>
          <cell r="V164">
            <v>31</v>
          </cell>
          <cell r="Z164" t="str">
            <v>B</v>
          </cell>
        </row>
        <row r="165">
          <cell r="B165" t="str">
            <v>Ta Lốt</v>
          </cell>
          <cell r="C165" t="str">
            <v>02022</v>
          </cell>
          <cell r="E165" t="str">
            <v>CN-KT</v>
          </cell>
          <cell r="N165">
            <v>0</v>
          </cell>
          <cell r="O165">
            <v>1800</v>
          </cell>
          <cell r="P165">
            <v>761.47476803821007</v>
          </cell>
          <cell r="Q165">
            <v>0</v>
          </cell>
          <cell r="R165">
            <v>0</v>
          </cell>
          <cell r="S165">
            <v>761.47476803821007</v>
          </cell>
          <cell r="T165">
            <v>27</v>
          </cell>
          <cell r="U165">
            <v>4</v>
          </cell>
          <cell r="V165">
            <v>31</v>
          </cell>
          <cell r="Z165" t="str">
            <v>A</v>
          </cell>
        </row>
        <row r="166">
          <cell r="B166" t="str">
            <v>Phò Lăng</v>
          </cell>
          <cell r="C166" t="str">
            <v>01357</v>
          </cell>
          <cell r="E166" t="str">
            <v>CN-KT</v>
          </cell>
          <cell r="N166">
            <v>0</v>
          </cell>
          <cell r="O166">
            <v>1615</v>
          </cell>
          <cell r="P166">
            <v>683.21208354539408</v>
          </cell>
          <cell r="Q166">
            <v>0</v>
          </cell>
          <cell r="R166">
            <v>0</v>
          </cell>
          <cell r="S166">
            <v>683.21208354539408</v>
          </cell>
          <cell r="T166">
            <v>26</v>
          </cell>
          <cell r="U166">
            <v>4</v>
          </cell>
          <cell r="V166">
            <v>30</v>
          </cell>
          <cell r="Z166" t="str">
            <v>B</v>
          </cell>
        </row>
        <row r="167">
          <cell r="B167" t="str">
            <v>A Têng</v>
          </cell>
          <cell r="C167" t="str">
            <v>01366</v>
          </cell>
          <cell r="E167" t="str">
            <v>CN-KT</v>
          </cell>
          <cell r="N167">
            <v>0</v>
          </cell>
          <cell r="O167">
            <v>1934</v>
          </cell>
          <cell r="P167">
            <v>818.16233410327686</v>
          </cell>
          <cell r="Q167">
            <v>0</v>
          </cell>
          <cell r="R167">
            <v>0</v>
          </cell>
          <cell r="S167">
            <v>818.16233410327686</v>
          </cell>
          <cell r="T167">
            <v>27</v>
          </cell>
          <cell r="U167">
            <v>4</v>
          </cell>
          <cell r="V167">
            <v>31</v>
          </cell>
          <cell r="Z167" t="str">
            <v>A</v>
          </cell>
        </row>
        <row r="168">
          <cell r="B168" t="str">
            <v>Ói</v>
          </cell>
          <cell r="E168" t="str">
            <v>CN-KT</v>
          </cell>
          <cell r="N168">
            <v>0</v>
          </cell>
          <cell r="O168">
            <v>1797</v>
          </cell>
          <cell r="P168">
            <v>760.20564342481305</v>
          </cell>
          <cell r="Q168">
            <v>0</v>
          </cell>
          <cell r="R168">
            <v>0</v>
          </cell>
          <cell r="S168">
            <v>760.20564342481305</v>
          </cell>
          <cell r="T168">
            <v>27</v>
          </cell>
          <cell r="U168">
            <v>4</v>
          </cell>
          <cell r="V168">
            <v>31</v>
          </cell>
          <cell r="Z168" t="str">
            <v>B</v>
          </cell>
        </row>
        <row r="169">
          <cell r="B169" t="str">
            <v>Ta Dạt</v>
          </cell>
          <cell r="E169" t="str">
            <v>CN-KT</v>
          </cell>
          <cell r="N169">
            <v>0</v>
          </cell>
          <cell r="O169">
            <v>1426</v>
          </cell>
          <cell r="P169">
            <v>603.25723290138194</v>
          </cell>
          <cell r="Q169">
            <v>0</v>
          </cell>
          <cell r="R169">
            <v>0</v>
          </cell>
          <cell r="S169">
            <v>603.25723290138194</v>
          </cell>
          <cell r="T169">
            <v>27</v>
          </cell>
          <cell r="U169">
            <v>4</v>
          </cell>
          <cell r="V169">
            <v>31</v>
          </cell>
          <cell r="Z169" t="str">
            <v>B</v>
          </cell>
        </row>
        <row r="170">
          <cell r="B170" t="str">
            <v>Ra Măn</v>
          </cell>
          <cell r="E170" t="str">
            <v>CN-KT</v>
          </cell>
          <cell r="N170">
            <v>0</v>
          </cell>
          <cell r="O170">
            <v>1293</v>
          </cell>
          <cell r="P170">
            <v>546.99270837411427</v>
          </cell>
          <cell r="Q170">
            <v>0</v>
          </cell>
          <cell r="R170">
            <v>0</v>
          </cell>
          <cell r="S170">
            <v>546.99270837411427</v>
          </cell>
          <cell r="T170">
            <v>27</v>
          </cell>
          <cell r="U170">
            <v>4</v>
          </cell>
          <cell r="V170">
            <v>31</v>
          </cell>
          <cell r="Z170" t="str">
            <v>B</v>
          </cell>
        </row>
        <row r="171">
          <cell r="B171" t="str">
            <v>Ta Học</v>
          </cell>
          <cell r="E171" t="str">
            <v>CN-KT</v>
          </cell>
          <cell r="N171">
            <v>0</v>
          </cell>
          <cell r="O171">
            <v>1570</v>
          </cell>
          <cell r="P171">
            <v>664.17521434443881</v>
          </cell>
          <cell r="Q171">
            <v>0</v>
          </cell>
          <cell r="R171">
            <v>0</v>
          </cell>
          <cell r="S171">
            <v>664.17521434443881</v>
          </cell>
          <cell r="T171">
            <v>27</v>
          </cell>
          <cell r="U171">
            <v>4</v>
          </cell>
          <cell r="V171">
            <v>31</v>
          </cell>
          <cell r="Z171" t="str">
            <v>A</v>
          </cell>
        </row>
        <row r="172">
          <cell r="B172" t="str">
            <v>Phò Têng</v>
          </cell>
          <cell r="E172" t="str">
            <v>CN-KT</v>
          </cell>
          <cell r="N172">
            <v>0</v>
          </cell>
          <cell r="O172">
            <v>2059</v>
          </cell>
          <cell r="P172">
            <v>871.04252632815258</v>
          </cell>
          <cell r="Q172">
            <v>0</v>
          </cell>
          <cell r="R172">
            <v>0</v>
          </cell>
          <cell r="S172">
            <v>871.04252632815258</v>
          </cell>
          <cell r="T172">
            <v>27</v>
          </cell>
          <cell r="U172">
            <v>4</v>
          </cell>
          <cell r="V172">
            <v>31</v>
          </cell>
          <cell r="Z172" t="str">
            <v>A</v>
          </cell>
        </row>
        <row r="173">
          <cell r="B173" t="str">
            <v>Ma</v>
          </cell>
          <cell r="E173" t="str">
            <v>CN-KT</v>
          </cell>
          <cell r="N173">
            <v>0</v>
          </cell>
          <cell r="O173">
            <v>2300</v>
          </cell>
          <cell r="P173">
            <v>972.99553693771293</v>
          </cell>
          <cell r="Q173">
            <v>0</v>
          </cell>
          <cell r="R173">
            <v>0</v>
          </cell>
          <cell r="S173">
            <v>972.99553693771293</v>
          </cell>
          <cell r="T173">
            <v>26</v>
          </cell>
          <cell r="U173">
            <v>3</v>
          </cell>
          <cell r="V173">
            <v>29</v>
          </cell>
          <cell r="Z173" t="str">
            <v>A</v>
          </cell>
        </row>
        <row r="174">
          <cell r="B174" t="str">
            <v>Phò Thoong</v>
          </cell>
          <cell r="E174" t="str">
            <v>CN-KT</v>
          </cell>
          <cell r="N174">
            <v>0</v>
          </cell>
          <cell r="O174">
            <v>1736</v>
          </cell>
          <cell r="P174">
            <v>734.40010961907376</v>
          </cell>
          <cell r="Q174">
            <v>0</v>
          </cell>
          <cell r="R174">
            <v>0</v>
          </cell>
          <cell r="S174">
            <v>734.40010961907376</v>
          </cell>
          <cell r="T174">
            <v>27</v>
          </cell>
          <cell r="U174">
            <v>4</v>
          </cell>
          <cell r="V174">
            <v>31</v>
          </cell>
          <cell r="Z174" t="str">
            <v>A</v>
          </cell>
        </row>
        <row r="175">
          <cell r="B175" t="str">
            <v>Cha Hô</v>
          </cell>
          <cell r="E175" t="str">
            <v>CN-KT</v>
          </cell>
          <cell r="N175">
            <v>0</v>
          </cell>
          <cell r="O175">
            <v>2029</v>
          </cell>
          <cell r="P175">
            <v>858.35128019418232</v>
          </cell>
          <cell r="Q175">
            <v>0</v>
          </cell>
          <cell r="R175">
            <v>0</v>
          </cell>
          <cell r="S175">
            <v>858.35128019418232</v>
          </cell>
          <cell r="T175">
            <v>27</v>
          </cell>
          <cell r="U175">
            <v>4</v>
          </cell>
          <cell r="V175">
            <v>31</v>
          </cell>
          <cell r="Z175" t="str">
            <v>A</v>
          </cell>
        </row>
        <row r="176">
          <cell r="B176" t="str">
            <v>Cha Khuất</v>
          </cell>
          <cell r="E176" t="str">
            <v>CN-KT</v>
          </cell>
          <cell r="N176">
            <v>0</v>
          </cell>
          <cell r="O176">
            <v>1833</v>
          </cell>
          <cell r="P176">
            <v>775.43513878557724</v>
          </cell>
          <cell r="Q176">
            <v>0</v>
          </cell>
          <cell r="R176">
            <v>0</v>
          </cell>
          <cell r="S176">
            <v>775.43513878557724</v>
          </cell>
          <cell r="T176">
            <v>27</v>
          </cell>
          <cell r="U176">
            <v>4</v>
          </cell>
          <cell r="V176">
            <v>31</v>
          </cell>
          <cell r="Z176" t="str">
            <v>B</v>
          </cell>
        </row>
        <row r="177">
          <cell r="B177" t="str">
            <v>A Lay</v>
          </cell>
          <cell r="C177" t="str">
            <v>01356</v>
          </cell>
          <cell r="E177" t="str">
            <v>CN-KT</v>
          </cell>
          <cell r="N177">
            <v>0</v>
          </cell>
          <cell r="O177">
            <v>1764</v>
          </cell>
          <cell r="P177">
            <v>746.24527267744588</v>
          </cell>
          <cell r="Q177">
            <v>0</v>
          </cell>
          <cell r="R177">
            <v>0</v>
          </cell>
          <cell r="S177">
            <v>746.24527267744588</v>
          </cell>
          <cell r="T177">
            <v>27</v>
          </cell>
          <cell r="U177">
            <v>4</v>
          </cell>
          <cell r="V177">
            <v>31</v>
          </cell>
          <cell r="Z177" t="str">
            <v>B</v>
          </cell>
        </row>
        <row r="178">
          <cell r="B178" t="str">
            <v>A Lóc</v>
          </cell>
          <cell r="C178" t="str">
            <v>01360</v>
          </cell>
          <cell r="E178" t="str">
            <v>CN-KT</v>
          </cell>
          <cell r="N178">
            <v>0</v>
          </cell>
          <cell r="O178">
            <v>1480</v>
          </cell>
          <cell r="P178">
            <v>626.10147594252828</v>
          </cell>
          <cell r="Q178">
            <v>0</v>
          </cell>
          <cell r="R178">
            <v>0</v>
          </cell>
          <cell r="S178">
            <v>626.10147594252828</v>
          </cell>
          <cell r="T178">
            <v>27</v>
          </cell>
          <cell r="U178">
            <v>4</v>
          </cell>
          <cell r="V178">
            <v>31</v>
          </cell>
          <cell r="Z178" t="str">
            <v>A</v>
          </cell>
        </row>
        <row r="179">
          <cell r="B179" t="str">
            <v>Keo</v>
          </cell>
          <cell r="C179" t="str">
            <v>02019</v>
          </cell>
          <cell r="E179" t="str">
            <v>CN-KT</v>
          </cell>
          <cell r="N179">
            <v>0</v>
          </cell>
          <cell r="O179">
            <v>2110</v>
          </cell>
          <cell r="P179">
            <v>892.61764475590178</v>
          </cell>
          <cell r="Q179">
            <v>0</v>
          </cell>
          <cell r="R179">
            <v>0</v>
          </cell>
          <cell r="S179">
            <v>892.61764475590178</v>
          </cell>
          <cell r="T179">
            <v>27</v>
          </cell>
          <cell r="U179">
            <v>4</v>
          </cell>
          <cell r="V179">
            <v>31</v>
          </cell>
          <cell r="Z179" t="str">
            <v>A</v>
          </cell>
        </row>
        <row r="180">
          <cell r="B180" t="str">
            <v>Ngân</v>
          </cell>
          <cell r="C180" t="str">
            <v>01362</v>
          </cell>
          <cell r="E180" t="str">
            <v>CN-KT</v>
          </cell>
          <cell r="N180">
            <v>0</v>
          </cell>
          <cell r="O180">
            <v>1974</v>
          </cell>
          <cell r="P180">
            <v>835.08399561523709</v>
          </cell>
          <cell r="Q180">
            <v>0</v>
          </cell>
          <cell r="R180">
            <v>0</v>
          </cell>
          <cell r="S180">
            <v>835.08399561523709</v>
          </cell>
          <cell r="T180">
            <v>27</v>
          </cell>
          <cell r="U180">
            <v>4</v>
          </cell>
          <cell r="V180">
            <v>31</v>
          </cell>
          <cell r="Z180" t="str">
            <v>A</v>
          </cell>
        </row>
        <row r="181">
          <cell r="B181" t="str">
            <v>A Tay</v>
          </cell>
          <cell r="C181" t="str">
            <v>01363</v>
          </cell>
          <cell r="E181" t="str">
            <v>CN-KT</v>
          </cell>
          <cell r="N181">
            <v>0</v>
          </cell>
          <cell r="O181">
            <v>1718</v>
          </cell>
          <cell r="P181">
            <v>726.78536193869161</v>
          </cell>
          <cell r="Q181">
            <v>0</v>
          </cell>
          <cell r="R181">
            <v>0</v>
          </cell>
          <cell r="S181">
            <v>726.78536193869161</v>
          </cell>
          <cell r="T181">
            <v>25</v>
          </cell>
          <cell r="U181">
            <v>4</v>
          </cell>
          <cell r="V181">
            <v>29</v>
          </cell>
          <cell r="Z181" t="str">
            <v>B</v>
          </cell>
        </row>
        <row r="182">
          <cell r="B182" t="str">
            <v>A Vêu</v>
          </cell>
          <cell r="C182" t="str">
            <v>01364</v>
          </cell>
          <cell r="E182" t="str">
            <v>CN-KT</v>
          </cell>
          <cell r="N182">
            <v>0</v>
          </cell>
          <cell r="O182">
            <v>1786</v>
          </cell>
          <cell r="P182">
            <v>755.55218650902407</v>
          </cell>
          <cell r="Q182">
            <v>0</v>
          </cell>
          <cell r="R182">
            <v>0</v>
          </cell>
          <cell r="S182">
            <v>755.55218650902407</v>
          </cell>
          <cell r="T182">
            <v>27</v>
          </cell>
          <cell r="U182">
            <v>4</v>
          </cell>
          <cell r="V182">
            <v>31</v>
          </cell>
          <cell r="Z182" t="str">
            <v>A</v>
          </cell>
        </row>
        <row r="183">
          <cell r="B183" t="str">
            <v>A Long</v>
          </cell>
          <cell r="C183" t="str">
            <v>01365</v>
          </cell>
          <cell r="E183" t="str">
            <v>CN-KT</v>
          </cell>
          <cell r="N183">
            <v>0</v>
          </cell>
          <cell r="O183">
            <v>1711</v>
          </cell>
          <cell r="P183">
            <v>723.82407117409855</v>
          </cell>
          <cell r="Q183">
            <v>0</v>
          </cell>
          <cell r="R183">
            <v>0</v>
          </cell>
          <cell r="S183">
            <v>723.82407117409855</v>
          </cell>
          <cell r="T183">
            <v>25</v>
          </cell>
          <cell r="U183">
            <v>4</v>
          </cell>
          <cell r="V183">
            <v>29</v>
          </cell>
          <cell r="Z183" t="str">
            <v>A</v>
          </cell>
        </row>
        <row r="184">
          <cell r="B184" t="str">
            <v>Bang</v>
          </cell>
          <cell r="C184" t="str">
            <v>02021</v>
          </cell>
          <cell r="E184" t="str">
            <v>CN-KT</v>
          </cell>
          <cell r="N184">
            <v>0</v>
          </cell>
          <cell r="O184">
            <v>1714</v>
          </cell>
          <cell r="P184">
            <v>725.09319578749557</v>
          </cell>
          <cell r="Q184">
            <v>0</v>
          </cell>
          <cell r="R184">
            <v>0</v>
          </cell>
          <cell r="S184">
            <v>725.09319578749557</v>
          </cell>
          <cell r="T184">
            <v>26</v>
          </cell>
          <cell r="U184">
            <v>4</v>
          </cell>
          <cell r="V184">
            <v>30</v>
          </cell>
          <cell r="Z184" t="str">
            <v>B</v>
          </cell>
        </row>
        <row r="185">
          <cell r="B185" t="str">
            <v>Bun Đương</v>
          </cell>
          <cell r="C185" t="str">
            <v>02018</v>
          </cell>
          <cell r="E185" t="str">
            <v>CN-KT</v>
          </cell>
          <cell r="N185">
            <v>0</v>
          </cell>
          <cell r="O185">
            <v>3203</v>
          </cell>
          <cell r="P185">
            <v>1355.0020455702149</v>
          </cell>
          <cell r="Q185">
            <v>0</v>
          </cell>
          <cell r="R185">
            <v>0</v>
          </cell>
          <cell r="S185">
            <v>1355.0020455702149</v>
          </cell>
          <cell r="T185">
            <v>27</v>
          </cell>
          <cell r="U185">
            <v>4</v>
          </cell>
          <cell r="V185">
            <v>31</v>
          </cell>
          <cell r="Z185" t="str">
            <v>A</v>
          </cell>
        </row>
        <row r="186">
          <cell r="B186" t="str">
            <v>Phay</v>
          </cell>
          <cell r="C186" t="str">
            <v>02020</v>
          </cell>
          <cell r="D186" t="str">
            <v>02020</v>
          </cell>
          <cell r="E186" t="str">
            <v>CN-KT</v>
          </cell>
          <cell r="N186">
            <v>0</v>
          </cell>
          <cell r="O186">
            <v>2402</v>
          </cell>
          <cell r="P186">
            <v>1016.1457737932114</v>
          </cell>
          <cell r="Q186">
            <v>0</v>
          </cell>
          <cell r="R186">
            <v>0</v>
          </cell>
          <cell r="S186">
            <v>1016.1457737932114</v>
          </cell>
          <cell r="T186">
            <v>27</v>
          </cell>
          <cell r="U186">
            <v>4</v>
          </cell>
          <cell r="V186">
            <v>31</v>
          </cell>
          <cell r="Z186" t="str">
            <v>B</v>
          </cell>
        </row>
        <row r="187">
          <cell r="B187" t="str">
            <v>Bươi</v>
          </cell>
          <cell r="E187" t="str">
            <v>CN-KT</v>
          </cell>
          <cell r="N187">
            <v>0</v>
          </cell>
          <cell r="O187">
            <v>2375</v>
          </cell>
          <cell r="P187">
            <v>1004.7236522726383</v>
          </cell>
          <cell r="Q187">
            <v>0</v>
          </cell>
          <cell r="R187">
            <v>0</v>
          </cell>
          <cell r="S187">
            <v>1004.7236522726383</v>
          </cell>
          <cell r="T187">
            <v>27</v>
          </cell>
          <cell r="U187">
            <v>4</v>
          </cell>
          <cell r="V187">
            <v>31</v>
          </cell>
          <cell r="Z187" t="str">
            <v>A</v>
          </cell>
        </row>
        <row r="188">
          <cell r="B188" t="str">
            <v>A Bổ</v>
          </cell>
          <cell r="N188">
            <v>0</v>
          </cell>
          <cell r="O188">
            <v>3328</v>
          </cell>
          <cell r="P188">
            <v>1407.8822377950908</v>
          </cell>
          <cell r="Q188">
            <v>0</v>
          </cell>
          <cell r="R188">
            <v>0</v>
          </cell>
          <cell r="S188">
            <v>1407.8822377950908</v>
          </cell>
          <cell r="T188">
            <v>27</v>
          </cell>
          <cell r="U188">
            <v>4</v>
          </cell>
          <cell r="V188">
            <v>31</v>
          </cell>
          <cell r="Z188" t="str">
            <v>A</v>
          </cell>
        </row>
        <row r="189">
          <cell r="B189" t="str">
            <v>A Bưng</v>
          </cell>
          <cell r="E189" t="str">
            <v>CN-KT</v>
          </cell>
          <cell r="N189">
            <v>0</v>
          </cell>
          <cell r="O189">
            <v>1772</v>
          </cell>
          <cell r="P189">
            <v>749.62960497983795</v>
          </cell>
          <cell r="Q189">
            <v>0</v>
          </cell>
          <cell r="R189">
            <v>0</v>
          </cell>
          <cell r="S189">
            <v>749.62960497983795</v>
          </cell>
          <cell r="T189">
            <v>26</v>
          </cell>
          <cell r="U189">
            <v>4</v>
          </cell>
          <cell r="V189">
            <v>30</v>
          </cell>
          <cell r="Z189" t="str">
            <v>A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38.4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38.4</v>
          </cell>
          <cell r="O190">
            <v>306486</v>
          </cell>
          <cell r="P190">
            <v>129656.30726373877</v>
          </cell>
          <cell r="Q190">
            <v>30</v>
          </cell>
          <cell r="R190">
            <v>15</v>
          </cell>
          <cell r="S190">
            <v>129671.30726373877</v>
          </cell>
          <cell r="T190">
            <v>4475</v>
          </cell>
          <cell r="U190">
            <v>658</v>
          </cell>
          <cell r="V190">
            <v>5133</v>
          </cell>
          <cell r="W190">
            <v>0</v>
          </cell>
          <cell r="X190">
            <v>0</v>
          </cell>
        </row>
        <row r="192">
          <cell r="J192" t="str">
            <v>PHÒNG TC-HC</v>
          </cell>
          <cell r="P192" t="str">
            <v>GIÁM ĐỐC NT</v>
          </cell>
          <cell r="U192" t="str">
            <v>NGƯỜI LẬP</v>
          </cell>
        </row>
        <row r="193">
          <cell r="Z193">
            <v>128</v>
          </cell>
        </row>
        <row r="194">
          <cell r="Z194">
            <v>44</v>
          </cell>
        </row>
        <row r="195">
          <cell r="Z195">
            <v>4</v>
          </cell>
        </row>
        <row r="196">
          <cell r="N196">
            <v>8711.9450883341342</v>
          </cell>
        </row>
        <row r="197">
          <cell r="N197">
            <v>8673.5450883341346</v>
          </cell>
        </row>
        <row r="204">
          <cell r="B204" t="e">
            <v>#REF!</v>
          </cell>
        </row>
        <row r="205">
          <cell r="B205" t="e">
            <v>#REF!</v>
          </cell>
        </row>
        <row r="206">
          <cell r="B206">
            <v>2000</v>
          </cell>
        </row>
        <row r="207">
          <cell r="B207" t="e">
            <v>#REF!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75">
          <cell r="C75" t="str">
            <v>Thảo Xin</v>
          </cell>
          <cell r="E75" t="str">
            <v>Đội 2</v>
          </cell>
          <cell r="AJ75">
            <v>94</v>
          </cell>
          <cell r="AK75">
            <v>94</v>
          </cell>
        </row>
        <row r="76">
          <cell r="C76" t="str">
            <v>Nàng Khêm</v>
          </cell>
          <cell r="E76" t="str">
            <v>Đội 2</v>
          </cell>
          <cell r="AJ76">
            <v>94</v>
          </cell>
          <cell r="AK76">
            <v>94</v>
          </cell>
        </row>
        <row r="77">
          <cell r="C77" t="str">
            <v>Thảo Xin (2)</v>
          </cell>
          <cell r="E77" t="str">
            <v>Đội 2</v>
          </cell>
          <cell r="AJ77">
            <v>94</v>
          </cell>
          <cell r="AK77">
            <v>94</v>
          </cell>
        </row>
        <row r="78">
          <cell r="C78" t="str">
            <v>Nàng Lem (2)</v>
          </cell>
          <cell r="E78" t="str">
            <v>Đội 2</v>
          </cell>
          <cell r="AJ78">
            <v>90</v>
          </cell>
          <cell r="AK78">
            <v>90</v>
          </cell>
        </row>
        <row r="79">
          <cell r="C79" t="str">
            <v>A Phết</v>
          </cell>
          <cell r="E79" t="str">
            <v>Đội 2</v>
          </cell>
          <cell r="AJ79">
            <v>93</v>
          </cell>
          <cell r="AK79">
            <v>93</v>
          </cell>
        </row>
        <row r="80">
          <cell r="C80" t="str">
            <v>A Pên</v>
          </cell>
          <cell r="E80" t="str">
            <v>Đội 2</v>
          </cell>
          <cell r="AJ80">
            <v>110</v>
          </cell>
          <cell r="AK80">
            <v>110</v>
          </cell>
        </row>
        <row r="81">
          <cell r="C81" t="str">
            <v>Nàng Lem</v>
          </cell>
          <cell r="E81" t="str">
            <v>Đội 2</v>
          </cell>
          <cell r="AJ81">
            <v>90</v>
          </cell>
          <cell r="AK81">
            <v>90</v>
          </cell>
        </row>
        <row r="82">
          <cell r="C82" t="str">
            <v>Thảo Khăm</v>
          </cell>
          <cell r="E82" t="str">
            <v>Đội 2</v>
          </cell>
          <cell r="AJ82">
            <v>90</v>
          </cell>
          <cell r="AK82">
            <v>90</v>
          </cell>
        </row>
        <row r="83">
          <cell r="C83" t="str">
            <v>Nàng Phít</v>
          </cell>
          <cell r="E83" t="str">
            <v>Đội 2</v>
          </cell>
          <cell r="AJ83">
            <v>114</v>
          </cell>
          <cell r="AK83">
            <v>114</v>
          </cell>
        </row>
        <row r="84">
          <cell r="C84" t="str">
            <v>Thảo Nạm</v>
          </cell>
          <cell r="E84" t="str">
            <v>Đội 2</v>
          </cell>
          <cell r="AJ84">
            <v>114</v>
          </cell>
          <cell r="AK84">
            <v>114</v>
          </cell>
        </row>
        <row r="85">
          <cell r="C85" t="str">
            <v>Thảo Cẩu</v>
          </cell>
          <cell r="E85" t="str">
            <v>Đội 2</v>
          </cell>
          <cell r="AJ85">
            <v>0</v>
          </cell>
          <cell r="AK85">
            <v>0</v>
          </cell>
        </row>
        <row r="86">
          <cell r="C86" t="str">
            <v>Nàng Chao</v>
          </cell>
          <cell r="E86" t="str">
            <v>Đội 2</v>
          </cell>
          <cell r="AJ86">
            <v>0</v>
          </cell>
          <cell r="AK86">
            <v>0</v>
          </cell>
        </row>
        <row r="87">
          <cell r="C87" t="str">
            <v>Nàng Viêng</v>
          </cell>
          <cell r="E87" t="str">
            <v>Đội 2</v>
          </cell>
          <cell r="AJ87">
            <v>77</v>
          </cell>
          <cell r="AK87">
            <v>77</v>
          </cell>
        </row>
        <row r="88">
          <cell r="C88" t="str">
            <v>Thảo Đăm</v>
          </cell>
          <cell r="E88" t="str">
            <v>Đội 2</v>
          </cell>
          <cell r="AJ88">
            <v>78</v>
          </cell>
          <cell r="AK88">
            <v>78</v>
          </cell>
        </row>
        <row r="89">
          <cell r="C89" t="str">
            <v>A Long</v>
          </cell>
          <cell r="E89" t="str">
            <v>Đội 2</v>
          </cell>
          <cell r="AJ89">
            <v>44</v>
          </cell>
          <cell r="AK89">
            <v>44</v>
          </cell>
        </row>
        <row r="90">
          <cell r="C90" t="str">
            <v>Thảo Penta</v>
          </cell>
          <cell r="E90" t="str">
            <v>Đội 2</v>
          </cell>
          <cell r="AJ90">
            <v>74</v>
          </cell>
          <cell r="AK90">
            <v>74</v>
          </cell>
        </row>
        <row r="91">
          <cell r="C91" t="str">
            <v>A Lau</v>
          </cell>
          <cell r="E91" t="str">
            <v>Đội 2</v>
          </cell>
          <cell r="AJ91">
            <v>63</v>
          </cell>
          <cell r="AK91">
            <v>63</v>
          </cell>
        </row>
        <row r="92">
          <cell r="C92" t="str">
            <v xml:space="preserve">Nàng Tim </v>
          </cell>
          <cell r="E92" t="str">
            <v>Đội 2</v>
          </cell>
          <cell r="AJ92">
            <v>75</v>
          </cell>
          <cell r="AK92">
            <v>75</v>
          </cell>
        </row>
        <row r="93">
          <cell r="C93" t="str">
            <v>Nàng Tim B</v>
          </cell>
          <cell r="E93" t="str">
            <v>Đội 2</v>
          </cell>
          <cell r="AJ93">
            <v>74</v>
          </cell>
          <cell r="AK93">
            <v>74</v>
          </cell>
        </row>
        <row r="94">
          <cell r="C94" t="str">
            <v>Bun Khẳm</v>
          </cell>
          <cell r="E94" t="str">
            <v>Đội 2</v>
          </cell>
          <cell r="AJ94">
            <v>74</v>
          </cell>
          <cell r="AK94">
            <v>74</v>
          </cell>
        </row>
        <row r="95">
          <cell r="C95" t="str">
            <v>Thảo Phao</v>
          </cell>
          <cell r="E95" t="str">
            <v>Đội 2</v>
          </cell>
          <cell r="AJ95">
            <v>58</v>
          </cell>
          <cell r="AK95">
            <v>58</v>
          </cell>
        </row>
        <row r="96">
          <cell r="C96" t="str">
            <v xml:space="preserve">Thảo Sành </v>
          </cell>
          <cell r="E96" t="str">
            <v>Đội 2</v>
          </cell>
          <cell r="AJ96">
            <v>74</v>
          </cell>
          <cell r="AK96">
            <v>74</v>
          </cell>
        </row>
        <row r="97">
          <cell r="C97" t="str">
            <v>Thảo Vy</v>
          </cell>
          <cell r="E97" t="str">
            <v>Đội 2</v>
          </cell>
          <cell r="AJ97">
            <v>107</v>
          </cell>
          <cell r="AK97">
            <v>107</v>
          </cell>
        </row>
        <row r="98">
          <cell r="C98" t="str">
            <v>Nàng Thỏng</v>
          </cell>
          <cell r="E98" t="str">
            <v>Đội 2</v>
          </cell>
          <cell r="AJ98">
            <v>107</v>
          </cell>
          <cell r="AK98">
            <v>107</v>
          </cell>
        </row>
        <row r="99">
          <cell r="C99" t="str">
            <v>Chen Tho</v>
          </cell>
          <cell r="E99" t="str">
            <v>Đội 2</v>
          </cell>
          <cell r="AJ99">
            <v>55</v>
          </cell>
          <cell r="AK99">
            <v>55</v>
          </cell>
        </row>
        <row r="100">
          <cell r="C100" t="str">
            <v>A Luốt</v>
          </cell>
          <cell r="E100" t="str">
            <v>Đội 2</v>
          </cell>
          <cell r="AJ100">
            <v>41</v>
          </cell>
          <cell r="AK100">
            <v>41</v>
          </cell>
        </row>
        <row r="101">
          <cell r="C101" t="str">
            <v>Măng Lau</v>
          </cell>
          <cell r="E101" t="str">
            <v>Đội 2</v>
          </cell>
          <cell r="AJ101">
            <v>55</v>
          </cell>
          <cell r="AK101">
            <v>55</v>
          </cell>
        </row>
        <row r="102">
          <cell r="C102" t="str">
            <v>Con Tho</v>
          </cell>
          <cell r="E102" t="str">
            <v>Đội 2</v>
          </cell>
          <cell r="AJ102">
            <v>56</v>
          </cell>
          <cell r="AK102">
            <v>56</v>
          </cell>
        </row>
        <row r="103">
          <cell r="C103" t="str">
            <v>Thăm Den</v>
          </cell>
          <cell r="E103" t="str">
            <v>Đội 2</v>
          </cell>
          <cell r="AJ103">
            <v>96</v>
          </cell>
          <cell r="AK103">
            <v>96</v>
          </cell>
        </row>
        <row r="104">
          <cell r="C104" t="str">
            <v xml:space="preserve">Thảo Tươi </v>
          </cell>
          <cell r="E104" t="str">
            <v>Đội 2</v>
          </cell>
          <cell r="AJ104">
            <v>210</v>
          </cell>
          <cell r="AK104">
            <v>210</v>
          </cell>
        </row>
        <row r="105">
          <cell r="C105" t="str">
            <v>Thảo Thong Veo</v>
          </cell>
          <cell r="E105" t="str">
            <v>Đội 2</v>
          </cell>
          <cell r="AJ105">
            <v>104</v>
          </cell>
          <cell r="AK105">
            <v>104</v>
          </cell>
        </row>
        <row r="106">
          <cell r="C106" t="str">
            <v>Thong Veo (2)</v>
          </cell>
          <cell r="E106" t="str">
            <v>Đội 2</v>
          </cell>
          <cell r="AJ106">
            <v>104</v>
          </cell>
          <cell r="AK106">
            <v>104</v>
          </cell>
        </row>
        <row r="107">
          <cell r="C107" t="str">
            <v>Nàng Bua Khăm</v>
          </cell>
          <cell r="E107" t="str">
            <v>Đội 2</v>
          </cell>
          <cell r="AJ107">
            <v>104</v>
          </cell>
          <cell r="AK107">
            <v>104</v>
          </cell>
        </row>
        <row r="108">
          <cell r="C108" t="str">
            <v>Thảo Đen  (2)</v>
          </cell>
          <cell r="E108" t="str">
            <v>Đội 2</v>
          </cell>
          <cell r="AJ108">
            <v>75</v>
          </cell>
          <cell r="AK108">
            <v>75</v>
          </cell>
        </row>
        <row r="109">
          <cell r="C109" t="str">
            <v>Thảo Vông</v>
          </cell>
          <cell r="E109" t="str">
            <v>Đội 2</v>
          </cell>
          <cell r="AJ109">
            <v>103</v>
          </cell>
          <cell r="AK109">
            <v>103</v>
          </cell>
        </row>
        <row r="110">
          <cell r="C110" t="str">
            <v>Thảo Đen</v>
          </cell>
          <cell r="E110" t="str">
            <v>Đội 2</v>
          </cell>
          <cell r="AJ110">
            <v>75</v>
          </cell>
          <cell r="AK110">
            <v>75</v>
          </cell>
        </row>
        <row r="111">
          <cell r="C111" t="str">
            <v>Nàng Nâu</v>
          </cell>
          <cell r="E111" t="str">
            <v>Đội 2</v>
          </cell>
          <cell r="AJ111">
            <v>75</v>
          </cell>
          <cell r="AK111">
            <v>75</v>
          </cell>
        </row>
        <row r="112">
          <cell r="C112" t="str">
            <v>Thảo Bua Khăm</v>
          </cell>
          <cell r="E112" t="str">
            <v>Đội 2</v>
          </cell>
          <cell r="AJ112">
            <v>46</v>
          </cell>
          <cell r="AK112">
            <v>46</v>
          </cell>
        </row>
        <row r="113">
          <cell r="C113" t="str">
            <v>Thảo Săm Lết</v>
          </cell>
          <cell r="E113" t="str">
            <v>Đội 2</v>
          </cell>
          <cell r="AJ113">
            <v>61</v>
          </cell>
          <cell r="AK113">
            <v>61</v>
          </cell>
        </row>
        <row r="114">
          <cell r="C114" t="str">
            <v>A Beo</v>
          </cell>
          <cell r="E114" t="str">
            <v>Đội 2</v>
          </cell>
          <cell r="AJ114">
            <v>60</v>
          </cell>
          <cell r="AK114">
            <v>60</v>
          </cell>
        </row>
        <row r="115">
          <cell r="C115" t="str">
            <v>Tà Pệc</v>
          </cell>
          <cell r="E115" t="str">
            <v>Đội 2</v>
          </cell>
          <cell r="AJ115">
            <v>58</v>
          </cell>
          <cell r="AK115">
            <v>58</v>
          </cell>
        </row>
        <row r="116">
          <cell r="C116" t="str">
            <v>Khăm Phoong</v>
          </cell>
          <cell r="E116" t="str">
            <v>Đội 2</v>
          </cell>
          <cell r="AJ116">
            <v>49</v>
          </cell>
          <cell r="AK116">
            <v>49</v>
          </cell>
        </row>
        <row r="117">
          <cell r="C117" t="str">
            <v>Thảo Nhui</v>
          </cell>
          <cell r="E117" t="str">
            <v>Đội 2</v>
          </cell>
          <cell r="AJ117">
            <v>97</v>
          </cell>
          <cell r="AK117">
            <v>97</v>
          </cell>
        </row>
        <row r="118">
          <cell r="C118" t="str">
            <v>Thảo Nọi</v>
          </cell>
          <cell r="E118" t="str">
            <v>Đội 2</v>
          </cell>
          <cell r="AJ118">
            <v>107</v>
          </cell>
          <cell r="AK118">
            <v>107</v>
          </cell>
        </row>
        <row r="119">
          <cell r="C119" t="str">
            <v>Nàng Thong</v>
          </cell>
          <cell r="E119" t="str">
            <v>Đội 2</v>
          </cell>
          <cell r="AJ119">
            <v>113</v>
          </cell>
          <cell r="AK119">
            <v>113</v>
          </cell>
        </row>
        <row r="120">
          <cell r="C120" t="str">
            <v>Thảo Phò Mực</v>
          </cell>
          <cell r="E120" t="str">
            <v>Đội 2</v>
          </cell>
          <cell r="AJ120">
            <v>57</v>
          </cell>
          <cell r="AK120">
            <v>57</v>
          </cell>
        </row>
        <row r="121">
          <cell r="C121" t="str">
            <v>Thảo Von</v>
          </cell>
          <cell r="E121" t="str">
            <v>Đội 2</v>
          </cell>
          <cell r="AJ121">
            <v>86</v>
          </cell>
          <cell r="AK121">
            <v>86</v>
          </cell>
        </row>
        <row r="122">
          <cell r="C122" t="str">
            <v>Thảo Ký</v>
          </cell>
          <cell r="E122" t="str">
            <v>Đội 2</v>
          </cell>
          <cell r="AI122">
            <v>127</v>
          </cell>
          <cell r="AJ122">
            <v>110</v>
          </cell>
          <cell r="AK122">
            <v>237</v>
          </cell>
        </row>
        <row r="123">
          <cell r="C123" t="str">
            <v>Nàng Nạ</v>
          </cell>
          <cell r="E123" t="str">
            <v>Đội 2</v>
          </cell>
          <cell r="AI123">
            <v>126</v>
          </cell>
          <cell r="AJ123">
            <v>111</v>
          </cell>
          <cell r="AK123">
            <v>237</v>
          </cell>
        </row>
        <row r="124">
          <cell r="C124" t="str">
            <v>Thảo Xin Xay</v>
          </cell>
          <cell r="E124" t="str">
            <v>Đội 2</v>
          </cell>
          <cell r="AJ124">
            <v>91</v>
          </cell>
          <cell r="AK124">
            <v>91</v>
          </cell>
        </row>
        <row r="125">
          <cell r="C125" t="str">
            <v>Thảo Xy</v>
          </cell>
          <cell r="E125" t="str">
            <v>Đội 2</v>
          </cell>
          <cell r="AJ125">
            <v>81</v>
          </cell>
          <cell r="AK125">
            <v>81</v>
          </cell>
        </row>
        <row r="126">
          <cell r="C126" t="str">
            <v>Nàng Xy Thong</v>
          </cell>
          <cell r="E126" t="str">
            <v>Đội 2</v>
          </cell>
          <cell r="AJ126">
            <v>82</v>
          </cell>
          <cell r="AK126">
            <v>82</v>
          </cell>
        </row>
        <row r="127">
          <cell r="C127" t="str">
            <v>Thảo Sen</v>
          </cell>
          <cell r="E127" t="str">
            <v>Đội 2</v>
          </cell>
          <cell r="AJ127">
            <v>57</v>
          </cell>
          <cell r="AK127">
            <v>57</v>
          </cell>
        </row>
        <row r="128">
          <cell r="C128" t="str">
            <v>Thảo Khêm</v>
          </cell>
          <cell r="E128" t="str">
            <v>Đội 2</v>
          </cell>
          <cell r="AJ128">
            <v>83</v>
          </cell>
          <cell r="AK128">
            <v>83</v>
          </cell>
        </row>
        <row r="129">
          <cell r="C129" t="str">
            <v>Thảo Khăm Say</v>
          </cell>
          <cell r="E129" t="str">
            <v>Đội 2</v>
          </cell>
          <cell r="AJ129">
            <v>115</v>
          </cell>
          <cell r="AK129">
            <v>115</v>
          </cell>
        </row>
        <row r="130">
          <cell r="C130" t="str">
            <v>Thảo Pho Lâu A</v>
          </cell>
          <cell r="E130" t="str">
            <v>Đội 2</v>
          </cell>
          <cell r="AJ130">
            <v>61</v>
          </cell>
          <cell r="AK130">
            <v>61</v>
          </cell>
        </row>
        <row r="131">
          <cell r="C131" t="str">
            <v>Thảo Pho Lâu B</v>
          </cell>
          <cell r="E131" t="str">
            <v>Đội 2</v>
          </cell>
          <cell r="AJ131">
            <v>61</v>
          </cell>
          <cell r="AK131">
            <v>61</v>
          </cell>
        </row>
        <row r="132">
          <cell r="C132" t="str">
            <v>Thảo Lẹ</v>
          </cell>
          <cell r="E132" t="str">
            <v>Đội 2</v>
          </cell>
          <cell r="AJ132">
            <v>83</v>
          </cell>
          <cell r="AK132">
            <v>83</v>
          </cell>
        </row>
        <row r="133">
          <cell r="C133" t="str">
            <v>Thảo Lôi</v>
          </cell>
          <cell r="E133" t="str">
            <v>Đội 2</v>
          </cell>
          <cell r="AJ133">
            <v>83</v>
          </cell>
          <cell r="AK133">
            <v>83</v>
          </cell>
        </row>
        <row r="134">
          <cell r="C134" t="str">
            <v>Thảo Cho</v>
          </cell>
          <cell r="E134" t="str">
            <v>Đội 2</v>
          </cell>
          <cell r="AJ134">
            <v>115</v>
          </cell>
          <cell r="AK134">
            <v>115</v>
          </cell>
        </row>
        <row r="135">
          <cell r="C135" t="str">
            <v>Bun Phết</v>
          </cell>
          <cell r="E135" t="str">
            <v>Đội 2</v>
          </cell>
          <cell r="AJ135">
            <v>36</v>
          </cell>
          <cell r="AK135">
            <v>36</v>
          </cell>
        </row>
        <row r="136">
          <cell r="C136" t="str">
            <v>Thảo Chay</v>
          </cell>
          <cell r="E136" t="str">
            <v>Đội 2</v>
          </cell>
          <cell r="AJ136">
            <v>37</v>
          </cell>
          <cell r="AK136">
            <v>37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1508</v>
          </cell>
          <cell r="AK137">
            <v>1508</v>
          </cell>
        </row>
        <row r="138">
          <cell r="C138" t="str">
            <v>Cha Chiệp</v>
          </cell>
          <cell r="E138" t="str">
            <v>Đội 2</v>
          </cell>
          <cell r="AJ138">
            <v>58</v>
          </cell>
          <cell r="AK138">
            <v>58</v>
          </cell>
        </row>
        <row r="139">
          <cell r="C139" t="str">
            <v>A Nem</v>
          </cell>
          <cell r="E139" t="str">
            <v>Đội 2</v>
          </cell>
          <cell r="AJ139">
            <v>64</v>
          </cell>
          <cell r="AK139">
            <v>64</v>
          </cell>
        </row>
        <row r="140">
          <cell r="C140" t="str">
            <v>Mèo</v>
          </cell>
          <cell r="E140" t="str">
            <v>Đội 2</v>
          </cell>
          <cell r="AJ140">
            <v>77</v>
          </cell>
          <cell r="AK140">
            <v>77</v>
          </cell>
        </row>
        <row r="141">
          <cell r="C141" t="str">
            <v>Bò Khiên</v>
          </cell>
          <cell r="E141" t="str">
            <v>Đội 2</v>
          </cell>
          <cell r="AJ141">
            <v>72</v>
          </cell>
          <cell r="AK141">
            <v>72</v>
          </cell>
        </row>
        <row r="142">
          <cell r="C142" t="str">
            <v>A Thay</v>
          </cell>
          <cell r="E142" t="str">
            <v>Đội 2</v>
          </cell>
          <cell r="AJ142">
            <v>59</v>
          </cell>
          <cell r="AK142">
            <v>59</v>
          </cell>
        </row>
        <row r="143">
          <cell r="C143" t="str">
            <v>A Thưng</v>
          </cell>
          <cell r="E143" t="str">
            <v>Đội 2</v>
          </cell>
          <cell r="AJ143">
            <v>59</v>
          </cell>
          <cell r="AK143">
            <v>59</v>
          </cell>
        </row>
        <row r="144">
          <cell r="C144" t="str">
            <v>Đốt</v>
          </cell>
          <cell r="E144" t="str">
            <v>Đội 2</v>
          </cell>
          <cell r="AJ144">
            <v>44</v>
          </cell>
          <cell r="AK144">
            <v>44</v>
          </cell>
        </row>
        <row r="145">
          <cell r="C145" t="str">
            <v>Phò Phòm</v>
          </cell>
          <cell r="E145" t="str">
            <v>Đội 2</v>
          </cell>
          <cell r="AJ145">
            <v>88</v>
          </cell>
          <cell r="AK145">
            <v>88</v>
          </cell>
        </row>
        <row r="146">
          <cell r="C146" t="str">
            <v>A Hồng</v>
          </cell>
          <cell r="E146" t="str">
            <v>Đội 2</v>
          </cell>
          <cell r="AJ146">
            <v>40</v>
          </cell>
          <cell r="AK146">
            <v>40</v>
          </cell>
        </row>
        <row r="147">
          <cell r="C147" t="str">
            <v>Xơm Mái</v>
          </cell>
          <cell r="E147" t="str">
            <v>Đội 2</v>
          </cell>
          <cell r="AJ147">
            <v>40</v>
          </cell>
          <cell r="AK147">
            <v>40</v>
          </cell>
        </row>
        <row r="148">
          <cell r="C148" t="str">
            <v>Cha Măn</v>
          </cell>
          <cell r="E148" t="str">
            <v>Đội 2</v>
          </cell>
          <cell r="AJ148">
            <v>57</v>
          </cell>
          <cell r="AK148">
            <v>57</v>
          </cell>
        </row>
        <row r="149">
          <cell r="C149" t="str">
            <v>Nhung</v>
          </cell>
          <cell r="E149" t="str">
            <v>Đội 2</v>
          </cell>
          <cell r="AJ149">
            <v>59</v>
          </cell>
          <cell r="AK149">
            <v>59</v>
          </cell>
        </row>
        <row r="150">
          <cell r="C150" t="str">
            <v>A Bối</v>
          </cell>
          <cell r="E150" t="str">
            <v>Đội 2</v>
          </cell>
          <cell r="AJ150">
            <v>83</v>
          </cell>
          <cell r="AK150">
            <v>83</v>
          </cell>
        </row>
        <row r="151">
          <cell r="C151" t="str">
            <v>Chiệp</v>
          </cell>
          <cell r="E151" t="str">
            <v>Đội 2</v>
          </cell>
          <cell r="AJ151">
            <v>61</v>
          </cell>
          <cell r="AK151">
            <v>61</v>
          </cell>
        </row>
        <row r="152">
          <cell r="C152" t="str">
            <v>Phon</v>
          </cell>
          <cell r="E152" t="str">
            <v>Đội 2</v>
          </cell>
          <cell r="AJ152">
            <v>40</v>
          </cell>
          <cell r="AK152">
            <v>40</v>
          </cell>
        </row>
        <row r="153">
          <cell r="C153" t="str">
            <v>Minh</v>
          </cell>
          <cell r="E153" t="str">
            <v>Đội 2</v>
          </cell>
          <cell r="AJ153">
            <v>40</v>
          </cell>
          <cell r="AK153">
            <v>40</v>
          </cell>
        </row>
        <row r="154">
          <cell r="C154" t="str">
            <v>A Pan</v>
          </cell>
          <cell r="E154" t="str">
            <v>Đội 2</v>
          </cell>
          <cell r="AJ154">
            <v>57</v>
          </cell>
          <cell r="AK154">
            <v>57</v>
          </cell>
        </row>
        <row r="155">
          <cell r="C155" t="str">
            <v>A Phương</v>
          </cell>
          <cell r="E155" t="str">
            <v>Đội 2</v>
          </cell>
          <cell r="AJ155">
            <v>51</v>
          </cell>
          <cell r="AK155">
            <v>51</v>
          </cell>
        </row>
        <row r="156">
          <cell r="C156" t="str">
            <v>Nàng Nọi</v>
          </cell>
          <cell r="E156" t="str">
            <v>Đội 2</v>
          </cell>
          <cell r="AJ156">
            <v>142</v>
          </cell>
          <cell r="AK156">
            <v>142</v>
          </cell>
        </row>
        <row r="157">
          <cell r="C157" t="str">
            <v>A Lúc</v>
          </cell>
          <cell r="E157" t="str">
            <v>Đội 2</v>
          </cell>
          <cell r="AJ157">
            <v>74</v>
          </cell>
          <cell r="AK157">
            <v>74</v>
          </cell>
        </row>
        <row r="158">
          <cell r="C158" t="str">
            <v>Phò Thưng</v>
          </cell>
          <cell r="E158" t="str">
            <v>Đội 2</v>
          </cell>
          <cell r="AJ158">
            <v>116</v>
          </cell>
          <cell r="AK158">
            <v>116</v>
          </cell>
        </row>
        <row r="159">
          <cell r="C159" t="str">
            <v>A Tè</v>
          </cell>
          <cell r="E159" t="str">
            <v>Đội 2</v>
          </cell>
          <cell r="AK159">
            <v>0</v>
          </cell>
        </row>
        <row r="160">
          <cell r="C160" t="str">
            <v>Xóm Chết</v>
          </cell>
          <cell r="E160" t="str">
            <v>Đội 2</v>
          </cell>
          <cell r="AJ160">
            <v>127</v>
          </cell>
          <cell r="AK160">
            <v>127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1700</v>
          </cell>
          <cell r="AK161">
            <v>1700</v>
          </cell>
        </row>
        <row r="162">
          <cell r="C162" t="str">
            <v>Thông Đăm</v>
          </cell>
          <cell r="E162" t="str">
            <v>Đội 3</v>
          </cell>
          <cell r="AJ162">
            <v>80</v>
          </cell>
          <cell r="AK162">
            <v>80</v>
          </cell>
        </row>
        <row r="163">
          <cell r="C163" t="str">
            <v>A Bươi</v>
          </cell>
          <cell r="E163" t="str">
            <v>Đội 3</v>
          </cell>
          <cell r="AJ163">
            <v>45</v>
          </cell>
          <cell r="AK163">
            <v>45</v>
          </cell>
        </row>
        <row r="164">
          <cell r="C164" t="str">
            <v>Lun</v>
          </cell>
          <cell r="E164" t="str">
            <v>Đội 3</v>
          </cell>
          <cell r="AJ164">
            <v>0</v>
          </cell>
          <cell r="AK164">
            <v>0</v>
          </cell>
        </row>
        <row r="165">
          <cell r="C165" t="str">
            <v>A Phay</v>
          </cell>
          <cell r="E165" t="str">
            <v>Đội 3</v>
          </cell>
          <cell r="AJ165">
            <v>50</v>
          </cell>
          <cell r="AK165">
            <v>50</v>
          </cell>
        </row>
        <row r="166">
          <cell r="C166" t="str">
            <v>A Pon</v>
          </cell>
          <cell r="E166" t="str">
            <v>Đội 3</v>
          </cell>
          <cell r="AJ166">
            <v>55</v>
          </cell>
          <cell r="AK166">
            <v>55</v>
          </cell>
        </row>
        <row r="167">
          <cell r="C167" t="str">
            <v>Ta Lốt</v>
          </cell>
          <cell r="E167" t="str">
            <v>Đội 3</v>
          </cell>
          <cell r="AJ167">
            <v>35</v>
          </cell>
          <cell r="AK167">
            <v>35</v>
          </cell>
        </row>
        <row r="168">
          <cell r="C168" t="str">
            <v>Phò Lăng</v>
          </cell>
          <cell r="E168" t="str">
            <v>Đội 3</v>
          </cell>
          <cell r="AJ168">
            <v>43</v>
          </cell>
          <cell r="AK168">
            <v>43</v>
          </cell>
        </row>
        <row r="169">
          <cell r="C169" t="str">
            <v>A Têng</v>
          </cell>
          <cell r="E169" t="str">
            <v>Đội 3</v>
          </cell>
          <cell r="AJ169">
            <v>42</v>
          </cell>
          <cell r="AK169">
            <v>42</v>
          </cell>
        </row>
        <row r="170">
          <cell r="C170" t="str">
            <v>Ói</v>
          </cell>
          <cell r="E170" t="str">
            <v>Đội 3</v>
          </cell>
          <cell r="AJ170">
            <v>54</v>
          </cell>
          <cell r="AK170">
            <v>54</v>
          </cell>
        </row>
        <row r="171">
          <cell r="C171" t="str">
            <v>Ta Dạt</v>
          </cell>
          <cell r="E171" t="str">
            <v>Đội 3</v>
          </cell>
          <cell r="AJ171">
            <v>39</v>
          </cell>
          <cell r="AK171">
            <v>39</v>
          </cell>
        </row>
        <row r="172">
          <cell r="C172" t="str">
            <v>Ra Măn</v>
          </cell>
          <cell r="E172" t="str">
            <v>Đội 3</v>
          </cell>
          <cell r="AJ172">
            <v>49</v>
          </cell>
          <cell r="AK172">
            <v>49</v>
          </cell>
        </row>
        <row r="173">
          <cell r="C173" t="str">
            <v>Ta Học</v>
          </cell>
          <cell r="E173" t="str">
            <v>Đội 3</v>
          </cell>
          <cell r="AJ173">
            <v>51</v>
          </cell>
          <cell r="AK173">
            <v>51</v>
          </cell>
        </row>
        <row r="174">
          <cell r="C174" t="str">
            <v>Phò Têng</v>
          </cell>
          <cell r="E174" t="str">
            <v>Đội 3</v>
          </cell>
          <cell r="AJ174">
            <v>82</v>
          </cell>
          <cell r="AK174">
            <v>82</v>
          </cell>
        </row>
        <row r="175">
          <cell r="C175" t="str">
            <v>Ma</v>
          </cell>
          <cell r="E175" t="str">
            <v>Đội 3</v>
          </cell>
          <cell r="AJ175">
            <v>0</v>
          </cell>
          <cell r="AK175">
            <v>0</v>
          </cell>
        </row>
        <row r="176">
          <cell r="C176" t="str">
            <v>Phò Thoong</v>
          </cell>
          <cell r="E176" t="str">
            <v>Đội 3</v>
          </cell>
          <cell r="AJ176">
            <v>45</v>
          </cell>
          <cell r="AK176">
            <v>45</v>
          </cell>
        </row>
        <row r="177">
          <cell r="C177" t="str">
            <v>Cha Hô</v>
          </cell>
          <cell r="E177" t="str">
            <v>Đội 3</v>
          </cell>
          <cell r="AJ177">
            <v>64</v>
          </cell>
          <cell r="AK177">
            <v>64</v>
          </cell>
        </row>
        <row r="178">
          <cell r="C178" t="str">
            <v>Cha Khuất</v>
          </cell>
          <cell r="E178" t="str">
            <v>Đội 3</v>
          </cell>
          <cell r="AJ178">
            <v>42</v>
          </cell>
          <cell r="AK178">
            <v>42</v>
          </cell>
        </row>
        <row r="179">
          <cell r="C179" t="str">
            <v>A Lay</v>
          </cell>
          <cell r="E179" t="str">
            <v>Đội 3</v>
          </cell>
          <cell r="AJ179">
            <v>65</v>
          </cell>
          <cell r="AK179">
            <v>65</v>
          </cell>
        </row>
        <row r="180">
          <cell r="C180" t="str">
            <v>A Lóc</v>
          </cell>
          <cell r="E180" t="str">
            <v>Đội 3</v>
          </cell>
          <cell r="AJ180">
            <v>47</v>
          </cell>
          <cell r="AK180">
            <v>47</v>
          </cell>
        </row>
        <row r="181">
          <cell r="C181" t="str">
            <v>Keo</v>
          </cell>
          <cell r="E181" t="str">
            <v>Đội 3</v>
          </cell>
          <cell r="AJ181">
            <v>84</v>
          </cell>
          <cell r="AK181">
            <v>84</v>
          </cell>
        </row>
        <row r="182">
          <cell r="C182" t="str">
            <v>Ngân</v>
          </cell>
          <cell r="E182" t="str">
            <v>Đội 3</v>
          </cell>
          <cell r="AJ182">
            <v>73</v>
          </cell>
          <cell r="AK182">
            <v>73</v>
          </cell>
        </row>
        <row r="183">
          <cell r="C183" t="str">
            <v>A Tay</v>
          </cell>
          <cell r="E183" t="str">
            <v>Đội 3</v>
          </cell>
          <cell r="AJ183">
            <v>0</v>
          </cell>
          <cell r="AK183">
            <v>0</v>
          </cell>
        </row>
        <row r="184">
          <cell r="C184" t="str">
            <v>A Vêu</v>
          </cell>
          <cell r="E184" t="str">
            <v>Đội 3</v>
          </cell>
          <cell r="AJ184">
            <v>57</v>
          </cell>
          <cell r="AK184">
            <v>57</v>
          </cell>
        </row>
        <row r="185">
          <cell r="C185" t="str">
            <v>A Long</v>
          </cell>
          <cell r="E185" t="str">
            <v>Đội 3</v>
          </cell>
          <cell r="AJ185">
            <v>60</v>
          </cell>
          <cell r="AK185">
            <v>60</v>
          </cell>
        </row>
        <row r="186">
          <cell r="C186" t="str">
            <v>Bang</v>
          </cell>
          <cell r="E186" t="str">
            <v>Đội 3</v>
          </cell>
          <cell r="AJ186">
            <v>103</v>
          </cell>
          <cell r="AK186">
            <v>103</v>
          </cell>
        </row>
        <row r="187">
          <cell r="C187" t="str">
            <v>Bun Đương</v>
          </cell>
          <cell r="E187" t="str">
            <v>Đội 3</v>
          </cell>
          <cell r="AJ187">
            <v>44</v>
          </cell>
          <cell r="AK187">
            <v>44</v>
          </cell>
        </row>
        <row r="188">
          <cell r="C188" t="str">
            <v>Phay</v>
          </cell>
          <cell r="E188" t="str">
            <v>Đội 3</v>
          </cell>
          <cell r="AJ188">
            <v>104</v>
          </cell>
          <cell r="AK188">
            <v>104</v>
          </cell>
        </row>
        <row r="189">
          <cell r="C189" t="str">
            <v>Bươi</v>
          </cell>
          <cell r="E189" t="str">
            <v>Đội 3</v>
          </cell>
          <cell r="AJ189">
            <v>90</v>
          </cell>
          <cell r="AK189">
            <v>90</v>
          </cell>
        </row>
        <row r="190">
          <cell r="C190" t="str">
            <v>A Bổ</v>
          </cell>
          <cell r="E190" t="str">
            <v>Đội 3</v>
          </cell>
          <cell r="AJ190">
            <v>108</v>
          </cell>
          <cell r="AK190">
            <v>108</v>
          </cell>
        </row>
        <row r="191">
          <cell r="C191" t="str">
            <v>A Bưng</v>
          </cell>
          <cell r="E191" t="str">
            <v>Đội 3</v>
          </cell>
          <cell r="AJ191">
            <v>89</v>
          </cell>
          <cell r="AK191">
            <v>89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2959</v>
          </cell>
          <cell r="AJ192">
            <v>11287</v>
          </cell>
          <cell r="AK192">
            <v>14246</v>
          </cell>
        </row>
        <row r="194">
          <cell r="E194" t="str">
            <v>STT</v>
          </cell>
          <cell r="H194" t="str">
            <v>SỐ CÔNG NHÂN</v>
          </cell>
          <cell r="O194" t="str">
            <v>HẠNG KỸ THUẬT</v>
          </cell>
          <cell r="W194" t="str">
            <v>SẢN LƯỢNG MỦ TẠP ( KG)</v>
          </cell>
          <cell r="AD194" t="str">
            <v>SẢN LƯỢNG TẠP QUI KHÔ TẠM TÍNH 40,00 % ( KG)</v>
          </cell>
          <cell r="AK194" t="str">
            <v>GHI CHÚ</v>
          </cell>
        </row>
        <row r="195">
          <cell r="E195" t="str">
            <v>I</v>
          </cell>
          <cell r="H195" t="str">
            <v>CN chính thức</v>
          </cell>
          <cell r="W195">
            <v>14246</v>
          </cell>
          <cell r="AD195">
            <v>5698.4000000000015</v>
          </cell>
        </row>
        <row r="196">
          <cell r="E196">
            <v>1</v>
          </cell>
          <cell r="H196">
            <v>128</v>
          </cell>
          <cell r="O196" t="str">
            <v>A</v>
          </cell>
          <cell r="W196">
            <v>11163</v>
          </cell>
          <cell r="AD196">
            <v>4465.2000000000016</v>
          </cell>
        </row>
        <row r="197">
          <cell r="E197">
            <v>2</v>
          </cell>
          <cell r="H197">
            <v>44</v>
          </cell>
          <cell r="O197" t="str">
            <v>B</v>
          </cell>
          <cell r="W197">
            <v>3083</v>
          </cell>
          <cell r="AD197">
            <v>1233.1999999999998</v>
          </cell>
        </row>
        <row r="198">
          <cell r="E198">
            <v>3</v>
          </cell>
          <cell r="H198">
            <v>0</v>
          </cell>
          <cell r="O198" t="str">
            <v>C</v>
          </cell>
          <cell r="W198">
            <v>0</v>
          </cell>
          <cell r="AD198">
            <v>0</v>
          </cell>
        </row>
        <row r="199">
          <cell r="E199">
            <v>4</v>
          </cell>
          <cell r="H199">
            <v>0</v>
          </cell>
          <cell r="O199" t="str">
            <v>D</v>
          </cell>
          <cell r="W199">
            <v>0</v>
          </cell>
          <cell r="AD199">
            <v>0</v>
          </cell>
        </row>
        <row r="200">
          <cell r="E200" t="str">
            <v>II</v>
          </cell>
          <cell r="H200" t="str">
            <v>CN thay thế</v>
          </cell>
          <cell r="W200">
            <v>0</v>
          </cell>
          <cell r="AD200">
            <v>0</v>
          </cell>
        </row>
        <row r="201">
          <cell r="E201">
            <v>1</v>
          </cell>
          <cell r="O201" t="str">
            <v>B</v>
          </cell>
        </row>
        <row r="202">
          <cell r="E202">
            <v>1</v>
          </cell>
          <cell r="H202">
            <v>4</v>
          </cell>
          <cell r="O202" t="str">
            <v>C</v>
          </cell>
          <cell r="W202">
            <v>0</v>
          </cell>
          <cell r="AD202">
            <v>0</v>
          </cell>
        </row>
        <row r="203">
          <cell r="E203" t="str">
            <v>TỔNG</v>
          </cell>
          <cell r="H203">
            <v>176</v>
          </cell>
          <cell r="W203">
            <v>14246</v>
          </cell>
          <cell r="AD203">
            <v>5698.4000000000015</v>
          </cell>
        </row>
        <row r="204">
          <cell r="AK204" t="str">
            <v>Huyện Noong, ngày 31 tháng 07 năm 2024</v>
          </cell>
        </row>
        <row r="205">
          <cell r="H205" t="str">
            <v>PHÒNG KT- NN</v>
          </cell>
          <cell r="Q205" t="str">
            <v>GIÁM ĐỐC NT</v>
          </cell>
          <cell r="Y205" t="str">
            <v>TL. TC - KT</v>
          </cell>
          <cell r="AF205" t="str">
            <v>TL.KH -NN</v>
          </cell>
          <cell r="AK205" t="str">
            <v xml:space="preserve">     NGƯỜI LẬP</v>
          </cell>
        </row>
        <row r="213">
          <cell r="I213" t="str">
            <v>ĐỘI 3</v>
          </cell>
          <cell r="Q213" t="str">
            <v>ĐỘI 2 TP</v>
          </cell>
          <cell r="X213" t="str">
            <v>ĐỘI 2 TC</v>
          </cell>
          <cell r="AG213" t="str">
            <v>ĐỘI 1 XT</v>
          </cell>
          <cell r="AK213" t="str">
            <v xml:space="preserve">      ĐỘI 1 KX</v>
          </cell>
        </row>
      </sheetData>
      <sheetData sheetId="64"/>
      <sheetData sheetId="65"/>
      <sheetData sheetId="6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"/>
      <sheetName val="Mu cong nhan"/>
      <sheetName val="kY THUAT"/>
    </sheetNames>
    <sheetDataSet>
      <sheetData sheetId="0">
        <row r="8">
          <cell r="B8" t="str">
            <v>Xom Chết</v>
          </cell>
          <cell r="C8" t="str">
            <v>01278</v>
          </cell>
          <cell r="D8" t="str">
            <v>Đội 1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CN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CN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CN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24</v>
          </cell>
          <cell r="AK8">
            <v>3</v>
          </cell>
          <cell r="AL8">
            <v>27</v>
          </cell>
        </row>
        <row r="9">
          <cell r="B9" t="str">
            <v>Khai</v>
          </cell>
          <cell r="C9" t="str">
            <v>01290</v>
          </cell>
          <cell r="D9" t="str">
            <v>Đội 1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CN</v>
          </cell>
          <cell r="L9" t="str">
            <v>X</v>
          </cell>
          <cell r="M9" t="str">
            <v>X</v>
          </cell>
          <cell r="N9" t="str">
            <v>X</v>
          </cell>
          <cell r="O9">
            <v>0</v>
          </cell>
          <cell r="P9" t="str">
            <v>X</v>
          </cell>
          <cell r="Q9" t="str">
            <v>X</v>
          </cell>
          <cell r="R9" t="str">
            <v>CN</v>
          </cell>
          <cell r="S9" t="str">
            <v>X</v>
          </cell>
          <cell r="T9">
            <v>0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CN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22</v>
          </cell>
          <cell r="AK9">
            <v>3</v>
          </cell>
          <cell r="AL9">
            <v>25</v>
          </cell>
        </row>
        <row r="10">
          <cell r="B10" t="str">
            <v>A Lưng</v>
          </cell>
          <cell r="C10" t="str">
            <v>01991</v>
          </cell>
          <cell r="D10" t="str">
            <v>Đội 1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CN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CN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CN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24</v>
          </cell>
          <cell r="AK10">
            <v>3</v>
          </cell>
          <cell r="AL10">
            <v>27</v>
          </cell>
        </row>
        <row r="11">
          <cell r="B11" t="str">
            <v>Bước</v>
          </cell>
          <cell r="C11" t="str">
            <v>01294</v>
          </cell>
          <cell r="D11" t="str">
            <v>Đội 1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CN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CN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CN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24</v>
          </cell>
          <cell r="AK11">
            <v>3</v>
          </cell>
          <cell r="AL11">
            <v>27</v>
          </cell>
        </row>
        <row r="12">
          <cell r="B12" t="str">
            <v>P Lo</v>
          </cell>
          <cell r="C12" t="str">
            <v>01285</v>
          </cell>
          <cell r="D12" t="str">
            <v>Đội 1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CN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CN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CN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24</v>
          </cell>
          <cell r="AK12">
            <v>3</v>
          </cell>
          <cell r="AL12">
            <v>27</v>
          </cell>
        </row>
        <row r="13">
          <cell r="B13" t="str">
            <v>A Tiên</v>
          </cell>
          <cell r="C13" t="str">
            <v>01286</v>
          </cell>
          <cell r="D13" t="str">
            <v>Đội 1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CN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CN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CN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24</v>
          </cell>
          <cell r="AK13">
            <v>3</v>
          </cell>
          <cell r="AL13">
            <v>27</v>
          </cell>
        </row>
        <row r="14">
          <cell r="B14" t="str">
            <v>Thanh</v>
          </cell>
          <cell r="C14" t="str">
            <v>01282</v>
          </cell>
          <cell r="D14" t="str">
            <v>Đội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CN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CN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CN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24</v>
          </cell>
          <cell r="AK14">
            <v>3</v>
          </cell>
          <cell r="AL14">
            <v>27</v>
          </cell>
        </row>
        <row r="15">
          <cell r="B15" t="str">
            <v>Tà Khơ</v>
          </cell>
          <cell r="C15" t="str">
            <v>01283</v>
          </cell>
          <cell r="D15" t="str">
            <v>Đội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CN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CN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X</v>
          </cell>
          <cell r="X15" t="str">
            <v>X</v>
          </cell>
          <cell r="Y15" t="str">
            <v>CN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24</v>
          </cell>
          <cell r="AK15">
            <v>3</v>
          </cell>
          <cell r="AL15">
            <v>27</v>
          </cell>
        </row>
        <row r="16">
          <cell r="B16" t="str">
            <v>A Len</v>
          </cell>
          <cell r="C16" t="str">
            <v>01289</v>
          </cell>
          <cell r="D16" t="str">
            <v>Đội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CN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CN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CN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24</v>
          </cell>
          <cell r="AK16">
            <v>3</v>
          </cell>
          <cell r="AL16">
            <v>27</v>
          </cell>
        </row>
        <row r="17">
          <cell r="B17" t="str">
            <v>Xà Ngái</v>
          </cell>
          <cell r="C17" t="str">
            <v>01281</v>
          </cell>
          <cell r="D17" t="str">
            <v>Đội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CN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CN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CN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24</v>
          </cell>
          <cell r="AK17">
            <v>3</v>
          </cell>
          <cell r="AL17">
            <v>27</v>
          </cell>
        </row>
        <row r="18">
          <cell r="B18" t="str">
            <v>Ngân</v>
          </cell>
          <cell r="C18" t="str">
            <v>01993</v>
          </cell>
          <cell r="D18" t="str">
            <v>Đội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CN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CN</v>
          </cell>
          <cell r="S18" t="str">
            <v>X</v>
          </cell>
          <cell r="T18" t="str">
            <v>X</v>
          </cell>
          <cell r="U18" t="str">
            <v>X</v>
          </cell>
          <cell r="V18" t="str">
            <v>X</v>
          </cell>
          <cell r="W18" t="str">
            <v>X</v>
          </cell>
          <cell r="X18" t="str">
            <v>X</v>
          </cell>
          <cell r="Y18" t="str">
            <v>CN</v>
          </cell>
          <cell r="Z18" t="str">
            <v>X</v>
          </cell>
          <cell r="AA18" t="str">
            <v>X</v>
          </cell>
          <cell r="AB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24</v>
          </cell>
          <cell r="AK18">
            <v>3</v>
          </cell>
          <cell r="AL18">
            <v>27</v>
          </cell>
        </row>
        <row r="19">
          <cell r="B19" t="str">
            <v>Cuôn Ngoc Sáng</v>
          </cell>
          <cell r="C19" t="str">
            <v>01302</v>
          </cell>
          <cell r="D19" t="str">
            <v>Đội 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CN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CN</v>
          </cell>
          <cell r="S19" t="str">
            <v>X</v>
          </cell>
          <cell r="T19" t="str">
            <v>X</v>
          </cell>
          <cell r="U19" t="str">
            <v>X</v>
          </cell>
          <cell r="V19" t="str">
            <v>X</v>
          </cell>
          <cell r="W19" t="str">
            <v>X</v>
          </cell>
          <cell r="X19" t="str">
            <v>X</v>
          </cell>
          <cell r="Y19" t="str">
            <v>CN</v>
          </cell>
          <cell r="Z19" t="str">
            <v>X</v>
          </cell>
          <cell r="AA19" t="str">
            <v>X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24</v>
          </cell>
          <cell r="AK19">
            <v>3</v>
          </cell>
          <cell r="AL19">
            <v>27</v>
          </cell>
        </row>
        <row r="20">
          <cell r="B20" t="str">
            <v>Nang En</v>
          </cell>
          <cell r="C20" t="str">
            <v>01303</v>
          </cell>
          <cell r="D20" t="str">
            <v>Đội 1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CN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CN</v>
          </cell>
          <cell r="S20" t="str">
            <v>X</v>
          </cell>
          <cell r="T20" t="str">
            <v>X</v>
          </cell>
          <cell r="U20" t="str">
            <v>X</v>
          </cell>
          <cell r="V20" t="str">
            <v>X</v>
          </cell>
          <cell r="W20" t="str">
            <v>X</v>
          </cell>
          <cell r="X20" t="str">
            <v>X</v>
          </cell>
          <cell r="Y20" t="str">
            <v>CN</v>
          </cell>
          <cell r="Z20" t="str">
            <v>X</v>
          </cell>
          <cell r="AA20" t="str">
            <v>X</v>
          </cell>
          <cell r="AB20" t="str">
            <v>X</v>
          </cell>
          <cell r="AC20" t="str">
            <v>X</v>
          </cell>
          <cell r="AD20" t="str">
            <v>X</v>
          </cell>
          <cell r="AE20" t="str">
            <v>X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24</v>
          </cell>
          <cell r="AK20">
            <v>3</v>
          </cell>
          <cell r="AL20">
            <v>27</v>
          </cell>
        </row>
        <row r="21">
          <cell r="B21" t="str">
            <v>Xã Võ</v>
          </cell>
          <cell r="C21" t="str">
            <v>01292</v>
          </cell>
          <cell r="D21" t="str">
            <v>Đội 1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CN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CN</v>
          </cell>
          <cell r="S21" t="str">
            <v>X</v>
          </cell>
          <cell r="T21" t="str">
            <v>X</v>
          </cell>
          <cell r="U21" t="str">
            <v>X</v>
          </cell>
          <cell r="V21" t="str">
            <v>X</v>
          </cell>
          <cell r="W21" t="str">
            <v>X</v>
          </cell>
          <cell r="X21" t="str">
            <v>X</v>
          </cell>
          <cell r="Y21" t="str">
            <v>CN</v>
          </cell>
          <cell r="Z21" t="str">
            <v>X</v>
          </cell>
          <cell r="AA21" t="str">
            <v>X</v>
          </cell>
          <cell r="AB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24</v>
          </cell>
          <cell r="AK21">
            <v>3</v>
          </cell>
          <cell r="AL21">
            <v>27</v>
          </cell>
        </row>
        <row r="22">
          <cell r="B22" t="str">
            <v>Khươn</v>
          </cell>
          <cell r="C22" t="str">
            <v>01301</v>
          </cell>
          <cell r="D22" t="str">
            <v>Đội 1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CN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CN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  <cell r="W22">
            <v>0</v>
          </cell>
          <cell r="X22" t="str">
            <v>X</v>
          </cell>
          <cell r="Y22">
            <v>0</v>
          </cell>
          <cell r="Z22" t="str">
            <v>X</v>
          </cell>
          <cell r="AA22" t="str">
            <v>X</v>
          </cell>
          <cell r="AB22" t="str">
            <v>X</v>
          </cell>
          <cell r="AC22" t="str">
            <v>X</v>
          </cell>
          <cell r="AD22" t="str">
            <v>X</v>
          </cell>
          <cell r="AE22" t="str">
            <v>X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23</v>
          </cell>
          <cell r="AK22">
            <v>2</v>
          </cell>
          <cell r="AL22">
            <v>25</v>
          </cell>
        </row>
        <row r="23">
          <cell r="B23" t="str">
            <v>A Cát</v>
          </cell>
          <cell r="C23" t="str">
            <v>01298</v>
          </cell>
          <cell r="D23" t="str">
            <v>Đội 1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CN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CN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  <cell r="W23" t="str">
            <v>X</v>
          </cell>
          <cell r="X23" t="str">
            <v>X</v>
          </cell>
          <cell r="Y23" t="str">
            <v>CN</v>
          </cell>
          <cell r="Z23" t="str">
            <v>X</v>
          </cell>
          <cell r="AA23" t="str">
            <v>X</v>
          </cell>
          <cell r="AB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24</v>
          </cell>
          <cell r="AK23">
            <v>3</v>
          </cell>
          <cell r="AL23">
            <v>27</v>
          </cell>
        </row>
        <row r="24">
          <cell r="B24" t="str">
            <v>A Ngen</v>
          </cell>
          <cell r="C24" t="str">
            <v>01280</v>
          </cell>
          <cell r="D24" t="str">
            <v>Đội 1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CN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CN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  <cell r="W24" t="str">
            <v>X</v>
          </cell>
          <cell r="X24" t="str">
            <v>X</v>
          </cell>
          <cell r="Y24" t="str">
            <v>CN</v>
          </cell>
          <cell r="Z24" t="str">
            <v>X</v>
          </cell>
          <cell r="AA24" t="str">
            <v>X</v>
          </cell>
          <cell r="AB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24</v>
          </cell>
          <cell r="AK24">
            <v>3</v>
          </cell>
          <cell r="AL24">
            <v>27</v>
          </cell>
        </row>
        <row r="25">
          <cell r="B25" t="str">
            <v>Phò Súc</v>
          </cell>
          <cell r="C25" t="str">
            <v>01992</v>
          </cell>
          <cell r="D25" t="str">
            <v>Đội 1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CN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CN</v>
          </cell>
          <cell r="S25" t="str">
            <v>X</v>
          </cell>
          <cell r="T25" t="str">
            <v>X</v>
          </cell>
          <cell r="U25" t="str">
            <v>X</v>
          </cell>
          <cell r="V25" t="str">
            <v>X</v>
          </cell>
          <cell r="W25" t="str">
            <v>X</v>
          </cell>
          <cell r="X25" t="str">
            <v>X</v>
          </cell>
          <cell r="Y25" t="str">
            <v>CN</v>
          </cell>
          <cell r="Z25" t="str">
            <v>X</v>
          </cell>
          <cell r="AA25" t="str">
            <v>X</v>
          </cell>
          <cell r="AB25" t="str">
            <v>X</v>
          </cell>
          <cell r="AC25" t="str">
            <v>X</v>
          </cell>
          <cell r="AD25" t="str">
            <v>X</v>
          </cell>
          <cell r="AE25" t="str">
            <v>X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24</v>
          </cell>
          <cell r="AK25">
            <v>3</v>
          </cell>
          <cell r="AL25">
            <v>27</v>
          </cell>
        </row>
        <row r="26">
          <cell r="B26" t="str">
            <v>A Chun</v>
          </cell>
          <cell r="C26" t="str">
            <v>01297</v>
          </cell>
          <cell r="D26" t="str">
            <v>Đội 1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CN</v>
          </cell>
          <cell r="L26" t="str">
            <v>X</v>
          </cell>
          <cell r="M26" t="str">
            <v>X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CN</v>
          </cell>
          <cell r="S26" t="str">
            <v>X</v>
          </cell>
          <cell r="T26" t="str">
            <v>X</v>
          </cell>
          <cell r="U26" t="str">
            <v>X</v>
          </cell>
          <cell r="V26" t="str">
            <v>X</v>
          </cell>
          <cell r="W26" t="str">
            <v>X</v>
          </cell>
          <cell r="X26" t="str">
            <v>X</v>
          </cell>
          <cell r="Y26" t="str">
            <v>CN</v>
          </cell>
          <cell r="Z26" t="str">
            <v>X</v>
          </cell>
          <cell r="AA26" t="str">
            <v>X</v>
          </cell>
          <cell r="AB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24</v>
          </cell>
          <cell r="AK26">
            <v>3</v>
          </cell>
          <cell r="AL26">
            <v>27</v>
          </cell>
        </row>
        <row r="27">
          <cell r="B27" t="str">
            <v>Dã Lay</v>
          </cell>
          <cell r="C27" t="str">
            <v>01296</v>
          </cell>
          <cell r="D27" t="str">
            <v>Đội 1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CN</v>
          </cell>
          <cell r="L27" t="str">
            <v>X</v>
          </cell>
          <cell r="M27" t="str">
            <v>X</v>
          </cell>
          <cell r="N27" t="str">
            <v>X</v>
          </cell>
          <cell r="O27" t="str">
            <v>X</v>
          </cell>
          <cell r="P27" t="str">
            <v>X</v>
          </cell>
          <cell r="Q27" t="str">
            <v>X</v>
          </cell>
          <cell r="R27" t="str">
            <v>CN</v>
          </cell>
          <cell r="S27" t="str">
            <v>X</v>
          </cell>
          <cell r="T27" t="str">
            <v>X</v>
          </cell>
          <cell r="U27" t="str">
            <v>X</v>
          </cell>
          <cell r="V27" t="str">
            <v>X</v>
          </cell>
          <cell r="W27" t="str">
            <v>X</v>
          </cell>
          <cell r="X27" t="str">
            <v>X</v>
          </cell>
          <cell r="Y27" t="str">
            <v>CN</v>
          </cell>
          <cell r="Z27" t="str">
            <v>X</v>
          </cell>
          <cell r="AA27" t="str">
            <v>X</v>
          </cell>
          <cell r="AB27" t="str">
            <v>X</v>
          </cell>
          <cell r="AC27" t="str">
            <v>X</v>
          </cell>
          <cell r="AD27" t="str">
            <v>X</v>
          </cell>
          <cell r="AE27" t="str">
            <v>X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24</v>
          </cell>
          <cell r="AK27">
            <v>3</v>
          </cell>
          <cell r="AL27">
            <v>27</v>
          </cell>
        </row>
        <row r="28">
          <cell r="B28" t="str">
            <v>Banh</v>
          </cell>
          <cell r="C28" t="str">
            <v>01295</v>
          </cell>
          <cell r="D28" t="str">
            <v>Đội 1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CN</v>
          </cell>
          <cell r="L28" t="str">
            <v>X</v>
          </cell>
          <cell r="M28" t="str">
            <v>X</v>
          </cell>
          <cell r="N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CN</v>
          </cell>
          <cell r="S28" t="str">
            <v>X</v>
          </cell>
          <cell r="T28" t="str">
            <v>X</v>
          </cell>
          <cell r="U28" t="str">
            <v>X</v>
          </cell>
          <cell r="V28" t="str">
            <v>X</v>
          </cell>
          <cell r="W28" t="str">
            <v>X</v>
          </cell>
          <cell r="X28" t="str">
            <v>X</v>
          </cell>
          <cell r="Y28" t="str">
            <v>CN</v>
          </cell>
          <cell r="Z28" t="str">
            <v>X</v>
          </cell>
          <cell r="AA28" t="str">
            <v>X</v>
          </cell>
          <cell r="AB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24</v>
          </cell>
          <cell r="AK28">
            <v>3</v>
          </cell>
          <cell r="AL28">
            <v>27</v>
          </cell>
        </row>
        <row r="29">
          <cell r="B29" t="str">
            <v>A Pa Rơ</v>
          </cell>
          <cell r="C29" t="str">
            <v>01293</v>
          </cell>
          <cell r="D29" t="str">
            <v>Đội 1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CN</v>
          </cell>
          <cell r="L29" t="str">
            <v>X</v>
          </cell>
          <cell r="M29" t="str">
            <v>X</v>
          </cell>
          <cell r="N29" t="str">
            <v>X</v>
          </cell>
          <cell r="O29" t="str">
            <v>X</v>
          </cell>
          <cell r="P29" t="str">
            <v>X</v>
          </cell>
          <cell r="Q29" t="str">
            <v>X</v>
          </cell>
          <cell r="R29" t="str">
            <v>CN</v>
          </cell>
          <cell r="S29" t="str">
            <v>X</v>
          </cell>
          <cell r="T29" t="str">
            <v>X</v>
          </cell>
          <cell r="U29" t="str">
            <v>X</v>
          </cell>
          <cell r="V29" t="str">
            <v>X</v>
          </cell>
          <cell r="W29" t="str">
            <v>X</v>
          </cell>
          <cell r="X29" t="str">
            <v>X</v>
          </cell>
          <cell r="Y29" t="str">
            <v>CN</v>
          </cell>
          <cell r="Z29" t="str">
            <v>X</v>
          </cell>
          <cell r="AA29" t="str">
            <v>X</v>
          </cell>
          <cell r="AB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24</v>
          </cell>
          <cell r="AK29">
            <v>3</v>
          </cell>
          <cell r="AL29">
            <v>27</v>
          </cell>
        </row>
        <row r="30">
          <cell r="B30" t="str">
            <v>Mao</v>
          </cell>
          <cell r="C30" t="str">
            <v>01288</v>
          </cell>
          <cell r="D30" t="str">
            <v>Đội 1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CN</v>
          </cell>
          <cell r="L30" t="str">
            <v>X</v>
          </cell>
          <cell r="M30" t="str">
            <v>X</v>
          </cell>
          <cell r="N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CN</v>
          </cell>
          <cell r="S30" t="str">
            <v>X</v>
          </cell>
          <cell r="T30" t="str">
            <v>X</v>
          </cell>
          <cell r="U30" t="str">
            <v>X</v>
          </cell>
          <cell r="V30" t="str">
            <v>X</v>
          </cell>
          <cell r="W30" t="str">
            <v>X</v>
          </cell>
          <cell r="X30" t="str">
            <v>X</v>
          </cell>
          <cell r="Y30" t="str">
            <v>CN</v>
          </cell>
          <cell r="Z30" t="str">
            <v>X</v>
          </cell>
          <cell r="AA30" t="str">
            <v>X</v>
          </cell>
          <cell r="AB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24</v>
          </cell>
          <cell r="AK30">
            <v>3</v>
          </cell>
          <cell r="AL30">
            <v>27</v>
          </cell>
        </row>
        <row r="31">
          <cell r="B31" t="str">
            <v>A Pan</v>
          </cell>
          <cell r="C31" t="str">
            <v>01284</v>
          </cell>
          <cell r="D31" t="str">
            <v>Đội 1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CN</v>
          </cell>
          <cell r="L31" t="str">
            <v>X</v>
          </cell>
          <cell r="M31" t="str">
            <v>X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R31" t="str">
            <v>CN</v>
          </cell>
          <cell r="S31" t="str">
            <v>X</v>
          </cell>
          <cell r="T31" t="str">
            <v>X</v>
          </cell>
          <cell r="U31" t="str">
            <v>X</v>
          </cell>
          <cell r="V31" t="str">
            <v>X</v>
          </cell>
          <cell r="W31" t="str">
            <v>X</v>
          </cell>
          <cell r="X31" t="str">
            <v>X</v>
          </cell>
          <cell r="Y31" t="str">
            <v>CN</v>
          </cell>
          <cell r="Z31" t="str">
            <v>X</v>
          </cell>
          <cell r="AA31" t="str">
            <v>X</v>
          </cell>
          <cell r="AB31" t="str">
            <v>X</v>
          </cell>
          <cell r="AC31" t="str">
            <v>X</v>
          </cell>
          <cell r="AD31" t="str">
            <v>X</v>
          </cell>
          <cell r="AE31" t="str">
            <v>X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24</v>
          </cell>
          <cell r="AK31">
            <v>3</v>
          </cell>
          <cell r="AL31">
            <v>27</v>
          </cell>
        </row>
        <row r="32">
          <cell r="B32" t="str">
            <v>La Hơi</v>
          </cell>
          <cell r="C32" t="str">
            <v>01287</v>
          </cell>
          <cell r="D32" t="str">
            <v>Đội 1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CN</v>
          </cell>
          <cell r="L32" t="str">
            <v>X</v>
          </cell>
          <cell r="M32" t="str">
            <v>X</v>
          </cell>
          <cell r="N32" t="str">
            <v>X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CN</v>
          </cell>
          <cell r="S32" t="str">
            <v>X</v>
          </cell>
          <cell r="T32" t="str">
            <v>X</v>
          </cell>
          <cell r="U32" t="str">
            <v>X</v>
          </cell>
          <cell r="V32" t="str">
            <v>X</v>
          </cell>
          <cell r="W32" t="str">
            <v>X</v>
          </cell>
          <cell r="X32" t="str">
            <v>X</v>
          </cell>
          <cell r="Y32" t="str">
            <v>CN</v>
          </cell>
          <cell r="Z32" t="str">
            <v>X</v>
          </cell>
          <cell r="AA32" t="str">
            <v>X</v>
          </cell>
          <cell r="AB32" t="str">
            <v>X</v>
          </cell>
          <cell r="AC32" t="str">
            <v>X</v>
          </cell>
          <cell r="AD32" t="str">
            <v>X</v>
          </cell>
          <cell r="AE32" t="str">
            <v>X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24</v>
          </cell>
          <cell r="AK32">
            <v>3</v>
          </cell>
          <cell r="AL32">
            <v>27</v>
          </cell>
        </row>
        <row r="33">
          <cell r="B33" t="str">
            <v>Bớp</v>
          </cell>
          <cell r="C33" t="str">
            <v>01299</v>
          </cell>
          <cell r="D33" t="str">
            <v>Đội 1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CN</v>
          </cell>
          <cell r="L33" t="str">
            <v>X</v>
          </cell>
          <cell r="M33" t="str">
            <v>X</v>
          </cell>
          <cell r="N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R33" t="str">
            <v>CN</v>
          </cell>
          <cell r="S33" t="str">
            <v>X</v>
          </cell>
          <cell r="T33" t="str">
            <v>X</v>
          </cell>
          <cell r="U33" t="str">
            <v>X</v>
          </cell>
          <cell r="V33" t="str">
            <v>X</v>
          </cell>
          <cell r="W33" t="str">
            <v>X</v>
          </cell>
          <cell r="X33" t="str">
            <v>X</v>
          </cell>
          <cell r="Y33" t="str">
            <v>CN</v>
          </cell>
          <cell r="Z33" t="str">
            <v>X</v>
          </cell>
          <cell r="AA33" t="str">
            <v>X</v>
          </cell>
          <cell r="AB33" t="str">
            <v>X</v>
          </cell>
          <cell r="AC33" t="str">
            <v>X</v>
          </cell>
          <cell r="AD33" t="str">
            <v>X</v>
          </cell>
          <cell r="AE33" t="str">
            <v>X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24</v>
          </cell>
          <cell r="AK33">
            <v>3</v>
          </cell>
          <cell r="AL33">
            <v>27</v>
          </cell>
        </row>
        <row r="34">
          <cell r="B34">
            <v>1</v>
          </cell>
          <cell r="C34">
            <v>0</v>
          </cell>
          <cell r="D34">
            <v>0</v>
          </cell>
          <cell r="E34">
            <v>26</v>
          </cell>
          <cell r="F34">
            <v>26</v>
          </cell>
          <cell r="G34">
            <v>26</v>
          </cell>
          <cell r="H34">
            <v>26</v>
          </cell>
          <cell r="I34">
            <v>26</v>
          </cell>
          <cell r="J34">
            <v>26</v>
          </cell>
          <cell r="K34">
            <v>26</v>
          </cell>
          <cell r="L34">
            <v>26</v>
          </cell>
          <cell r="M34">
            <v>26</v>
          </cell>
          <cell r="N34">
            <v>26</v>
          </cell>
          <cell r="O34">
            <v>25</v>
          </cell>
          <cell r="P34">
            <v>26</v>
          </cell>
          <cell r="Q34">
            <v>26</v>
          </cell>
          <cell r="R34">
            <v>26</v>
          </cell>
          <cell r="S34">
            <v>26</v>
          </cell>
          <cell r="T34">
            <v>25</v>
          </cell>
          <cell r="U34">
            <v>26</v>
          </cell>
          <cell r="V34">
            <v>26</v>
          </cell>
          <cell r="W34">
            <v>25</v>
          </cell>
          <cell r="X34">
            <v>26</v>
          </cell>
          <cell r="Y34">
            <v>25</v>
          </cell>
          <cell r="Z34">
            <v>26</v>
          </cell>
          <cell r="AA34">
            <v>26</v>
          </cell>
          <cell r="AB34">
            <v>26</v>
          </cell>
          <cell r="AC34">
            <v>26</v>
          </cell>
          <cell r="AD34">
            <v>26</v>
          </cell>
          <cell r="AE34">
            <v>26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621</v>
          </cell>
          <cell r="AK34">
            <v>77</v>
          </cell>
          <cell r="AL34">
            <v>698</v>
          </cell>
        </row>
        <row r="35">
          <cell r="B35" t="str">
            <v>Thông May</v>
          </cell>
          <cell r="C35" t="str">
            <v>01998</v>
          </cell>
          <cell r="D35" t="str">
            <v>Đội 2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CN</v>
          </cell>
          <cell r="L35" t="str">
            <v>X</v>
          </cell>
          <cell r="M35" t="str">
            <v>X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CN</v>
          </cell>
          <cell r="S35" t="str">
            <v>X</v>
          </cell>
          <cell r="T35" t="str">
            <v>X</v>
          </cell>
          <cell r="U35" t="str">
            <v>X</v>
          </cell>
          <cell r="V35" t="str">
            <v>X</v>
          </cell>
          <cell r="W35" t="str">
            <v>X</v>
          </cell>
          <cell r="X35" t="str">
            <v>X</v>
          </cell>
          <cell r="Y35" t="str">
            <v>CN</v>
          </cell>
          <cell r="Z35" t="str">
            <v>X</v>
          </cell>
          <cell r="AA35" t="str">
            <v>X</v>
          </cell>
          <cell r="AB35" t="str">
            <v>X</v>
          </cell>
          <cell r="AC35" t="str">
            <v>X</v>
          </cell>
          <cell r="AD35" t="str">
            <v>X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23</v>
          </cell>
          <cell r="AK35">
            <v>3</v>
          </cell>
          <cell r="AL35">
            <v>26</v>
          </cell>
        </row>
        <row r="36">
          <cell r="B36" t="str">
            <v>Xã Ngon</v>
          </cell>
          <cell r="C36" t="str">
            <v>01995</v>
          </cell>
          <cell r="D36" t="str">
            <v>Đội 2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CN</v>
          </cell>
          <cell r="L36" t="str">
            <v>X</v>
          </cell>
          <cell r="M36" t="str">
            <v>X</v>
          </cell>
          <cell r="N36" t="str">
            <v>X</v>
          </cell>
          <cell r="O36" t="str">
            <v>X</v>
          </cell>
          <cell r="P36" t="str">
            <v>X</v>
          </cell>
          <cell r="Q36">
            <v>0</v>
          </cell>
          <cell r="R36">
            <v>0</v>
          </cell>
          <cell r="S36" t="str">
            <v>X</v>
          </cell>
          <cell r="T36" t="str">
            <v>X</v>
          </cell>
          <cell r="U36" t="str">
            <v>X</v>
          </cell>
          <cell r="V36" t="str">
            <v>X</v>
          </cell>
          <cell r="W36" t="str">
            <v>X</v>
          </cell>
          <cell r="X36" t="str">
            <v>X</v>
          </cell>
          <cell r="Y36" t="str">
            <v>CN</v>
          </cell>
          <cell r="Z36" t="str">
            <v>X</v>
          </cell>
          <cell r="AA36" t="str">
            <v>X</v>
          </cell>
          <cell r="AB36">
            <v>0</v>
          </cell>
          <cell r="AC36" t="str">
            <v>X</v>
          </cell>
          <cell r="AD36" t="str">
            <v>X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21</v>
          </cell>
          <cell r="AK36">
            <v>2</v>
          </cell>
          <cell r="AL36">
            <v>23</v>
          </cell>
        </row>
        <row r="37">
          <cell r="B37" t="str">
            <v>A Chăng</v>
          </cell>
          <cell r="C37" t="str">
            <v>01344</v>
          </cell>
          <cell r="D37" t="str">
            <v>Đội 2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CN</v>
          </cell>
          <cell r="L37" t="str">
            <v>X</v>
          </cell>
          <cell r="M37" t="str">
            <v>X</v>
          </cell>
          <cell r="N37" t="str">
            <v>X</v>
          </cell>
          <cell r="O37">
            <v>0</v>
          </cell>
          <cell r="P37" t="str">
            <v>X</v>
          </cell>
          <cell r="Q37" t="str">
            <v>X</v>
          </cell>
          <cell r="R37" t="str">
            <v>CN</v>
          </cell>
          <cell r="S37" t="str">
            <v>X</v>
          </cell>
          <cell r="T37" t="str">
            <v>X</v>
          </cell>
          <cell r="U37" t="str">
            <v>X</v>
          </cell>
          <cell r="V37" t="str">
            <v>X</v>
          </cell>
          <cell r="W37" t="str">
            <v>X</v>
          </cell>
          <cell r="X37" t="str">
            <v>X</v>
          </cell>
          <cell r="Y37" t="str">
            <v>CN</v>
          </cell>
          <cell r="Z37" t="str">
            <v>X</v>
          </cell>
          <cell r="AA37" t="str">
            <v>X</v>
          </cell>
          <cell r="AB37" t="str">
            <v>X</v>
          </cell>
          <cell r="AC37" t="str">
            <v>X</v>
          </cell>
          <cell r="AD37" t="str">
            <v>X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22</v>
          </cell>
          <cell r="AK37">
            <v>3</v>
          </cell>
          <cell r="AL37">
            <v>25</v>
          </cell>
        </row>
        <row r="38">
          <cell r="B38" t="str">
            <v>Khăm</v>
          </cell>
          <cell r="C38" t="str">
            <v>01994</v>
          </cell>
          <cell r="D38" t="str">
            <v>Đội 2</v>
          </cell>
          <cell r="E38" t="str">
            <v>X</v>
          </cell>
          <cell r="F38" t="str">
            <v>X</v>
          </cell>
          <cell r="G38">
            <v>0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CN</v>
          </cell>
          <cell r="L38" t="str">
            <v>X</v>
          </cell>
          <cell r="M38" t="str">
            <v>X</v>
          </cell>
          <cell r="N38" t="str">
            <v>X</v>
          </cell>
          <cell r="O38" t="str">
            <v>X</v>
          </cell>
          <cell r="P38" t="str">
            <v>X</v>
          </cell>
          <cell r="Q38">
            <v>0</v>
          </cell>
          <cell r="R38" t="str">
            <v>CN</v>
          </cell>
          <cell r="S38" t="str">
            <v>X</v>
          </cell>
          <cell r="T38" t="str">
            <v>X</v>
          </cell>
          <cell r="U38">
            <v>0</v>
          </cell>
          <cell r="V38" t="str">
            <v>X</v>
          </cell>
          <cell r="W38">
            <v>0</v>
          </cell>
          <cell r="X38">
            <v>0</v>
          </cell>
          <cell r="Y38" t="str">
            <v>CN</v>
          </cell>
          <cell r="Z38" t="str">
            <v>X</v>
          </cell>
          <cell r="AA38" t="str">
            <v>X</v>
          </cell>
          <cell r="AB38">
            <v>0</v>
          </cell>
          <cell r="AC38">
            <v>0</v>
          </cell>
          <cell r="AD38">
            <v>0</v>
          </cell>
          <cell r="AE38" t="str">
            <v>X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16</v>
          </cell>
          <cell r="AK38">
            <v>3</v>
          </cell>
          <cell r="AL38">
            <v>19</v>
          </cell>
        </row>
        <row r="39">
          <cell r="B39" t="str">
            <v>Việt</v>
          </cell>
          <cell r="C39" t="str">
            <v>01333</v>
          </cell>
          <cell r="D39" t="str">
            <v>Đội 2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CN</v>
          </cell>
          <cell r="L39" t="str">
            <v>X</v>
          </cell>
          <cell r="M39" t="str">
            <v>X</v>
          </cell>
          <cell r="N39" t="str">
            <v>X</v>
          </cell>
          <cell r="O39" t="str">
            <v>X</v>
          </cell>
          <cell r="P39" t="str">
            <v>X</v>
          </cell>
          <cell r="Q39">
            <v>0</v>
          </cell>
          <cell r="R39">
            <v>0</v>
          </cell>
          <cell r="S39" t="str">
            <v>X</v>
          </cell>
          <cell r="T39" t="str">
            <v>X</v>
          </cell>
          <cell r="U39" t="str">
            <v>X</v>
          </cell>
          <cell r="V39" t="str">
            <v>X</v>
          </cell>
          <cell r="W39" t="str">
            <v>X</v>
          </cell>
          <cell r="X39" t="str">
            <v>X</v>
          </cell>
          <cell r="Y39" t="str">
            <v>CN</v>
          </cell>
          <cell r="Z39" t="str">
            <v>X</v>
          </cell>
          <cell r="AA39" t="str">
            <v>X</v>
          </cell>
          <cell r="AB39">
            <v>0</v>
          </cell>
          <cell r="AC39">
            <v>0</v>
          </cell>
          <cell r="AD39">
            <v>0</v>
          </cell>
          <cell r="AE39" t="str">
            <v>X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20</v>
          </cell>
          <cell r="AK39">
            <v>2</v>
          </cell>
          <cell r="AL39">
            <v>22</v>
          </cell>
        </row>
        <row r="40">
          <cell r="B40" t="str">
            <v>Phò Hôm</v>
          </cell>
          <cell r="C40" t="str">
            <v>01348</v>
          </cell>
          <cell r="D40" t="str">
            <v>Đội 2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CN</v>
          </cell>
          <cell r="L40" t="str">
            <v>X</v>
          </cell>
          <cell r="M40" t="str">
            <v>X</v>
          </cell>
          <cell r="N40" t="str">
            <v>X</v>
          </cell>
          <cell r="O40">
            <v>0</v>
          </cell>
          <cell r="P40" t="str">
            <v>X</v>
          </cell>
          <cell r="Q40" t="str">
            <v>X</v>
          </cell>
          <cell r="R40" t="str">
            <v>CN</v>
          </cell>
          <cell r="S40" t="str">
            <v>X</v>
          </cell>
          <cell r="T40" t="str">
            <v>X</v>
          </cell>
          <cell r="U40" t="str">
            <v>X</v>
          </cell>
          <cell r="V40" t="str">
            <v>X</v>
          </cell>
          <cell r="W40" t="str">
            <v>X</v>
          </cell>
          <cell r="X40" t="str">
            <v>X</v>
          </cell>
          <cell r="Y40" t="str">
            <v>CN</v>
          </cell>
          <cell r="Z40" t="str">
            <v>X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X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19</v>
          </cell>
          <cell r="AK40">
            <v>3</v>
          </cell>
          <cell r="AL40">
            <v>22</v>
          </cell>
        </row>
        <row r="41">
          <cell r="B41" t="str">
            <v>A Lau</v>
          </cell>
          <cell r="C41" t="str">
            <v>02001</v>
          </cell>
          <cell r="D41" t="str">
            <v>Đội 2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CN</v>
          </cell>
          <cell r="L41" t="str">
            <v>X</v>
          </cell>
          <cell r="M41" t="str">
            <v>X</v>
          </cell>
          <cell r="N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CN</v>
          </cell>
          <cell r="S41" t="str">
            <v>X</v>
          </cell>
          <cell r="T41" t="str">
            <v>X</v>
          </cell>
          <cell r="U41" t="str">
            <v>X</v>
          </cell>
          <cell r="V41" t="str">
            <v>X</v>
          </cell>
          <cell r="W41" t="str">
            <v>X</v>
          </cell>
          <cell r="X41" t="str">
            <v>X</v>
          </cell>
          <cell r="Y41" t="str">
            <v>CN</v>
          </cell>
          <cell r="Z41" t="str">
            <v>X</v>
          </cell>
          <cell r="AA41" t="str">
            <v>X</v>
          </cell>
          <cell r="AB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24</v>
          </cell>
          <cell r="AK41">
            <v>3</v>
          </cell>
          <cell r="AL41">
            <v>27</v>
          </cell>
        </row>
        <row r="42">
          <cell r="B42" t="str">
            <v>A Ra</v>
          </cell>
          <cell r="C42" t="str">
            <v>01309</v>
          </cell>
          <cell r="D42" t="str">
            <v>Đội 2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CN</v>
          </cell>
          <cell r="L42" t="str">
            <v>X</v>
          </cell>
          <cell r="M42" t="str">
            <v>X</v>
          </cell>
          <cell r="N42" t="str">
            <v>X</v>
          </cell>
          <cell r="O42">
            <v>0</v>
          </cell>
          <cell r="P42" t="str">
            <v>X</v>
          </cell>
          <cell r="Q42" t="str">
            <v>X</v>
          </cell>
          <cell r="R42" t="str">
            <v>CN</v>
          </cell>
          <cell r="S42" t="str">
            <v>X</v>
          </cell>
          <cell r="T42" t="str">
            <v>X</v>
          </cell>
          <cell r="U42" t="str">
            <v>X</v>
          </cell>
          <cell r="V42" t="str">
            <v>X</v>
          </cell>
          <cell r="W42" t="str">
            <v>X</v>
          </cell>
          <cell r="X42" t="str">
            <v>X</v>
          </cell>
          <cell r="Y42" t="str">
            <v>CN</v>
          </cell>
          <cell r="Z42" t="str">
            <v>X</v>
          </cell>
          <cell r="AA42" t="str">
            <v>X</v>
          </cell>
          <cell r="AB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23</v>
          </cell>
          <cell r="AK42">
            <v>3</v>
          </cell>
          <cell r="AL42">
            <v>26</v>
          </cell>
        </row>
        <row r="43">
          <cell r="B43" t="str">
            <v>A Lai</v>
          </cell>
          <cell r="C43" t="str">
            <v>01311</v>
          </cell>
          <cell r="D43" t="str">
            <v>Đội 2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CN</v>
          </cell>
          <cell r="L43" t="str">
            <v>X</v>
          </cell>
          <cell r="M43" t="str">
            <v>X</v>
          </cell>
          <cell r="N43" t="str">
            <v>X</v>
          </cell>
          <cell r="O43">
            <v>0</v>
          </cell>
          <cell r="P43" t="str">
            <v>X</v>
          </cell>
          <cell r="Q43" t="str">
            <v>X</v>
          </cell>
          <cell r="R43" t="str">
            <v>CN</v>
          </cell>
          <cell r="S43" t="str">
            <v>X</v>
          </cell>
          <cell r="T43" t="str">
            <v>X</v>
          </cell>
          <cell r="U43" t="str">
            <v>X</v>
          </cell>
          <cell r="V43" t="str">
            <v>X</v>
          </cell>
          <cell r="W43">
            <v>0</v>
          </cell>
          <cell r="X43" t="str">
            <v>X</v>
          </cell>
          <cell r="Y43" t="str">
            <v>CN</v>
          </cell>
          <cell r="Z43" t="str">
            <v>X</v>
          </cell>
          <cell r="AA43" t="str">
            <v>X</v>
          </cell>
          <cell r="AB43">
            <v>0</v>
          </cell>
          <cell r="AC43">
            <v>0</v>
          </cell>
          <cell r="AD43">
            <v>0</v>
          </cell>
          <cell r="AE43" t="str">
            <v>X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19</v>
          </cell>
          <cell r="AK43">
            <v>3</v>
          </cell>
          <cell r="AL43">
            <v>22</v>
          </cell>
        </row>
        <row r="44">
          <cell r="B44" t="str">
            <v>Pon</v>
          </cell>
          <cell r="C44" t="str">
            <v>01325</v>
          </cell>
          <cell r="D44" t="str">
            <v>Đội 2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CN</v>
          </cell>
          <cell r="L44" t="str">
            <v>X</v>
          </cell>
          <cell r="M44" t="str">
            <v>X</v>
          </cell>
          <cell r="N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CN</v>
          </cell>
          <cell r="S44" t="str">
            <v>X</v>
          </cell>
          <cell r="T44" t="str">
            <v>X</v>
          </cell>
          <cell r="U44" t="str">
            <v>X</v>
          </cell>
          <cell r="V44" t="str">
            <v>X</v>
          </cell>
          <cell r="W44" t="str">
            <v>X</v>
          </cell>
          <cell r="X44" t="str">
            <v>X</v>
          </cell>
          <cell r="Y44" t="str">
            <v>CN</v>
          </cell>
          <cell r="Z44" t="str">
            <v>X</v>
          </cell>
          <cell r="AA44" t="str">
            <v>X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24</v>
          </cell>
          <cell r="AK44">
            <v>3</v>
          </cell>
          <cell r="AL44">
            <v>27</v>
          </cell>
        </row>
        <row r="45">
          <cell r="B45" t="str">
            <v>Tà Đăng</v>
          </cell>
          <cell r="C45" t="str">
            <v>01999</v>
          </cell>
          <cell r="D45" t="str">
            <v>Đội 2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CN</v>
          </cell>
          <cell r="L45" t="str">
            <v>X</v>
          </cell>
          <cell r="M45" t="str">
            <v>X</v>
          </cell>
          <cell r="N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CN</v>
          </cell>
          <cell r="S45" t="str">
            <v>X</v>
          </cell>
          <cell r="T45" t="str">
            <v>X</v>
          </cell>
          <cell r="U45" t="str">
            <v>X</v>
          </cell>
          <cell r="V45" t="str">
            <v>X</v>
          </cell>
          <cell r="W45" t="str">
            <v>X</v>
          </cell>
          <cell r="X45" t="str">
            <v>X</v>
          </cell>
          <cell r="Y45" t="str">
            <v>CN</v>
          </cell>
          <cell r="Z45" t="str">
            <v>X</v>
          </cell>
          <cell r="AA45" t="str">
            <v>X</v>
          </cell>
          <cell r="AB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24</v>
          </cell>
          <cell r="AK45">
            <v>3</v>
          </cell>
          <cell r="AL45">
            <v>27</v>
          </cell>
        </row>
        <row r="46">
          <cell r="B46" t="str">
            <v>A Cổ</v>
          </cell>
          <cell r="C46" t="str">
            <v>01335</v>
          </cell>
          <cell r="D46" t="str">
            <v>Đội 2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CN</v>
          </cell>
          <cell r="L46" t="str">
            <v>X</v>
          </cell>
          <cell r="M46" t="str">
            <v>X</v>
          </cell>
          <cell r="N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CN</v>
          </cell>
          <cell r="S46" t="str">
            <v>X</v>
          </cell>
          <cell r="T46" t="str">
            <v>X</v>
          </cell>
          <cell r="U46" t="str">
            <v>X</v>
          </cell>
          <cell r="V46" t="str">
            <v>X</v>
          </cell>
          <cell r="W46" t="str">
            <v>X</v>
          </cell>
          <cell r="X46" t="str">
            <v>X</v>
          </cell>
          <cell r="Y46" t="str">
            <v>CN</v>
          </cell>
          <cell r="Z46" t="str">
            <v>X</v>
          </cell>
          <cell r="AA46" t="str">
            <v>X</v>
          </cell>
          <cell r="AB46" t="str">
            <v>X</v>
          </cell>
          <cell r="AC46" t="str">
            <v>X</v>
          </cell>
          <cell r="AD46">
            <v>0</v>
          </cell>
          <cell r="AE46" t="str">
            <v>X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23</v>
          </cell>
          <cell r="AK46">
            <v>3</v>
          </cell>
          <cell r="AL46">
            <v>26</v>
          </cell>
        </row>
        <row r="47">
          <cell r="B47" t="str">
            <v>A Têng</v>
          </cell>
          <cell r="C47" t="str">
            <v>01305</v>
          </cell>
          <cell r="D47" t="str">
            <v>Đội 2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CN</v>
          </cell>
          <cell r="L47" t="str">
            <v>X</v>
          </cell>
          <cell r="M47" t="str">
            <v>X</v>
          </cell>
          <cell r="N47" t="str">
            <v>X</v>
          </cell>
          <cell r="O47">
            <v>0</v>
          </cell>
          <cell r="P47" t="str">
            <v>X</v>
          </cell>
          <cell r="Q47">
            <v>0</v>
          </cell>
          <cell r="R47" t="str">
            <v>CN</v>
          </cell>
          <cell r="S47" t="str">
            <v>X</v>
          </cell>
          <cell r="T47" t="str">
            <v>X</v>
          </cell>
          <cell r="U47" t="str">
            <v>X</v>
          </cell>
          <cell r="V47" t="str">
            <v>X</v>
          </cell>
          <cell r="W47" t="str">
            <v>X</v>
          </cell>
          <cell r="X47" t="str">
            <v>X</v>
          </cell>
          <cell r="Y47" t="str">
            <v>CN</v>
          </cell>
          <cell r="Z47" t="str">
            <v>X</v>
          </cell>
          <cell r="AA47">
            <v>0</v>
          </cell>
          <cell r="AB47" t="str">
            <v>X</v>
          </cell>
          <cell r="AC47">
            <v>0</v>
          </cell>
          <cell r="AD47">
            <v>0</v>
          </cell>
          <cell r="AE47" t="str">
            <v>X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19</v>
          </cell>
          <cell r="AK47">
            <v>3</v>
          </cell>
          <cell r="AL47">
            <v>22</v>
          </cell>
        </row>
        <row r="48">
          <cell r="B48" t="str">
            <v>A Vở</v>
          </cell>
          <cell r="C48" t="str">
            <v>01347</v>
          </cell>
          <cell r="D48" t="str">
            <v>Đội 2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CN</v>
          </cell>
          <cell r="L48" t="str">
            <v>X</v>
          </cell>
          <cell r="M48" t="str">
            <v>X</v>
          </cell>
          <cell r="N48" t="str">
            <v>X</v>
          </cell>
          <cell r="O48" t="str">
            <v>X</v>
          </cell>
          <cell r="P48" t="str">
            <v>X</v>
          </cell>
          <cell r="Q48" t="str">
            <v>X</v>
          </cell>
          <cell r="R48" t="str">
            <v>CN</v>
          </cell>
          <cell r="S48" t="str">
            <v>X</v>
          </cell>
          <cell r="T48" t="str">
            <v>X</v>
          </cell>
          <cell r="U48">
            <v>0</v>
          </cell>
          <cell r="V48" t="str">
            <v>X</v>
          </cell>
          <cell r="W48">
            <v>0</v>
          </cell>
          <cell r="X48">
            <v>0</v>
          </cell>
          <cell r="Y48" t="str">
            <v>CN</v>
          </cell>
          <cell r="Z48">
            <v>0</v>
          </cell>
          <cell r="AA48">
            <v>0</v>
          </cell>
          <cell r="AB48" t="str">
            <v>X</v>
          </cell>
          <cell r="AC48">
            <v>0</v>
          </cell>
          <cell r="AD48">
            <v>0</v>
          </cell>
          <cell r="AE48" t="str">
            <v>X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17</v>
          </cell>
          <cell r="AK48">
            <v>3</v>
          </cell>
          <cell r="AL48">
            <v>20</v>
          </cell>
        </row>
        <row r="49">
          <cell r="B49" t="str">
            <v>A Mèo</v>
          </cell>
          <cell r="C49" t="str">
            <v>01312</v>
          </cell>
          <cell r="D49" t="str">
            <v>Đội 2</v>
          </cell>
          <cell r="E49">
            <v>0</v>
          </cell>
          <cell r="F49" t="str">
            <v>X</v>
          </cell>
          <cell r="G49" t="str">
            <v>X</v>
          </cell>
          <cell r="H49">
            <v>0</v>
          </cell>
          <cell r="I49">
            <v>0</v>
          </cell>
          <cell r="J49" t="str">
            <v>X</v>
          </cell>
          <cell r="K49">
            <v>0</v>
          </cell>
          <cell r="L49" t="str">
            <v>X</v>
          </cell>
          <cell r="M49" t="str">
            <v>X</v>
          </cell>
          <cell r="N49">
            <v>0</v>
          </cell>
          <cell r="O49">
            <v>0</v>
          </cell>
          <cell r="P49">
            <v>0</v>
          </cell>
          <cell r="Q49" t="str">
            <v>X</v>
          </cell>
          <cell r="R49">
            <v>0</v>
          </cell>
          <cell r="S49" t="str">
            <v>X</v>
          </cell>
          <cell r="T49" t="str">
            <v>X</v>
          </cell>
          <cell r="U49" t="str">
            <v>X</v>
          </cell>
          <cell r="V49" t="str">
            <v>X</v>
          </cell>
          <cell r="W49">
            <v>0</v>
          </cell>
          <cell r="X49">
            <v>0</v>
          </cell>
          <cell r="Y49">
            <v>0</v>
          </cell>
          <cell r="Z49" t="str">
            <v>X</v>
          </cell>
          <cell r="AA49">
            <v>0</v>
          </cell>
          <cell r="AB49" t="str">
            <v>X</v>
          </cell>
          <cell r="AC49">
            <v>0</v>
          </cell>
          <cell r="AD49" t="str">
            <v>X</v>
          </cell>
          <cell r="AE49" t="str">
            <v>X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14</v>
          </cell>
          <cell r="AK49">
            <v>0</v>
          </cell>
          <cell r="AL49">
            <v>14</v>
          </cell>
        </row>
        <row r="50">
          <cell r="B50" t="str">
            <v xml:space="preserve"> A Xinh</v>
          </cell>
          <cell r="C50" t="str">
            <v>01327</v>
          </cell>
          <cell r="D50" t="str">
            <v>Đội 2</v>
          </cell>
          <cell r="E50">
            <v>0</v>
          </cell>
          <cell r="F50" t="str">
            <v>X</v>
          </cell>
          <cell r="G50">
            <v>0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CN</v>
          </cell>
          <cell r="L50" t="str">
            <v>X</v>
          </cell>
          <cell r="M50" t="str">
            <v>X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>
            <v>0</v>
          </cell>
          <cell r="S50" t="str">
            <v>X</v>
          </cell>
          <cell r="T50">
            <v>0</v>
          </cell>
          <cell r="U50">
            <v>0</v>
          </cell>
          <cell r="V50" t="str">
            <v>X</v>
          </cell>
          <cell r="W50">
            <v>0</v>
          </cell>
          <cell r="X50">
            <v>0</v>
          </cell>
          <cell r="Y50" t="str">
            <v>CN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 t="str">
            <v>X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13</v>
          </cell>
          <cell r="AK50">
            <v>2</v>
          </cell>
          <cell r="AL50">
            <v>15</v>
          </cell>
        </row>
        <row r="51">
          <cell r="B51" t="str">
            <v>Chết C</v>
          </cell>
          <cell r="C51" t="str">
            <v>01337</v>
          </cell>
          <cell r="D51" t="str">
            <v>Đội 2</v>
          </cell>
          <cell r="E51" t="str">
            <v>X</v>
          </cell>
          <cell r="F51" t="str">
            <v>X</v>
          </cell>
          <cell r="G51">
            <v>0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CN</v>
          </cell>
          <cell r="L51" t="str">
            <v>X</v>
          </cell>
          <cell r="M51" t="str">
            <v>X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CN</v>
          </cell>
          <cell r="S51" t="str">
            <v>X</v>
          </cell>
          <cell r="T51" t="str">
            <v>X</v>
          </cell>
          <cell r="U51" t="str">
            <v>X</v>
          </cell>
          <cell r="V51" t="str">
            <v>X</v>
          </cell>
          <cell r="W51" t="str">
            <v>X</v>
          </cell>
          <cell r="X51" t="str">
            <v>X</v>
          </cell>
          <cell r="Y51">
            <v>0</v>
          </cell>
          <cell r="Z51" t="str">
            <v>X</v>
          </cell>
          <cell r="AA51" t="str">
            <v>X</v>
          </cell>
          <cell r="AB51" t="str">
            <v>X</v>
          </cell>
          <cell r="AC51">
            <v>0</v>
          </cell>
          <cell r="AD51" t="str">
            <v>X</v>
          </cell>
          <cell r="AE51" t="str">
            <v>X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22</v>
          </cell>
          <cell r="AK51">
            <v>2</v>
          </cell>
          <cell r="AL51">
            <v>24</v>
          </cell>
        </row>
        <row r="52">
          <cell r="B52" t="str">
            <v>A Roan</v>
          </cell>
          <cell r="C52" t="str">
            <v>01334</v>
          </cell>
          <cell r="D52" t="str">
            <v>Đội 2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CN</v>
          </cell>
          <cell r="L52" t="str">
            <v>X</v>
          </cell>
          <cell r="M52" t="str">
            <v>X</v>
          </cell>
          <cell r="N52" t="str">
            <v>X</v>
          </cell>
          <cell r="O52">
            <v>0</v>
          </cell>
          <cell r="P52" t="str">
            <v>X</v>
          </cell>
          <cell r="Q52" t="str">
            <v>X</v>
          </cell>
          <cell r="R52" t="str">
            <v>CN</v>
          </cell>
          <cell r="S52" t="str">
            <v>X</v>
          </cell>
          <cell r="T52" t="str">
            <v>X</v>
          </cell>
          <cell r="U52" t="str">
            <v>X</v>
          </cell>
          <cell r="V52" t="str">
            <v>X</v>
          </cell>
          <cell r="W52" t="str">
            <v>X</v>
          </cell>
          <cell r="X52" t="str">
            <v>X</v>
          </cell>
          <cell r="Y52" t="str">
            <v>CN</v>
          </cell>
          <cell r="Z52" t="str">
            <v>X</v>
          </cell>
          <cell r="AA52" t="str">
            <v>X</v>
          </cell>
          <cell r="AB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23</v>
          </cell>
          <cell r="AK52">
            <v>3</v>
          </cell>
          <cell r="AL52">
            <v>26</v>
          </cell>
        </row>
        <row r="53">
          <cell r="B53" t="str">
            <v>Cha Phau</v>
          </cell>
          <cell r="C53" t="str">
            <v>01310</v>
          </cell>
          <cell r="D53" t="str">
            <v>Đội 2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X</v>
          </cell>
          <cell r="K53" t="str">
            <v>CN</v>
          </cell>
          <cell r="L53" t="str">
            <v>X</v>
          </cell>
          <cell r="M53" t="str">
            <v>X</v>
          </cell>
          <cell r="N53" t="str">
            <v>X</v>
          </cell>
          <cell r="O53" t="str">
            <v>X</v>
          </cell>
          <cell r="P53" t="str">
            <v>X</v>
          </cell>
          <cell r="Q53" t="str">
            <v>X</v>
          </cell>
          <cell r="R53" t="str">
            <v>CN</v>
          </cell>
          <cell r="S53" t="str">
            <v>X</v>
          </cell>
          <cell r="T53" t="str">
            <v>X</v>
          </cell>
          <cell r="U53" t="str">
            <v>X</v>
          </cell>
          <cell r="V53" t="str">
            <v>X</v>
          </cell>
          <cell r="W53" t="str">
            <v>X</v>
          </cell>
          <cell r="X53" t="str">
            <v>X</v>
          </cell>
          <cell r="Y53" t="str">
            <v>CN</v>
          </cell>
          <cell r="Z53" t="str">
            <v>X</v>
          </cell>
          <cell r="AA53" t="str">
            <v>X</v>
          </cell>
          <cell r="AB53" t="str">
            <v>X</v>
          </cell>
          <cell r="AC53" t="str">
            <v>X</v>
          </cell>
          <cell r="AD53" t="str">
            <v>X</v>
          </cell>
          <cell r="AE53" t="str">
            <v>X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24</v>
          </cell>
          <cell r="AK53">
            <v>3</v>
          </cell>
          <cell r="AL53">
            <v>27</v>
          </cell>
        </row>
        <row r="54">
          <cell r="B54" t="str">
            <v>Hắc</v>
          </cell>
          <cell r="C54" t="str">
            <v>01307</v>
          </cell>
          <cell r="D54" t="str">
            <v>Đội 2</v>
          </cell>
          <cell r="E54">
            <v>0</v>
          </cell>
          <cell r="F54" t="str">
            <v>X</v>
          </cell>
          <cell r="G54">
            <v>0</v>
          </cell>
          <cell r="H54">
            <v>0</v>
          </cell>
          <cell r="I54" t="str">
            <v>X</v>
          </cell>
          <cell r="J54" t="str">
            <v>X</v>
          </cell>
          <cell r="K54" t="str">
            <v>CN</v>
          </cell>
          <cell r="L54" t="str">
            <v>X</v>
          </cell>
          <cell r="M54" t="str">
            <v>X</v>
          </cell>
          <cell r="N54" t="str">
            <v>X</v>
          </cell>
          <cell r="O54" t="str">
            <v>X</v>
          </cell>
          <cell r="P54" t="str">
            <v>X</v>
          </cell>
          <cell r="Q54" t="str">
            <v>X</v>
          </cell>
          <cell r="R54" t="str">
            <v>CN</v>
          </cell>
          <cell r="S54" t="str">
            <v>X</v>
          </cell>
          <cell r="T54" t="str">
            <v>X</v>
          </cell>
          <cell r="U54" t="str">
            <v>X</v>
          </cell>
          <cell r="V54" t="str">
            <v>X</v>
          </cell>
          <cell r="W54">
            <v>0</v>
          </cell>
          <cell r="X54">
            <v>0</v>
          </cell>
          <cell r="Y54" t="str">
            <v>CN</v>
          </cell>
          <cell r="Z54" t="str">
            <v>X</v>
          </cell>
          <cell r="AA54" t="str">
            <v>X</v>
          </cell>
          <cell r="AB54">
            <v>0</v>
          </cell>
          <cell r="AC54">
            <v>0</v>
          </cell>
          <cell r="AD54" t="str">
            <v>X</v>
          </cell>
          <cell r="AE54" t="str">
            <v>X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17</v>
          </cell>
          <cell r="AK54">
            <v>3</v>
          </cell>
          <cell r="AL54">
            <v>20</v>
          </cell>
        </row>
        <row r="55">
          <cell r="B55" t="str">
            <v>Sâm Lết</v>
          </cell>
          <cell r="C55" t="str">
            <v>01330</v>
          </cell>
          <cell r="D55" t="str">
            <v>Đội 2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CN</v>
          </cell>
          <cell r="L55" t="str">
            <v>X</v>
          </cell>
          <cell r="M55" t="str">
            <v>X</v>
          </cell>
          <cell r="N55" t="str">
            <v>X</v>
          </cell>
          <cell r="O55" t="str">
            <v>X</v>
          </cell>
          <cell r="P55" t="str">
            <v>X</v>
          </cell>
          <cell r="Q55" t="str">
            <v>X</v>
          </cell>
          <cell r="R55" t="str">
            <v>CN</v>
          </cell>
          <cell r="S55" t="str">
            <v>X</v>
          </cell>
          <cell r="T55" t="str">
            <v>X</v>
          </cell>
          <cell r="U55">
            <v>0</v>
          </cell>
          <cell r="V55" t="str">
            <v>X</v>
          </cell>
          <cell r="W55" t="str">
            <v>X</v>
          </cell>
          <cell r="X55" t="str">
            <v>X</v>
          </cell>
          <cell r="Y55">
            <v>0</v>
          </cell>
          <cell r="Z55" t="str">
            <v>X</v>
          </cell>
          <cell r="AA55" t="str">
            <v>X</v>
          </cell>
          <cell r="AB55">
            <v>0</v>
          </cell>
          <cell r="AC55">
            <v>0</v>
          </cell>
          <cell r="AD55" t="str">
            <v>X</v>
          </cell>
          <cell r="AE55" t="str">
            <v>X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21</v>
          </cell>
          <cell r="AK55">
            <v>2</v>
          </cell>
          <cell r="AL55">
            <v>23</v>
          </cell>
        </row>
        <row r="56">
          <cell r="B56" t="str">
            <v>Khăm Bun</v>
          </cell>
          <cell r="C56" t="str">
            <v>01316</v>
          </cell>
          <cell r="D56" t="str">
            <v>Đội 2</v>
          </cell>
          <cell r="E56">
            <v>0</v>
          </cell>
          <cell r="F56" t="str">
            <v>X</v>
          </cell>
          <cell r="G56">
            <v>0</v>
          </cell>
          <cell r="H56">
            <v>0</v>
          </cell>
          <cell r="I56">
            <v>0</v>
          </cell>
          <cell r="J56" t="str">
            <v>X</v>
          </cell>
          <cell r="K56" t="str">
            <v>CN</v>
          </cell>
          <cell r="L56" t="str">
            <v>X</v>
          </cell>
          <cell r="M56" t="str">
            <v>X</v>
          </cell>
          <cell r="N56" t="str">
            <v>X</v>
          </cell>
          <cell r="O56">
            <v>0</v>
          </cell>
          <cell r="P56" t="str">
            <v>X</v>
          </cell>
          <cell r="Q56" t="str">
            <v>X</v>
          </cell>
          <cell r="R56" t="str">
            <v>CN</v>
          </cell>
          <cell r="S56" t="str">
            <v>X</v>
          </cell>
          <cell r="T56" t="str">
            <v>X</v>
          </cell>
          <cell r="U56">
            <v>0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CN</v>
          </cell>
          <cell r="Z56" t="str">
            <v>X</v>
          </cell>
          <cell r="AA56" t="str">
            <v>X</v>
          </cell>
          <cell r="AB56" t="str">
            <v>X</v>
          </cell>
          <cell r="AC56" t="str">
            <v>X</v>
          </cell>
          <cell r="AD56">
            <v>0</v>
          </cell>
          <cell r="AE56" t="str">
            <v>X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17</v>
          </cell>
          <cell r="AK56">
            <v>3</v>
          </cell>
          <cell r="AL56">
            <v>20</v>
          </cell>
        </row>
        <row r="57">
          <cell r="B57" t="str">
            <v>A Luốc</v>
          </cell>
          <cell r="C57" t="str">
            <v>01304</v>
          </cell>
          <cell r="D57" t="str">
            <v>Đội 2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CN</v>
          </cell>
          <cell r="L57" t="str">
            <v>X</v>
          </cell>
          <cell r="M57" t="str">
            <v>X</v>
          </cell>
          <cell r="N57" t="str">
            <v>X</v>
          </cell>
          <cell r="O57" t="str">
            <v>X</v>
          </cell>
          <cell r="P57" t="str">
            <v>X</v>
          </cell>
          <cell r="Q57" t="str">
            <v>X</v>
          </cell>
          <cell r="R57" t="str">
            <v>CN</v>
          </cell>
          <cell r="S57" t="str">
            <v>X</v>
          </cell>
          <cell r="T57" t="str">
            <v>X</v>
          </cell>
          <cell r="U57" t="str">
            <v>X</v>
          </cell>
          <cell r="V57" t="str">
            <v>X</v>
          </cell>
          <cell r="W57" t="str">
            <v>X</v>
          </cell>
          <cell r="X57" t="str">
            <v>X</v>
          </cell>
          <cell r="Y57" t="str">
            <v>CN</v>
          </cell>
          <cell r="Z57" t="str">
            <v>X</v>
          </cell>
          <cell r="AA57" t="str">
            <v>X</v>
          </cell>
          <cell r="AB57" t="str">
            <v>X</v>
          </cell>
          <cell r="AC57" t="str">
            <v>X</v>
          </cell>
          <cell r="AD57">
            <v>0</v>
          </cell>
          <cell r="AE57" t="str">
            <v>X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23</v>
          </cell>
          <cell r="AK57">
            <v>3</v>
          </cell>
          <cell r="AL57">
            <v>26</v>
          </cell>
        </row>
        <row r="58">
          <cell r="B58" t="str">
            <v>Beo</v>
          </cell>
          <cell r="C58" t="str">
            <v>01314</v>
          </cell>
          <cell r="D58" t="str">
            <v>Đội 2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CN</v>
          </cell>
          <cell r="L58" t="str">
            <v>X</v>
          </cell>
          <cell r="M58" t="str">
            <v>X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R58" t="str">
            <v>CN</v>
          </cell>
          <cell r="S58" t="str">
            <v>X</v>
          </cell>
          <cell r="T58" t="str">
            <v>X</v>
          </cell>
          <cell r="U58" t="str">
            <v>X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CN</v>
          </cell>
          <cell r="Z58" t="str">
            <v>X</v>
          </cell>
          <cell r="AA58" t="str">
            <v>X</v>
          </cell>
          <cell r="AB58" t="str">
            <v>X</v>
          </cell>
          <cell r="AC58" t="str">
            <v>X</v>
          </cell>
          <cell r="AD58">
            <v>0</v>
          </cell>
          <cell r="AE58" t="str">
            <v>X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26</v>
          </cell>
        </row>
        <row r="59">
          <cell r="B59" t="str">
            <v>Linh</v>
          </cell>
          <cell r="C59" t="str">
            <v>02000</v>
          </cell>
          <cell r="D59" t="str">
            <v>Đội 2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CN</v>
          </cell>
          <cell r="L59" t="str">
            <v>X</v>
          </cell>
          <cell r="M59" t="str">
            <v>X</v>
          </cell>
          <cell r="N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CN</v>
          </cell>
          <cell r="S59" t="str">
            <v>X</v>
          </cell>
          <cell r="T59" t="str">
            <v>X</v>
          </cell>
          <cell r="U59" t="str">
            <v>X</v>
          </cell>
          <cell r="V59" t="str">
            <v>X</v>
          </cell>
          <cell r="W59" t="str">
            <v>X</v>
          </cell>
          <cell r="X59" t="str">
            <v>X</v>
          </cell>
          <cell r="Y59" t="str">
            <v>CN</v>
          </cell>
          <cell r="Z59" t="str">
            <v>X</v>
          </cell>
          <cell r="AA59" t="str">
            <v>X</v>
          </cell>
          <cell r="AB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24</v>
          </cell>
          <cell r="AK59">
            <v>3</v>
          </cell>
          <cell r="AL59">
            <v>27</v>
          </cell>
        </row>
        <row r="60">
          <cell r="B60" t="str">
            <v>Đốt</v>
          </cell>
          <cell r="C60" t="str">
            <v>01318</v>
          </cell>
          <cell r="D60" t="str">
            <v>Đội 2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CN</v>
          </cell>
          <cell r="L60" t="str">
            <v>X</v>
          </cell>
          <cell r="M60" t="str">
            <v>X</v>
          </cell>
          <cell r="N60" t="str">
            <v>X</v>
          </cell>
          <cell r="O60">
            <v>0</v>
          </cell>
          <cell r="P60" t="str">
            <v>X</v>
          </cell>
          <cell r="Q60" t="str">
            <v>X</v>
          </cell>
          <cell r="R60" t="str">
            <v>CN</v>
          </cell>
          <cell r="S60" t="str">
            <v>X</v>
          </cell>
          <cell r="T60" t="str">
            <v>X</v>
          </cell>
          <cell r="U60" t="str">
            <v>X</v>
          </cell>
          <cell r="V60" t="str">
            <v>X</v>
          </cell>
          <cell r="W60">
            <v>0</v>
          </cell>
          <cell r="X60" t="str">
            <v>X</v>
          </cell>
          <cell r="Y60" t="str">
            <v>CN</v>
          </cell>
          <cell r="Z60" t="str">
            <v>X</v>
          </cell>
          <cell r="AA60" t="str">
            <v>X</v>
          </cell>
          <cell r="AB60" t="str">
            <v>X</v>
          </cell>
          <cell r="AC60" t="str">
            <v>X</v>
          </cell>
          <cell r="AD60" t="str">
            <v>X</v>
          </cell>
          <cell r="AE60" t="str">
            <v>X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22</v>
          </cell>
          <cell r="AK60">
            <v>3</v>
          </cell>
          <cell r="AL60">
            <v>25</v>
          </cell>
        </row>
        <row r="61">
          <cell r="B61" t="str">
            <v>Săn Đây</v>
          </cell>
          <cell r="C61" t="str">
            <v>01326</v>
          </cell>
          <cell r="D61" t="str">
            <v>Đội 2</v>
          </cell>
          <cell r="E61">
            <v>0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CN</v>
          </cell>
          <cell r="L61" t="str">
            <v>X</v>
          </cell>
          <cell r="M61" t="str">
            <v>X</v>
          </cell>
          <cell r="N61">
            <v>0</v>
          </cell>
          <cell r="O61">
            <v>0</v>
          </cell>
          <cell r="P61" t="str">
            <v>X</v>
          </cell>
          <cell r="Q61" t="str">
            <v>X</v>
          </cell>
          <cell r="R61" t="str">
            <v>CN</v>
          </cell>
          <cell r="S61" t="str">
            <v>X</v>
          </cell>
          <cell r="T61" t="str">
            <v>X</v>
          </cell>
          <cell r="U61">
            <v>0</v>
          </cell>
          <cell r="V61" t="str">
            <v>X</v>
          </cell>
          <cell r="W61" t="str">
            <v>X</v>
          </cell>
          <cell r="X61" t="str">
            <v>X</v>
          </cell>
          <cell r="Y61" t="str">
            <v>CN</v>
          </cell>
          <cell r="Z61">
            <v>0</v>
          </cell>
          <cell r="AA61" t="str">
            <v>X</v>
          </cell>
          <cell r="AB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19</v>
          </cell>
          <cell r="AK61">
            <v>3</v>
          </cell>
          <cell r="AL61">
            <v>22</v>
          </cell>
        </row>
        <row r="62">
          <cell r="B62" t="str">
            <v>Phò Nọi</v>
          </cell>
          <cell r="C62" t="str">
            <v>01321</v>
          </cell>
          <cell r="D62" t="str">
            <v>Đội 2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CN</v>
          </cell>
          <cell r="L62" t="str">
            <v>X</v>
          </cell>
          <cell r="M62" t="str">
            <v>X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CN</v>
          </cell>
          <cell r="S62" t="str">
            <v>X</v>
          </cell>
          <cell r="T62" t="str">
            <v>X</v>
          </cell>
          <cell r="U62">
            <v>0</v>
          </cell>
          <cell r="V62" t="str">
            <v>X</v>
          </cell>
          <cell r="W62" t="str">
            <v>X</v>
          </cell>
          <cell r="X62" t="str">
            <v>X</v>
          </cell>
          <cell r="Y62" t="str">
            <v>CN</v>
          </cell>
          <cell r="Z62" t="str">
            <v>X</v>
          </cell>
          <cell r="AA62" t="str">
            <v>X</v>
          </cell>
          <cell r="AB62" t="str">
            <v>X</v>
          </cell>
          <cell r="AC62" t="str">
            <v>X</v>
          </cell>
          <cell r="AD62" t="str">
            <v>X</v>
          </cell>
          <cell r="AE62" t="str">
            <v>X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23</v>
          </cell>
          <cell r="AK62">
            <v>3</v>
          </cell>
          <cell r="AL62">
            <v>26</v>
          </cell>
        </row>
        <row r="63">
          <cell r="B63" t="str">
            <v>Xin Xay</v>
          </cell>
          <cell r="C63" t="str">
            <v>01315</v>
          </cell>
          <cell r="D63" t="str">
            <v>Đội 2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CN</v>
          </cell>
          <cell r="L63" t="str">
            <v>X</v>
          </cell>
          <cell r="M63" t="str">
            <v>X</v>
          </cell>
          <cell r="N63" t="str">
            <v>X</v>
          </cell>
          <cell r="O63">
            <v>0</v>
          </cell>
          <cell r="P63" t="str">
            <v>X</v>
          </cell>
          <cell r="Q63" t="str">
            <v>X</v>
          </cell>
          <cell r="R63" t="str">
            <v>CN</v>
          </cell>
          <cell r="S63" t="str">
            <v>X</v>
          </cell>
          <cell r="T63" t="str">
            <v>X</v>
          </cell>
          <cell r="U63" t="str">
            <v>X</v>
          </cell>
          <cell r="V63" t="str">
            <v>X</v>
          </cell>
          <cell r="W63" t="str">
            <v>X</v>
          </cell>
          <cell r="X63" t="str">
            <v>X</v>
          </cell>
          <cell r="Y63" t="str">
            <v>CN</v>
          </cell>
          <cell r="Z63" t="str">
            <v>X</v>
          </cell>
          <cell r="AA63" t="str">
            <v>X</v>
          </cell>
          <cell r="AB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23</v>
          </cell>
          <cell r="AK63">
            <v>3</v>
          </cell>
          <cell r="AL63">
            <v>26</v>
          </cell>
        </row>
        <row r="64">
          <cell r="B64" t="str">
            <v>Khăm Son</v>
          </cell>
          <cell r="C64" t="str">
            <v>01336</v>
          </cell>
          <cell r="D64" t="str">
            <v>Đội 2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CN</v>
          </cell>
          <cell r="L64" t="str">
            <v>X</v>
          </cell>
          <cell r="M64" t="str">
            <v>X</v>
          </cell>
          <cell r="N64">
            <v>0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CN</v>
          </cell>
          <cell r="S64" t="str">
            <v>X</v>
          </cell>
          <cell r="T64" t="str">
            <v>X</v>
          </cell>
          <cell r="U64" t="str">
            <v>X</v>
          </cell>
          <cell r="V64" t="str">
            <v>X</v>
          </cell>
          <cell r="W64" t="str">
            <v>X</v>
          </cell>
          <cell r="X64" t="str">
            <v>X</v>
          </cell>
          <cell r="Y64" t="str">
            <v>CN</v>
          </cell>
          <cell r="Z64" t="str">
            <v>X</v>
          </cell>
          <cell r="AA64" t="str">
            <v>X</v>
          </cell>
          <cell r="AB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23</v>
          </cell>
          <cell r="AK64">
            <v>3</v>
          </cell>
          <cell r="AL64">
            <v>26</v>
          </cell>
        </row>
        <row r="65">
          <cell r="B65" t="str">
            <v>Chết</v>
          </cell>
          <cell r="C65" t="str">
            <v>01331</v>
          </cell>
          <cell r="D65" t="str">
            <v>Đội 2</v>
          </cell>
          <cell r="E65" t="str">
            <v>X</v>
          </cell>
          <cell r="F65" t="str">
            <v>X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CN</v>
          </cell>
          <cell r="L65" t="str">
            <v>X</v>
          </cell>
          <cell r="M65" t="str">
            <v>X</v>
          </cell>
          <cell r="N65" t="str">
            <v>X</v>
          </cell>
          <cell r="O65">
            <v>0</v>
          </cell>
          <cell r="P65" t="str">
            <v>X</v>
          </cell>
          <cell r="Q65" t="str">
            <v>X</v>
          </cell>
          <cell r="R65" t="str">
            <v>CN</v>
          </cell>
          <cell r="S65" t="str">
            <v>X</v>
          </cell>
          <cell r="T65" t="str">
            <v>X</v>
          </cell>
          <cell r="U65" t="str">
            <v>X</v>
          </cell>
          <cell r="V65" t="str">
            <v>X</v>
          </cell>
          <cell r="W65" t="str">
            <v>X</v>
          </cell>
          <cell r="X65" t="str">
            <v>X</v>
          </cell>
          <cell r="Y65" t="str">
            <v>CN</v>
          </cell>
          <cell r="Z65" t="str">
            <v>X</v>
          </cell>
          <cell r="AA65" t="str">
            <v>X</v>
          </cell>
          <cell r="AB65" t="str">
            <v>X</v>
          </cell>
          <cell r="AC65" t="str">
            <v>X</v>
          </cell>
          <cell r="AD65" t="str">
            <v>X</v>
          </cell>
          <cell r="AE65" t="str">
            <v>X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23</v>
          </cell>
          <cell r="AK65">
            <v>3</v>
          </cell>
          <cell r="AL65">
            <v>26</v>
          </cell>
        </row>
        <row r="66">
          <cell r="B66" t="str">
            <v>A Mai</v>
          </cell>
          <cell r="C66" t="str">
            <v>01997</v>
          </cell>
          <cell r="D66" t="str">
            <v>Đội 2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CN</v>
          </cell>
          <cell r="L66" t="str">
            <v>X</v>
          </cell>
          <cell r="M66" t="str">
            <v>X</v>
          </cell>
          <cell r="N66" t="str">
            <v>X</v>
          </cell>
          <cell r="O66" t="str">
            <v>X</v>
          </cell>
          <cell r="P66" t="str">
            <v>X</v>
          </cell>
          <cell r="Q66" t="str">
            <v>X</v>
          </cell>
          <cell r="R66" t="str">
            <v>CN</v>
          </cell>
          <cell r="S66" t="str">
            <v>X</v>
          </cell>
          <cell r="T66" t="str">
            <v>X</v>
          </cell>
          <cell r="U66" t="str">
            <v>X</v>
          </cell>
          <cell r="V66" t="str">
            <v>X</v>
          </cell>
          <cell r="W66" t="str">
            <v>X</v>
          </cell>
          <cell r="X66" t="str">
            <v>X</v>
          </cell>
          <cell r="Y66" t="str">
            <v>CN</v>
          </cell>
          <cell r="Z66" t="str">
            <v>X</v>
          </cell>
          <cell r="AA66" t="str">
            <v>X</v>
          </cell>
          <cell r="AB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24</v>
          </cell>
          <cell r="AK66">
            <v>3</v>
          </cell>
          <cell r="AL66">
            <v>27</v>
          </cell>
        </row>
        <row r="67">
          <cell r="B67" t="str">
            <v>Thong Chăn</v>
          </cell>
          <cell r="C67" t="str">
            <v>01996</v>
          </cell>
          <cell r="D67" t="str">
            <v>Đội 2</v>
          </cell>
          <cell r="E67" t="str">
            <v>X</v>
          </cell>
          <cell r="F67" t="str">
            <v>X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CN</v>
          </cell>
          <cell r="L67" t="str">
            <v>X</v>
          </cell>
          <cell r="M67" t="str">
            <v>X</v>
          </cell>
          <cell r="N67" t="str">
            <v>X</v>
          </cell>
          <cell r="O67" t="str">
            <v>X</v>
          </cell>
          <cell r="P67" t="str">
            <v>X</v>
          </cell>
          <cell r="Q67" t="str">
            <v>X</v>
          </cell>
          <cell r="R67" t="str">
            <v>CN</v>
          </cell>
          <cell r="S67" t="str">
            <v>X</v>
          </cell>
          <cell r="T67" t="str">
            <v>X</v>
          </cell>
          <cell r="U67" t="str">
            <v>X</v>
          </cell>
          <cell r="V67" t="str">
            <v>X</v>
          </cell>
          <cell r="W67" t="str">
            <v>X</v>
          </cell>
          <cell r="X67" t="str">
            <v>X</v>
          </cell>
          <cell r="Y67" t="str">
            <v>CN</v>
          </cell>
          <cell r="Z67" t="str">
            <v>X</v>
          </cell>
          <cell r="AA67" t="str">
            <v>X</v>
          </cell>
          <cell r="AB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24</v>
          </cell>
          <cell r="AK67">
            <v>3</v>
          </cell>
          <cell r="AL67">
            <v>27</v>
          </cell>
        </row>
        <row r="68">
          <cell r="B68" t="str">
            <v>Keo</v>
          </cell>
          <cell r="C68" t="str">
            <v>01313</v>
          </cell>
          <cell r="D68" t="str">
            <v>Đội 2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CN</v>
          </cell>
          <cell r="L68" t="str">
            <v>X</v>
          </cell>
          <cell r="M68" t="str">
            <v>X</v>
          </cell>
          <cell r="N68" t="str">
            <v>X</v>
          </cell>
          <cell r="O68" t="str">
            <v>X</v>
          </cell>
          <cell r="P68" t="str">
            <v>X</v>
          </cell>
          <cell r="Q68" t="str">
            <v>X</v>
          </cell>
          <cell r="R68" t="str">
            <v>CN</v>
          </cell>
          <cell r="S68" t="str">
            <v>X</v>
          </cell>
          <cell r="T68" t="str">
            <v>X</v>
          </cell>
          <cell r="U68" t="str">
            <v>X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CN</v>
          </cell>
          <cell r="Z68" t="str">
            <v>X</v>
          </cell>
          <cell r="AA68" t="str">
            <v>X</v>
          </cell>
          <cell r="AB68" t="str">
            <v>X</v>
          </cell>
          <cell r="AC68" t="str">
            <v>X</v>
          </cell>
          <cell r="AD68" t="str">
            <v>X</v>
          </cell>
          <cell r="AE68" t="str">
            <v>X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24</v>
          </cell>
          <cell r="AK68">
            <v>3</v>
          </cell>
          <cell r="AL68">
            <v>27</v>
          </cell>
        </row>
        <row r="69">
          <cell r="B69" t="str">
            <v>Long</v>
          </cell>
          <cell r="C69" t="str">
            <v>01328</v>
          </cell>
          <cell r="D69" t="str">
            <v>Đội 2</v>
          </cell>
          <cell r="E69" t="str">
            <v>X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CN</v>
          </cell>
          <cell r="L69" t="str">
            <v>X</v>
          </cell>
          <cell r="M69" t="str">
            <v>X</v>
          </cell>
          <cell r="N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CN</v>
          </cell>
          <cell r="S69" t="str">
            <v>X</v>
          </cell>
          <cell r="T69" t="str">
            <v>X</v>
          </cell>
          <cell r="U69" t="str">
            <v>X</v>
          </cell>
          <cell r="V69" t="str">
            <v>X</v>
          </cell>
          <cell r="W69" t="str">
            <v>X</v>
          </cell>
          <cell r="X69" t="str">
            <v>X</v>
          </cell>
          <cell r="Y69" t="str">
            <v>CN</v>
          </cell>
          <cell r="Z69" t="str">
            <v>X</v>
          </cell>
          <cell r="AA69" t="str">
            <v>X</v>
          </cell>
          <cell r="AB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24</v>
          </cell>
          <cell r="AK69">
            <v>3</v>
          </cell>
          <cell r="AL69">
            <v>27</v>
          </cell>
        </row>
        <row r="70">
          <cell r="B70" t="str">
            <v>Khăm Xén</v>
          </cell>
          <cell r="C70" t="str">
            <v>01324</v>
          </cell>
          <cell r="D70" t="str">
            <v>Đội 2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CN</v>
          </cell>
          <cell r="L70" t="str">
            <v>X</v>
          </cell>
          <cell r="M70" t="str">
            <v>X</v>
          </cell>
          <cell r="N70" t="str">
            <v>X</v>
          </cell>
          <cell r="O70">
            <v>0</v>
          </cell>
          <cell r="P70" t="str">
            <v>X</v>
          </cell>
          <cell r="Q70" t="str">
            <v>X</v>
          </cell>
          <cell r="R70" t="str">
            <v>CN</v>
          </cell>
          <cell r="S70" t="str">
            <v>X</v>
          </cell>
          <cell r="T70" t="str">
            <v>X</v>
          </cell>
          <cell r="U70" t="str">
            <v>X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CN</v>
          </cell>
          <cell r="Z70" t="str">
            <v>X</v>
          </cell>
          <cell r="AA70" t="str">
            <v>X</v>
          </cell>
          <cell r="AB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23</v>
          </cell>
          <cell r="AK70">
            <v>3</v>
          </cell>
          <cell r="AL70">
            <v>26</v>
          </cell>
        </row>
        <row r="71">
          <cell r="B71" t="str">
            <v>B Têng</v>
          </cell>
          <cell r="C71" t="str">
            <v>01329</v>
          </cell>
          <cell r="D71" t="str">
            <v>Đội 2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CN</v>
          </cell>
          <cell r="L71" t="str">
            <v>X</v>
          </cell>
          <cell r="M71" t="str">
            <v>X</v>
          </cell>
          <cell r="N71" t="str">
            <v>X</v>
          </cell>
          <cell r="O71">
            <v>0</v>
          </cell>
          <cell r="P71" t="str">
            <v>X</v>
          </cell>
          <cell r="Q71" t="str">
            <v>X</v>
          </cell>
          <cell r="R71" t="str">
            <v>CN</v>
          </cell>
          <cell r="S71" t="str">
            <v>X</v>
          </cell>
          <cell r="T71" t="str">
            <v>X</v>
          </cell>
          <cell r="U71" t="str">
            <v>X</v>
          </cell>
          <cell r="V71" t="str">
            <v>X</v>
          </cell>
          <cell r="W71" t="str">
            <v>X</v>
          </cell>
          <cell r="X71" t="str">
            <v>X</v>
          </cell>
          <cell r="Y71" t="str">
            <v>CN</v>
          </cell>
          <cell r="Z71" t="str">
            <v>X</v>
          </cell>
          <cell r="AA71" t="str">
            <v>X</v>
          </cell>
          <cell r="AB71" t="str">
            <v>X</v>
          </cell>
          <cell r="AC71" t="str">
            <v>X</v>
          </cell>
          <cell r="AD71" t="str">
            <v>X</v>
          </cell>
          <cell r="AE71" t="str">
            <v>X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23</v>
          </cell>
          <cell r="AK71">
            <v>3</v>
          </cell>
          <cell r="AL71">
            <v>26</v>
          </cell>
        </row>
        <row r="72">
          <cell r="B72" t="str">
            <v>Khon Sa Văn ( Cha Phon)</v>
          </cell>
          <cell r="C72" t="str">
            <v>01308</v>
          </cell>
          <cell r="D72" t="str">
            <v>Đội 2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I72" t="str">
            <v>X</v>
          </cell>
          <cell r="J72" t="str">
            <v>X</v>
          </cell>
          <cell r="K72" t="str">
            <v>CN</v>
          </cell>
          <cell r="L72" t="str">
            <v>X</v>
          </cell>
          <cell r="M72" t="str">
            <v>X</v>
          </cell>
          <cell r="N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CN</v>
          </cell>
          <cell r="S72" t="str">
            <v>X</v>
          </cell>
          <cell r="T72" t="str">
            <v>X</v>
          </cell>
          <cell r="U72" t="str">
            <v>X</v>
          </cell>
          <cell r="V72" t="str">
            <v>X</v>
          </cell>
          <cell r="W72" t="str">
            <v>X</v>
          </cell>
          <cell r="X72" t="str">
            <v>X</v>
          </cell>
          <cell r="Y72" t="str">
            <v>CN</v>
          </cell>
          <cell r="Z72" t="str">
            <v>X</v>
          </cell>
          <cell r="AA72" t="str">
            <v>X</v>
          </cell>
          <cell r="AB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24</v>
          </cell>
          <cell r="AK72">
            <v>3</v>
          </cell>
          <cell r="AL72">
            <v>27</v>
          </cell>
        </row>
        <row r="73">
          <cell r="B73" t="str">
            <v>Khăm Pha</v>
          </cell>
          <cell r="C73" t="str">
            <v>02002</v>
          </cell>
          <cell r="D73" t="str">
            <v>Đội 2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CN</v>
          </cell>
          <cell r="L73" t="str">
            <v>X</v>
          </cell>
          <cell r="M73" t="str">
            <v>X</v>
          </cell>
          <cell r="N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CN</v>
          </cell>
          <cell r="S73" t="str">
            <v>X</v>
          </cell>
          <cell r="T73" t="str">
            <v>X</v>
          </cell>
          <cell r="U73" t="str">
            <v>X</v>
          </cell>
          <cell r="V73" t="str">
            <v>X</v>
          </cell>
          <cell r="W73" t="str">
            <v>X</v>
          </cell>
          <cell r="X73" t="str">
            <v>X</v>
          </cell>
          <cell r="Y73" t="str">
            <v>CN</v>
          </cell>
          <cell r="Z73" t="str">
            <v>X</v>
          </cell>
          <cell r="AA73" t="str">
            <v>X</v>
          </cell>
          <cell r="AB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24</v>
          </cell>
          <cell r="AK73">
            <v>3</v>
          </cell>
          <cell r="AL73">
            <v>27</v>
          </cell>
        </row>
        <row r="74">
          <cell r="B74" t="str">
            <v>Mân</v>
          </cell>
          <cell r="C74" t="str">
            <v>02003</v>
          </cell>
          <cell r="D74" t="str">
            <v>Đội 2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  <cell r="I74" t="str">
            <v>X</v>
          </cell>
          <cell r="J74" t="str">
            <v>X</v>
          </cell>
          <cell r="K74" t="str">
            <v>CN</v>
          </cell>
          <cell r="L74" t="str">
            <v>X</v>
          </cell>
          <cell r="M74" t="str">
            <v>X</v>
          </cell>
          <cell r="N74" t="str">
            <v>X</v>
          </cell>
          <cell r="O74">
            <v>0</v>
          </cell>
          <cell r="P74">
            <v>0</v>
          </cell>
          <cell r="Q74" t="str">
            <v>X</v>
          </cell>
          <cell r="R74" t="str">
            <v>CN</v>
          </cell>
          <cell r="S74" t="str">
            <v>X</v>
          </cell>
          <cell r="T74" t="str">
            <v>X</v>
          </cell>
          <cell r="U74" t="str">
            <v>X</v>
          </cell>
          <cell r="V74" t="str">
            <v>X</v>
          </cell>
          <cell r="W74" t="str">
            <v>X</v>
          </cell>
          <cell r="X74" t="str">
            <v>X</v>
          </cell>
          <cell r="Y74" t="str">
            <v>CN</v>
          </cell>
          <cell r="Z74" t="str">
            <v>X</v>
          </cell>
          <cell r="AA74" t="str">
            <v>X</v>
          </cell>
          <cell r="AB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22</v>
          </cell>
          <cell r="AK74">
            <v>3</v>
          </cell>
          <cell r="AL74">
            <v>25</v>
          </cell>
        </row>
        <row r="75">
          <cell r="B75" t="str">
            <v>A Pên</v>
          </cell>
          <cell r="C75" t="str">
            <v>02022</v>
          </cell>
          <cell r="D75" t="str">
            <v>Đội 2</v>
          </cell>
          <cell r="E75">
            <v>0</v>
          </cell>
          <cell r="F75" t="str">
            <v>X</v>
          </cell>
          <cell r="G75" t="str">
            <v>X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CN</v>
          </cell>
          <cell r="L75" t="str">
            <v>X</v>
          </cell>
          <cell r="M75" t="str">
            <v>X</v>
          </cell>
          <cell r="N75" t="str">
            <v>X</v>
          </cell>
          <cell r="O75">
            <v>0</v>
          </cell>
          <cell r="P75" t="str">
            <v>X</v>
          </cell>
          <cell r="Q75" t="str">
            <v>X</v>
          </cell>
          <cell r="R75" t="str">
            <v>CN</v>
          </cell>
          <cell r="S75" t="str">
            <v>X</v>
          </cell>
          <cell r="U75">
            <v>0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CN</v>
          </cell>
          <cell r="Z75" t="str">
            <v>X</v>
          </cell>
          <cell r="AA75" t="str">
            <v>X</v>
          </cell>
          <cell r="AB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20</v>
          </cell>
          <cell r="AK75">
            <v>3</v>
          </cell>
          <cell r="AL75">
            <v>23</v>
          </cell>
        </row>
        <row r="76">
          <cell r="B76" t="str">
            <v>Mèo</v>
          </cell>
          <cell r="C76" t="str">
            <v>02004</v>
          </cell>
          <cell r="D76" t="str">
            <v>Đội 2</v>
          </cell>
          <cell r="E76" t="str">
            <v>X</v>
          </cell>
          <cell r="F76" t="str">
            <v>X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CN</v>
          </cell>
          <cell r="L76" t="str">
            <v>X</v>
          </cell>
          <cell r="M76" t="str">
            <v>X</v>
          </cell>
          <cell r="N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CN</v>
          </cell>
          <cell r="S76" t="str">
            <v>X</v>
          </cell>
          <cell r="T76" t="str">
            <v>X</v>
          </cell>
          <cell r="U76" t="str">
            <v>X</v>
          </cell>
          <cell r="V76" t="str">
            <v>X</v>
          </cell>
          <cell r="W76" t="str">
            <v>X</v>
          </cell>
          <cell r="X76" t="str">
            <v>X</v>
          </cell>
          <cell r="Y76" t="str">
            <v>CN</v>
          </cell>
          <cell r="Z76" t="str">
            <v>X</v>
          </cell>
          <cell r="AA76" t="str">
            <v>X</v>
          </cell>
          <cell r="AB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24</v>
          </cell>
          <cell r="AK76">
            <v>3</v>
          </cell>
          <cell r="AL76">
            <v>27</v>
          </cell>
        </row>
        <row r="77">
          <cell r="B77" t="str">
            <v>A Lun</v>
          </cell>
          <cell r="C77" t="str">
            <v>02005</v>
          </cell>
          <cell r="D77" t="str">
            <v>Đội 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 t="str">
            <v>X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</v>
          </cell>
          <cell r="AK77">
            <v>0</v>
          </cell>
          <cell r="AL77">
            <v>1</v>
          </cell>
        </row>
        <row r="78">
          <cell r="B78" t="str">
            <v>Thong</v>
          </cell>
          <cell r="C78" t="str">
            <v>01345</v>
          </cell>
          <cell r="D78" t="str">
            <v>Đội 2</v>
          </cell>
          <cell r="E78" t="str">
            <v>X</v>
          </cell>
          <cell r="F78" t="str">
            <v>X</v>
          </cell>
          <cell r="G78" t="str">
            <v>X</v>
          </cell>
          <cell r="H78" t="str">
            <v>X</v>
          </cell>
          <cell r="I78" t="str">
            <v>X</v>
          </cell>
          <cell r="J78" t="str">
            <v>X</v>
          </cell>
          <cell r="K78" t="str">
            <v>CN</v>
          </cell>
          <cell r="L78" t="str">
            <v>X</v>
          </cell>
          <cell r="M78" t="str">
            <v>X</v>
          </cell>
          <cell r="N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CN</v>
          </cell>
          <cell r="S78" t="str">
            <v>X</v>
          </cell>
          <cell r="T78" t="str">
            <v>X</v>
          </cell>
          <cell r="U78" t="str">
            <v>X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CN</v>
          </cell>
          <cell r="Z78" t="str">
            <v>X</v>
          </cell>
          <cell r="AA78" t="str">
            <v>X</v>
          </cell>
          <cell r="AB78" t="str">
            <v>X</v>
          </cell>
          <cell r="AC78" t="str">
            <v>X</v>
          </cell>
          <cell r="AD78" t="str">
            <v>X</v>
          </cell>
          <cell r="AE78" t="str">
            <v>X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24</v>
          </cell>
          <cell r="AK78">
            <v>3</v>
          </cell>
          <cell r="AL78">
            <v>27</v>
          </cell>
        </row>
        <row r="79">
          <cell r="B79" t="str">
            <v>Phò Thay</v>
          </cell>
          <cell r="C79" t="str">
            <v>02006</v>
          </cell>
          <cell r="D79" t="str">
            <v>Đội 2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CN</v>
          </cell>
          <cell r="L79" t="str">
            <v>X</v>
          </cell>
          <cell r="M79" t="str">
            <v>X</v>
          </cell>
          <cell r="N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CN</v>
          </cell>
          <cell r="S79" t="str">
            <v>X</v>
          </cell>
          <cell r="T79" t="str">
            <v>X</v>
          </cell>
          <cell r="U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CN</v>
          </cell>
          <cell r="Z79" t="str">
            <v>X</v>
          </cell>
          <cell r="AA79" t="str">
            <v>X</v>
          </cell>
          <cell r="AB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24</v>
          </cell>
          <cell r="AK79">
            <v>3</v>
          </cell>
          <cell r="AL79">
            <v>27</v>
          </cell>
        </row>
        <row r="80">
          <cell r="B80" t="str">
            <v>Chiệp</v>
          </cell>
          <cell r="C80" t="str">
            <v>02007</v>
          </cell>
          <cell r="D80" t="str">
            <v>Đội 2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CN</v>
          </cell>
          <cell r="L80" t="str">
            <v>X</v>
          </cell>
          <cell r="M80" t="str">
            <v>X</v>
          </cell>
          <cell r="N80" t="str">
            <v>X</v>
          </cell>
          <cell r="O80" t="str">
            <v>X</v>
          </cell>
          <cell r="P80" t="str">
            <v>X</v>
          </cell>
          <cell r="Q80" t="str">
            <v>X</v>
          </cell>
          <cell r="R80" t="str">
            <v>CN</v>
          </cell>
          <cell r="S80" t="str">
            <v>X</v>
          </cell>
          <cell r="T80" t="str">
            <v>X</v>
          </cell>
          <cell r="U80" t="str">
            <v>X</v>
          </cell>
          <cell r="V80" t="str">
            <v>X</v>
          </cell>
          <cell r="W80" t="str">
            <v>X</v>
          </cell>
          <cell r="X80" t="str">
            <v>X</v>
          </cell>
          <cell r="Y80" t="str">
            <v>CN</v>
          </cell>
          <cell r="Z80" t="str">
            <v>X</v>
          </cell>
          <cell r="AA80" t="str">
            <v>X</v>
          </cell>
          <cell r="AB80" t="str">
            <v>X</v>
          </cell>
          <cell r="AC80" t="str">
            <v>X</v>
          </cell>
          <cell r="AD80" t="str">
            <v>X</v>
          </cell>
          <cell r="AE80" t="str">
            <v>X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24</v>
          </cell>
          <cell r="AK80">
            <v>3</v>
          </cell>
          <cell r="AL80">
            <v>27</v>
          </cell>
        </row>
        <row r="81">
          <cell r="B81" t="str">
            <v>Nhỏ</v>
          </cell>
          <cell r="C81" t="str">
            <v>02008</v>
          </cell>
          <cell r="D81" t="str">
            <v>Đội 2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CN</v>
          </cell>
          <cell r="L81" t="str">
            <v>X</v>
          </cell>
          <cell r="M81" t="str">
            <v>X</v>
          </cell>
          <cell r="N81" t="str">
            <v>X</v>
          </cell>
          <cell r="O81" t="str">
            <v>X</v>
          </cell>
          <cell r="P81" t="str">
            <v>X</v>
          </cell>
          <cell r="Q81" t="str">
            <v>X</v>
          </cell>
          <cell r="R81" t="str">
            <v>CN</v>
          </cell>
          <cell r="S81" t="str">
            <v>X</v>
          </cell>
          <cell r="T81" t="str">
            <v>X</v>
          </cell>
          <cell r="U81" t="str">
            <v>X</v>
          </cell>
          <cell r="V81" t="str">
            <v>X</v>
          </cell>
          <cell r="W81" t="str">
            <v>X</v>
          </cell>
          <cell r="X81" t="str">
            <v>X</v>
          </cell>
          <cell r="Y81" t="str">
            <v>CN</v>
          </cell>
          <cell r="Z81" t="str">
            <v>X</v>
          </cell>
          <cell r="AA81" t="str">
            <v>X</v>
          </cell>
          <cell r="AB81" t="str">
            <v>X</v>
          </cell>
          <cell r="AC81" t="str">
            <v>X</v>
          </cell>
          <cell r="AD81" t="str">
            <v>X</v>
          </cell>
          <cell r="AE81" t="str">
            <v>X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24</v>
          </cell>
          <cell r="AK81">
            <v>3</v>
          </cell>
          <cell r="AL81">
            <v>27</v>
          </cell>
        </row>
        <row r="82">
          <cell r="B82" t="str">
            <v>Phò Xeng</v>
          </cell>
          <cell r="C82" t="str">
            <v>02009</v>
          </cell>
          <cell r="D82" t="str">
            <v>Đội 2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CN</v>
          </cell>
          <cell r="L82" t="str">
            <v>X</v>
          </cell>
          <cell r="M82" t="str">
            <v>X</v>
          </cell>
          <cell r="N82" t="str">
            <v>X</v>
          </cell>
          <cell r="O82" t="str">
            <v>X</v>
          </cell>
          <cell r="P82" t="str">
            <v>X</v>
          </cell>
          <cell r="Q82" t="str">
            <v>X</v>
          </cell>
          <cell r="R82" t="str">
            <v>CN</v>
          </cell>
          <cell r="S82" t="str">
            <v>X</v>
          </cell>
          <cell r="T82" t="str">
            <v>X</v>
          </cell>
          <cell r="U82" t="str">
            <v>X</v>
          </cell>
          <cell r="V82" t="str">
            <v>X</v>
          </cell>
          <cell r="W82" t="str">
            <v>X</v>
          </cell>
          <cell r="X82" t="str">
            <v>X</v>
          </cell>
          <cell r="Y82" t="str">
            <v>CN</v>
          </cell>
          <cell r="Z82" t="str">
            <v>X</v>
          </cell>
          <cell r="AA82" t="str">
            <v>X</v>
          </cell>
          <cell r="AB82" t="str">
            <v>X</v>
          </cell>
          <cell r="AC82" t="str">
            <v>X</v>
          </cell>
          <cell r="AD82" t="str">
            <v>X</v>
          </cell>
          <cell r="AE82" t="str">
            <v>X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24</v>
          </cell>
          <cell r="AK82">
            <v>3</v>
          </cell>
          <cell r="AL82">
            <v>27</v>
          </cell>
        </row>
        <row r="83">
          <cell r="B83" t="str">
            <v>Ra Măn</v>
          </cell>
          <cell r="C83" t="str">
            <v>02010</v>
          </cell>
          <cell r="D83" t="str">
            <v>Đội 2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CN</v>
          </cell>
          <cell r="L83" t="str">
            <v>X</v>
          </cell>
          <cell r="M83" t="str">
            <v>X</v>
          </cell>
          <cell r="N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CN</v>
          </cell>
          <cell r="S83" t="str">
            <v>X</v>
          </cell>
          <cell r="T83" t="str">
            <v>X</v>
          </cell>
          <cell r="U83" t="str">
            <v>X</v>
          </cell>
          <cell r="V83" t="str">
            <v>X</v>
          </cell>
          <cell r="W83" t="str">
            <v>X</v>
          </cell>
          <cell r="X83" t="str">
            <v>X</v>
          </cell>
          <cell r="Y83" t="str">
            <v>CN</v>
          </cell>
          <cell r="Z83" t="str">
            <v>X</v>
          </cell>
          <cell r="AA83" t="str">
            <v>X</v>
          </cell>
          <cell r="AB83" t="str">
            <v>X</v>
          </cell>
          <cell r="AC83" t="str">
            <v>X</v>
          </cell>
          <cell r="AD83" t="str">
            <v>X</v>
          </cell>
          <cell r="AE83" t="str">
            <v>X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24</v>
          </cell>
          <cell r="AK83">
            <v>3</v>
          </cell>
          <cell r="AL83">
            <v>27</v>
          </cell>
        </row>
        <row r="84">
          <cell r="B84" t="str">
            <v>A Mốt</v>
          </cell>
          <cell r="C84" t="str">
            <v>02011</v>
          </cell>
          <cell r="D84" t="str">
            <v>Đội 2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CN</v>
          </cell>
          <cell r="L84" t="str">
            <v>X</v>
          </cell>
          <cell r="M84" t="str">
            <v>X</v>
          </cell>
          <cell r="N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CN</v>
          </cell>
          <cell r="S84" t="str">
            <v>X</v>
          </cell>
          <cell r="T84" t="str">
            <v>X</v>
          </cell>
          <cell r="U84" t="str">
            <v>X</v>
          </cell>
          <cell r="V84" t="str">
            <v>X</v>
          </cell>
          <cell r="W84" t="str">
            <v>X</v>
          </cell>
          <cell r="X84" t="str">
            <v>X</v>
          </cell>
          <cell r="Y84" t="str">
            <v>CN</v>
          </cell>
          <cell r="Z84" t="str">
            <v>X</v>
          </cell>
          <cell r="AA84" t="str">
            <v>X</v>
          </cell>
          <cell r="AB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24</v>
          </cell>
          <cell r="AK84">
            <v>3</v>
          </cell>
          <cell r="AL84">
            <v>27</v>
          </cell>
        </row>
        <row r="85">
          <cell r="B85" t="str">
            <v>A Chới</v>
          </cell>
          <cell r="C85" t="str">
            <v>02012</v>
          </cell>
          <cell r="D85" t="str">
            <v>Đội 2</v>
          </cell>
          <cell r="E85" t="str">
            <v>X</v>
          </cell>
          <cell r="F85" t="str">
            <v>X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CN</v>
          </cell>
          <cell r="L85" t="str">
            <v>X</v>
          </cell>
          <cell r="M85" t="str">
            <v>X</v>
          </cell>
          <cell r="N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CN</v>
          </cell>
          <cell r="S85" t="str">
            <v>X</v>
          </cell>
          <cell r="T85" t="str">
            <v>X</v>
          </cell>
          <cell r="U85" t="str">
            <v>X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CN</v>
          </cell>
          <cell r="Z85" t="str">
            <v>X</v>
          </cell>
          <cell r="AA85" t="str">
            <v>X</v>
          </cell>
          <cell r="AB85" t="str">
            <v>X</v>
          </cell>
          <cell r="AC85" t="str">
            <v>X</v>
          </cell>
          <cell r="AD85" t="str">
            <v>X</v>
          </cell>
          <cell r="AE85" t="str">
            <v>X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24</v>
          </cell>
          <cell r="AK85">
            <v>3</v>
          </cell>
          <cell r="AL85">
            <v>27</v>
          </cell>
        </row>
        <row r="86">
          <cell r="B86" t="str">
            <v>Phò Đăm</v>
          </cell>
          <cell r="C86" t="str">
            <v>02013</v>
          </cell>
          <cell r="D86" t="str">
            <v>Đội 2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CN</v>
          </cell>
          <cell r="L86" t="str">
            <v>X</v>
          </cell>
          <cell r="M86" t="str">
            <v>X</v>
          </cell>
          <cell r="N86" t="str">
            <v>X</v>
          </cell>
          <cell r="O86" t="str">
            <v>X</v>
          </cell>
          <cell r="P86" t="str">
            <v>X</v>
          </cell>
          <cell r="Q86" t="str">
            <v>X</v>
          </cell>
          <cell r="R86" t="str">
            <v>CN</v>
          </cell>
          <cell r="S86" t="str">
            <v>X</v>
          </cell>
          <cell r="T86" t="str">
            <v>X</v>
          </cell>
          <cell r="U86" t="str">
            <v>X</v>
          </cell>
          <cell r="V86" t="str">
            <v>X</v>
          </cell>
          <cell r="W86" t="str">
            <v>X</v>
          </cell>
          <cell r="X86" t="str">
            <v>X</v>
          </cell>
          <cell r="Y86" t="str">
            <v>CN</v>
          </cell>
          <cell r="Z86" t="str">
            <v>X</v>
          </cell>
          <cell r="AA86" t="str">
            <v>X</v>
          </cell>
          <cell r="AB86" t="str">
            <v>X</v>
          </cell>
          <cell r="AC86" t="str">
            <v>X</v>
          </cell>
          <cell r="AD86" t="str">
            <v>X</v>
          </cell>
          <cell r="AE86" t="str">
            <v>X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24</v>
          </cell>
          <cell r="AK86">
            <v>3</v>
          </cell>
          <cell r="AL86">
            <v>27</v>
          </cell>
        </row>
        <row r="87">
          <cell r="B87" t="str">
            <v>Pho Măn</v>
          </cell>
          <cell r="C87" t="str">
            <v>02014</v>
          </cell>
          <cell r="D87" t="str">
            <v>Đội 2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CN</v>
          </cell>
          <cell r="L87" t="str">
            <v>X</v>
          </cell>
          <cell r="M87" t="str">
            <v>X</v>
          </cell>
          <cell r="N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CN</v>
          </cell>
          <cell r="S87" t="str">
            <v>X</v>
          </cell>
          <cell r="T87" t="str">
            <v>X</v>
          </cell>
          <cell r="U87" t="str">
            <v>X</v>
          </cell>
          <cell r="V87" t="str">
            <v>X</v>
          </cell>
          <cell r="W87" t="str">
            <v>X</v>
          </cell>
          <cell r="X87" t="str">
            <v>X</v>
          </cell>
          <cell r="Y87" t="str">
            <v>CN</v>
          </cell>
          <cell r="Z87" t="str">
            <v>X</v>
          </cell>
          <cell r="AA87" t="str">
            <v>X</v>
          </cell>
          <cell r="AB87" t="str">
            <v>X</v>
          </cell>
          <cell r="AC87" t="str">
            <v>X</v>
          </cell>
          <cell r="AD87" t="str">
            <v>X</v>
          </cell>
          <cell r="AE87" t="str">
            <v>X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24</v>
          </cell>
          <cell r="AK87">
            <v>3</v>
          </cell>
          <cell r="AL87">
            <v>27</v>
          </cell>
        </row>
        <row r="88">
          <cell r="B88" t="str">
            <v>Ăm</v>
          </cell>
          <cell r="C88" t="str">
            <v>02015</v>
          </cell>
          <cell r="D88" t="str">
            <v>Đội 2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CN</v>
          </cell>
          <cell r="L88" t="str">
            <v>X</v>
          </cell>
          <cell r="M88" t="str">
            <v>X</v>
          </cell>
          <cell r="N88" t="str">
            <v>X</v>
          </cell>
          <cell r="O88" t="str">
            <v>X</v>
          </cell>
          <cell r="P88" t="str">
            <v>X</v>
          </cell>
          <cell r="Q88" t="str">
            <v>X</v>
          </cell>
          <cell r="R88" t="str">
            <v>CN</v>
          </cell>
          <cell r="S88" t="str">
            <v>X</v>
          </cell>
          <cell r="T88" t="str">
            <v>X</v>
          </cell>
          <cell r="U88" t="str">
            <v>X</v>
          </cell>
          <cell r="V88" t="str">
            <v>X</v>
          </cell>
          <cell r="W88" t="str">
            <v>X</v>
          </cell>
          <cell r="X88" t="str">
            <v>X</v>
          </cell>
          <cell r="Y88" t="str">
            <v>CN</v>
          </cell>
          <cell r="Z88" t="str">
            <v>X</v>
          </cell>
          <cell r="AA88" t="str">
            <v>X</v>
          </cell>
          <cell r="AB88" t="str">
            <v>X</v>
          </cell>
          <cell r="AC88" t="str">
            <v>X</v>
          </cell>
          <cell r="AD88" t="str">
            <v>X</v>
          </cell>
          <cell r="AE88" t="str">
            <v>X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24</v>
          </cell>
          <cell r="AK88">
            <v>3</v>
          </cell>
          <cell r="AL88">
            <v>27</v>
          </cell>
        </row>
        <row r="89">
          <cell r="B89" t="str">
            <v>A Nhăng</v>
          </cell>
          <cell r="C89" t="str">
            <v>02016</v>
          </cell>
          <cell r="D89" t="str">
            <v>Đội 2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CN</v>
          </cell>
          <cell r="L89" t="str">
            <v>X</v>
          </cell>
          <cell r="M89" t="str">
            <v>X</v>
          </cell>
          <cell r="N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CN</v>
          </cell>
          <cell r="S89" t="str">
            <v>X</v>
          </cell>
          <cell r="T89" t="str">
            <v>X</v>
          </cell>
          <cell r="U89" t="str">
            <v>X</v>
          </cell>
          <cell r="V89" t="str">
            <v>X</v>
          </cell>
          <cell r="W89" t="str">
            <v>X</v>
          </cell>
          <cell r="X89" t="str">
            <v>X</v>
          </cell>
          <cell r="Y89" t="str">
            <v>CN</v>
          </cell>
          <cell r="Z89" t="str">
            <v>X</v>
          </cell>
          <cell r="AA89" t="str">
            <v>X</v>
          </cell>
          <cell r="AB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24</v>
          </cell>
          <cell r="AK89">
            <v>3</v>
          </cell>
          <cell r="AL89">
            <v>27</v>
          </cell>
        </row>
        <row r="90">
          <cell r="B90" t="str">
            <v>A Nam</v>
          </cell>
          <cell r="C90" t="str">
            <v>02017</v>
          </cell>
          <cell r="D90" t="str">
            <v>Đội 2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CN</v>
          </cell>
          <cell r="L90" t="str">
            <v>X</v>
          </cell>
          <cell r="M90" t="str">
            <v>X</v>
          </cell>
          <cell r="N90" t="str">
            <v>X</v>
          </cell>
          <cell r="O90" t="str">
            <v>X</v>
          </cell>
          <cell r="P90" t="str">
            <v>X</v>
          </cell>
          <cell r="Q90" t="str">
            <v>X</v>
          </cell>
          <cell r="R90" t="str">
            <v>CN</v>
          </cell>
          <cell r="S90" t="str">
            <v>X</v>
          </cell>
          <cell r="T90" t="str">
            <v>X</v>
          </cell>
          <cell r="U90" t="str">
            <v>X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CN</v>
          </cell>
          <cell r="Z90" t="str">
            <v>X</v>
          </cell>
          <cell r="AA90" t="str">
            <v>X</v>
          </cell>
          <cell r="AB90" t="str">
            <v>X</v>
          </cell>
          <cell r="AC90" t="str">
            <v>X</v>
          </cell>
          <cell r="AD90" t="str">
            <v>X</v>
          </cell>
          <cell r="AE90" t="str">
            <v>X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</v>
          </cell>
          <cell r="AK90">
            <v>3</v>
          </cell>
          <cell r="AL90">
            <v>27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49</v>
          </cell>
          <cell r="F91">
            <v>55</v>
          </cell>
          <cell r="G91">
            <v>50</v>
          </cell>
          <cell r="H91">
            <v>52</v>
          </cell>
          <cell r="I91">
            <v>53</v>
          </cell>
          <cell r="J91">
            <v>56</v>
          </cell>
          <cell r="K91">
            <v>54</v>
          </cell>
          <cell r="L91">
            <v>55</v>
          </cell>
          <cell r="M91">
            <v>55</v>
          </cell>
          <cell r="N91">
            <v>52</v>
          </cell>
          <cell r="O91">
            <v>39</v>
          </cell>
          <cell r="P91">
            <v>53</v>
          </cell>
          <cell r="Q91">
            <v>51</v>
          </cell>
          <cell r="R91">
            <v>51</v>
          </cell>
          <cell r="S91">
            <v>55</v>
          </cell>
          <cell r="T91">
            <v>53</v>
          </cell>
          <cell r="U91">
            <v>47</v>
          </cell>
          <cell r="V91">
            <v>55</v>
          </cell>
          <cell r="W91">
            <v>48</v>
          </cell>
          <cell r="X91">
            <v>50</v>
          </cell>
          <cell r="Y91">
            <v>52</v>
          </cell>
          <cell r="Z91">
            <v>52</v>
          </cell>
          <cell r="AA91">
            <v>50</v>
          </cell>
          <cell r="AB91">
            <v>47</v>
          </cell>
          <cell r="AC91">
            <v>44</v>
          </cell>
          <cell r="AD91">
            <v>44</v>
          </cell>
          <cell r="AE91">
            <v>52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1217</v>
          </cell>
          <cell r="AK91">
            <v>157</v>
          </cell>
          <cell r="AL91">
            <v>1374</v>
          </cell>
        </row>
        <row r="92">
          <cell r="B92" t="str">
            <v>Ói</v>
          </cell>
          <cell r="C92" t="str">
            <v>01351</v>
          </cell>
          <cell r="D92" t="str">
            <v>Đội 3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J92" t="str">
            <v>X</v>
          </cell>
          <cell r="K92" t="str">
            <v>CN</v>
          </cell>
          <cell r="L92" t="str">
            <v>X</v>
          </cell>
          <cell r="M92" t="str">
            <v>X</v>
          </cell>
          <cell r="N92" t="str">
            <v>X</v>
          </cell>
          <cell r="O92" t="str">
            <v>X</v>
          </cell>
          <cell r="P92" t="str">
            <v>X</v>
          </cell>
          <cell r="Q92">
            <v>0</v>
          </cell>
          <cell r="R92" t="str">
            <v>CN</v>
          </cell>
          <cell r="S92" t="str">
            <v>X</v>
          </cell>
          <cell r="T92" t="str">
            <v>X</v>
          </cell>
          <cell r="U92" t="str">
            <v>X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CN</v>
          </cell>
          <cell r="Z92">
            <v>0</v>
          </cell>
          <cell r="AA92" t="str">
            <v>X</v>
          </cell>
          <cell r="AB92" t="str">
            <v>X</v>
          </cell>
          <cell r="AC92" t="str">
            <v>X</v>
          </cell>
          <cell r="AD92" t="str">
            <v>X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</v>
          </cell>
          <cell r="AK92">
            <v>3</v>
          </cell>
          <cell r="AL92">
            <v>24</v>
          </cell>
        </row>
        <row r="93">
          <cell r="B93" t="str">
            <v xml:space="preserve"> A Te</v>
          </cell>
          <cell r="C93" t="str">
            <v>01352</v>
          </cell>
          <cell r="D93" t="str">
            <v>Đội 3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  <cell r="I93" t="str">
            <v>X</v>
          </cell>
          <cell r="J93" t="str">
            <v>X</v>
          </cell>
          <cell r="K93" t="str">
            <v>CN</v>
          </cell>
          <cell r="L93">
            <v>0</v>
          </cell>
          <cell r="M93" t="str">
            <v>X</v>
          </cell>
          <cell r="N93" t="str">
            <v>X</v>
          </cell>
          <cell r="O93" t="str">
            <v>X</v>
          </cell>
          <cell r="P93" t="str">
            <v>X</v>
          </cell>
          <cell r="Q93" t="str">
            <v>X</v>
          </cell>
          <cell r="R93" t="str">
            <v>CN</v>
          </cell>
          <cell r="S93" t="str">
            <v>X</v>
          </cell>
          <cell r="T93" t="str">
            <v>X</v>
          </cell>
          <cell r="U93" t="str">
            <v>X</v>
          </cell>
          <cell r="V93" t="str">
            <v>X</v>
          </cell>
          <cell r="W93" t="str">
            <v>X</v>
          </cell>
          <cell r="X93" t="str">
            <v>X</v>
          </cell>
          <cell r="Y93" t="str">
            <v>CN</v>
          </cell>
          <cell r="Z93" t="str">
            <v>X</v>
          </cell>
          <cell r="AA93" t="str">
            <v>X</v>
          </cell>
          <cell r="AB93" t="str">
            <v>X</v>
          </cell>
          <cell r="AC93" t="str">
            <v>X</v>
          </cell>
          <cell r="AD93" t="str">
            <v>X</v>
          </cell>
          <cell r="AE93" t="str">
            <v>X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23</v>
          </cell>
          <cell r="AK93">
            <v>3</v>
          </cell>
          <cell r="AL93">
            <v>26</v>
          </cell>
        </row>
        <row r="94">
          <cell r="B94" t="str">
            <v>Lun</v>
          </cell>
          <cell r="C94" t="str">
            <v>01353</v>
          </cell>
          <cell r="D94" t="str">
            <v>Đội 3</v>
          </cell>
          <cell r="E94" t="str">
            <v>X</v>
          </cell>
          <cell r="F94" t="str">
            <v>X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CN</v>
          </cell>
          <cell r="L94" t="str">
            <v>X</v>
          </cell>
          <cell r="M94" t="str">
            <v>X</v>
          </cell>
          <cell r="N94" t="str">
            <v>X</v>
          </cell>
          <cell r="O94" t="str">
            <v>X</v>
          </cell>
          <cell r="P94" t="str">
            <v>X</v>
          </cell>
          <cell r="Q94" t="str">
            <v>X</v>
          </cell>
          <cell r="R94" t="str">
            <v>CN</v>
          </cell>
          <cell r="S94" t="str">
            <v>X</v>
          </cell>
          <cell r="T94" t="str">
            <v>X</v>
          </cell>
          <cell r="U94" t="str">
            <v>X</v>
          </cell>
          <cell r="V94" t="str">
            <v>X</v>
          </cell>
          <cell r="W94" t="str">
            <v>X</v>
          </cell>
          <cell r="X94" t="str">
            <v>X</v>
          </cell>
          <cell r="Y94" t="str">
            <v>CN</v>
          </cell>
          <cell r="Z94" t="str">
            <v>X</v>
          </cell>
          <cell r="AA94" t="str">
            <v>X</v>
          </cell>
          <cell r="AB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24</v>
          </cell>
          <cell r="AK94">
            <v>3</v>
          </cell>
          <cell r="AL94">
            <v>27</v>
          </cell>
        </row>
        <row r="95">
          <cell r="B95" t="str">
            <v xml:space="preserve"> A Bười</v>
          </cell>
          <cell r="C95" t="str">
            <v>01354</v>
          </cell>
          <cell r="D95" t="str">
            <v>Đội 3</v>
          </cell>
          <cell r="E95" t="str">
            <v>X</v>
          </cell>
          <cell r="F95" t="str">
            <v>X</v>
          </cell>
          <cell r="G95" t="str">
            <v>X</v>
          </cell>
          <cell r="H95" t="str">
            <v>X</v>
          </cell>
          <cell r="I95" t="str">
            <v>X</v>
          </cell>
          <cell r="J95" t="str">
            <v>X</v>
          </cell>
          <cell r="K95" t="str">
            <v>CN</v>
          </cell>
          <cell r="L95" t="str">
            <v>X</v>
          </cell>
          <cell r="M95" t="str">
            <v>X</v>
          </cell>
          <cell r="N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R95" t="str">
            <v>CN</v>
          </cell>
          <cell r="S95" t="str">
            <v>X</v>
          </cell>
          <cell r="T95" t="str">
            <v>X</v>
          </cell>
          <cell r="U95" t="str">
            <v>X</v>
          </cell>
          <cell r="V95" t="str">
            <v>X</v>
          </cell>
          <cell r="W95" t="str">
            <v>X</v>
          </cell>
          <cell r="X95" t="str">
            <v>X</v>
          </cell>
          <cell r="Y95" t="str">
            <v>CN</v>
          </cell>
          <cell r="Z95" t="str">
            <v>X</v>
          </cell>
          <cell r="AA95" t="str">
            <v>X</v>
          </cell>
          <cell r="AB95" t="str">
            <v>X</v>
          </cell>
          <cell r="AC95" t="str">
            <v>X</v>
          </cell>
          <cell r="AD95" t="str">
            <v>X</v>
          </cell>
          <cell r="AE95" t="str">
            <v>X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24</v>
          </cell>
          <cell r="AK95">
            <v>3</v>
          </cell>
          <cell r="AL95">
            <v>27</v>
          </cell>
        </row>
        <row r="96">
          <cell r="B96" t="str">
            <v>Phò Xing</v>
          </cell>
          <cell r="C96" t="str">
            <v>01355</v>
          </cell>
          <cell r="D96" t="str">
            <v>Đội 3</v>
          </cell>
          <cell r="E96" t="str">
            <v>X</v>
          </cell>
          <cell r="F96" t="str">
            <v>X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CN</v>
          </cell>
          <cell r="L96" t="str">
            <v>X</v>
          </cell>
          <cell r="M96" t="str">
            <v>X</v>
          </cell>
          <cell r="N96" t="str">
            <v>X</v>
          </cell>
          <cell r="O96">
            <v>0</v>
          </cell>
          <cell r="P96" t="str">
            <v>X</v>
          </cell>
          <cell r="Q96" t="str">
            <v>X</v>
          </cell>
          <cell r="R96" t="str">
            <v>CN</v>
          </cell>
          <cell r="S96" t="str">
            <v>X</v>
          </cell>
          <cell r="T96" t="str">
            <v>X</v>
          </cell>
          <cell r="U96" t="str">
            <v>X</v>
          </cell>
          <cell r="V96" t="str">
            <v>X</v>
          </cell>
          <cell r="W96" t="str">
            <v>X</v>
          </cell>
          <cell r="X96" t="str">
            <v>X</v>
          </cell>
          <cell r="Y96">
            <v>0</v>
          </cell>
          <cell r="Z96" t="str">
            <v>X</v>
          </cell>
          <cell r="AA96" t="str">
            <v>X</v>
          </cell>
          <cell r="AB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23</v>
          </cell>
          <cell r="AK96">
            <v>2</v>
          </cell>
          <cell r="AL96">
            <v>25</v>
          </cell>
        </row>
        <row r="97">
          <cell r="B97" t="str">
            <v>Phò Cau</v>
          </cell>
          <cell r="C97" t="str">
            <v>02022</v>
          </cell>
          <cell r="D97" t="str">
            <v>Đội 3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>
            <v>0</v>
          </cell>
          <cell r="L97" t="str">
            <v>X</v>
          </cell>
          <cell r="M97" t="str">
            <v>X</v>
          </cell>
          <cell r="N97" t="str">
            <v>X</v>
          </cell>
          <cell r="O97" t="str">
            <v>X</v>
          </cell>
          <cell r="P97" t="str">
            <v>X</v>
          </cell>
          <cell r="Q97" t="str">
            <v>X</v>
          </cell>
          <cell r="R97">
            <v>0</v>
          </cell>
          <cell r="S97" t="str">
            <v>X</v>
          </cell>
          <cell r="T97" t="str">
            <v>X</v>
          </cell>
          <cell r="U97" t="str">
            <v>X</v>
          </cell>
          <cell r="V97">
            <v>0</v>
          </cell>
          <cell r="W97" t="str">
            <v>X</v>
          </cell>
          <cell r="X97" t="str">
            <v>X</v>
          </cell>
          <cell r="Y97" t="str">
            <v>CN</v>
          </cell>
          <cell r="Z97" t="str">
            <v>X</v>
          </cell>
          <cell r="AA97" t="str">
            <v>X</v>
          </cell>
          <cell r="AB97" t="str">
            <v>X</v>
          </cell>
          <cell r="AC97" t="str">
            <v>X</v>
          </cell>
          <cell r="AD97" t="str">
            <v>X</v>
          </cell>
          <cell r="AE97" t="str">
            <v>X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23</v>
          </cell>
          <cell r="AK97">
            <v>1</v>
          </cell>
          <cell r="AL97">
            <v>24</v>
          </cell>
        </row>
        <row r="98">
          <cell r="B98" t="str">
            <v>Vông Đươn</v>
          </cell>
          <cell r="C98" t="str">
            <v>01357</v>
          </cell>
          <cell r="D98" t="str">
            <v>Đội 3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CN</v>
          </cell>
          <cell r="L98" t="str">
            <v>X</v>
          </cell>
          <cell r="M98" t="str">
            <v>X</v>
          </cell>
          <cell r="N98">
            <v>0</v>
          </cell>
          <cell r="O98" t="str">
            <v>X</v>
          </cell>
          <cell r="P98">
            <v>0</v>
          </cell>
          <cell r="Q98" t="str">
            <v>X</v>
          </cell>
          <cell r="R98" t="str">
            <v>CN</v>
          </cell>
          <cell r="S98">
            <v>0</v>
          </cell>
          <cell r="T98" t="str">
            <v>X</v>
          </cell>
          <cell r="U98">
            <v>0</v>
          </cell>
          <cell r="V98" t="str">
            <v>X</v>
          </cell>
          <cell r="W98" t="str">
            <v>X</v>
          </cell>
          <cell r="X98" t="str">
            <v>X</v>
          </cell>
          <cell r="Y98" t="str">
            <v>CN</v>
          </cell>
          <cell r="Z98" t="str">
            <v>X</v>
          </cell>
          <cell r="AA98" t="str">
            <v>X</v>
          </cell>
          <cell r="AB98" t="str">
            <v>X</v>
          </cell>
          <cell r="AC98" t="str">
            <v>X</v>
          </cell>
          <cell r="AD98" t="str">
            <v>X</v>
          </cell>
          <cell r="AE98" t="str">
            <v>X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20</v>
          </cell>
          <cell r="AK98">
            <v>3</v>
          </cell>
          <cell r="AL98">
            <v>23</v>
          </cell>
        </row>
        <row r="99">
          <cell r="B99" t="str">
            <v>A Tốt</v>
          </cell>
          <cell r="C99" t="str">
            <v>01366</v>
          </cell>
          <cell r="D99" t="str">
            <v>Đội 3</v>
          </cell>
          <cell r="E99">
            <v>0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CN</v>
          </cell>
          <cell r="L99" t="str">
            <v>X</v>
          </cell>
          <cell r="M99" t="str">
            <v>X</v>
          </cell>
          <cell r="N99" t="str">
            <v>X</v>
          </cell>
          <cell r="O99" t="str">
            <v>X</v>
          </cell>
          <cell r="P99" t="str">
            <v>X</v>
          </cell>
          <cell r="Q99" t="str">
            <v>X</v>
          </cell>
          <cell r="R99" t="str">
            <v>CN</v>
          </cell>
          <cell r="S99" t="str">
            <v>X</v>
          </cell>
          <cell r="T99" t="str">
            <v>X</v>
          </cell>
          <cell r="U99" t="str">
            <v>X</v>
          </cell>
          <cell r="V99" t="str">
            <v>X</v>
          </cell>
          <cell r="W99" t="str">
            <v>X</v>
          </cell>
          <cell r="X99" t="str">
            <v>X</v>
          </cell>
          <cell r="Y99" t="str">
            <v>CN</v>
          </cell>
          <cell r="Z99" t="str">
            <v>X</v>
          </cell>
          <cell r="AA99" t="str">
            <v>X</v>
          </cell>
          <cell r="AB99" t="str">
            <v>X</v>
          </cell>
          <cell r="AC99" t="str">
            <v>X</v>
          </cell>
          <cell r="AD99" t="str">
            <v>X</v>
          </cell>
          <cell r="AE99" t="str">
            <v>X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23</v>
          </cell>
          <cell r="AK99">
            <v>3</v>
          </cell>
          <cell r="AL99">
            <v>26</v>
          </cell>
        </row>
        <row r="100">
          <cell r="B100" t="str">
            <v>Khăm Son</v>
          </cell>
          <cell r="C100" t="str">
            <v>01356</v>
          </cell>
          <cell r="D100" t="str">
            <v>Đội 3</v>
          </cell>
          <cell r="E100" t="str">
            <v>X</v>
          </cell>
          <cell r="F100" t="str">
            <v>X</v>
          </cell>
          <cell r="G100">
            <v>0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CN</v>
          </cell>
          <cell r="L100" t="str">
            <v>X</v>
          </cell>
          <cell r="M100" t="str">
            <v>X</v>
          </cell>
          <cell r="N100" t="str">
            <v>X</v>
          </cell>
          <cell r="O100" t="str">
            <v>X</v>
          </cell>
          <cell r="P100" t="str">
            <v>X</v>
          </cell>
          <cell r="Q100" t="str">
            <v>X</v>
          </cell>
          <cell r="R100" t="str">
            <v>CN</v>
          </cell>
          <cell r="S100" t="str">
            <v>X</v>
          </cell>
          <cell r="T100">
            <v>0</v>
          </cell>
          <cell r="U100" t="str">
            <v>X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CN</v>
          </cell>
          <cell r="Z100" t="str">
            <v>X</v>
          </cell>
          <cell r="AA100" t="str">
            <v>X</v>
          </cell>
          <cell r="AB100" t="str">
            <v>X</v>
          </cell>
          <cell r="AC100" t="str">
            <v>X</v>
          </cell>
          <cell r="AD100">
            <v>0</v>
          </cell>
          <cell r="AE100" t="str">
            <v>X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21</v>
          </cell>
          <cell r="AK100">
            <v>3</v>
          </cell>
          <cell r="AL100">
            <v>24</v>
          </cell>
        </row>
        <row r="101">
          <cell r="B101" t="str">
            <v>Pho Têng</v>
          </cell>
          <cell r="C101" t="str">
            <v>01360</v>
          </cell>
          <cell r="D101" t="str">
            <v>Đội 3</v>
          </cell>
          <cell r="E101" t="str">
            <v>X</v>
          </cell>
          <cell r="F101" t="str">
            <v>X</v>
          </cell>
          <cell r="G101" t="str">
            <v>X</v>
          </cell>
          <cell r="H101" t="str">
            <v>X</v>
          </cell>
          <cell r="I101" t="str">
            <v>X</v>
          </cell>
          <cell r="J101" t="str">
            <v>X</v>
          </cell>
          <cell r="K101" t="str">
            <v>CN</v>
          </cell>
          <cell r="L101" t="str">
            <v>X</v>
          </cell>
          <cell r="M101" t="str">
            <v>X</v>
          </cell>
          <cell r="N101" t="str">
            <v>X</v>
          </cell>
          <cell r="O101" t="str">
            <v>X</v>
          </cell>
          <cell r="P101" t="str">
            <v>X</v>
          </cell>
          <cell r="Q101" t="str">
            <v>X</v>
          </cell>
          <cell r="R101" t="str">
            <v>CN</v>
          </cell>
          <cell r="S101" t="str">
            <v>X</v>
          </cell>
          <cell r="T101" t="str">
            <v>X</v>
          </cell>
          <cell r="U101" t="str">
            <v>X</v>
          </cell>
          <cell r="V101" t="str">
            <v>X</v>
          </cell>
          <cell r="W101" t="str">
            <v>X</v>
          </cell>
          <cell r="X101" t="str">
            <v>X</v>
          </cell>
          <cell r="Y101" t="str">
            <v>CN</v>
          </cell>
          <cell r="Z101" t="str">
            <v>X</v>
          </cell>
          <cell r="AA101" t="str">
            <v>X</v>
          </cell>
          <cell r="AB101" t="str">
            <v>X</v>
          </cell>
          <cell r="AC101" t="str">
            <v>X</v>
          </cell>
          <cell r="AD101" t="str">
            <v>X</v>
          </cell>
          <cell r="AE101" t="str">
            <v>X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24</v>
          </cell>
          <cell r="AK101">
            <v>3</v>
          </cell>
          <cell r="AL101">
            <v>27</v>
          </cell>
        </row>
        <row r="102">
          <cell r="B102" t="str">
            <v>A Linh</v>
          </cell>
          <cell r="C102" t="str">
            <v>02019</v>
          </cell>
          <cell r="D102" t="str">
            <v>Đội 3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  <cell r="I102" t="str">
            <v>X</v>
          </cell>
          <cell r="J102" t="str">
            <v>X</v>
          </cell>
          <cell r="K102" t="str">
            <v>CN</v>
          </cell>
          <cell r="L102" t="str">
            <v>X</v>
          </cell>
          <cell r="M102" t="str">
            <v>X</v>
          </cell>
          <cell r="N102" t="str">
            <v>X</v>
          </cell>
          <cell r="O102" t="str">
            <v>X</v>
          </cell>
          <cell r="P102" t="str">
            <v>X</v>
          </cell>
          <cell r="Q102" t="str">
            <v>X</v>
          </cell>
          <cell r="R102" t="str">
            <v>CN</v>
          </cell>
          <cell r="S102" t="str">
            <v>X</v>
          </cell>
          <cell r="T102" t="str">
            <v>X</v>
          </cell>
          <cell r="U102" t="str">
            <v>X</v>
          </cell>
          <cell r="V102" t="str">
            <v>X</v>
          </cell>
          <cell r="W102" t="str">
            <v>X</v>
          </cell>
          <cell r="X102">
            <v>0</v>
          </cell>
          <cell r="Y102" t="str">
            <v>CN</v>
          </cell>
          <cell r="Z102" t="str">
            <v>X</v>
          </cell>
          <cell r="AA102" t="str">
            <v>X</v>
          </cell>
          <cell r="AB102" t="str">
            <v>X</v>
          </cell>
          <cell r="AC102" t="str">
            <v>X</v>
          </cell>
          <cell r="AD102" t="str">
            <v>X</v>
          </cell>
          <cell r="AE102" t="str">
            <v>X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23</v>
          </cell>
          <cell r="AK102">
            <v>3</v>
          </cell>
          <cell r="AL102">
            <v>26</v>
          </cell>
        </row>
        <row r="103">
          <cell r="B103" t="str">
            <v>Mo Ket</v>
          </cell>
          <cell r="C103" t="str">
            <v>01362</v>
          </cell>
          <cell r="D103" t="str">
            <v>Đội 3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CN</v>
          </cell>
          <cell r="L103" t="str">
            <v>X</v>
          </cell>
          <cell r="M103" t="str">
            <v>X</v>
          </cell>
          <cell r="N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CN</v>
          </cell>
          <cell r="S103" t="str">
            <v>X</v>
          </cell>
          <cell r="T103" t="str">
            <v>X</v>
          </cell>
          <cell r="U103" t="str">
            <v>X</v>
          </cell>
          <cell r="V103" t="str">
            <v>X</v>
          </cell>
          <cell r="W103" t="str">
            <v>X</v>
          </cell>
          <cell r="X103" t="str">
            <v>X</v>
          </cell>
          <cell r="Y103" t="str">
            <v>CN</v>
          </cell>
          <cell r="Z103" t="str">
            <v>X</v>
          </cell>
          <cell r="AA103" t="str">
            <v>X</v>
          </cell>
          <cell r="AB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24</v>
          </cell>
          <cell r="AK103">
            <v>3</v>
          </cell>
          <cell r="AL103">
            <v>27</v>
          </cell>
        </row>
        <row r="104">
          <cell r="B104" t="str">
            <v>A Môm</v>
          </cell>
          <cell r="C104" t="str">
            <v>01363</v>
          </cell>
          <cell r="D104" t="str">
            <v>Đội 3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CN</v>
          </cell>
          <cell r="L104" t="str">
            <v>X</v>
          </cell>
          <cell r="M104" t="str">
            <v>X</v>
          </cell>
          <cell r="N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CN</v>
          </cell>
          <cell r="S104" t="str">
            <v>X</v>
          </cell>
          <cell r="T104" t="str">
            <v>X</v>
          </cell>
          <cell r="U104" t="str">
            <v>X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CN</v>
          </cell>
          <cell r="Z104" t="str">
            <v>X</v>
          </cell>
          <cell r="AA104" t="str">
            <v>X</v>
          </cell>
          <cell r="AB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24</v>
          </cell>
          <cell r="AK104">
            <v>3</v>
          </cell>
          <cell r="AL104">
            <v>27</v>
          </cell>
        </row>
        <row r="105">
          <cell r="B105" t="str">
            <v>Pa lăng</v>
          </cell>
          <cell r="C105" t="str">
            <v>01364</v>
          </cell>
          <cell r="D105" t="str">
            <v>Đội 3</v>
          </cell>
          <cell r="E105" t="str">
            <v>X</v>
          </cell>
          <cell r="F105">
            <v>0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CN</v>
          </cell>
          <cell r="L105" t="str">
            <v>X</v>
          </cell>
          <cell r="M105" t="str">
            <v>X</v>
          </cell>
          <cell r="N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CN</v>
          </cell>
          <cell r="S105" t="str">
            <v>X</v>
          </cell>
          <cell r="T105" t="str">
            <v>X</v>
          </cell>
          <cell r="U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CN</v>
          </cell>
          <cell r="Z105" t="str">
            <v>X</v>
          </cell>
          <cell r="AA105">
            <v>0</v>
          </cell>
          <cell r="AB105" t="str">
            <v>X</v>
          </cell>
          <cell r="AC105">
            <v>0</v>
          </cell>
          <cell r="AD105" t="str">
            <v>X</v>
          </cell>
          <cell r="AE105" t="str">
            <v>X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21</v>
          </cell>
          <cell r="AK105">
            <v>3</v>
          </cell>
          <cell r="AL105">
            <v>24</v>
          </cell>
        </row>
        <row r="106">
          <cell r="B106" t="str">
            <v>Sa Mối</v>
          </cell>
          <cell r="C106" t="str">
            <v>01365</v>
          </cell>
          <cell r="D106" t="str">
            <v>Đội 3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  <cell r="I106" t="str">
            <v>X</v>
          </cell>
          <cell r="J106" t="str">
            <v>X</v>
          </cell>
          <cell r="K106" t="str">
            <v>CN</v>
          </cell>
          <cell r="L106" t="str">
            <v>X</v>
          </cell>
          <cell r="M106" t="str">
            <v>X</v>
          </cell>
          <cell r="N106" t="str">
            <v>X</v>
          </cell>
          <cell r="O106" t="str">
            <v>X</v>
          </cell>
          <cell r="P106" t="str">
            <v>X</v>
          </cell>
          <cell r="Q106" t="str">
            <v>X</v>
          </cell>
          <cell r="R106" t="str">
            <v>CN</v>
          </cell>
          <cell r="S106" t="str">
            <v>X</v>
          </cell>
          <cell r="T106" t="str">
            <v>X</v>
          </cell>
          <cell r="U106" t="str">
            <v>X</v>
          </cell>
          <cell r="V106" t="str">
            <v>X</v>
          </cell>
          <cell r="W106" t="str">
            <v>X</v>
          </cell>
          <cell r="X106" t="str">
            <v>X</v>
          </cell>
          <cell r="Y106" t="str">
            <v>CN</v>
          </cell>
          <cell r="Z106" t="str">
            <v>X</v>
          </cell>
          <cell r="AA106" t="str">
            <v>X</v>
          </cell>
          <cell r="AB106" t="str">
            <v>X</v>
          </cell>
          <cell r="AC106" t="str">
            <v>X</v>
          </cell>
          <cell r="AD106" t="str">
            <v>X</v>
          </cell>
          <cell r="AE106" t="str">
            <v>X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24</v>
          </cell>
          <cell r="AK106">
            <v>3</v>
          </cell>
          <cell r="AL106">
            <v>27</v>
          </cell>
        </row>
        <row r="107">
          <cell r="B107" t="str">
            <v>B Têng</v>
          </cell>
          <cell r="C107" t="str">
            <v>02021</v>
          </cell>
          <cell r="D107" t="str">
            <v>Đội 3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CN</v>
          </cell>
          <cell r="L107" t="str">
            <v>X</v>
          </cell>
          <cell r="M107">
            <v>0</v>
          </cell>
          <cell r="N107" t="str">
            <v>X</v>
          </cell>
          <cell r="O107" t="str">
            <v>X</v>
          </cell>
          <cell r="P107" t="str">
            <v>X</v>
          </cell>
          <cell r="Q107" t="str">
            <v>X</v>
          </cell>
          <cell r="R107" t="str">
            <v>CN</v>
          </cell>
          <cell r="S107" t="str">
            <v>X</v>
          </cell>
          <cell r="T107" t="str">
            <v>X</v>
          </cell>
          <cell r="U107" t="str">
            <v>X</v>
          </cell>
          <cell r="V107" t="str">
            <v>X</v>
          </cell>
          <cell r="W107" t="str">
            <v>X</v>
          </cell>
          <cell r="X107" t="str">
            <v>X</v>
          </cell>
          <cell r="Y107" t="str">
            <v>CN</v>
          </cell>
          <cell r="Z107" t="str">
            <v>X</v>
          </cell>
          <cell r="AA107" t="str">
            <v>X</v>
          </cell>
          <cell r="AB107">
            <v>0</v>
          </cell>
          <cell r="AC107" t="str">
            <v>X</v>
          </cell>
          <cell r="AD107" t="str">
            <v>X</v>
          </cell>
          <cell r="AE107" t="str">
            <v>X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22</v>
          </cell>
          <cell r="AK107">
            <v>3</v>
          </cell>
          <cell r="AL107">
            <v>25</v>
          </cell>
        </row>
        <row r="108">
          <cell r="B108" t="str">
            <v>A Ói</v>
          </cell>
          <cell r="C108" t="str">
            <v>02018</v>
          </cell>
          <cell r="D108" t="str">
            <v>Đội 3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CN</v>
          </cell>
          <cell r="L108" t="str">
            <v>X</v>
          </cell>
          <cell r="M108" t="str">
            <v>X</v>
          </cell>
          <cell r="N108" t="str">
            <v>X</v>
          </cell>
          <cell r="O108" t="str">
            <v>X</v>
          </cell>
          <cell r="P108" t="str">
            <v>X</v>
          </cell>
          <cell r="Q108" t="str">
            <v>X</v>
          </cell>
          <cell r="R108" t="str">
            <v>CN</v>
          </cell>
          <cell r="S108" t="str">
            <v>X</v>
          </cell>
          <cell r="T108" t="str">
            <v>X</v>
          </cell>
          <cell r="U108" t="str">
            <v>X</v>
          </cell>
          <cell r="V108" t="str">
            <v>X</v>
          </cell>
          <cell r="W108" t="str">
            <v>X</v>
          </cell>
          <cell r="X108" t="str">
            <v>X</v>
          </cell>
          <cell r="Y108" t="str">
            <v>CN</v>
          </cell>
          <cell r="Z108" t="str">
            <v>X</v>
          </cell>
          <cell r="AA108" t="str">
            <v>X</v>
          </cell>
          <cell r="AB108" t="str">
            <v>X</v>
          </cell>
          <cell r="AC108" t="str">
            <v>X</v>
          </cell>
          <cell r="AD108" t="str">
            <v>X</v>
          </cell>
          <cell r="AE108" t="str">
            <v>X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24</v>
          </cell>
          <cell r="AK108">
            <v>3</v>
          </cell>
          <cell r="AL108">
            <v>27</v>
          </cell>
        </row>
        <row r="109">
          <cell r="B109" t="str">
            <v>A Lóc</v>
          </cell>
          <cell r="C109" t="str">
            <v>02020</v>
          </cell>
          <cell r="D109" t="str">
            <v>Đội 3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  <cell r="I109" t="str">
            <v>X</v>
          </cell>
          <cell r="J109" t="str">
            <v>X</v>
          </cell>
          <cell r="K109" t="str">
            <v>CN</v>
          </cell>
          <cell r="L109" t="str">
            <v>X</v>
          </cell>
          <cell r="M109" t="str">
            <v>X</v>
          </cell>
          <cell r="N109" t="str">
            <v>X</v>
          </cell>
          <cell r="O109" t="str">
            <v>X</v>
          </cell>
          <cell r="P109" t="str">
            <v>X</v>
          </cell>
          <cell r="Q109" t="str">
            <v>X</v>
          </cell>
          <cell r="R109" t="str">
            <v>CN</v>
          </cell>
          <cell r="S109" t="str">
            <v>X</v>
          </cell>
          <cell r="T109" t="str">
            <v>X</v>
          </cell>
          <cell r="U109" t="str">
            <v>X</v>
          </cell>
          <cell r="V109" t="str">
            <v>X</v>
          </cell>
          <cell r="W109" t="str">
            <v>X</v>
          </cell>
          <cell r="X109" t="str">
            <v>X</v>
          </cell>
          <cell r="Y109" t="str">
            <v>CN</v>
          </cell>
          <cell r="Z109" t="str">
            <v>X</v>
          </cell>
          <cell r="AA109" t="str">
            <v>X</v>
          </cell>
          <cell r="AB109" t="str">
            <v>X</v>
          </cell>
          <cell r="AC109" t="str">
            <v>X</v>
          </cell>
          <cell r="AD109" t="str">
            <v>X</v>
          </cell>
          <cell r="AE109" t="str">
            <v>X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24</v>
          </cell>
          <cell r="AK109">
            <v>3</v>
          </cell>
          <cell r="AL109">
            <v>27</v>
          </cell>
        </row>
        <row r="110">
          <cell r="B110" t="str">
            <v>A Cô</v>
          </cell>
          <cell r="C110">
            <v>0</v>
          </cell>
          <cell r="D110" t="str">
            <v>Đội 3</v>
          </cell>
          <cell r="E110" t="str">
            <v>X</v>
          </cell>
          <cell r="F110" t="str">
            <v>X</v>
          </cell>
          <cell r="G110" t="str">
            <v>X</v>
          </cell>
          <cell r="H110">
            <v>0</v>
          </cell>
          <cell r="I110">
            <v>0</v>
          </cell>
          <cell r="J110">
            <v>0</v>
          </cell>
          <cell r="K110" t="str">
            <v>CN</v>
          </cell>
          <cell r="L110" t="str">
            <v>X</v>
          </cell>
          <cell r="M110" t="str">
            <v>X</v>
          </cell>
          <cell r="N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CN</v>
          </cell>
          <cell r="S110" t="str">
            <v>X</v>
          </cell>
          <cell r="T110" t="str">
            <v>X</v>
          </cell>
          <cell r="U110" t="str">
            <v>X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CN</v>
          </cell>
          <cell r="Z110" t="str">
            <v>X</v>
          </cell>
          <cell r="AA110" t="str">
            <v>X</v>
          </cell>
          <cell r="AB110" t="str">
            <v>X</v>
          </cell>
          <cell r="AC110" t="str">
            <v>X</v>
          </cell>
          <cell r="AD110" t="str">
            <v>X</v>
          </cell>
          <cell r="AE110" t="str">
            <v>X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</v>
          </cell>
          <cell r="AK110">
            <v>3</v>
          </cell>
          <cell r="AL110">
            <v>24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18</v>
          </cell>
          <cell r="F111">
            <v>18</v>
          </cell>
          <cell r="G111">
            <v>18</v>
          </cell>
          <cell r="H111">
            <v>18</v>
          </cell>
          <cell r="I111">
            <v>18</v>
          </cell>
          <cell r="J111">
            <v>18</v>
          </cell>
          <cell r="K111">
            <v>18</v>
          </cell>
          <cell r="L111">
            <v>18</v>
          </cell>
          <cell r="M111">
            <v>18</v>
          </cell>
          <cell r="N111">
            <v>18</v>
          </cell>
          <cell r="O111">
            <v>18</v>
          </cell>
          <cell r="P111">
            <v>18</v>
          </cell>
          <cell r="Q111">
            <v>18</v>
          </cell>
          <cell r="R111">
            <v>18</v>
          </cell>
          <cell r="S111">
            <v>18</v>
          </cell>
          <cell r="T111">
            <v>18</v>
          </cell>
          <cell r="U111">
            <v>18</v>
          </cell>
          <cell r="V111">
            <v>18</v>
          </cell>
          <cell r="W111">
            <v>19</v>
          </cell>
          <cell r="X111">
            <v>18</v>
          </cell>
          <cell r="Y111">
            <v>18</v>
          </cell>
          <cell r="Z111">
            <v>18</v>
          </cell>
          <cell r="AA111">
            <v>18</v>
          </cell>
          <cell r="AB111">
            <v>18</v>
          </cell>
          <cell r="AC111">
            <v>18</v>
          </cell>
          <cell r="AD111">
            <v>18</v>
          </cell>
          <cell r="AE111">
            <v>18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412</v>
          </cell>
          <cell r="AK111">
            <v>54</v>
          </cell>
          <cell r="AL111">
            <v>487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93</v>
          </cell>
          <cell r="F112">
            <v>99</v>
          </cell>
          <cell r="G112">
            <v>94</v>
          </cell>
          <cell r="H112">
            <v>96</v>
          </cell>
          <cell r="I112">
            <v>97</v>
          </cell>
          <cell r="J112">
            <v>100</v>
          </cell>
          <cell r="K112">
            <v>98</v>
          </cell>
          <cell r="L112">
            <v>99</v>
          </cell>
          <cell r="M112">
            <v>99</v>
          </cell>
          <cell r="N112">
            <v>96</v>
          </cell>
          <cell r="O112">
            <v>82</v>
          </cell>
          <cell r="P112">
            <v>97</v>
          </cell>
          <cell r="Q112">
            <v>95</v>
          </cell>
          <cell r="R112">
            <v>95</v>
          </cell>
          <cell r="S112">
            <v>99</v>
          </cell>
          <cell r="T112">
            <v>96</v>
          </cell>
          <cell r="U112">
            <v>91</v>
          </cell>
          <cell r="V112">
            <v>99</v>
          </cell>
          <cell r="W112">
            <v>92</v>
          </cell>
          <cell r="X112">
            <v>94</v>
          </cell>
          <cell r="Y112">
            <v>95</v>
          </cell>
          <cell r="Z112">
            <v>96</v>
          </cell>
          <cell r="AA112">
            <v>94</v>
          </cell>
          <cell r="AB112">
            <v>91</v>
          </cell>
          <cell r="AC112">
            <v>88</v>
          </cell>
          <cell r="AD112">
            <v>88</v>
          </cell>
          <cell r="AE112">
            <v>96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2271</v>
          </cell>
          <cell r="AK112">
            <v>288</v>
          </cell>
          <cell r="AL112">
            <v>2559</v>
          </cell>
        </row>
        <row r="113">
          <cell r="AC113">
            <v>0</v>
          </cell>
          <cell r="AD113" t="str">
            <v>Huyện Noong, ngày .... tháng .... năm 2020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</row>
        <row r="114">
          <cell r="C114">
            <v>0</v>
          </cell>
          <cell r="AJ114">
            <v>0</v>
          </cell>
          <cell r="AK114">
            <v>0</v>
          </cell>
          <cell r="AL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 t="str">
            <v>GIÁM ĐỐC NT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 t="str">
            <v>TL. TC - LĐTL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TL.NN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NGƯỜI LẬP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</row>
      </sheetData>
      <sheetData sheetId="1">
        <row r="8">
          <cell r="C8" t="str">
            <v>01278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450</v>
          </cell>
          <cell r="F18" t="str">
            <v>USD</v>
          </cell>
          <cell r="G18">
            <v>450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Thanh Hải</v>
          </cell>
          <cell r="C20" t="str">
            <v>TL. Bảo vệ</v>
          </cell>
          <cell r="D20">
            <v>26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Nguyễn Văn Hậu</v>
          </cell>
          <cell r="C21" t="str">
            <v>NVNN</v>
          </cell>
          <cell r="D21">
            <v>26</v>
          </cell>
          <cell r="E21">
            <v>400</v>
          </cell>
          <cell r="F21" t="str">
            <v>USD</v>
          </cell>
          <cell r="G21">
            <v>400</v>
          </cell>
        </row>
        <row r="22">
          <cell r="B22" t="str">
            <v>Võ Thị Quyên</v>
          </cell>
          <cell r="C22" t="str">
            <v>NVNN</v>
          </cell>
          <cell r="D22">
            <v>26</v>
          </cell>
          <cell r="E22">
            <v>175.57550460681381</v>
          </cell>
          <cell r="F22" t="str">
            <v>USD</v>
          </cell>
          <cell r="G22">
            <v>175.57550460681381</v>
          </cell>
        </row>
        <row r="23">
          <cell r="B23" t="str">
            <v>Hồ Sỹ Tú</v>
          </cell>
          <cell r="C23" t="str">
            <v>Tài xế</v>
          </cell>
          <cell r="D23">
            <v>26</v>
          </cell>
          <cell r="E23">
            <v>172.99351189200772</v>
          </cell>
          <cell r="F23" t="str">
            <v>USD</v>
          </cell>
          <cell r="G23">
            <v>172.99351189200772</v>
          </cell>
        </row>
        <row r="24">
          <cell r="B24" t="str">
            <v>Lê Văn Minh</v>
          </cell>
          <cell r="C24" t="str">
            <v>Tài xế</v>
          </cell>
          <cell r="D24">
            <v>26</v>
          </cell>
          <cell r="E24">
            <v>470</v>
          </cell>
          <cell r="F24" t="str">
            <v>USD</v>
          </cell>
          <cell r="G24">
            <v>470</v>
          </cell>
        </row>
        <row r="25">
          <cell r="B25" t="str">
            <v>Nguyễn Thị Thu Hiền</v>
          </cell>
          <cell r="C25" t="str">
            <v>Cấp dưỡng</v>
          </cell>
          <cell r="D25">
            <v>26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Hoàng Thị Thảo</v>
          </cell>
          <cell r="C26" t="str">
            <v>Cấp dưỡng</v>
          </cell>
          <cell r="D26">
            <v>26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Võ Thi Thu Hằng</v>
          </cell>
          <cell r="C27" t="str">
            <v>Y tế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Minh Thìn</v>
          </cell>
          <cell r="C28" t="str">
            <v>NVNN</v>
          </cell>
          <cell r="D28">
            <v>26</v>
          </cell>
          <cell r="E28">
            <v>350</v>
          </cell>
          <cell r="F28" t="str">
            <v>USD</v>
          </cell>
          <cell r="G28">
            <v>350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26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phó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Lê Văn Nghĩa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24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24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24</v>
          </cell>
          <cell r="E18">
            <v>550</v>
          </cell>
          <cell r="F18" t="str">
            <v>USD</v>
          </cell>
          <cell r="G18">
            <v>550</v>
          </cell>
        </row>
        <row r="19">
          <cell r="B19" t="str">
            <v>Trần Quang Thiện</v>
          </cell>
          <cell r="C19" t="str">
            <v>TL.TCLĐTL</v>
          </cell>
          <cell r="D19">
            <v>24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Thanh Hải</v>
          </cell>
          <cell r="C20" t="str">
            <v>TL. Bảo vệ</v>
          </cell>
          <cell r="D20">
            <v>24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Nguyễn Văn Hậu</v>
          </cell>
          <cell r="C21" t="str">
            <v>NVNN</v>
          </cell>
          <cell r="D21">
            <v>24</v>
          </cell>
          <cell r="E21">
            <v>400</v>
          </cell>
          <cell r="F21" t="str">
            <v>USD</v>
          </cell>
          <cell r="G21">
            <v>400</v>
          </cell>
        </row>
        <row r="22">
          <cell r="B22" t="str">
            <v>Võ Thị Quyên</v>
          </cell>
          <cell r="C22" t="str">
            <v>NVNN</v>
          </cell>
          <cell r="D22">
            <v>24</v>
          </cell>
          <cell r="E22">
            <v>174.99946119307248</v>
          </cell>
          <cell r="F22" t="str">
            <v>USD</v>
          </cell>
          <cell r="G22">
            <v>174.99946119307248</v>
          </cell>
        </row>
        <row r="23">
          <cell r="B23" t="str">
            <v>Hồ Sỹ Tú</v>
          </cell>
          <cell r="C23" t="str">
            <v>Tài xế</v>
          </cell>
          <cell r="D23">
            <v>24</v>
          </cell>
          <cell r="E23">
            <v>172.42593970493905</v>
          </cell>
          <cell r="F23" t="str">
            <v>USD</v>
          </cell>
          <cell r="G23">
            <v>172.42593970493905</v>
          </cell>
        </row>
        <row r="24">
          <cell r="B24" t="str">
            <v>Lê Văn Minh</v>
          </cell>
          <cell r="C24" t="str">
            <v>Tài xế</v>
          </cell>
          <cell r="D24">
            <v>24</v>
          </cell>
          <cell r="E24">
            <v>470</v>
          </cell>
          <cell r="F24" t="str">
            <v>USD</v>
          </cell>
          <cell r="G24">
            <v>470</v>
          </cell>
        </row>
        <row r="25">
          <cell r="B25" t="str">
            <v>Nguyễn Thị Thu Hiền</v>
          </cell>
          <cell r="C25" t="str">
            <v>Cấp dưỡng</v>
          </cell>
          <cell r="D25">
            <v>24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Hoàng Thị Thảo</v>
          </cell>
          <cell r="C26" t="str">
            <v>Cấp dưỡng</v>
          </cell>
          <cell r="D26">
            <v>24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Võ Thi Thu Hằng</v>
          </cell>
          <cell r="C27" t="str">
            <v>Y tế</v>
          </cell>
          <cell r="D27">
            <v>24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Minh Thìn</v>
          </cell>
          <cell r="C28" t="str">
            <v>NVNN</v>
          </cell>
          <cell r="D28">
            <v>24</v>
          </cell>
          <cell r="E28">
            <v>350</v>
          </cell>
          <cell r="F28" t="str">
            <v>USD</v>
          </cell>
          <cell r="G28">
            <v>350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24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24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phó</v>
          </cell>
          <cell r="D32">
            <v>24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24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Lê Văn Nghĩa</v>
          </cell>
          <cell r="C34" t="str">
            <v>Đội phó</v>
          </cell>
          <cell r="D34">
            <v>24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27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27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27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27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Văn Hậu</v>
          </cell>
          <cell r="C20" t="str">
            <v>NVNN</v>
          </cell>
          <cell r="D20">
            <v>27</v>
          </cell>
          <cell r="E20">
            <v>400</v>
          </cell>
          <cell r="F20" t="str">
            <v>USD</v>
          </cell>
          <cell r="G20">
            <v>400</v>
          </cell>
        </row>
        <row r="21">
          <cell r="B21" t="str">
            <v>Võ Thị Quyên</v>
          </cell>
          <cell r="C21" t="str">
            <v>NVNN</v>
          </cell>
          <cell r="D21">
            <v>27</v>
          </cell>
          <cell r="E21">
            <v>174.13896079056423</v>
          </cell>
          <cell r="F21" t="str">
            <v>USD</v>
          </cell>
          <cell r="G21">
            <v>174.13896079056423</v>
          </cell>
        </row>
        <row r="22">
          <cell r="B22" t="str">
            <v>Hồ Sỹ Tú</v>
          </cell>
          <cell r="C22" t="str">
            <v>Tài xế</v>
          </cell>
          <cell r="D22">
            <v>27</v>
          </cell>
          <cell r="E22">
            <v>171.57809372011477</v>
          </cell>
          <cell r="F22" t="str">
            <v>USD</v>
          </cell>
          <cell r="G22">
            <v>171.57809372011477</v>
          </cell>
        </row>
        <row r="23">
          <cell r="B23" t="str">
            <v>Lê Văn Minh</v>
          </cell>
          <cell r="C23" t="str">
            <v>Tài xế</v>
          </cell>
          <cell r="D23">
            <v>27</v>
          </cell>
          <cell r="E23">
            <v>470</v>
          </cell>
          <cell r="F23" t="str">
            <v>USD</v>
          </cell>
          <cell r="G23">
            <v>470</v>
          </cell>
        </row>
        <row r="24">
          <cell r="B24" t="str">
            <v>Nguyễn Thị Thu Hiền</v>
          </cell>
          <cell r="C24" t="str">
            <v>Cấp dưỡng</v>
          </cell>
          <cell r="D24">
            <v>27</v>
          </cell>
          <cell r="E24">
            <v>350</v>
          </cell>
          <cell r="F24" t="str">
            <v>USD</v>
          </cell>
          <cell r="G24">
            <v>350</v>
          </cell>
        </row>
        <row r="25">
          <cell r="B25" t="str">
            <v>Hoàng Thị Thảo</v>
          </cell>
          <cell r="C25" t="str">
            <v>Cấp dưỡng</v>
          </cell>
          <cell r="D25">
            <v>27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Võ Thi Thu Hằng</v>
          </cell>
          <cell r="C26" t="str">
            <v>Y tế</v>
          </cell>
          <cell r="D26">
            <v>27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Trần Minh Thìn</v>
          </cell>
          <cell r="C27" t="str">
            <v>NVNN</v>
          </cell>
          <cell r="D27">
            <v>27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27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27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phó</v>
          </cell>
          <cell r="D31">
            <v>27</v>
          </cell>
          <cell r="E31">
            <v>450</v>
          </cell>
          <cell r="F31" t="str">
            <v>USD</v>
          </cell>
          <cell r="G31">
            <v>450</v>
          </cell>
        </row>
        <row r="32">
          <cell r="B32" t="str">
            <v>Lê Đức Thọ</v>
          </cell>
          <cell r="C32" t="str">
            <v>Đội trưởng</v>
          </cell>
          <cell r="D32">
            <v>27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27</v>
          </cell>
          <cell r="E33">
            <v>410</v>
          </cell>
          <cell r="F33" t="str">
            <v>USD</v>
          </cell>
          <cell r="G33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350</v>
          </cell>
          <cell r="F22" t="str">
            <v>USD</v>
          </cell>
          <cell r="G22">
            <v>350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350</v>
          </cell>
          <cell r="F24" t="str">
            <v>USD</v>
          </cell>
          <cell r="G24">
            <v>350</v>
          </cell>
        </row>
        <row r="26">
          <cell r="B26" t="str">
            <v>Hồ Xuân Chương</v>
          </cell>
          <cell r="C26" t="str">
            <v>Đội trưởng 1</v>
          </cell>
          <cell r="D26">
            <v>26</v>
          </cell>
          <cell r="E26">
            <v>450</v>
          </cell>
          <cell r="F26" t="str">
            <v>USD</v>
          </cell>
          <cell r="G26">
            <v>450</v>
          </cell>
        </row>
        <row r="27">
          <cell r="B27" t="str">
            <v>Trần Điền</v>
          </cell>
          <cell r="C27" t="str">
            <v xml:space="preserve">Đội phó 1 </v>
          </cell>
          <cell r="D27">
            <v>26</v>
          </cell>
          <cell r="E27">
            <v>410</v>
          </cell>
          <cell r="F27" t="str">
            <v>USD</v>
          </cell>
          <cell r="G27">
            <v>410</v>
          </cell>
        </row>
        <row r="28">
          <cell r="B28" t="str">
            <v>Nguyễn Trường Hưng</v>
          </cell>
          <cell r="C28" t="str">
            <v>Đội phó</v>
          </cell>
          <cell r="D28">
            <v>26</v>
          </cell>
          <cell r="E28">
            <v>450</v>
          </cell>
          <cell r="F28" t="str">
            <v>USD</v>
          </cell>
          <cell r="G28">
            <v>450</v>
          </cell>
        </row>
        <row r="29">
          <cell r="B29" t="str">
            <v>Lê Đức Thọ</v>
          </cell>
          <cell r="C29" t="str">
            <v>Đội trưởng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Lê Văn Nghĩa</v>
          </cell>
          <cell r="C30" t="str">
            <v>Đội phó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Nguyển Huy Cường</v>
          </cell>
          <cell r="C31" t="str">
            <v>Đội trưởng</v>
          </cell>
          <cell r="D31">
            <v>26</v>
          </cell>
          <cell r="E31">
            <v>400</v>
          </cell>
          <cell r="F31" t="str">
            <v>USD</v>
          </cell>
          <cell r="G31">
            <v>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321.69313850063531</v>
          </cell>
          <cell r="F17" t="str">
            <v>USD</v>
          </cell>
          <cell r="G17">
            <v>321.69313850063531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Lương Đức Tính</v>
          </cell>
          <cell r="C20" t="str">
            <v>TL.KH - VT</v>
          </cell>
          <cell r="D20">
            <v>26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Võ Thị Quyên</v>
          </cell>
          <cell r="C21" t="str">
            <v>NVNN</v>
          </cell>
          <cell r="D21">
            <v>26</v>
          </cell>
          <cell r="E21">
            <v>380</v>
          </cell>
          <cell r="F21" t="str">
            <v>USD</v>
          </cell>
          <cell r="G21">
            <v>380</v>
          </cell>
        </row>
        <row r="22">
          <cell r="B22" t="str">
            <v>Lê Văn Minh</v>
          </cell>
          <cell r="C22" t="str">
            <v>Tài xế</v>
          </cell>
          <cell r="D22">
            <v>26</v>
          </cell>
          <cell r="E22">
            <v>470</v>
          </cell>
          <cell r="F22" t="str">
            <v>USD</v>
          </cell>
          <cell r="G22">
            <v>470</v>
          </cell>
        </row>
        <row r="23">
          <cell r="B23" t="str">
            <v>Nguyễn Thị Thu Hiền</v>
          </cell>
          <cell r="C23" t="str">
            <v>Cấp dưỡng</v>
          </cell>
          <cell r="D23">
            <v>26</v>
          </cell>
          <cell r="E23">
            <v>149.26561626429478</v>
          </cell>
          <cell r="F23" t="str">
            <v>USD</v>
          </cell>
          <cell r="G23">
            <v>149.26561626429478</v>
          </cell>
        </row>
        <row r="24">
          <cell r="B24" t="str">
            <v>Hoàng Thị Thảo</v>
          </cell>
          <cell r="C24" t="str">
            <v>Cấp dưỡng</v>
          </cell>
          <cell r="D24">
            <v>26</v>
          </cell>
          <cell r="E24">
            <v>350</v>
          </cell>
          <cell r="F24" t="str">
            <v>USD</v>
          </cell>
          <cell r="G24">
            <v>350</v>
          </cell>
        </row>
        <row r="25">
          <cell r="B25" t="str">
            <v>Trần Minh Thìn</v>
          </cell>
          <cell r="C25" t="str">
            <v>NVNN</v>
          </cell>
          <cell r="D25">
            <v>26</v>
          </cell>
          <cell r="E25">
            <v>350</v>
          </cell>
          <cell r="F25" t="str">
            <v>USD</v>
          </cell>
          <cell r="G25">
            <v>350</v>
          </cell>
        </row>
        <row r="27">
          <cell r="B27" t="str">
            <v>Hồ Xuân Chương</v>
          </cell>
          <cell r="C27" t="str">
            <v>Đội trưởng 1</v>
          </cell>
          <cell r="D27">
            <v>26</v>
          </cell>
          <cell r="E27">
            <v>450</v>
          </cell>
          <cell r="F27" t="str">
            <v>USD</v>
          </cell>
          <cell r="G27">
            <v>450</v>
          </cell>
        </row>
        <row r="28">
          <cell r="B28" t="str">
            <v>Trần Điền</v>
          </cell>
          <cell r="C28" t="str">
            <v xml:space="preserve">Đội phó 1 </v>
          </cell>
          <cell r="D28">
            <v>26</v>
          </cell>
          <cell r="E28">
            <v>410</v>
          </cell>
          <cell r="F28" t="str">
            <v>USD</v>
          </cell>
          <cell r="G28">
            <v>410</v>
          </cell>
        </row>
        <row r="29">
          <cell r="B29" t="str">
            <v>Nguyễn Trường Hưng</v>
          </cell>
          <cell r="C29" t="str">
            <v>Đội phó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Lê Đức Thọ</v>
          </cell>
          <cell r="C30" t="str">
            <v>Đội trưởng</v>
          </cell>
          <cell r="D30">
            <v>26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Lê Văn Nghĩa</v>
          </cell>
          <cell r="C31" t="str">
            <v>Đội phó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Nguyển Huy Cường</v>
          </cell>
          <cell r="C32" t="str">
            <v>Đội trưởng</v>
          </cell>
          <cell r="D32">
            <v>26</v>
          </cell>
          <cell r="E32">
            <v>400</v>
          </cell>
          <cell r="F32" t="str">
            <v>USD</v>
          </cell>
          <cell r="G32">
            <v>400</v>
          </cell>
        </row>
      </sheetData>
      <sheetData sheetId="6" refreshError="1"/>
      <sheetData sheetId="7">
        <row r="32">
          <cell r="C32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500</v>
          </cell>
          <cell r="F17" t="str">
            <v>USD</v>
          </cell>
          <cell r="G17">
            <v>500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149.56995257666773</v>
          </cell>
          <cell r="F22" t="str">
            <v>USD</v>
          </cell>
          <cell r="G22">
            <v>149.56995257666773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Q.PGĐ</v>
          </cell>
          <cell r="D25">
            <v>26</v>
          </cell>
          <cell r="E25">
            <v>600</v>
          </cell>
          <cell r="F25" t="str">
            <v>USD</v>
          </cell>
          <cell r="G25">
            <v>600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11</v>
          </cell>
          <cell r="E27">
            <v>300</v>
          </cell>
          <cell r="F27" t="str">
            <v>USD</v>
          </cell>
          <cell r="G27">
            <v>126.92307692307692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450</v>
          </cell>
          <cell r="F31" t="str">
            <v>USD</v>
          </cell>
          <cell r="G31">
            <v>450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26</v>
          </cell>
          <cell r="E33">
            <v>410</v>
          </cell>
          <cell r="F33" t="str">
            <v>USD</v>
          </cell>
          <cell r="G33">
            <v>410</v>
          </cell>
        </row>
        <row r="34">
          <cell r="B34" t="str">
            <v>Nguyển Huy Cường</v>
          </cell>
          <cell r="C34" t="str">
            <v>Đội trưởng</v>
          </cell>
          <cell r="D34">
            <v>26</v>
          </cell>
          <cell r="E34">
            <v>450</v>
          </cell>
          <cell r="F34" t="str">
            <v>USD</v>
          </cell>
          <cell r="G34">
            <v>450</v>
          </cell>
        </row>
        <row r="35">
          <cell r="B35" t="str">
            <v>Trần Ngọc Phương</v>
          </cell>
          <cell r="C35" t="str">
            <v>Đội phó</v>
          </cell>
          <cell r="D35">
            <v>26</v>
          </cell>
          <cell r="E35">
            <v>410</v>
          </cell>
          <cell r="F35" t="str">
            <v>USD</v>
          </cell>
          <cell r="G35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27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27</v>
          </cell>
          <cell r="E17">
            <v>301.06430913022251</v>
          </cell>
          <cell r="F17" t="str">
            <v>USD</v>
          </cell>
          <cell r="G17">
            <v>301.06430913022251</v>
          </cell>
        </row>
        <row r="18">
          <cell r="B18" t="str">
            <v>Trần Quang Thiện</v>
          </cell>
          <cell r="C18" t="str">
            <v>TL.TCLĐTL</v>
          </cell>
          <cell r="D18">
            <v>27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27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27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27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27</v>
          </cell>
          <cell r="E22">
            <v>142.32682988072818</v>
          </cell>
          <cell r="F22" t="str">
            <v>USD</v>
          </cell>
          <cell r="G22">
            <v>142.32682988072818</v>
          </cell>
        </row>
        <row r="23">
          <cell r="B23" t="str">
            <v>Hoàng Thị Thảo</v>
          </cell>
          <cell r="C23" t="str">
            <v>Cấp dưỡng</v>
          </cell>
          <cell r="D23">
            <v>27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27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Q.PGĐ</v>
          </cell>
          <cell r="D25">
            <v>27</v>
          </cell>
          <cell r="E25">
            <v>600</v>
          </cell>
          <cell r="F25" t="str">
            <v>USD</v>
          </cell>
          <cell r="G25">
            <v>600</v>
          </cell>
        </row>
        <row r="26">
          <cell r="B26" t="str">
            <v>Hà Văn Thành</v>
          </cell>
          <cell r="C26" t="str">
            <v>Tài xế</v>
          </cell>
          <cell r="D26">
            <v>27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27</v>
          </cell>
          <cell r="E27">
            <v>300</v>
          </cell>
          <cell r="F27" t="str">
            <v>USD</v>
          </cell>
          <cell r="G27">
            <v>300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27</v>
          </cell>
          <cell r="E29">
            <v>261.6875483015973</v>
          </cell>
          <cell r="F29" t="str">
            <v>USD</v>
          </cell>
          <cell r="G29">
            <v>261.6875483015973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27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27</v>
          </cell>
          <cell r="E31">
            <v>271.73040571016719</v>
          </cell>
          <cell r="F31" t="str">
            <v>USD</v>
          </cell>
          <cell r="G31">
            <v>271.73040571016719</v>
          </cell>
        </row>
        <row r="32">
          <cell r="B32" t="str">
            <v>Lê Đức Thọ</v>
          </cell>
          <cell r="C32" t="str">
            <v>Đội trưởng</v>
          </cell>
          <cell r="D32">
            <v>27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27</v>
          </cell>
          <cell r="E33">
            <v>256.91559089535235</v>
          </cell>
          <cell r="F33" t="str">
            <v>USD</v>
          </cell>
          <cell r="G33">
            <v>256.91559089535235</v>
          </cell>
        </row>
        <row r="34">
          <cell r="B34" t="str">
            <v>Nguyển Huy Cường</v>
          </cell>
          <cell r="C34" t="str">
            <v>Đội trưởng</v>
          </cell>
          <cell r="D34">
            <v>27</v>
          </cell>
          <cell r="E34">
            <v>450</v>
          </cell>
          <cell r="F34" t="str">
            <v>USD</v>
          </cell>
          <cell r="G34">
            <v>450.00000000000006</v>
          </cell>
        </row>
        <row r="35">
          <cell r="B35" t="str">
            <v>Trần Ngọc Phương</v>
          </cell>
          <cell r="C35" t="str">
            <v>Đội phó</v>
          </cell>
          <cell r="D35">
            <v>27</v>
          </cell>
          <cell r="E35">
            <v>410</v>
          </cell>
          <cell r="F35" t="str">
            <v>USD</v>
          </cell>
          <cell r="G35">
            <v>410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217.85158936946326</v>
          </cell>
          <cell r="F17" t="str">
            <v>USD</v>
          </cell>
          <cell r="G17">
            <v>217.85158936946326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168.47189577905161</v>
          </cell>
          <cell r="F22" t="str">
            <v>USD</v>
          </cell>
          <cell r="G22">
            <v>168.47189577905161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178.63830328295987</v>
          </cell>
          <cell r="F29" t="str">
            <v>USD</v>
          </cell>
          <cell r="G29">
            <v>178.63830328295987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197.51877436164671</v>
          </cell>
          <cell r="F31" t="str">
            <v>USD</v>
          </cell>
          <cell r="G31">
            <v>197.51877436164671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/>
      <sheetData sheetId="1"/>
      <sheetData sheetId="2"/>
      <sheetData sheetId="3"/>
      <sheetData sheetId="4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211.40777766669999</v>
          </cell>
          <cell r="F17" t="str">
            <v>USD</v>
          </cell>
          <cell r="G17">
            <v>211.40777766669999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163.48868139558132</v>
          </cell>
          <cell r="F22" t="str">
            <v>USD</v>
          </cell>
          <cell r="G22">
            <v>163.48868139558132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173.35437768669399</v>
          </cell>
          <cell r="F29" t="str">
            <v>USD</v>
          </cell>
          <cell r="G29">
            <v>173.35437768669399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191.67638508447467</v>
          </cell>
          <cell r="F31" t="str">
            <v>USD</v>
          </cell>
          <cell r="G31">
            <v>191.67638508447467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>
        <row r="16">
          <cell r="B16" t="str">
            <v>Lương Đức Tính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206.83965917893107</v>
          </cell>
          <cell r="F17" t="str">
            <v>USD</v>
          </cell>
          <cell r="G17">
            <v>206.83965917893107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159.95600309837337</v>
          </cell>
          <cell r="F22" t="str">
            <v>USD</v>
          </cell>
          <cell r="G22">
            <v>159.95600309837337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169.60852052672348</v>
          </cell>
          <cell r="F29" t="str">
            <v>USD</v>
          </cell>
          <cell r="G29">
            <v>169.60852052672348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419.71553357564198</v>
          </cell>
          <cell r="F31" t="str">
            <v>USD</v>
          </cell>
          <cell r="G31">
            <v>419.71553357564198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196.9140646587455</v>
          </cell>
          <cell r="F17" t="str">
            <v>USD</v>
          </cell>
          <cell r="G17">
            <v>196.9140646587455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350</v>
          </cell>
          <cell r="F22" t="str">
            <v>USD</v>
          </cell>
          <cell r="G22">
            <v>350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Văn Tú</v>
          </cell>
          <cell r="C28" t="str">
            <v>Nhân viên</v>
          </cell>
          <cell r="D28">
            <v>26</v>
          </cell>
          <cell r="E28">
            <v>400</v>
          </cell>
          <cell r="F28" t="str">
            <v>USD</v>
          </cell>
          <cell r="G28">
            <v>400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26</v>
          </cell>
          <cell r="E30">
            <v>161.46953302017133</v>
          </cell>
          <cell r="F30" t="str">
            <v>USD</v>
          </cell>
          <cell r="G30">
            <v>161.46953302017133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Nguyển Huy Cường</v>
          </cell>
          <cell r="C34" t="str">
            <v>Đội trưởng</v>
          </cell>
          <cell r="D34">
            <v>26</v>
          </cell>
          <cell r="E34">
            <v>450</v>
          </cell>
          <cell r="F34" t="str">
            <v>USD</v>
          </cell>
          <cell r="G34">
            <v>450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tổng hợp quỹ lương"/>
      <sheetName val="Tháng 03 (2)"/>
      <sheetName val="Truy thu (BHYT) (2)"/>
      <sheetName val="Truy trả Thúy"/>
      <sheetName val="Truy thu Tuấn(BHYT)"/>
      <sheetName val="Đâu tiếng"/>
      <sheetName val="Đâu tiếng (2)"/>
    </sheetNames>
    <sheetDataSet>
      <sheetData sheetId="0"/>
      <sheetData sheetId="1">
        <row r="109">
          <cell r="C109" t="str">
            <v>Lê Minh Châu</v>
          </cell>
          <cell r="D109" t="str">
            <v>Nông trường 3</v>
          </cell>
          <cell r="E109" t="str">
            <v>25/06/1984</v>
          </cell>
          <cell r="F109" t="str">
            <v>Nam</v>
          </cell>
          <cell r="G109" t="str">
            <v>4516000822</v>
          </cell>
          <cell r="H109">
            <v>3888000</v>
          </cell>
          <cell r="I109">
            <v>4471200</v>
          </cell>
        </row>
        <row r="110">
          <cell r="C110" t="str">
            <v>Hồ Xuân Chương</v>
          </cell>
          <cell r="D110" t="str">
            <v>Nông trường 3</v>
          </cell>
          <cell r="E110" t="str">
            <v>15/06/1990</v>
          </cell>
          <cell r="F110" t="str">
            <v>Nam</v>
          </cell>
          <cell r="G110" t="str">
            <v>4514000388</v>
          </cell>
          <cell r="H110">
            <v>2712000</v>
          </cell>
          <cell r="I110">
            <v>3284400</v>
          </cell>
        </row>
        <row r="111">
          <cell r="C111" t="str">
            <v>Nguyễn Sỹ</v>
          </cell>
          <cell r="D111" t="str">
            <v>Nông trường 3</v>
          </cell>
          <cell r="E111" t="str">
            <v>08/02/1963</v>
          </cell>
          <cell r="F111" t="str">
            <v>Nam</v>
          </cell>
          <cell r="G111" t="str">
            <v>4514000389</v>
          </cell>
          <cell r="H111">
            <v>2712000</v>
          </cell>
          <cell r="I111">
            <v>3284400</v>
          </cell>
        </row>
        <row r="112">
          <cell r="C112" t="str">
            <v>Trần Ngọc Phương</v>
          </cell>
          <cell r="D112" t="str">
            <v>Nông trường 3</v>
          </cell>
          <cell r="E112" t="str">
            <v>01/05/1969</v>
          </cell>
          <cell r="F112" t="str">
            <v>Nam</v>
          </cell>
          <cell r="G112" t="str">
            <v>4513000129</v>
          </cell>
          <cell r="H112">
            <v>2856000</v>
          </cell>
          <cell r="I112">
            <v>3450000</v>
          </cell>
        </row>
        <row r="113">
          <cell r="C113" t="str">
            <v>Hoàng Thị Thảo</v>
          </cell>
          <cell r="D113" t="str">
            <v>Nông trường 3</v>
          </cell>
          <cell r="E113" t="str">
            <v>18/03/1975</v>
          </cell>
          <cell r="F113" t="str">
            <v>Nữ</v>
          </cell>
          <cell r="G113" t="str">
            <v>4513000138</v>
          </cell>
          <cell r="H113">
            <v>2400000</v>
          </cell>
          <cell r="I113">
            <v>2898000</v>
          </cell>
        </row>
        <row r="114">
          <cell r="C114" t="str">
            <v>Hồ Sỹ Tú</v>
          </cell>
          <cell r="D114" t="str">
            <v>Nông trường 3</v>
          </cell>
          <cell r="E114" t="str">
            <v>23/01/1978</v>
          </cell>
          <cell r="F114" t="str">
            <v>Nam</v>
          </cell>
          <cell r="G114" t="str">
            <v>4516000628</v>
          </cell>
          <cell r="H114">
            <v>3048000</v>
          </cell>
          <cell r="I114">
            <v>3505200</v>
          </cell>
        </row>
        <row r="115">
          <cell r="C115" t="str">
            <v>Nguyễn Thị Thu Hiền</v>
          </cell>
          <cell r="D115" t="str">
            <v>Nông trường 3</v>
          </cell>
          <cell r="E115" t="str">
            <v>20/02/1979</v>
          </cell>
          <cell r="G115" t="str">
            <v>4516000991</v>
          </cell>
          <cell r="I115">
            <v>2760000</v>
          </cell>
        </row>
        <row r="116">
          <cell r="C116" t="str">
            <v>Đoàn Phước Phúc</v>
          </cell>
          <cell r="D116" t="str">
            <v>Nông trường 3</v>
          </cell>
          <cell r="E116" t="str">
            <v>20/11/1982</v>
          </cell>
          <cell r="F116" t="str">
            <v>Nam</v>
          </cell>
          <cell r="G116" t="str">
            <v>4516000946</v>
          </cell>
          <cell r="H116">
            <v>3508800</v>
          </cell>
          <cell r="I116">
            <v>3753600</v>
          </cell>
        </row>
        <row r="117">
          <cell r="C117" t="str">
            <v>Trần Hữu Hà</v>
          </cell>
          <cell r="D117" t="str">
            <v>Nông trường 3</v>
          </cell>
          <cell r="E117" t="str">
            <v>30/01/1969</v>
          </cell>
          <cell r="F117" t="str">
            <v>Nam</v>
          </cell>
          <cell r="G117" t="str">
            <v>4511006590</v>
          </cell>
          <cell r="H117">
            <v>2915400</v>
          </cell>
          <cell r="I117">
            <v>3118800</v>
          </cell>
        </row>
        <row r="118">
          <cell r="C118" t="str">
            <v>Lê Chí Tuấn</v>
          </cell>
          <cell r="D118" t="str">
            <v>Nông trường 3</v>
          </cell>
          <cell r="I118">
            <v>6541200</v>
          </cell>
        </row>
        <row r="119">
          <cell r="C119" t="str">
            <v>Nguyễn Văn Hậu</v>
          </cell>
          <cell r="D119" t="str">
            <v>Nông trường 3</v>
          </cell>
          <cell r="I119">
            <v>2953200</v>
          </cell>
        </row>
        <row r="120">
          <cell r="C120" t="str">
            <v>Nguyễn Phạm Quốc</v>
          </cell>
          <cell r="D120" t="str">
            <v>Nông trường 3</v>
          </cell>
          <cell r="E120" t="str">
            <v>10/11/1980</v>
          </cell>
          <cell r="G120" t="str">
            <v>6422728463</v>
          </cell>
          <cell r="I120">
            <v>3229200</v>
          </cell>
        </row>
        <row r="121">
          <cell r="C121" t="str">
            <v>Nguyễn Minh Thành</v>
          </cell>
          <cell r="D121" t="str">
            <v>Đội sản xuất SP</v>
          </cell>
          <cell r="E121" t="str">
            <v>01/09/1985</v>
          </cell>
          <cell r="F121" t="str">
            <v>Nam</v>
          </cell>
          <cell r="G121" t="str">
            <v>4512000574</v>
          </cell>
          <cell r="H121">
            <v>3264000</v>
          </cell>
          <cell r="I121">
            <v>3753600</v>
          </cell>
        </row>
        <row r="122">
          <cell r="C122" t="str">
            <v>Lê Tấn Đắc Toại</v>
          </cell>
          <cell r="D122" t="str">
            <v>Đội sản xuất SP</v>
          </cell>
          <cell r="E122" t="str">
            <v>02/12/1988</v>
          </cell>
          <cell r="F122" t="str">
            <v>Nam</v>
          </cell>
          <cell r="G122" t="str">
            <v>7412001884</v>
          </cell>
          <cell r="H122">
            <v>3018600</v>
          </cell>
          <cell r="I122">
            <v>3753600</v>
          </cell>
        </row>
        <row r="123">
          <cell r="C123" t="str">
            <v>Phạm Thị Hảo</v>
          </cell>
          <cell r="D123" t="str">
            <v>Đội sản xuất SP</v>
          </cell>
          <cell r="E123" t="str">
            <v>22/12/1980</v>
          </cell>
          <cell r="F123" t="str">
            <v>Nữ</v>
          </cell>
          <cell r="G123" t="str">
            <v>4512000342</v>
          </cell>
          <cell r="H123">
            <v>2400000</v>
          </cell>
          <cell r="I123">
            <v>2898000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Tết D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9">
          <cell r="H29">
            <v>422.10355951056744</v>
          </cell>
        </row>
        <row r="30">
          <cell r="H30">
            <v>294.97492163009429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70">
          <cell r="M170">
            <v>3260690.7675194675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CNCNKT"/>
      <sheetName val="MU"/>
      <sheetName val="PCB2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225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CNCNKT"/>
      <sheetName val="MU"/>
      <sheetName val="PCB2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6">
          <cell r="I26">
            <v>287.9621170900611</v>
          </cell>
        </row>
        <row r="27">
          <cell r="I27">
            <v>419.42580645161291</v>
          </cell>
        </row>
        <row r="28">
          <cell r="I28">
            <v>381.36129032258066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Tết D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346.20599196200214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Trang_tính7"/>
      <sheetName val="Trang_tính3"/>
      <sheetName val="LÁT C"/>
      <sheetName val="Trang_tính11"/>
      <sheetName val="Trang_tính10"/>
      <sheetName val="Trang_tính9"/>
      <sheetName val="LÁT D"/>
      <sheetName val="Trang_tính8"/>
      <sheetName val="Trang_tính6"/>
      <sheetName val="Trang_tính2"/>
      <sheetName val="Trang_tính1"/>
      <sheetName val="Trang_tính5"/>
      <sheetName val="Trang_tính4"/>
      <sheetName val="id"/>
      <sheetName val="BẢNG CHẤM CÔNG + Lương KT"/>
      <sheetName val="MỦ DÂ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9">
          <cell r="B9" t="str">
            <v xml:space="preserve">Phò Đào 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25</v>
          </cell>
          <cell r="AM9" t="str">
            <v>A</v>
          </cell>
          <cell r="AN9">
            <v>60</v>
          </cell>
          <cell r="AO9">
            <v>85</v>
          </cell>
          <cell r="AP9" t="str">
            <v>B</v>
          </cell>
          <cell r="AQ9">
            <v>0</v>
          </cell>
        </row>
        <row r="10">
          <cell r="B10" t="str">
            <v>Phò Đừ</v>
          </cell>
          <cell r="C10" t="str">
            <v>x</v>
          </cell>
          <cell r="AH10">
            <v>1</v>
          </cell>
          <cell r="AI10">
            <v>1</v>
          </cell>
          <cell r="AJ10">
            <v>0</v>
          </cell>
          <cell r="AK10">
            <v>30000</v>
          </cell>
          <cell r="AL10">
            <v>25</v>
          </cell>
          <cell r="AM10" t="str">
            <v>A</v>
          </cell>
          <cell r="AN10">
            <v>60</v>
          </cell>
          <cell r="AO10">
            <v>85</v>
          </cell>
          <cell r="AP10" t="str">
            <v>B</v>
          </cell>
          <cell r="AQ10">
            <v>0</v>
          </cell>
        </row>
        <row r="11">
          <cell r="B11" t="str">
            <v xml:space="preserve">Lay 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25</v>
          </cell>
          <cell r="AM11" t="str">
            <v>A</v>
          </cell>
          <cell r="AN11">
            <v>60</v>
          </cell>
          <cell r="AO11">
            <v>85</v>
          </cell>
          <cell r="AP11" t="str">
            <v>B</v>
          </cell>
          <cell r="AQ11">
            <v>0</v>
          </cell>
        </row>
        <row r="12">
          <cell r="B12" t="str">
            <v>A Rơ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25</v>
          </cell>
          <cell r="AM12" t="str">
            <v>A</v>
          </cell>
          <cell r="AN12">
            <v>60</v>
          </cell>
          <cell r="AO12">
            <v>85</v>
          </cell>
          <cell r="AP12" t="str">
            <v>B</v>
          </cell>
          <cell r="AQ12">
            <v>0</v>
          </cell>
        </row>
        <row r="13">
          <cell r="B13" t="str">
            <v>A Phưng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25</v>
          </cell>
          <cell r="AM13" t="str">
            <v>A</v>
          </cell>
          <cell r="AN13">
            <v>60</v>
          </cell>
          <cell r="AO13">
            <v>85</v>
          </cell>
          <cell r="AP13" t="str">
            <v>B</v>
          </cell>
          <cell r="AQ13">
            <v>0</v>
          </cell>
        </row>
        <row r="14">
          <cell r="B14" t="str">
            <v>Nun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25</v>
          </cell>
          <cell r="AM14" t="str">
            <v>A</v>
          </cell>
          <cell r="AN14">
            <v>60</v>
          </cell>
          <cell r="AO14">
            <v>85</v>
          </cell>
          <cell r="AP14" t="str">
            <v>B</v>
          </cell>
          <cell r="AQ14">
            <v>0</v>
          </cell>
        </row>
        <row r="15">
          <cell r="B15" t="str">
            <v xml:space="preserve">xúc </v>
          </cell>
          <cell r="C15" t="str">
            <v>x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cn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cn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cn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cn</v>
          </cell>
          <cell r="AE15" t="str">
            <v>x</v>
          </cell>
          <cell r="AF15" t="str">
            <v>x</v>
          </cell>
          <cell r="AG15" t="str">
            <v>x</v>
          </cell>
          <cell r="AH15">
            <v>31</v>
          </cell>
          <cell r="AI15">
            <v>27</v>
          </cell>
          <cell r="AJ15">
            <v>4</v>
          </cell>
          <cell r="AK15">
            <v>1010000</v>
          </cell>
          <cell r="AL15">
            <v>40</v>
          </cell>
          <cell r="AM15" t="str">
            <v>A</v>
          </cell>
          <cell r="AN15">
            <v>60</v>
          </cell>
          <cell r="AO15">
            <v>100</v>
          </cell>
          <cell r="AP15" t="str">
            <v>A</v>
          </cell>
          <cell r="AQ15">
            <v>835.6</v>
          </cell>
        </row>
        <row r="16">
          <cell r="B16" t="str">
            <v>Van</v>
          </cell>
          <cell r="C16" t="str">
            <v>x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cn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cn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cn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cn</v>
          </cell>
          <cell r="AE16" t="str">
            <v>x</v>
          </cell>
          <cell r="AF16" t="str">
            <v>x</v>
          </cell>
          <cell r="AG16" t="str">
            <v>x</v>
          </cell>
          <cell r="AH16">
            <v>31</v>
          </cell>
          <cell r="AI16">
            <v>27</v>
          </cell>
          <cell r="AJ16">
            <v>4</v>
          </cell>
          <cell r="AK16">
            <v>1010000</v>
          </cell>
          <cell r="AL16">
            <v>40</v>
          </cell>
          <cell r="AM16" t="str">
            <v>A</v>
          </cell>
          <cell r="AN16">
            <v>60</v>
          </cell>
          <cell r="AO16">
            <v>100</v>
          </cell>
          <cell r="AP16" t="str">
            <v>A</v>
          </cell>
          <cell r="AQ16">
            <v>700</v>
          </cell>
        </row>
        <row r="17">
          <cell r="B17" t="str">
            <v>Mè Nang</v>
          </cell>
          <cell r="C17" t="str">
            <v>x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cn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cn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cn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cn</v>
          </cell>
          <cell r="AE17" t="str">
            <v>x</v>
          </cell>
          <cell r="AF17" t="str">
            <v>x</v>
          </cell>
          <cell r="AG17" t="str">
            <v>x</v>
          </cell>
          <cell r="AH17">
            <v>31</v>
          </cell>
          <cell r="AI17">
            <v>27</v>
          </cell>
          <cell r="AJ17">
            <v>4</v>
          </cell>
          <cell r="AK17">
            <v>1010000</v>
          </cell>
          <cell r="AL17">
            <v>40</v>
          </cell>
          <cell r="AM17" t="str">
            <v>A</v>
          </cell>
          <cell r="AN17">
            <v>60</v>
          </cell>
          <cell r="AO17">
            <v>100</v>
          </cell>
          <cell r="AP17" t="str">
            <v>A</v>
          </cell>
          <cell r="AQ17">
            <v>826.80000000000007</v>
          </cell>
        </row>
        <row r="18">
          <cell r="B18" t="str">
            <v>A Cát</v>
          </cell>
          <cell r="W18" t="str">
            <v>cn</v>
          </cell>
          <cell r="X18" t="str">
            <v>x</v>
          </cell>
          <cell r="Y18" t="str">
            <v>x</v>
          </cell>
          <cell r="Z18" t="str">
            <v>x</v>
          </cell>
          <cell r="AH18">
            <v>4</v>
          </cell>
          <cell r="AI18">
            <v>3</v>
          </cell>
          <cell r="AJ18">
            <v>1</v>
          </cell>
          <cell r="AK18">
            <v>140000</v>
          </cell>
          <cell r="AL18">
            <v>25</v>
          </cell>
          <cell r="AM18" t="str">
            <v>A</v>
          </cell>
          <cell r="AN18">
            <v>60</v>
          </cell>
          <cell r="AO18">
            <v>85</v>
          </cell>
          <cell r="AP18" t="str">
            <v>B</v>
          </cell>
          <cell r="AQ18">
            <v>0</v>
          </cell>
        </row>
        <row r="19">
          <cell r="B19" t="str">
            <v xml:space="preserve">Côm </v>
          </cell>
          <cell r="C19" t="str">
            <v>x</v>
          </cell>
          <cell r="D19" t="str">
            <v>x</v>
          </cell>
          <cell r="E19" t="str">
            <v>x</v>
          </cell>
          <cell r="W19" t="str">
            <v>cn</v>
          </cell>
          <cell r="X19" t="str">
            <v>x</v>
          </cell>
          <cell r="Y19" t="str">
            <v>x</v>
          </cell>
          <cell r="Z19" t="str">
            <v>x</v>
          </cell>
          <cell r="AH19">
            <v>7</v>
          </cell>
          <cell r="AI19">
            <v>6</v>
          </cell>
          <cell r="AJ19">
            <v>1</v>
          </cell>
          <cell r="AK19">
            <v>230000</v>
          </cell>
          <cell r="AL19">
            <v>25</v>
          </cell>
          <cell r="AM19" t="str">
            <v>A</v>
          </cell>
          <cell r="AN19">
            <v>60</v>
          </cell>
          <cell r="AO19">
            <v>85</v>
          </cell>
          <cell r="AP19" t="str">
            <v>B</v>
          </cell>
          <cell r="AQ19">
            <v>0</v>
          </cell>
        </row>
        <row r="20">
          <cell r="B20" t="str">
            <v>Phò Văn</v>
          </cell>
          <cell r="W20" t="str">
            <v>cn</v>
          </cell>
          <cell r="X20" t="str">
            <v>x</v>
          </cell>
          <cell r="Y20" t="str">
            <v>x</v>
          </cell>
          <cell r="Z20" t="str">
            <v>x</v>
          </cell>
          <cell r="AH20">
            <v>4</v>
          </cell>
          <cell r="AI20">
            <v>3</v>
          </cell>
          <cell r="AJ20">
            <v>1</v>
          </cell>
          <cell r="AK20">
            <v>140000</v>
          </cell>
          <cell r="AL20">
            <v>25</v>
          </cell>
          <cell r="AM20" t="str">
            <v>A</v>
          </cell>
          <cell r="AN20">
            <v>60</v>
          </cell>
          <cell r="AO20">
            <v>85</v>
          </cell>
          <cell r="AP20" t="str">
            <v>B</v>
          </cell>
          <cell r="AQ20">
            <v>0</v>
          </cell>
        </row>
        <row r="21">
          <cell r="B21" t="str">
            <v xml:space="preserve">phò mai </v>
          </cell>
          <cell r="W21" t="str">
            <v>cn</v>
          </cell>
          <cell r="X21" t="str">
            <v>x</v>
          </cell>
          <cell r="Y21" t="str">
            <v>x</v>
          </cell>
          <cell r="Z21" t="str">
            <v>x</v>
          </cell>
          <cell r="AH21">
            <v>4</v>
          </cell>
          <cell r="AI21">
            <v>3</v>
          </cell>
          <cell r="AJ21">
            <v>1</v>
          </cell>
          <cell r="AK21">
            <v>140000</v>
          </cell>
          <cell r="AL21">
            <v>25</v>
          </cell>
          <cell r="AM21" t="str">
            <v>A</v>
          </cell>
          <cell r="AN21">
            <v>60</v>
          </cell>
          <cell r="AO21">
            <v>85</v>
          </cell>
          <cell r="AP21" t="str">
            <v>B</v>
          </cell>
          <cell r="AQ21">
            <v>0</v>
          </cell>
        </row>
        <row r="22">
          <cell r="B22" t="str">
            <v>Han</v>
          </cell>
          <cell r="C22" t="str">
            <v>x</v>
          </cell>
          <cell r="D22" t="str">
            <v>x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cn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cn</v>
          </cell>
          <cell r="Q22" t="str">
            <v>x</v>
          </cell>
          <cell r="R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  <cell r="W22" t="str">
            <v>cn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x</v>
          </cell>
          <cell r="AB22" t="str">
            <v>x</v>
          </cell>
          <cell r="AC22" t="str">
            <v>x</v>
          </cell>
          <cell r="AD22" t="str">
            <v>cn</v>
          </cell>
          <cell r="AE22" t="str">
            <v>x</v>
          </cell>
          <cell r="AF22" t="str">
            <v>x</v>
          </cell>
          <cell r="AG22" t="str">
            <v>x</v>
          </cell>
          <cell r="AH22">
            <v>31</v>
          </cell>
          <cell r="AI22">
            <v>27</v>
          </cell>
          <cell r="AJ22">
            <v>4</v>
          </cell>
          <cell r="AK22">
            <v>1010000</v>
          </cell>
          <cell r="AL22">
            <v>40</v>
          </cell>
          <cell r="AM22" t="str">
            <v>A</v>
          </cell>
          <cell r="AN22">
            <v>60</v>
          </cell>
          <cell r="AO22">
            <v>100</v>
          </cell>
          <cell r="AP22" t="str">
            <v>A</v>
          </cell>
          <cell r="AQ22">
            <v>975.6</v>
          </cell>
        </row>
        <row r="23">
          <cell r="B23" t="str">
            <v>Xum Xay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25</v>
          </cell>
          <cell r="AM23" t="str">
            <v>A</v>
          </cell>
          <cell r="AN23">
            <v>60</v>
          </cell>
          <cell r="AO23">
            <v>85</v>
          </cell>
          <cell r="AP23" t="str">
            <v>B</v>
          </cell>
          <cell r="AQ23">
            <v>0</v>
          </cell>
        </row>
        <row r="24">
          <cell r="B24" t="str">
            <v>A Mế</v>
          </cell>
          <cell r="D24" t="str">
            <v>x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cn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cn</v>
          </cell>
          <cell r="Q24" t="str">
            <v>x</v>
          </cell>
          <cell r="R24" t="str">
            <v>x</v>
          </cell>
          <cell r="U24" t="str">
            <v>x</v>
          </cell>
          <cell r="W24" t="str">
            <v>cn</v>
          </cell>
          <cell r="X24" t="str">
            <v>x</v>
          </cell>
          <cell r="Y24" t="str">
            <v>x</v>
          </cell>
          <cell r="Z24" t="str">
            <v>x</v>
          </cell>
          <cell r="AA24" t="str">
            <v>x</v>
          </cell>
          <cell r="AB24" t="str">
            <v>x</v>
          </cell>
          <cell r="AC24" t="str">
            <v>x</v>
          </cell>
          <cell r="AD24" t="str">
            <v>cn</v>
          </cell>
          <cell r="AE24" t="str">
            <v>x</v>
          </cell>
          <cell r="AF24" t="str">
            <v>x</v>
          </cell>
          <cell r="AG24" t="str">
            <v>x</v>
          </cell>
          <cell r="AH24">
            <v>27</v>
          </cell>
          <cell r="AI24">
            <v>23</v>
          </cell>
          <cell r="AJ24">
            <v>4</v>
          </cell>
          <cell r="AK24">
            <v>890000</v>
          </cell>
          <cell r="AL24">
            <v>40</v>
          </cell>
          <cell r="AM24" t="str">
            <v>A</v>
          </cell>
          <cell r="AN24">
            <v>60</v>
          </cell>
          <cell r="AO24">
            <v>100</v>
          </cell>
          <cell r="AP24" t="str">
            <v>A</v>
          </cell>
          <cell r="AQ24">
            <v>734.40000000000009</v>
          </cell>
        </row>
        <row r="25">
          <cell r="B25" t="str">
            <v>A Ca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cn</v>
          </cell>
          <cell r="Q25" t="str">
            <v>x</v>
          </cell>
          <cell r="R25" t="str">
            <v>x</v>
          </cell>
          <cell r="S25" t="str">
            <v>x</v>
          </cell>
          <cell r="T25" t="str">
            <v>x</v>
          </cell>
          <cell r="U25" t="str">
            <v>x</v>
          </cell>
          <cell r="V25" t="str">
            <v>x</v>
          </cell>
          <cell r="W25" t="str">
            <v>cn</v>
          </cell>
          <cell r="Y25" t="str">
            <v>x</v>
          </cell>
          <cell r="Z25" t="str">
            <v>x</v>
          </cell>
          <cell r="AA25" t="str">
            <v>x</v>
          </cell>
          <cell r="AB25" t="str">
            <v>x</v>
          </cell>
          <cell r="AC25" t="str">
            <v>x</v>
          </cell>
          <cell r="AD25" t="str">
            <v>cn</v>
          </cell>
          <cell r="AE25" t="str">
            <v>x</v>
          </cell>
          <cell r="AF25" t="str">
            <v>x</v>
          </cell>
          <cell r="AG25" t="str">
            <v>x</v>
          </cell>
          <cell r="AH25">
            <v>22</v>
          </cell>
          <cell r="AI25">
            <v>19</v>
          </cell>
          <cell r="AJ25">
            <v>3</v>
          </cell>
          <cell r="AK25">
            <v>720000</v>
          </cell>
          <cell r="AL25">
            <v>30</v>
          </cell>
          <cell r="AM25" t="str">
            <v>A</v>
          </cell>
          <cell r="AN25">
            <v>60</v>
          </cell>
          <cell r="AO25">
            <v>90</v>
          </cell>
          <cell r="AP25" t="str">
            <v>B</v>
          </cell>
          <cell r="AQ25">
            <v>386.40000000000003</v>
          </cell>
        </row>
        <row r="26">
          <cell r="B26" t="str">
            <v>Phò Ka Đa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25</v>
          </cell>
          <cell r="AM26" t="str">
            <v>A</v>
          </cell>
          <cell r="AN26">
            <v>60</v>
          </cell>
          <cell r="AO26">
            <v>85</v>
          </cell>
          <cell r="AP26" t="str">
            <v>B</v>
          </cell>
          <cell r="AQ26">
            <v>0</v>
          </cell>
        </row>
        <row r="27">
          <cell r="B27" t="str">
            <v>Phò Lơ</v>
          </cell>
          <cell r="C27" t="str">
            <v>x</v>
          </cell>
          <cell r="AH27">
            <v>1</v>
          </cell>
          <cell r="AI27">
            <v>1</v>
          </cell>
          <cell r="AJ27">
            <v>0</v>
          </cell>
          <cell r="AK27">
            <v>30000</v>
          </cell>
          <cell r="AL27">
            <v>25</v>
          </cell>
          <cell r="AM27" t="str">
            <v>A</v>
          </cell>
          <cell r="AN27">
            <v>60</v>
          </cell>
          <cell r="AO27">
            <v>85</v>
          </cell>
          <cell r="AP27" t="str">
            <v>B</v>
          </cell>
          <cell r="AQ27">
            <v>0</v>
          </cell>
        </row>
        <row r="28">
          <cell r="B28" t="str">
            <v>A Tày</v>
          </cell>
          <cell r="C28" t="str">
            <v>x</v>
          </cell>
          <cell r="AH28">
            <v>1</v>
          </cell>
          <cell r="AI28">
            <v>1</v>
          </cell>
          <cell r="AJ28">
            <v>0</v>
          </cell>
          <cell r="AK28">
            <v>30000</v>
          </cell>
          <cell r="AL28">
            <v>25</v>
          </cell>
          <cell r="AM28" t="str">
            <v>B</v>
          </cell>
          <cell r="AN28">
            <v>50</v>
          </cell>
          <cell r="AO28">
            <v>75</v>
          </cell>
          <cell r="AP28" t="str">
            <v>C</v>
          </cell>
          <cell r="AQ28">
            <v>0</v>
          </cell>
        </row>
        <row r="29">
          <cell r="B29" t="str">
            <v>A ky</v>
          </cell>
          <cell r="C29" t="str">
            <v>x</v>
          </cell>
          <cell r="D29" t="str">
            <v>x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cn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N29" t="str">
            <v>x</v>
          </cell>
          <cell r="O29" t="str">
            <v>x</v>
          </cell>
          <cell r="P29" t="str">
            <v>cn</v>
          </cell>
          <cell r="Q29" t="str">
            <v>x</v>
          </cell>
          <cell r="R29" t="str">
            <v>x</v>
          </cell>
          <cell r="S29" t="str">
            <v>x</v>
          </cell>
          <cell r="T29" t="str">
            <v>x</v>
          </cell>
          <cell r="U29" t="str">
            <v>x</v>
          </cell>
          <cell r="V29" t="str">
            <v>x</v>
          </cell>
          <cell r="W29" t="str">
            <v>cn</v>
          </cell>
          <cell r="AA29" t="str">
            <v>x</v>
          </cell>
          <cell r="AB29" t="str">
            <v>x</v>
          </cell>
          <cell r="AC29" t="str">
            <v>x</v>
          </cell>
          <cell r="AD29" t="str">
            <v>cn</v>
          </cell>
          <cell r="AE29" t="str">
            <v>x</v>
          </cell>
          <cell r="AH29">
            <v>26</v>
          </cell>
          <cell r="AI29">
            <v>22</v>
          </cell>
          <cell r="AJ29">
            <v>4</v>
          </cell>
          <cell r="AK29">
            <v>860000</v>
          </cell>
          <cell r="AL29">
            <v>40</v>
          </cell>
          <cell r="AM29" t="str">
            <v>A</v>
          </cell>
          <cell r="AN29">
            <v>60</v>
          </cell>
          <cell r="AO29">
            <v>100</v>
          </cell>
          <cell r="AP29" t="str">
            <v>A</v>
          </cell>
          <cell r="AQ29">
            <v>338.40000000000003</v>
          </cell>
        </row>
        <row r="30">
          <cell r="B30" t="str">
            <v>Then</v>
          </cell>
          <cell r="W30" t="str">
            <v>cn</v>
          </cell>
          <cell r="X30" t="str">
            <v>x</v>
          </cell>
          <cell r="Y30" t="str">
            <v>x</v>
          </cell>
          <cell r="AH30">
            <v>3</v>
          </cell>
          <cell r="AI30">
            <v>2</v>
          </cell>
          <cell r="AJ30">
            <v>1</v>
          </cell>
          <cell r="AK30">
            <v>110000</v>
          </cell>
          <cell r="AL30">
            <v>25</v>
          </cell>
          <cell r="AM30" t="str">
            <v>A</v>
          </cell>
          <cell r="AN30">
            <v>60</v>
          </cell>
          <cell r="AO30">
            <v>85</v>
          </cell>
          <cell r="AP30" t="str">
            <v>B</v>
          </cell>
          <cell r="AQ30">
            <v>0</v>
          </cell>
        </row>
        <row r="31">
          <cell r="B31" t="str">
            <v>A kỷ</v>
          </cell>
          <cell r="C31" t="str">
            <v>x</v>
          </cell>
          <cell r="D31" t="str">
            <v>x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cn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 t="str">
            <v>x</v>
          </cell>
          <cell r="O31" t="str">
            <v>x</v>
          </cell>
          <cell r="P31" t="str">
            <v>cn</v>
          </cell>
          <cell r="Q31" t="str">
            <v>x</v>
          </cell>
          <cell r="R31" t="str">
            <v>x</v>
          </cell>
          <cell r="S31" t="str">
            <v>x</v>
          </cell>
          <cell r="T31" t="str">
            <v>x</v>
          </cell>
          <cell r="U31" t="str">
            <v>x</v>
          </cell>
          <cell r="V31" t="str">
            <v>x</v>
          </cell>
          <cell r="W31" t="str">
            <v>cn</v>
          </cell>
          <cell r="X31" t="str">
            <v>x</v>
          </cell>
          <cell r="Y31" t="str">
            <v>x</v>
          </cell>
          <cell r="Z31" t="str">
            <v>x</v>
          </cell>
          <cell r="AA31" t="str">
            <v>x</v>
          </cell>
          <cell r="AB31" t="str">
            <v>x</v>
          </cell>
          <cell r="AC31" t="str">
            <v>x</v>
          </cell>
          <cell r="AD31" t="str">
            <v>cn</v>
          </cell>
          <cell r="AE31" t="str">
            <v>x</v>
          </cell>
          <cell r="AF31" t="str">
            <v>x</v>
          </cell>
          <cell r="AG31" t="str">
            <v>x</v>
          </cell>
          <cell r="AH31">
            <v>31</v>
          </cell>
          <cell r="AI31">
            <v>27</v>
          </cell>
          <cell r="AJ31">
            <v>4</v>
          </cell>
          <cell r="AK31">
            <v>1010000</v>
          </cell>
          <cell r="AL31">
            <v>40</v>
          </cell>
          <cell r="AM31" t="str">
            <v>A</v>
          </cell>
          <cell r="AN31">
            <v>60</v>
          </cell>
          <cell r="AO31">
            <v>100</v>
          </cell>
          <cell r="AP31" t="str">
            <v>A</v>
          </cell>
          <cell r="AQ31">
            <v>989.2</v>
          </cell>
        </row>
        <row r="32">
          <cell r="W32" t="str">
            <v>cn</v>
          </cell>
          <cell r="X32" t="str">
            <v>x</v>
          </cell>
          <cell r="AH32">
            <v>2</v>
          </cell>
          <cell r="AI32">
            <v>1</v>
          </cell>
          <cell r="AJ32">
            <v>1</v>
          </cell>
          <cell r="AK32">
            <v>80000</v>
          </cell>
          <cell r="AL32">
            <v>25</v>
          </cell>
          <cell r="AM32" t="str">
            <v>B</v>
          </cell>
          <cell r="AN32">
            <v>50</v>
          </cell>
          <cell r="AO32">
            <v>75</v>
          </cell>
          <cell r="AP32" t="str">
            <v>C</v>
          </cell>
          <cell r="AQ32">
            <v>0</v>
          </cell>
        </row>
        <row r="33">
          <cell r="B33" t="str">
            <v>Ang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25</v>
          </cell>
          <cell r="AM33" t="str">
            <v>A</v>
          </cell>
          <cell r="AN33">
            <v>60</v>
          </cell>
          <cell r="AO33">
            <v>85</v>
          </cell>
          <cell r="AP33" t="str">
            <v>B</v>
          </cell>
          <cell r="AQ33">
            <v>0</v>
          </cell>
        </row>
        <row r="34">
          <cell r="B34" t="str">
            <v>Bun Ma</v>
          </cell>
          <cell r="C34" t="str">
            <v>x</v>
          </cell>
          <cell r="AH34">
            <v>1</v>
          </cell>
          <cell r="AI34">
            <v>1</v>
          </cell>
          <cell r="AJ34">
            <v>0</v>
          </cell>
          <cell r="AK34">
            <v>30000</v>
          </cell>
          <cell r="AL34">
            <v>25</v>
          </cell>
          <cell r="AM34" t="str">
            <v>A</v>
          </cell>
          <cell r="AN34">
            <v>60</v>
          </cell>
          <cell r="AO34">
            <v>85</v>
          </cell>
          <cell r="AP34" t="str">
            <v>B</v>
          </cell>
          <cell r="AQ34">
            <v>28.8</v>
          </cell>
        </row>
        <row r="35">
          <cell r="B35" t="str">
            <v>A Pan</v>
          </cell>
          <cell r="C35" t="str">
            <v>x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cn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 t="str">
            <v>x</v>
          </cell>
          <cell r="O35" t="str">
            <v>x</v>
          </cell>
          <cell r="P35" t="str">
            <v>cn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x</v>
          </cell>
          <cell r="U35" t="str">
            <v>x</v>
          </cell>
          <cell r="V35" t="str">
            <v>x</v>
          </cell>
          <cell r="W35" t="str">
            <v>cn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x</v>
          </cell>
          <cell r="AB35" t="str">
            <v>x</v>
          </cell>
          <cell r="AC35" t="str">
            <v>x</v>
          </cell>
          <cell r="AD35" t="str">
            <v>cn</v>
          </cell>
          <cell r="AE35" t="str">
            <v>x</v>
          </cell>
          <cell r="AF35" t="str">
            <v>x</v>
          </cell>
          <cell r="AG35" t="str">
            <v>x</v>
          </cell>
          <cell r="AH35">
            <v>31</v>
          </cell>
          <cell r="AI35">
            <v>27</v>
          </cell>
          <cell r="AJ35">
            <v>4</v>
          </cell>
          <cell r="AK35">
            <v>1010000</v>
          </cell>
          <cell r="AL35">
            <v>40</v>
          </cell>
          <cell r="AM35" t="str">
            <v>A</v>
          </cell>
          <cell r="AN35">
            <v>60</v>
          </cell>
          <cell r="AO35">
            <v>100</v>
          </cell>
          <cell r="AP35" t="str">
            <v>A</v>
          </cell>
          <cell r="AQ35">
            <v>955.2</v>
          </cell>
        </row>
        <row r="36">
          <cell r="B36" t="str">
            <v xml:space="preserve">Phút 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25</v>
          </cell>
          <cell r="AM36" t="str">
            <v>A</v>
          </cell>
          <cell r="AN36">
            <v>60</v>
          </cell>
          <cell r="AO36">
            <v>85</v>
          </cell>
          <cell r="AP36" t="str">
            <v>B</v>
          </cell>
          <cell r="AQ36">
            <v>0</v>
          </cell>
        </row>
        <row r="37">
          <cell r="B37" t="str">
            <v>A Băn</v>
          </cell>
          <cell r="C37" t="str">
            <v>x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cn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N37" t="str">
            <v>x</v>
          </cell>
          <cell r="O37" t="str">
            <v>x</v>
          </cell>
          <cell r="P37" t="str">
            <v>cn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x</v>
          </cell>
          <cell r="U37" t="str">
            <v>x</v>
          </cell>
          <cell r="V37" t="str">
            <v>x</v>
          </cell>
          <cell r="W37" t="str">
            <v>cn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x</v>
          </cell>
          <cell r="AB37" t="str">
            <v>x</v>
          </cell>
          <cell r="AC37" t="str">
            <v>x</v>
          </cell>
          <cell r="AD37" t="str">
            <v>cn</v>
          </cell>
          <cell r="AE37" t="str">
            <v>x</v>
          </cell>
          <cell r="AF37" t="str">
            <v>x</v>
          </cell>
          <cell r="AG37" t="str">
            <v>x</v>
          </cell>
          <cell r="AH37">
            <v>31</v>
          </cell>
          <cell r="AI37">
            <v>27</v>
          </cell>
          <cell r="AJ37">
            <v>4</v>
          </cell>
          <cell r="AK37">
            <v>1010000</v>
          </cell>
          <cell r="AL37">
            <v>40</v>
          </cell>
          <cell r="AM37" t="str">
            <v>B</v>
          </cell>
          <cell r="AN37">
            <v>50</v>
          </cell>
          <cell r="AO37">
            <v>90</v>
          </cell>
          <cell r="AP37" t="str">
            <v>B</v>
          </cell>
          <cell r="AQ37">
            <v>671.6</v>
          </cell>
        </row>
        <row r="38">
          <cell r="B38" t="str">
            <v>A Kẻ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25</v>
          </cell>
          <cell r="AM38" t="str">
            <v>A</v>
          </cell>
          <cell r="AN38">
            <v>60</v>
          </cell>
          <cell r="AO38">
            <v>85</v>
          </cell>
          <cell r="AP38" t="str">
            <v>B</v>
          </cell>
          <cell r="AQ38">
            <v>0</v>
          </cell>
        </row>
        <row r="39">
          <cell r="B39" t="str">
            <v>A Têm</v>
          </cell>
          <cell r="W39" t="str">
            <v>cn</v>
          </cell>
          <cell r="X39" t="str">
            <v>x</v>
          </cell>
          <cell r="Y39" t="str">
            <v>x</v>
          </cell>
          <cell r="Z39" t="str">
            <v>x</v>
          </cell>
          <cell r="AA39" t="str">
            <v>x</v>
          </cell>
          <cell r="AH39">
            <v>5</v>
          </cell>
          <cell r="AI39">
            <v>4</v>
          </cell>
          <cell r="AJ39">
            <v>1</v>
          </cell>
          <cell r="AK39">
            <v>170000</v>
          </cell>
          <cell r="AL39">
            <v>25</v>
          </cell>
          <cell r="AM39" t="str">
            <v>A</v>
          </cell>
          <cell r="AN39">
            <v>60</v>
          </cell>
          <cell r="AO39">
            <v>85</v>
          </cell>
          <cell r="AP39" t="str">
            <v>B</v>
          </cell>
          <cell r="AQ39">
            <v>0</v>
          </cell>
        </row>
        <row r="40">
          <cell r="B40" t="str">
            <v>A Cơ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25</v>
          </cell>
          <cell r="AM40" t="str">
            <v>A</v>
          </cell>
          <cell r="AN40">
            <v>60</v>
          </cell>
          <cell r="AO40">
            <v>85</v>
          </cell>
          <cell r="AP40" t="str">
            <v>B</v>
          </cell>
          <cell r="AQ40">
            <v>0</v>
          </cell>
        </row>
        <row r="41">
          <cell r="B41" t="str">
            <v>Phò Xiu</v>
          </cell>
          <cell r="C41" t="str">
            <v>x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cn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 t="str">
            <v>x</v>
          </cell>
          <cell r="O41" t="str">
            <v>x</v>
          </cell>
          <cell r="P41" t="str">
            <v>cn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x</v>
          </cell>
          <cell r="U41" t="str">
            <v>x</v>
          </cell>
          <cell r="V41" t="str">
            <v>x</v>
          </cell>
          <cell r="W41" t="str">
            <v>cn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x</v>
          </cell>
          <cell r="AB41" t="str">
            <v>x</v>
          </cell>
          <cell r="AC41" t="str">
            <v>x</v>
          </cell>
          <cell r="AD41" t="str">
            <v>cn</v>
          </cell>
          <cell r="AE41" t="str">
            <v>x</v>
          </cell>
          <cell r="AF41" t="str">
            <v>x</v>
          </cell>
          <cell r="AG41" t="str">
            <v>x</v>
          </cell>
          <cell r="AH41">
            <v>31</v>
          </cell>
          <cell r="AI41">
            <v>27</v>
          </cell>
          <cell r="AJ41">
            <v>4</v>
          </cell>
          <cell r="AK41">
            <v>1010000</v>
          </cell>
          <cell r="AL41">
            <v>40</v>
          </cell>
          <cell r="AM41" t="str">
            <v>B</v>
          </cell>
          <cell r="AN41">
            <v>50</v>
          </cell>
          <cell r="AO41">
            <v>90</v>
          </cell>
          <cell r="AP41" t="str">
            <v>B</v>
          </cell>
          <cell r="AQ41">
            <v>770</v>
          </cell>
        </row>
      </sheetData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"/>
      <sheetName val="DATA"/>
      <sheetName val="TH-KH"/>
      <sheetName val="NGAY"/>
      <sheetName val="BAO CAO"/>
      <sheetName val="TỒN KHO MỦ t04  "/>
      <sheetName val="TỒN KHO MỦ t05)"/>
      <sheetName val="TÔN KHO MU T6"/>
      <sheetName val="LỊCH BÓC MỦ MỦ t05) (2)"/>
      <sheetName val="SL.NGAY"/>
      <sheetName val="111"/>
      <sheetName val="Báo cáo đội"/>
      <sheetName val="Báo cáo xuất mủ đội (2)"/>
      <sheetName val="MỦ SIRUM"/>
      <sheetName val="PHIẾU XUẤT"/>
      <sheetName val="X-T"/>
      <sheetName val="BANG TH"/>
      <sheetName val="TH BXM"/>
      <sheetName val="Sheet1"/>
      <sheetName val="Sheet3"/>
      <sheetName val="T"/>
      <sheetName val="PHIEUX XUAT NHA MÁY T5"/>
      <sheetName val="PHIEU XUAT NHA MÁY T6"/>
      <sheetName val="PHIẾU THEO DÕI XUẤT NHÀ MÁ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3">
          <cell r="H43">
            <v>212.2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TẠP"/>
      <sheetName val="MỦ DÂY"/>
      <sheetName val="Chấm công"/>
      <sheetName val="Axit đánh đô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B9" t="str">
            <v>Thông Đăm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185</v>
          </cell>
          <cell r="X9">
            <v>151</v>
          </cell>
          <cell r="Y9">
            <v>116</v>
          </cell>
          <cell r="Z9">
            <v>0</v>
          </cell>
          <cell r="AA9">
            <v>135</v>
          </cell>
          <cell r="AB9">
            <v>138</v>
          </cell>
          <cell r="AC9">
            <v>141</v>
          </cell>
          <cell r="AD9">
            <v>96</v>
          </cell>
          <cell r="AE9">
            <v>157</v>
          </cell>
          <cell r="AF9">
            <v>131</v>
          </cell>
          <cell r="AG9">
            <v>136</v>
          </cell>
          <cell r="AH9">
            <v>1386</v>
          </cell>
        </row>
        <row r="10">
          <cell r="B10" t="str">
            <v>A Bươi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101</v>
          </cell>
          <cell r="K10">
            <v>115</v>
          </cell>
          <cell r="L10">
            <v>116</v>
          </cell>
          <cell r="M10">
            <v>111</v>
          </cell>
          <cell r="N10">
            <v>126</v>
          </cell>
          <cell r="O10">
            <v>164</v>
          </cell>
          <cell r="P10">
            <v>129</v>
          </cell>
          <cell r="Q10">
            <v>120</v>
          </cell>
          <cell r="R10">
            <v>112</v>
          </cell>
          <cell r="S10">
            <v>164</v>
          </cell>
          <cell r="T10">
            <v>226</v>
          </cell>
          <cell r="U10">
            <v>0</v>
          </cell>
          <cell r="V10">
            <v>0</v>
          </cell>
          <cell r="W10">
            <v>163</v>
          </cell>
          <cell r="X10">
            <v>0</v>
          </cell>
          <cell r="Y10">
            <v>113</v>
          </cell>
          <cell r="Z10">
            <v>127</v>
          </cell>
          <cell r="AA10">
            <v>173</v>
          </cell>
          <cell r="AB10">
            <v>173</v>
          </cell>
          <cell r="AC10">
            <v>124</v>
          </cell>
          <cell r="AD10">
            <v>128</v>
          </cell>
          <cell r="AE10">
            <v>131</v>
          </cell>
          <cell r="AF10">
            <v>122</v>
          </cell>
          <cell r="AG10">
            <v>93</v>
          </cell>
          <cell r="AH10">
            <v>2831</v>
          </cell>
        </row>
        <row r="11">
          <cell r="B11" t="str">
            <v>Lun</v>
          </cell>
          <cell r="C11">
            <v>178</v>
          </cell>
          <cell r="D11">
            <v>162</v>
          </cell>
          <cell r="E11">
            <v>140</v>
          </cell>
          <cell r="F11">
            <v>128</v>
          </cell>
          <cell r="G11">
            <v>219</v>
          </cell>
          <cell r="H11">
            <v>186</v>
          </cell>
          <cell r="I11">
            <v>0</v>
          </cell>
          <cell r="J11">
            <v>139</v>
          </cell>
          <cell r="K11">
            <v>216</v>
          </cell>
          <cell r="L11">
            <v>210</v>
          </cell>
          <cell r="M11">
            <v>207</v>
          </cell>
          <cell r="N11">
            <v>158</v>
          </cell>
          <cell r="O11">
            <v>147</v>
          </cell>
          <cell r="P11">
            <v>0</v>
          </cell>
          <cell r="Q11">
            <v>170</v>
          </cell>
          <cell r="R11">
            <v>156</v>
          </cell>
          <cell r="S11">
            <v>153</v>
          </cell>
          <cell r="T11">
            <v>184</v>
          </cell>
          <cell r="U11">
            <v>206</v>
          </cell>
          <cell r="V11">
            <v>146</v>
          </cell>
          <cell r="W11">
            <v>121</v>
          </cell>
          <cell r="X11">
            <v>0</v>
          </cell>
          <cell r="Y11">
            <v>133</v>
          </cell>
          <cell r="Z11">
            <v>119</v>
          </cell>
          <cell r="AA11">
            <v>120</v>
          </cell>
          <cell r="AB11">
            <v>120</v>
          </cell>
          <cell r="AC11">
            <v>120</v>
          </cell>
          <cell r="AD11">
            <v>133</v>
          </cell>
          <cell r="AE11">
            <v>0</v>
          </cell>
          <cell r="AF11">
            <v>0</v>
          </cell>
          <cell r="AG11">
            <v>0</v>
          </cell>
          <cell r="AH11">
            <v>3971</v>
          </cell>
        </row>
        <row r="12">
          <cell r="B12" t="str">
            <v>Khăm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B13" t="str">
            <v>Phò Xing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165</v>
          </cell>
          <cell r="L13">
            <v>177</v>
          </cell>
          <cell r="M13">
            <v>0</v>
          </cell>
          <cell r="N13">
            <v>100</v>
          </cell>
          <cell r="O13">
            <v>112</v>
          </cell>
          <cell r="P13">
            <v>195</v>
          </cell>
          <cell r="Q13">
            <v>167</v>
          </cell>
          <cell r="R13">
            <v>152</v>
          </cell>
          <cell r="S13">
            <v>158</v>
          </cell>
          <cell r="T13">
            <v>163</v>
          </cell>
          <cell r="U13">
            <v>130</v>
          </cell>
          <cell r="V13">
            <v>110</v>
          </cell>
          <cell r="W13">
            <v>121</v>
          </cell>
          <cell r="X13">
            <v>150</v>
          </cell>
          <cell r="Y13">
            <v>135</v>
          </cell>
          <cell r="Z13">
            <v>135</v>
          </cell>
          <cell r="AA13">
            <v>118</v>
          </cell>
          <cell r="AB13">
            <v>141</v>
          </cell>
          <cell r="AC13">
            <v>145</v>
          </cell>
          <cell r="AD13">
            <v>100</v>
          </cell>
          <cell r="AE13">
            <v>98</v>
          </cell>
          <cell r="AF13">
            <v>131</v>
          </cell>
          <cell r="AG13">
            <v>105</v>
          </cell>
          <cell r="AH13">
            <v>3008</v>
          </cell>
        </row>
        <row r="14">
          <cell r="B14" t="str">
            <v>Ta Lốt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146</v>
          </cell>
          <cell r="H14">
            <v>100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110</v>
          </cell>
          <cell r="N14">
            <v>96</v>
          </cell>
          <cell r="O14">
            <v>110</v>
          </cell>
          <cell r="P14">
            <v>124</v>
          </cell>
          <cell r="Q14">
            <v>129</v>
          </cell>
          <cell r="R14">
            <v>100</v>
          </cell>
          <cell r="S14">
            <v>127</v>
          </cell>
          <cell r="T14">
            <v>121</v>
          </cell>
          <cell r="U14">
            <v>109</v>
          </cell>
          <cell r="V14">
            <v>99</v>
          </cell>
          <cell r="W14">
            <v>125</v>
          </cell>
          <cell r="X14">
            <v>111</v>
          </cell>
          <cell r="Y14">
            <v>112</v>
          </cell>
          <cell r="Z14">
            <v>109</v>
          </cell>
          <cell r="AA14">
            <v>105</v>
          </cell>
          <cell r="AB14">
            <v>91</v>
          </cell>
          <cell r="AC14">
            <v>102</v>
          </cell>
          <cell r="AD14">
            <v>101</v>
          </cell>
          <cell r="AE14">
            <v>97</v>
          </cell>
          <cell r="AF14">
            <v>93</v>
          </cell>
          <cell r="AG14">
            <v>87</v>
          </cell>
          <cell r="AH14">
            <v>2504</v>
          </cell>
        </row>
        <row r="15">
          <cell r="B15" t="str">
            <v>A Phay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154</v>
          </cell>
          <cell r="J15">
            <v>237</v>
          </cell>
          <cell r="K15">
            <v>247</v>
          </cell>
          <cell r="L15">
            <v>0</v>
          </cell>
          <cell r="M15">
            <v>187</v>
          </cell>
          <cell r="N15">
            <v>209</v>
          </cell>
          <cell r="O15">
            <v>248</v>
          </cell>
          <cell r="P15">
            <v>202</v>
          </cell>
          <cell r="Q15">
            <v>163</v>
          </cell>
          <cell r="R15">
            <v>238</v>
          </cell>
          <cell r="S15">
            <v>204</v>
          </cell>
          <cell r="T15">
            <v>150</v>
          </cell>
          <cell r="U15">
            <v>144</v>
          </cell>
          <cell r="V15">
            <v>219</v>
          </cell>
          <cell r="W15">
            <v>222</v>
          </cell>
          <cell r="X15">
            <v>151</v>
          </cell>
          <cell r="Y15">
            <v>162</v>
          </cell>
          <cell r="Z15">
            <v>176</v>
          </cell>
          <cell r="AA15">
            <v>230</v>
          </cell>
          <cell r="AB15">
            <v>152</v>
          </cell>
          <cell r="AC15">
            <v>125</v>
          </cell>
          <cell r="AD15">
            <v>114</v>
          </cell>
          <cell r="AE15">
            <v>0</v>
          </cell>
          <cell r="AF15">
            <v>0</v>
          </cell>
          <cell r="AG15">
            <v>0</v>
          </cell>
          <cell r="AH15">
            <v>3934</v>
          </cell>
        </row>
        <row r="16">
          <cell r="B16" t="str">
            <v>A Hing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 t="str">
            <v>Ói</v>
          </cell>
          <cell r="C17">
            <v>0</v>
          </cell>
          <cell r="D17">
            <v>120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175</v>
          </cell>
          <cell r="O17">
            <v>163</v>
          </cell>
          <cell r="P17">
            <v>0</v>
          </cell>
          <cell r="Q17">
            <v>167</v>
          </cell>
          <cell r="R17">
            <v>166</v>
          </cell>
          <cell r="S17">
            <v>146</v>
          </cell>
          <cell r="T17">
            <v>293</v>
          </cell>
          <cell r="U17">
            <v>136</v>
          </cell>
          <cell r="V17">
            <v>167</v>
          </cell>
          <cell r="W17">
            <v>91</v>
          </cell>
          <cell r="X17">
            <v>161</v>
          </cell>
          <cell r="Y17">
            <v>152</v>
          </cell>
          <cell r="Z17">
            <v>150</v>
          </cell>
          <cell r="AA17">
            <v>120</v>
          </cell>
          <cell r="AB17">
            <v>174</v>
          </cell>
          <cell r="AC17">
            <v>164</v>
          </cell>
          <cell r="AD17">
            <v>137</v>
          </cell>
          <cell r="AE17">
            <v>110</v>
          </cell>
          <cell r="AF17">
            <v>157</v>
          </cell>
          <cell r="AG17">
            <v>0</v>
          </cell>
          <cell r="AH17">
            <v>2949</v>
          </cell>
        </row>
        <row r="18">
          <cell r="B18" t="str">
            <v>Ta Dạt</v>
          </cell>
          <cell r="C18">
            <v>0</v>
          </cell>
          <cell r="D18">
            <v>75</v>
          </cell>
          <cell r="E18">
            <v>110</v>
          </cell>
          <cell r="F18">
            <v>60</v>
          </cell>
          <cell r="G18">
            <v>150</v>
          </cell>
          <cell r="H18">
            <v>0</v>
          </cell>
          <cell r="I18">
            <v>125</v>
          </cell>
          <cell r="J18">
            <v>65</v>
          </cell>
          <cell r="K18">
            <v>120</v>
          </cell>
          <cell r="L18">
            <v>0</v>
          </cell>
          <cell r="M18">
            <v>71</v>
          </cell>
          <cell r="N18">
            <v>121</v>
          </cell>
          <cell r="O18">
            <v>65</v>
          </cell>
          <cell r="P18">
            <v>125</v>
          </cell>
          <cell r="Q18">
            <v>79</v>
          </cell>
          <cell r="R18">
            <v>0</v>
          </cell>
          <cell r="S18">
            <v>75</v>
          </cell>
          <cell r="T18">
            <v>137</v>
          </cell>
          <cell r="U18">
            <v>58</v>
          </cell>
          <cell r="V18">
            <v>116</v>
          </cell>
          <cell r="W18">
            <v>64</v>
          </cell>
          <cell r="X18">
            <v>140</v>
          </cell>
          <cell r="Y18">
            <v>80</v>
          </cell>
          <cell r="Z18">
            <v>129</v>
          </cell>
          <cell r="AA18">
            <v>59</v>
          </cell>
          <cell r="AB18">
            <v>0</v>
          </cell>
          <cell r="AC18">
            <v>77</v>
          </cell>
          <cell r="AD18">
            <v>158</v>
          </cell>
          <cell r="AE18">
            <v>29</v>
          </cell>
          <cell r="AF18">
            <v>156</v>
          </cell>
          <cell r="AG18">
            <v>78</v>
          </cell>
          <cell r="AH18">
            <v>2522</v>
          </cell>
        </row>
        <row r="19">
          <cell r="B19" t="str">
            <v>A Tốt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175</v>
          </cell>
          <cell r="L19">
            <v>146</v>
          </cell>
          <cell r="M19">
            <v>95</v>
          </cell>
          <cell r="N19">
            <v>150</v>
          </cell>
          <cell r="O19">
            <v>162</v>
          </cell>
          <cell r="P19">
            <v>181</v>
          </cell>
          <cell r="Q19">
            <v>145</v>
          </cell>
          <cell r="R19">
            <v>190</v>
          </cell>
          <cell r="S19">
            <v>226</v>
          </cell>
          <cell r="T19">
            <v>170</v>
          </cell>
          <cell r="U19">
            <v>102</v>
          </cell>
          <cell r="V19">
            <v>170</v>
          </cell>
          <cell r="W19">
            <v>0</v>
          </cell>
          <cell r="X19">
            <v>160</v>
          </cell>
          <cell r="Y19">
            <v>152</v>
          </cell>
          <cell r="Z19">
            <v>157</v>
          </cell>
          <cell r="AA19">
            <v>120</v>
          </cell>
          <cell r="AB19">
            <v>152</v>
          </cell>
          <cell r="AC19">
            <v>115</v>
          </cell>
          <cell r="AD19">
            <v>143</v>
          </cell>
          <cell r="AE19">
            <v>95</v>
          </cell>
          <cell r="AF19">
            <v>105</v>
          </cell>
          <cell r="AG19">
            <v>0</v>
          </cell>
          <cell r="AH19">
            <v>3111</v>
          </cell>
        </row>
        <row r="20">
          <cell r="B20" t="str">
            <v>Ta Học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202</v>
          </cell>
          <cell r="H20">
            <v>90</v>
          </cell>
          <cell r="I20">
            <v>0</v>
          </cell>
          <cell r="J20">
            <v>203</v>
          </cell>
          <cell r="K20">
            <v>179</v>
          </cell>
          <cell r="L20">
            <v>193</v>
          </cell>
          <cell r="M20">
            <v>160</v>
          </cell>
          <cell r="N20">
            <v>185</v>
          </cell>
          <cell r="O20">
            <v>163</v>
          </cell>
          <cell r="P20">
            <v>180</v>
          </cell>
          <cell r="Q20">
            <v>180</v>
          </cell>
          <cell r="R20">
            <v>195</v>
          </cell>
          <cell r="S20">
            <v>148</v>
          </cell>
          <cell r="T20">
            <v>185</v>
          </cell>
          <cell r="U20">
            <v>174</v>
          </cell>
          <cell r="V20">
            <v>152</v>
          </cell>
          <cell r="W20">
            <v>0</v>
          </cell>
          <cell r="X20">
            <v>178</v>
          </cell>
          <cell r="Y20">
            <v>178</v>
          </cell>
          <cell r="Z20">
            <v>135</v>
          </cell>
          <cell r="AA20">
            <v>143</v>
          </cell>
          <cell r="AB20">
            <v>163</v>
          </cell>
          <cell r="AC20">
            <v>173</v>
          </cell>
          <cell r="AD20">
            <v>117</v>
          </cell>
          <cell r="AE20">
            <v>109</v>
          </cell>
          <cell r="AF20">
            <v>103</v>
          </cell>
          <cell r="AG20">
            <v>92</v>
          </cell>
          <cell r="AH20">
            <v>3980</v>
          </cell>
        </row>
        <row r="21">
          <cell r="B21" t="str">
            <v>Phò Têng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136</v>
          </cell>
          <cell r="I21">
            <v>180</v>
          </cell>
          <cell r="J21">
            <v>139</v>
          </cell>
          <cell r="K21">
            <v>168</v>
          </cell>
          <cell r="L21">
            <v>181</v>
          </cell>
          <cell r="M21">
            <v>119</v>
          </cell>
          <cell r="N21">
            <v>120</v>
          </cell>
          <cell r="O21">
            <v>151</v>
          </cell>
          <cell r="P21">
            <v>127</v>
          </cell>
          <cell r="Q21">
            <v>120</v>
          </cell>
          <cell r="R21">
            <v>120</v>
          </cell>
          <cell r="S21">
            <v>177</v>
          </cell>
          <cell r="T21">
            <v>192</v>
          </cell>
          <cell r="U21">
            <v>109</v>
          </cell>
          <cell r="V21">
            <v>123</v>
          </cell>
          <cell r="W21">
            <v>150</v>
          </cell>
          <cell r="X21">
            <v>0</v>
          </cell>
          <cell r="Y21">
            <v>120</v>
          </cell>
          <cell r="Z21">
            <v>115</v>
          </cell>
          <cell r="AA21">
            <v>149</v>
          </cell>
          <cell r="AB21">
            <v>170</v>
          </cell>
          <cell r="AC21">
            <v>116</v>
          </cell>
          <cell r="AD21">
            <v>105</v>
          </cell>
          <cell r="AE21">
            <v>175</v>
          </cell>
          <cell r="AF21">
            <v>155</v>
          </cell>
          <cell r="AG21">
            <v>107</v>
          </cell>
          <cell r="AH21">
            <v>3524</v>
          </cell>
        </row>
        <row r="22">
          <cell r="B22" t="str">
            <v>Ma</v>
          </cell>
          <cell r="C22">
            <v>0</v>
          </cell>
          <cell r="D22">
            <v>0</v>
          </cell>
          <cell r="E22">
            <v>149</v>
          </cell>
          <cell r="F22">
            <v>116</v>
          </cell>
          <cell r="G22">
            <v>223</v>
          </cell>
          <cell r="H22">
            <v>360</v>
          </cell>
          <cell r="I22">
            <v>0</v>
          </cell>
          <cell r="J22">
            <v>266</v>
          </cell>
          <cell r="K22">
            <v>0</v>
          </cell>
          <cell r="L22">
            <v>212</v>
          </cell>
          <cell r="M22">
            <v>200</v>
          </cell>
          <cell r="N22">
            <v>0</v>
          </cell>
          <cell r="O22">
            <v>142</v>
          </cell>
          <cell r="P22">
            <v>209</v>
          </cell>
          <cell r="Q22">
            <v>0</v>
          </cell>
          <cell r="R22">
            <v>0</v>
          </cell>
          <cell r="S22">
            <v>158</v>
          </cell>
          <cell r="T22">
            <v>228</v>
          </cell>
          <cell r="U22">
            <v>106</v>
          </cell>
          <cell r="V22">
            <v>234</v>
          </cell>
          <cell r="W22">
            <v>157</v>
          </cell>
          <cell r="X22">
            <v>128</v>
          </cell>
          <cell r="Y22">
            <v>0</v>
          </cell>
          <cell r="Z22">
            <v>191</v>
          </cell>
          <cell r="AA22">
            <v>115</v>
          </cell>
          <cell r="AB22">
            <v>151</v>
          </cell>
          <cell r="AC22">
            <v>84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3429</v>
          </cell>
        </row>
        <row r="23">
          <cell r="B23" t="str">
            <v>Phò Thoong</v>
          </cell>
          <cell r="C23">
            <v>0</v>
          </cell>
          <cell r="D23">
            <v>0</v>
          </cell>
          <cell r="E23">
            <v>121</v>
          </cell>
          <cell r="F23">
            <v>0</v>
          </cell>
          <cell r="G23">
            <v>149</v>
          </cell>
          <cell r="H23">
            <v>0</v>
          </cell>
          <cell r="I23">
            <v>132</v>
          </cell>
          <cell r="J23">
            <v>207</v>
          </cell>
          <cell r="K23">
            <v>137</v>
          </cell>
          <cell r="L23">
            <v>125</v>
          </cell>
          <cell r="M23">
            <v>122</v>
          </cell>
          <cell r="N23">
            <v>168</v>
          </cell>
          <cell r="O23">
            <v>156</v>
          </cell>
          <cell r="P23">
            <v>168</v>
          </cell>
          <cell r="Q23">
            <v>139</v>
          </cell>
          <cell r="R23">
            <v>190</v>
          </cell>
          <cell r="S23">
            <v>132</v>
          </cell>
          <cell r="T23">
            <v>146</v>
          </cell>
          <cell r="U23">
            <v>116</v>
          </cell>
          <cell r="V23">
            <v>187</v>
          </cell>
          <cell r="W23">
            <v>154</v>
          </cell>
          <cell r="X23">
            <v>151</v>
          </cell>
          <cell r="Y23">
            <v>122</v>
          </cell>
          <cell r="Z23">
            <v>175</v>
          </cell>
          <cell r="AA23">
            <v>141</v>
          </cell>
          <cell r="AB23">
            <v>122</v>
          </cell>
          <cell r="AC23">
            <v>119</v>
          </cell>
          <cell r="AD23">
            <v>165</v>
          </cell>
          <cell r="AE23">
            <v>126</v>
          </cell>
          <cell r="AF23">
            <v>117</v>
          </cell>
          <cell r="AG23">
            <v>0</v>
          </cell>
          <cell r="AH23">
            <v>3787</v>
          </cell>
        </row>
        <row r="24">
          <cell r="B24" t="str">
            <v>Cha Hô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B25" t="str">
            <v>P Lăng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121</v>
          </cell>
          <cell r="L25">
            <v>0</v>
          </cell>
          <cell r="M25">
            <v>148</v>
          </cell>
          <cell r="N25">
            <v>201</v>
          </cell>
          <cell r="O25">
            <v>164</v>
          </cell>
          <cell r="P25">
            <v>129</v>
          </cell>
          <cell r="Q25">
            <v>137</v>
          </cell>
          <cell r="R25">
            <v>181</v>
          </cell>
          <cell r="S25">
            <v>157</v>
          </cell>
          <cell r="T25">
            <v>137</v>
          </cell>
          <cell r="U25">
            <v>114</v>
          </cell>
          <cell r="V25">
            <v>113</v>
          </cell>
          <cell r="W25">
            <v>156</v>
          </cell>
          <cell r="X25">
            <v>117</v>
          </cell>
          <cell r="Y25">
            <v>103</v>
          </cell>
          <cell r="Z25">
            <v>147</v>
          </cell>
          <cell r="AA25">
            <v>159</v>
          </cell>
          <cell r="AB25">
            <v>114</v>
          </cell>
          <cell r="AC25">
            <v>101</v>
          </cell>
          <cell r="AD25">
            <v>133</v>
          </cell>
          <cell r="AE25">
            <v>0</v>
          </cell>
          <cell r="AF25">
            <v>0</v>
          </cell>
          <cell r="AG25">
            <v>0</v>
          </cell>
          <cell r="AH25">
            <v>2632</v>
          </cell>
        </row>
        <row r="26">
          <cell r="B26" t="str">
            <v>A Lay</v>
          </cell>
          <cell r="C26">
            <v>0</v>
          </cell>
          <cell r="D26">
            <v>0</v>
          </cell>
          <cell r="E26">
            <v>99</v>
          </cell>
          <cell r="F26">
            <v>0</v>
          </cell>
          <cell r="G26">
            <v>0</v>
          </cell>
          <cell r="H26">
            <v>108</v>
          </cell>
          <cell r="I26">
            <v>76</v>
          </cell>
          <cell r="J26">
            <v>0</v>
          </cell>
          <cell r="K26">
            <v>143</v>
          </cell>
          <cell r="L26">
            <v>135</v>
          </cell>
          <cell r="M26">
            <v>94</v>
          </cell>
          <cell r="N26">
            <v>158</v>
          </cell>
          <cell r="O26">
            <v>59</v>
          </cell>
          <cell r="P26">
            <v>122</v>
          </cell>
          <cell r="Q26">
            <v>0</v>
          </cell>
          <cell r="R26">
            <v>0</v>
          </cell>
          <cell r="S26">
            <v>129</v>
          </cell>
          <cell r="T26">
            <v>0</v>
          </cell>
          <cell r="U26">
            <v>0</v>
          </cell>
          <cell r="V26">
            <v>0</v>
          </cell>
          <cell r="W26">
            <v>122</v>
          </cell>
          <cell r="X26">
            <v>125</v>
          </cell>
          <cell r="Y26">
            <v>84</v>
          </cell>
          <cell r="Z26">
            <v>95</v>
          </cell>
          <cell r="AA26">
            <v>133</v>
          </cell>
          <cell r="AB26">
            <v>129</v>
          </cell>
          <cell r="AC26">
            <v>0</v>
          </cell>
          <cell r="AD26">
            <v>119</v>
          </cell>
          <cell r="AE26">
            <v>142</v>
          </cell>
          <cell r="AF26">
            <v>142</v>
          </cell>
          <cell r="AG26">
            <v>94</v>
          </cell>
          <cell r="AH26">
            <v>2308</v>
          </cell>
        </row>
        <row r="27">
          <cell r="B27" t="str">
            <v>A Lóc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90</v>
          </cell>
          <cell r="H27">
            <v>0</v>
          </cell>
          <cell r="I27">
            <v>0</v>
          </cell>
          <cell r="J27">
            <v>144</v>
          </cell>
          <cell r="K27">
            <v>140</v>
          </cell>
          <cell r="L27">
            <v>167</v>
          </cell>
          <cell r="M27">
            <v>131</v>
          </cell>
          <cell r="N27">
            <v>120</v>
          </cell>
          <cell r="O27">
            <v>116</v>
          </cell>
          <cell r="P27">
            <v>161</v>
          </cell>
          <cell r="Q27">
            <v>202</v>
          </cell>
          <cell r="R27">
            <v>128</v>
          </cell>
          <cell r="S27">
            <v>125</v>
          </cell>
          <cell r="T27">
            <v>156</v>
          </cell>
          <cell r="U27">
            <v>116</v>
          </cell>
          <cell r="V27">
            <v>116</v>
          </cell>
          <cell r="W27">
            <v>139</v>
          </cell>
          <cell r="X27">
            <v>166</v>
          </cell>
          <cell r="Y27">
            <v>110</v>
          </cell>
          <cell r="Z27">
            <v>120</v>
          </cell>
          <cell r="AA27">
            <v>0</v>
          </cell>
          <cell r="AB27">
            <v>150</v>
          </cell>
          <cell r="AC27">
            <v>103</v>
          </cell>
          <cell r="AD27">
            <v>110</v>
          </cell>
          <cell r="AE27">
            <v>113</v>
          </cell>
          <cell r="AF27">
            <v>149</v>
          </cell>
          <cell r="AG27">
            <v>0</v>
          </cell>
          <cell r="AH27">
            <v>3072</v>
          </cell>
        </row>
        <row r="28">
          <cell r="B28" t="str">
            <v>Keo</v>
          </cell>
          <cell r="C28">
            <v>0</v>
          </cell>
          <cell r="D28">
            <v>0</v>
          </cell>
          <cell r="E28">
            <v>0</v>
          </cell>
          <cell r="F28">
            <v>135</v>
          </cell>
          <cell r="G28">
            <v>116</v>
          </cell>
          <cell r="H28">
            <v>188</v>
          </cell>
          <cell r="I28">
            <v>152</v>
          </cell>
          <cell r="J28">
            <v>175</v>
          </cell>
          <cell r="K28">
            <v>190</v>
          </cell>
          <cell r="L28">
            <v>205</v>
          </cell>
          <cell r="M28">
            <v>0</v>
          </cell>
          <cell r="N28">
            <v>154</v>
          </cell>
          <cell r="O28">
            <v>162</v>
          </cell>
          <cell r="P28">
            <v>142</v>
          </cell>
          <cell r="Q28">
            <v>195</v>
          </cell>
          <cell r="R28">
            <v>147</v>
          </cell>
          <cell r="S28">
            <v>166</v>
          </cell>
          <cell r="T28">
            <v>156</v>
          </cell>
          <cell r="U28">
            <v>161</v>
          </cell>
          <cell r="V28">
            <v>140</v>
          </cell>
          <cell r="W28">
            <v>144</v>
          </cell>
          <cell r="X28">
            <v>135</v>
          </cell>
          <cell r="Y28">
            <v>176</v>
          </cell>
          <cell r="Z28">
            <v>135</v>
          </cell>
          <cell r="AA28">
            <v>184</v>
          </cell>
          <cell r="AB28">
            <v>142</v>
          </cell>
          <cell r="AC28">
            <v>185</v>
          </cell>
          <cell r="AD28">
            <v>143</v>
          </cell>
          <cell r="AE28">
            <v>149</v>
          </cell>
          <cell r="AF28">
            <v>139</v>
          </cell>
          <cell r="AG28">
            <v>144</v>
          </cell>
          <cell r="AH28">
            <v>4260</v>
          </cell>
        </row>
        <row r="29">
          <cell r="B29" t="str">
            <v>Ngân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B30" t="str">
            <v>A Tay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B31" t="str">
            <v>A Vêu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B32" t="str">
            <v>A Long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106</v>
          </cell>
          <cell r="K32">
            <v>0</v>
          </cell>
          <cell r="L32">
            <v>0</v>
          </cell>
          <cell r="M32">
            <v>95</v>
          </cell>
          <cell r="N32">
            <v>161</v>
          </cell>
          <cell r="O32">
            <v>110</v>
          </cell>
          <cell r="P32">
            <v>222</v>
          </cell>
          <cell r="Q32">
            <v>140</v>
          </cell>
          <cell r="R32">
            <v>167</v>
          </cell>
          <cell r="S32">
            <v>130</v>
          </cell>
          <cell r="T32">
            <v>160</v>
          </cell>
          <cell r="U32">
            <v>105</v>
          </cell>
          <cell r="V32">
            <v>151</v>
          </cell>
          <cell r="W32">
            <v>123</v>
          </cell>
          <cell r="X32">
            <v>129</v>
          </cell>
          <cell r="Y32">
            <v>131</v>
          </cell>
          <cell r="Z32">
            <v>152</v>
          </cell>
          <cell r="AA32">
            <v>132</v>
          </cell>
          <cell r="AB32">
            <v>125</v>
          </cell>
          <cell r="AC32">
            <v>120</v>
          </cell>
          <cell r="AD32">
            <v>158</v>
          </cell>
          <cell r="AE32">
            <v>112</v>
          </cell>
          <cell r="AF32">
            <v>132</v>
          </cell>
          <cell r="AG32">
            <v>116</v>
          </cell>
          <cell r="AH32">
            <v>2977</v>
          </cell>
        </row>
        <row r="33">
          <cell r="B33" t="str">
            <v>Tà Khơ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B34" t="str">
            <v>Phò Xưa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B35" t="str">
            <v>Thông Chăng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B36" t="str">
            <v>Lan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B37" t="str">
            <v>A Bưng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7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9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10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1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115"/>
  <sheetViews>
    <sheetView workbookViewId="0">
      <selection activeCell="E25" sqref="E25"/>
    </sheetView>
  </sheetViews>
  <sheetFormatPr defaultRowHeight="12.75"/>
  <cols>
    <col min="1" max="1" width="4" customWidth="1"/>
    <col min="2" max="2" width="21.140625" customWidth="1"/>
    <col min="3" max="3" width="3.5703125" customWidth="1"/>
    <col min="4" max="4" width="7.42578125" customWidth="1"/>
    <col min="9" max="9" width="13.5703125" bestFit="1" customWidth="1"/>
    <col min="10" max="10" width="3.5703125" customWidth="1"/>
    <col min="12" max="12" width="18" customWidth="1"/>
    <col min="19" max="19" width="10.7109375" bestFit="1" customWidth="1"/>
    <col min="22" max="22" width="19.85546875" customWidth="1"/>
  </cols>
  <sheetData>
    <row r="1" spans="1:22" ht="15.75">
      <c r="E1" s="3828" t="s">
        <v>656</v>
      </c>
      <c r="F1" s="3828"/>
      <c r="G1" s="3828"/>
      <c r="H1" s="3828"/>
      <c r="I1" s="696"/>
      <c r="J1" s="696"/>
      <c r="K1" s="696"/>
      <c r="L1" s="697"/>
      <c r="M1" s="696"/>
      <c r="N1" s="3829" t="s">
        <v>23</v>
      </c>
      <c r="O1" s="3829"/>
      <c r="P1" s="3829"/>
      <c r="Q1" s="3829"/>
      <c r="R1" s="3829"/>
      <c r="S1" s="3829"/>
      <c r="T1" s="3829"/>
    </row>
    <row r="2" spans="1:22" ht="15.75">
      <c r="E2" s="3829" t="s">
        <v>90</v>
      </c>
      <c r="F2" s="3829"/>
      <c r="G2" s="3829"/>
      <c r="H2" s="3829"/>
      <c r="I2" s="698"/>
      <c r="J2" s="698"/>
      <c r="K2" s="698"/>
      <c r="L2" s="699"/>
      <c r="M2" s="698"/>
      <c r="N2" s="3828" t="s">
        <v>657</v>
      </c>
      <c r="O2" s="3828"/>
      <c r="P2" s="3828"/>
      <c r="Q2" s="3828"/>
      <c r="R2" s="3828"/>
      <c r="S2" s="3828"/>
      <c r="T2" s="3828"/>
    </row>
    <row r="5" spans="1:22" ht="19.5">
      <c r="A5" s="3830" t="s">
        <v>784</v>
      </c>
      <c r="B5" s="3830"/>
      <c r="C5" s="3830"/>
      <c r="D5" s="3830"/>
      <c r="E5" s="3830"/>
      <c r="F5" s="3830"/>
      <c r="G5" s="3830"/>
      <c r="H5" s="3830"/>
      <c r="I5" s="3830"/>
      <c r="J5" s="3830"/>
      <c r="K5" s="3830"/>
      <c r="L5" s="3830" t="s">
        <v>785</v>
      </c>
      <c r="M5" s="3830"/>
      <c r="N5" s="3830"/>
      <c r="O5" s="3830"/>
      <c r="P5" s="3830"/>
      <c r="Q5" s="3830"/>
      <c r="R5" s="3830"/>
      <c r="S5" s="3830"/>
      <c r="T5" s="3830"/>
      <c r="U5" s="3830"/>
      <c r="V5" s="789" t="s">
        <v>786</v>
      </c>
    </row>
    <row r="6" spans="1:22" ht="15.75">
      <c r="A6" s="474">
        <v>1</v>
      </c>
      <c r="B6" s="475" t="s">
        <v>709</v>
      </c>
      <c r="C6" s="475"/>
      <c r="D6" s="790"/>
      <c r="E6" s="790"/>
      <c r="F6" s="790"/>
      <c r="G6" s="700"/>
      <c r="H6" s="790"/>
      <c r="I6" s="702"/>
      <c r="J6" s="700"/>
      <c r="K6" s="703"/>
      <c r="L6" s="791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1:22" ht="15.75">
      <c r="A7" s="283">
        <v>1.1000000000000001</v>
      </c>
      <c r="B7" s="794" t="s">
        <v>677</v>
      </c>
      <c r="C7" s="283" t="s">
        <v>659</v>
      </c>
      <c r="D7" s="701">
        <f>1/3</f>
        <v>0.33333333333333331</v>
      </c>
      <c r="E7" s="283"/>
      <c r="F7" s="283"/>
      <c r="G7" s="283"/>
      <c r="H7" s="283"/>
      <c r="I7" s="708">
        <f>SUM(E8:H13)</f>
        <v>46.62</v>
      </c>
      <c r="J7" s="718">
        <v>1</v>
      </c>
      <c r="K7" s="773">
        <f>ROUND(I7/D7*J7,2)</f>
        <v>139.86000000000001</v>
      </c>
      <c r="L7" s="794" t="s">
        <v>677</v>
      </c>
      <c r="M7" s="283" t="s">
        <v>659</v>
      </c>
      <c r="N7" s="701">
        <f>1/4</f>
        <v>0.25</v>
      </c>
      <c r="O7" s="283"/>
      <c r="P7" s="283"/>
      <c r="Q7" s="283"/>
      <c r="R7" s="283"/>
      <c r="S7" s="708">
        <f>SUM(O8:R13)</f>
        <v>46.62</v>
      </c>
      <c r="T7" s="718">
        <v>1</v>
      </c>
      <c r="U7" s="773">
        <f>ROUND(S7/N7*T7,2)</f>
        <v>186.48</v>
      </c>
      <c r="V7" s="795">
        <f>U7-K7</f>
        <v>46.619999999999976</v>
      </c>
    </row>
    <row r="8" spans="1:22" ht="15.75">
      <c r="A8" s="688"/>
      <c r="B8" s="719"/>
      <c r="C8" s="688"/>
      <c r="D8" s="796"/>
      <c r="E8" s="705" t="s">
        <v>710</v>
      </c>
      <c r="F8" s="797">
        <v>4.87</v>
      </c>
      <c r="G8" s="705" t="s">
        <v>711</v>
      </c>
      <c r="H8" s="797">
        <v>6.55</v>
      </c>
      <c r="I8" s="704"/>
      <c r="J8" s="716"/>
      <c r="K8" s="706"/>
      <c r="L8" s="719"/>
      <c r="M8" s="688"/>
      <c r="N8" s="796"/>
      <c r="O8" s="705" t="s">
        <v>710</v>
      </c>
      <c r="P8" s="797">
        <v>4.87</v>
      </c>
      <c r="Q8" s="705" t="s">
        <v>711</v>
      </c>
      <c r="R8" s="797">
        <v>6.55</v>
      </c>
      <c r="S8" s="704"/>
      <c r="T8" s="716"/>
      <c r="U8" s="706"/>
      <c r="V8" s="798"/>
    </row>
    <row r="9" spans="1:22" ht="15.75">
      <c r="A9" s="284"/>
      <c r="B9" s="714"/>
      <c r="C9" s="284"/>
      <c r="D9" s="757"/>
      <c r="E9" s="713" t="s">
        <v>713</v>
      </c>
      <c r="F9" s="777">
        <v>3.1</v>
      </c>
      <c r="G9" s="713" t="s">
        <v>684</v>
      </c>
      <c r="H9" s="777">
        <v>0.93</v>
      </c>
      <c r="I9" s="710"/>
      <c r="J9" s="711"/>
      <c r="K9" s="709"/>
      <c r="L9" s="714"/>
      <c r="M9" s="284"/>
      <c r="N9" s="757"/>
      <c r="O9" s="713" t="s">
        <v>713</v>
      </c>
      <c r="P9" s="777">
        <v>3.1</v>
      </c>
      <c r="Q9" s="713" t="s">
        <v>684</v>
      </c>
      <c r="R9" s="777">
        <v>0.93</v>
      </c>
      <c r="S9" s="710"/>
      <c r="T9" s="711"/>
      <c r="U9" s="709"/>
      <c r="V9" s="799"/>
    </row>
    <row r="10" spans="1:22" ht="15.75">
      <c r="A10" s="284"/>
      <c r="B10" s="714"/>
      <c r="C10" s="284"/>
      <c r="D10" s="757"/>
      <c r="E10" s="713" t="s">
        <v>716</v>
      </c>
      <c r="F10" s="777">
        <v>8.5500000000000007</v>
      </c>
      <c r="G10" s="713" t="s">
        <v>712</v>
      </c>
      <c r="H10" s="777">
        <v>5.96</v>
      </c>
      <c r="I10" s="710"/>
      <c r="J10" s="711"/>
      <c r="K10" s="709"/>
      <c r="L10" s="714"/>
      <c r="M10" s="284"/>
      <c r="N10" s="757"/>
      <c r="O10" s="713" t="s">
        <v>716</v>
      </c>
      <c r="P10" s="777">
        <v>8.5500000000000007</v>
      </c>
      <c r="Q10" s="713" t="s">
        <v>712</v>
      </c>
      <c r="R10" s="777">
        <v>5.96</v>
      </c>
      <c r="S10" s="710"/>
      <c r="T10" s="711"/>
      <c r="U10" s="709"/>
      <c r="V10" s="799"/>
    </row>
    <row r="11" spans="1:22" ht="15.75">
      <c r="A11" s="799"/>
      <c r="B11" s="799"/>
      <c r="C11" s="799"/>
      <c r="D11" s="799"/>
      <c r="E11" s="713" t="s">
        <v>671</v>
      </c>
      <c r="F11" s="777">
        <v>2.57</v>
      </c>
      <c r="G11" s="713" t="s">
        <v>715</v>
      </c>
      <c r="H11" s="777">
        <v>2.5499999999999998</v>
      </c>
      <c r="I11" s="799"/>
      <c r="J11" s="799"/>
      <c r="K11" s="799"/>
      <c r="L11" s="799"/>
      <c r="M11" s="799"/>
      <c r="N11" s="799"/>
      <c r="O11" s="713" t="s">
        <v>671</v>
      </c>
      <c r="P11" s="777">
        <v>2.57</v>
      </c>
      <c r="Q11" s="713" t="s">
        <v>715</v>
      </c>
      <c r="R11" s="777">
        <v>2.5499999999999998</v>
      </c>
      <c r="S11" s="799"/>
      <c r="T11" s="799"/>
      <c r="U11" s="799"/>
      <c r="V11" s="799"/>
    </row>
    <row r="12" spans="1:22" ht="15.75">
      <c r="A12" s="799"/>
      <c r="B12" s="799"/>
      <c r="C12" s="799"/>
      <c r="D12" s="799"/>
      <c r="E12" s="713" t="s">
        <v>714</v>
      </c>
      <c r="F12" s="777">
        <v>5.64</v>
      </c>
      <c r="G12" s="799"/>
      <c r="H12" s="799"/>
      <c r="I12" s="799"/>
      <c r="J12" s="799"/>
      <c r="K12" s="799"/>
      <c r="L12" s="799"/>
      <c r="M12" s="799"/>
      <c r="N12" s="799"/>
      <c r="O12" s="713" t="s">
        <v>714</v>
      </c>
      <c r="P12" s="777">
        <v>5.64</v>
      </c>
      <c r="Q12" s="799"/>
      <c r="R12" s="799"/>
      <c r="S12" s="799"/>
      <c r="T12" s="799"/>
      <c r="U12" s="799"/>
      <c r="V12" s="799"/>
    </row>
    <row r="13" spans="1:22" ht="15.75">
      <c r="A13" s="800"/>
      <c r="B13" s="800"/>
      <c r="C13" s="800"/>
      <c r="D13" s="800"/>
      <c r="E13" s="707" t="s">
        <v>717</v>
      </c>
      <c r="F13" s="801">
        <v>5.9</v>
      </c>
      <c r="G13" s="800"/>
      <c r="H13" s="800"/>
      <c r="I13" s="800"/>
      <c r="J13" s="800"/>
      <c r="K13" s="800"/>
      <c r="L13" s="800"/>
      <c r="M13" s="800"/>
      <c r="N13" s="800"/>
      <c r="O13" s="707" t="s">
        <v>717</v>
      </c>
      <c r="P13" s="801">
        <v>5.9</v>
      </c>
      <c r="Q13" s="800"/>
      <c r="R13" s="800"/>
      <c r="S13" s="800"/>
      <c r="T13" s="800"/>
      <c r="U13" s="800"/>
      <c r="V13" s="800"/>
    </row>
    <row r="14" spans="1:22" ht="15.75">
      <c r="A14" s="474">
        <v>2</v>
      </c>
      <c r="B14" s="475" t="s">
        <v>658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/>
      <c r="Q14" s="802"/>
      <c r="R14" s="802"/>
      <c r="S14" s="802"/>
      <c r="T14" s="802"/>
      <c r="U14" s="802"/>
      <c r="V14" s="802"/>
    </row>
    <row r="15" spans="1:22" ht="15.75">
      <c r="A15" s="798">
        <v>2.1</v>
      </c>
      <c r="B15" s="719" t="s">
        <v>677</v>
      </c>
      <c r="C15" s="688" t="s">
        <v>659</v>
      </c>
      <c r="D15" s="705">
        <f>1/3</f>
        <v>0.33333333333333331</v>
      </c>
      <c r="E15" s="798"/>
      <c r="F15" s="798"/>
      <c r="G15" s="798"/>
      <c r="H15" s="798"/>
      <c r="I15" s="715">
        <f>SUM(E16:H27)</f>
        <v>240.65000000000006</v>
      </c>
      <c r="J15" s="716">
        <v>1</v>
      </c>
      <c r="K15" s="706">
        <f>ROUND(I15/D15*J15,2)</f>
        <v>721.95</v>
      </c>
      <c r="L15" s="719" t="s">
        <v>677</v>
      </c>
      <c r="M15" s="688" t="s">
        <v>659</v>
      </c>
      <c r="N15" s="705">
        <f>1/4</f>
        <v>0.25</v>
      </c>
      <c r="O15" s="798"/>
      <c r="P15" s="798"/>
      <c r="Q15" s="798"/>
      <c r="R15" s="798"/>
      <c r="S15" s="715">
        <f>SUM(O16:R27)</f>
        <v>240.65000000000006</v>
      </c>
      <c r="T15" s="716">
        <v>1</v>
      </c>
      <c r="U15" s="706">
        <f>ROUND(S15/N15*T15,2)</f>
        <v>962.6</v>
      </c>
      <c r="V15" s="803">
        <f>U15-K15</f>
        <v>240.64999999999998</v>
      </c>
    </row>
    <row r="16" spans="1:22" ht="15.75">
      <c r="A16" s="799"/>
      <c r="B16" s="799"/>
      <c r="C16" s="799"/>
      <c r="D16" s="799"/>
      <c r="E16" s="713" t="s">
        <v>718</v>
      </c>
      <c r="F16" s="777">
        <v>17.260000000000002</v>
      </c>
      <c r="G16" s="713" t="s">
        <v>720</v>
      </c>
      <c r="H16" s="777">
        <v>8.91</v>
      </c>
      <c r="I16" s="799"/>
      <c r="J16" s="799"/>
      <c r="K16" s="799"/>
      <c r="L16" s="799"/>
      <c r="M16" s="799"/>
      <c r="N16" s="799"/>
      <c r="O16" s="713" t="s">
        <v>718</v>
      </c>
      <c r="P16" s="777">
        <v>17.260000000000002</v>
      </c>
      <c r="Q16" s="713" t="s">
        <v>720</v>
      </c>
      <c r="R16" s="777">
        <v>8.91</v>
      </c>
      <c r="S16" s="799"/>
      <c r="T16" s="799"/>
      <c r="U16" s="799"/>
      <c r="V16" s="799"/>
    </row>
    <row r="17" spans="1:22" ht="15.75">
      <c r="A17" s="799"/>
      <c r="B17" s="799"/>
      <c r="C17" s="799"/>
      <c r="D17" s="799"/>
      <c r="E17" s="713" t="s">
        <v>722</v>
      </c>
      <c r="F17" s="777">
        <v>4.5199999999999996</v>
      </c>
      <c r="G17" s="713" t="s">
        <v>724</v>
      </c>
      <c r="H17" s="777">
        <v>9.14</v>
      </c>
      <c r="I17" s="799"/>
      <c r="J17" s="799"/>
      <c r="K17" s="799"/>
      <c r="L17" s="799"/>
      <c r="M17" s="799"/>
      <c r="N17" s="799"/>
      <c r="O17" s="713" t="s">
        <v>722</v>
      </c>
      <c r="P17" s="777">
        <v>4.5199999999999996</v>
      </c>
      <c r="Q17" s="713" t="s">
        <v>724</v>
      </c>
      <c r="R17" s="777">
        <v>9.14</v>
      </c>
      <c r="S17" s="799"/>
      <c r="T17" s="799"/>
      <c r="U17" s="799"/>
      <c r="V17" s="799"/>
    </row>
    <row r="18" spans="1:22" ht="15.75">
      <c r="A18" s="799"/>
      <c r="B18" s="799"/>
      <c r="C18" s="799"/>
      <c r="D18" s="799"/>
      <c r="E18" s="713" t="s">
        <v>726</v>
      </c>
      <c r="F18" s="777">
        <v>5.45</v>
      </c>
      <c r="G18" s="713" t="s">
        <v>728</v>
      </c>
      <c r="H18" s="777">
        <v>11.01</v>
      </c>
      <c r="I18" s="799"/>
      <c r="J18" s="799"/>
      <c r="K18" s="799"/>
      <c r="L18" s="799"/>
      <c r="M18" s="799"/>
      <c r="N18" s="799"/>
      <c r="O18" s="713" t="s">
        <v>726</v>
      </c>
      <c r="P18" s="777">
        <v>5.45</v>
      </c>
      <c r="Q18" s="713" t="s">
        <v>728</v>
      </c>
      <c r="R18" s="777">
        <v>11.01</v>
      </c>
      <c r="S18" s="799"/>
      <c r="T18" s="799"/>
      <c r="U18" s="799"/>
      <c r="V18" s="799"/>
    </row>
    <row r="19" spans="1:22" ht="15.75">
      <c r="A19" s="799"/>
      <c r="B19" s="799"/>
      <c r="C19" s="799"/>
      <c r="D19" s="799"/>
      <c r="E19" s="713" t="s">
        <v>730</v>
      </c>
      <c r="F19" s="777">
        <v>13.1</v>
      </c>
      <c r="G19" s="713" t="s">
        <v>732</v>
      </c>
      <c r="H19" s="777">
        <v>19.420000000000002</v>
      </c>
      <c r="I19" s="799"/>
      <c r="J19" s="799"/>
      <c r="K19" s="799"/>
      <c r="L19" s="799"/>
      <c r="M19" s="799"/>
      <c r="N19" s="799"/>
      <c r="O19" s="713" t="s">
        <v>730</v>
      </c>
      <c r="P19" s="777">
        <v>13.1</v>
      </c>
      <c r="Q19" s="713" t="s">
        <v>732</v>
      </c>
      <c r="R19" s="777">
        <v>19.420000000000002</v>
      </c>
      <c r="S19" s="799"/>
      <c r="T19" s="799"/>
      <c r="U19" s="799"/>
      <c r="V19" s="799"/>
    </row>
    <row r="20" spans="1:22" ht="15.75">
      <c r="A20" s="799"/>
      <c r="B20" s="799"/>
      <c r="C20" s="799"/>
      <c r="D20" s="799"/>
      <c r="E20" s="284" t="s">
        <v>734</v>
      </c>
      <c r="F20" s="284">
        <v>11.87</v>
      </c>
      <c r="G20" s="713" t="s">
        <v>736</v>
      </c>
      <c r="H20" s="777">
        <v>14.56</v>
      </c>
      <c r="I20" s="799"/>
      <c r="J20" s="799"/>
      <c r="K20" s="799"/>
      <c r="L20" s="799"/>
      <c r="M20" s="799"/>
      <c r="N20" s="799"/>
      <c r="O20" s="284" t="s">
        <v>734</v>
      </c>
      <c r="P20" s="284">
        <v>11.87</v>
      </c>
      <c r="Q20" s="713" t="s">
        <v>736</v>
      </c>
      <c r="R20" s="777">
        <v>14.56</v>
      </c>
      <c r="S20" s="799"/>
      <c r="T20" s="799"/>
      <c r="U20" s="799"/>
      <c r="V20" s="799"/>
    </row>
    <row r="21" spans="1:22" ht="15.75">
      <c r="A21" s="799"/>
      <c r="B21" s="799"/>
      <c r="C21" s="799"/>
      <c r="D21" s="799"/>
      <c r="E21" s="284" t="s">
        <v>738</v>
      </c>
      <c r="F21" s="713">
        <v>7.85</v>
      </c>
      <c r="G21" s="713" t="s">
        <v>740</v>
      </c>
      <c r="H21" s="777">
        <v>10.65</v>
      </c>
      <c r="I21" s="799"/>
      <c r="J21" s="799"/>
      <c r="K21" s="799"/>
      <c r="L21" s="799"/>
      <c r="M21" s="799"/>
      <c r="N21" s="799"/>
      <c r="O21" s="284" t="s">
        <v>738</v>
      </c>
      <c r="P21" s="713">
        <v>7.85</v>
      </c>
      <c r="Q21" s="713" t="s">
        <v>740</v>
      </c>
      <c r="R21" s="777">
        <v>10.65</v>
      </c>
      <c r="S21" s="799"/>
      <c r="T21" s="799"/>
      <c r="U21" s="799"/>
      <c r="V21" s="799"/>
    </row>
    <row r="22" spans="1:22" ht="15.75">
      <c r="A22" s="799"/>
      <c r="B22" s="799"/>
      <c r="C22" s="799"/>
      <c r="D22" s="799"/>
      <c r="E22" s="713" t="s">
        <v>719</v>
      </c>
      <c r="F22" s="777">
        <v>18.68</v>
      </c>
      <c r="G22" s="284" t="s">
        <v>721</v>
      </c>
      <c r="H22" s="284">
        <v>8.1300000000000008</v>
      </c>
      <c r="I22" s="799"/>
      <c r="J22" s="799"/>
      <c r="K22" s="799"/>
      <c r="L22" s="799"/>
      <c r="M22" s="799"/>
      <c r="N22" s="799"/>
      <c r="O22" s="713" t="s">
        <v>719</v>
      </c>
      <c r="P22" s="777">
        <v>18.68</v>
      </c>
      <c r="Q22" s="284" t="s">
        <v>721</v>
      </c>
      <c r="R22" s="284">
        <v>8.1300000000000008</v>
      </c>
      <c r="S22" s="799"/>
      <c r="T22" s="799"/>
      <c r="U22" s="799"/>
      <c r="V22" s="799"/>
    </row>
    <row r="23" spans="1:22" ht="15.75">
      <c r="A23" s="799"/>
      <c r="B23" s="799"/>
      <c r="C23" s="799"/>
      <c r="D23" s="799"/>
      <c r="E23" s="713" t="s">
        <v>723</v>
      </c>
      <c r="F23" s="777">
        <v>16.420000000000002</v>
      </c>
      <c r="G23" s="284" t="s">
        <v>725</v>
      </c>
      <c r="H23" s="779">
        <v>3.5</v>
      </c>
      <c r="I23" s="799"/>
      <c r="J23" s="799"/>
      <c r="K23" s="799"/>
      <c r="L23" s="799"/>
      <c r="M23" s="799"/>
      <c r="N23" s="799"/>
      <c r="O23" s="713" t="s">
        <v>723</v>
      </c>
      <c r="P23" s="777">
        <v>16.420000000000002</v>
      </c>
      <c r="Q23" s="284" t="s">
        <v>725</v>
      </c>
      <c r="R23" s="779">
        <v>3.5</v>
      </c>
      <c r="S23" s="799"/>
      <c r="T23" s="799"/>
      <c r="U23" s="799"/>
      <c r="V23" s="799"/>
    </row>
    <row r="24" spans="1:22" ht="15.75">
      <c r="A24" s="799"/>
      <c r="B24" s="799"/>
      <c r="C24" s="799"/>
      <c r="D24" s="799"/>
      <c r="E24" s="713" t="s">
        <v>727</v>
      </c>
      <c r="F24" s="777">
        <v>12.74</v>
      </c>
      <c r="G24" s="284" t="s">
        <v>729</v>
      </c>
      <c r="H24" s="779">
        <v>5.0999999999999996</v>
      </c>
      <c r="I24" s="799"/>
      <c r="J24" s="799"/>
      <c r="K24" s="799"/>
      <c r="L24" s="799"/>
      <c r="M24" s="799"/>
      <c r="N24" s="799"/>
      <c r="O24" s="713" t="s">
        <v>727</v>
      </c>
      <c r="P24" s="777">
        <v>12.74</v>
      </c>
      <c r="Q24" s="284" t="s">
        <v>729</v>
      </c>
      <c r="R24" s="779">
        <v>5.0999999999999996</v>
      </c>
      <c r="S24" s="799"/>
      <c r="T24" s="799"/>
      <c r="U24" s="799"/>
      <c r="V24" s="799"/>
    </row>
    <row r="25" spans="1:22" ht="15.75">
      <c r="A25" s="799"/>
      <c r="B25" s="799"/>
      <c r="C25" s="799"/>
      <c r="D25" s="799"/>
      <c r="E25" s="713" t="s">
        <v>731</v>
      </c>
      <c r="F25" s="777">
        <v>5.96</v>
      </c>
      <c r="G25" s="284" t="s">
        <v>733</v>
      </c>
      <c r="H25" s="284">
        <v>10.580000000000002</v>
      </c>
      <c r="I25" s="799"/>
      <c r="J25" s="799"/>
      <c r="K25" s="799"/>
      <c r="L25" s="799"/>
      <c r="M25" s="799"/>
      <c r="N25" s="799"/>
      <c r="O25" s="713" t="s">
        <v>731</v>
      </c>
      <c r="P25" s="777">
        <v>5.96</v>
      </c>
      <c r="Q25" s="284" t="s">
        <v>733</v>
      </c>
      <c r="R25" s="284">
        <v>10.580000000000002</v>
      </c>
      <c r="S25" s="799"/>
      <c r="T25" s="799"/>
      <c r="U25" s="799"/>
      <c r="V25" s="799"/>
    </row>
    <row r="26" spans="1:22" ht="15.75">
      <c r="A26" s="799"/>
      <c r="B26" s="799"/>
      <c r="C26" s="799"/>
      <c r="D26" s="799"/>
      <c r="E26" s="713" t="s">
        <v>735</v>
      </c>
      <c r="F26" s="777">
        <v>7.71</v>
      </c>
      <c r="G26" s="284" t="s">
        <v>737</v>
      </c>
      <c r="H26" s="779">
        <v>12.9</v>
      </c>
      <c r="I26" s="799"/>
      <c r="J26" s="799"/>
      <c r="K26" s="799"/>
      <c r="L26" s="799"/>
      <c r="M26" s="799"/>
      <c r="N26" s="799"/>
      <c r="O26" s="713" t="s">
        <v>735</v>
      </c>
      <c r="P26" s="777">
        <v>7.71</v>
      </c>
      <c r="Q26" s="284" t="s">
        <v>737</v>
      </c>
      <c r="R26" s="779">
        <v>12.9</v>
      </c>
      <c r="S26" s="799"/>
      <c r="T26" s="799"/>
      <c r="U26" s="799"/>
      <c r="V26" s="799"/>
    </row>
    <row r="27" spans="1:22" ht="15.75">
      <c r="A27" s="800"/>
      <c r="B27" s="800"/>
      <c r="C27" s="800"/>
      <c r="D27" s="800"/>
      <c r="E27" s="707" t="s">
        <v>739</v>
      </c>
      <c r="F27" s="801">
        <v>5.19</v>
      </c>
      <c r="G27" s="800"/>
      <c r="H27" s="800"/>
      <c r="I27" s="800"/>
      <c r="J27" s="800"/>
      <c r="K27" s="800"/>
      <c r="L27" s="800"/>
      <c r="M27" s="800"/>
      <c r="N27" s="800"/>
      <c r="O27" s="707" t="s">
        <v>739</v>
      </c>
      <c r="P27" s="801">
        <v>5.19</v>
      </c>
      <c r="Q27" s="800"/>
      <c r="R27" s="800"/>
      <c r="S27" s="800"/>
      <c r="T27" s="800"/>
      <c r="U27" s="800"/>
      <c r="V27" s="800"/>
    </row>
    <row r="28" spans="1:22" ht="15.75">
      <c r="A28" s="474">
        <v>3</v>
      </c>
      <c r="B28" s="475" t="s">
        <v>660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802"/>
      <c r="R28" s="802"/>
      <c r="S28" s="802"/>
      <c r="T28" s="802"/>
      <c r="U28" s="802"/>
      <c r="V28" s="802"/>
    </row>
    <row r="29" spans="1:22" ht="15.75">
      <c r="A29" s="798">
        <v>3.1</v>
      </c>
      <c r="B29" s="719" t="s">
        <v>677</v>
      </c>
      <c r="C29" s="688" t="s">
        <v>659</v>
      </c>
      <c r="D29" s="705">
        <f>1/3</f>
        <v>0.33333333333333331</v>
      </c>
      <c r="E29" s="798"/>
      <c r="F29" s="798"/>
      <c r="G29" s="798"/>
      <c r="H29" s="798"/>
      <c r="I29" s="715">
        <f>SUM(E30:H35)</f>
        <v>45.27</v>
      </c>
      <c r="J29" s="716">
        <v>1</v>
      </c>
      <c r="K29" s="706">
        <f>ROUND(I29/D29*J29,2)</f>
        <v>135.81</v>
      </c>
      <c r="L29" s="719" t="s">
        <v>677</v>
      </c>
      <c r="M29" s="688" t="s">
        <v>659</v>
      </c>
      <c r="N29" s="705">
        <f>1/4</f>
        <v>0.25</v>
      </c>
      <c r="O29" s="798"/>
      <c r="P29" s="798"/>
      <c r="Q29" s="798"/>
      <c r="R29" s="798"/>
      <c r="S29" s="715">
        <f>SUM(O30:R35)</f>
        <v>45.27</v>
      </c>
      <c r="T29" s="716">
        <v>1</v>
      </c>
      <c r="U29" s="706">
        <f>ROUND(S29/N29*T29,2)</f>
        <v>181.08</v>
      </c>
      <c r="V29" s="803">
        <f>U29-K29</f>
        <v>45.27000000000001</v>
      </c>
    </row>
    <row r="30" spans="1:22" ht="15.75">
      <c r="A30" s="799"/>
      <c r="B30" s="799"/>
      <c r="C30" s="799"/>
      <c r="D30" s="799"/>
      <c r="E30" s="713" t="s">
        <v>743</v>
      </c>
      <c r="F30" s="713">
        <v>2.88</v>
      </c>
      <c r="G30" s="713" t="s">
        <v>682</v>
      </c>
      <c r="H30" s="713">
        <v>5.3</v>
      </c>
      <c r="I30" s="799"/>
      <c r="J30" s="799"/>
      <c r="K30" s="799"/>
      <c r="L30" s="799"/>
      <c r="M30" s="799"/>
      <c r="N30" s="799"/>
      <c r="O30" s="713" t="s">
        <v>743</v>
      </c>
      <c r="P30" s="713">
        <v>2.88</v>
      </c>
      <c r="Q30" s="713" t="s">
        <v>682</v>
      </c>
      <c r="R30" s="713">
        <v>5.3</v>
      </c>
      <c r="S30" s="799"/>
      <c r="T30" s="799"/>
      <c r="U30" s="799"/>
      <c r="V30" s="799"/>
    </row>
    <row r="31" spans="1:22" ht="15.75">
      <c r="A31" s="799"/>
      <c r="B31" s="799"/>
      <c r="C31" s="799"/>
      <c r="D31" s="799"/>
      <c r="E31" s="713" t="s">
        <v>746</v>
      </c>
      <c r="F31" s="713">
        <v>7.46</v>
      </c>
      <c r="G31" s="713" t="s">
        <v>748</v>
      </c>
      <c r="H31" s="713">
        <v>1.56</v>
      </c>
      <c r="I31" s="799"/>
      <c r="J31" s="799"/>
      <c r="K31" s="799"/>
      <c r="L31" s="799"/>
      <c r="M31" s="799"/>
      <c r="N31" s="799"/>
      <c r="O31" s="713" t="s">
        <v>746</v>
      </c>
      <c r="P31" s="713">
        <v>7.46</v>
      </c>
      <c r="Q31" s="713" t="s">
        <v>748</v>
      </c>
      <c r="R31" s="713">
        <v>1.56</v>
      </c>
      <c r="S31" s="799"/>
      <c r="T31" s="799"/>
      <c r="U31" s="799"/>
      <c r="V31" s="799"/>
    </row>
    <row r="32" spans="1:22" ht="15.75">
      <c r="A32" s="799"/>
      <c r="B32" s="799"/>
      <c r="C32" s="799"/>
      <c r="D32" s="799"/>
      <c r="E32" s="713" t="s">
        <v>750</v>
      </c>
      <c r="F32" s="713">
        <v>3.2</v>
      </c>
      <c r="G32" s="713" t="s">
        <v>745</v>
      </c>
      <c r="H32" s="713">
        <v>6.57</v>
      </c>
      <c r="I32" s="799"/>
      <c r="J32" s="799"/>
      <c r="K32" s="799"/>
      <c r="L32" s="799"/>
      <c r="M32" s="799"/>
      <c r="N32" s="799"/>
      <c r="O32" s="713" t="s">
        <v>750</v>
      </c>
      <c r="P32" s="713">
        <v>3.2</v>
      </c>
      <c r="Q32" s="713" t="s">
        <v>745</v>
      </c>
      <c r="R32" s="713">
        <v>6.57</v>
      </c>
      <c r="S32" s="799"/>
      <c r="T32" s="799"/>
      <c r="U32" s="799"/>
      <c r="V32" s="799"/>
    </row>
    <row r="33" spans="1:22" ht="15.75">
      <c r="A33" s="799"/>
      <c r="B33" s="799"/>
      <c r="C33" s="799"/>
      <c r="D33" s="799"/>
      <c r="E33" s="713" t="s">
        <v>744</v>
      </c>
      <c r="F33" s="713">
        <v>6.7</v>
      </c>
      <c r="G33" s="713" t="s">
        <v>749</v>
      </c>
      <c r="H33" s="713">
        <v>3</v>
      </c>
      <c r="I33" s="799"/>
      <c r="J33" s="799"/>
      <c r="K33" s="799"/>
      <c r="L33" s="799"/>
      <c r="M33" s="799"/>
      <c r="N33" s="799"/>
      <c r="O33" s="713" t="s">
        <v>744</v>
      </c>
      <c r="P33" s="713">
        <v>6.7</v>
      </c>
      <c r="Q33" s="713" t="s">
        <v>749</v>
      </c>
      <c r="R33" s="713">
        <v>3</v>
      </c>
      <c r="S33" s="799"/>
      <c r="T33" s="799"/>
      <c r="U33" s="799"/>
      <c r="V33" s="799"/>
    </row>
    <row r="34" spans="1:22" ht="15.75">
      <c r="A34" s="799"/>
      <c r="B34" s="799"/>
      <c r="C34" s="799"/>
      <c r="D34" s="799"/>
      <c r="E34" s="713" t="s">
        <v>747</v>
      </c>
      <c r="F34" s="713">
        <v>6</v>
      </c>
      <c r="G34" s="799"/>
      <c r="H34" s="799"/>
      <c r="I34" s="799"/>
      <c r="J34" s="799"/>
      <c r="K34" s="799"/>
      <c r="L34" s="799"/>
      <c r="M34" s="799"/>
      <c r="N34" s="799"/>
      <c r="O34" s="713" t="s">
        <v>747</v>
      </c>
      <c r="P34" s="713">
        <v>6</v>
      </c>
      <c r="Q34" s="799"/>
      <c r="R34" s="799"/>
      <c r="S34" s="799"/>
      <c r="T34" s="799"/>
      <c r="U34" s="799"/>
      <c r="V34" s="799"/>
    </row>
    <row r="35" spans="1:22" ht="15.75">
      <c r="A35" s="799"/>
      <c r="B35" s="799"/>
      <c r="C35" s="799"/>
      <c r="D35" s="799"/>
      <c r="E35" s="713" t="s">
        <v>703</v>
      </c>
      <c r="F35" s="713">
        <v>2.6</v>
      </c>
      <c r="G35" s="799"/>
      <c r="H35" s="799"/>
      <c r="I35" s="799"/>
      <c r="J35" s="799"/>
      <c r="K35" s="799"/>
      <c r="L35" s="799"/>
      <c r="M35" s="799"/>
      <c r="N35" s="799"/>
      <c r="O35" s="713" t="s">
        <v>703</v>
      </c>
      <c r="P35" s="713">
        <v>2.6</v>
      </c>
      <c r="Q35" s="799"/>
      <c r="R35" s="799"/>
      <c r="S35" s="799"/>
      <c r="T35" s="799"/>
      <c r="U35" s="799"/>
      <c r="V35" s="799"/>
    </row>
    <row r="36" spans="1:22" ht="15.75">
      <c r="A36" s="799">
        <v>3.2</v>
      </c>
      <c r="B36" s="714" t="s">
        <v>760</v>
      </c>
      <c r="C36" s="284" t="s">
        <v>659</v>
      </c>
      <c r="D36" s="774">
        <f>1/7</f>
        <v>0.14285714285714285</v>
      </c>
      <c r="E36" s="799"/>
      <c r="F36" s="799"/>
      <c r="G36" s="799"/>
      <c r="H36" s="799"/>
      <c r="I36" s="799"/>
      <c r="J36" s="799"/>
      <c r="K36" s="799"/>
      <c r="L36" s="714" t="s">
        <v>760</v>
      </c>
      <c r="M36" s="284" t="s">
        <v>659</v>
      </c>
      <c r="N36" s="720">
        <f>1/7</f>
        <v>0.14285714285714285</v>
      </c>
      <c r="O36" s="799"/>
      <c r="P36" s="799"/>
      <c r="Q36" s="799"/>
      <c r="R36" s="799"/>
      <c r="S36" s="712">
        <f>SUM(O37:R50)</f>
        <v>165.26999999999998</v>
      </c>
      <c r="T36" s="711">
        <v>1</v>
      </c>
      <c r="U36" s="709">
        <f>ROUND(S36/N36*T36,2)</f>
        <v>1156.8900000000001</v>
      </c>
      <c r="V36" s="804">
        <f>U36-K36</f>
        <v>1156.8900000000001</v>
      </c>
    </row>
    <row r="37" spans="1:22" ht="15.75">
      <c r="A37" s="799"/>
      <c r="B37" s="799"/>
      <c r="C37" s="799"/>
      <c r="D37" s="799"/>
      <c r="E37" s="799"/>
      <c r="F37" s="799"/>
      <c r="G37" s="799"/>
      <c r="H37" s="799"/>
      <c r="I37" s="799"/>
      <c r="J37" s="799"/>
      <c r="K37" s="799"/>
      <c r="L37" s="799"/>
      <c r="M37" s="799"/>
      <c r="N37" s="799"/>
      <c r="O37" s="713" t="s">
        <v>751</v>
      </c>
      <c r="P37" s="713">
        <v>9.9</v>
      </c>
      <c r="Q37" s="713" t="s">
        <v>681</v>
      </c>
      <c r="R37" s="713">
        <v>4.33</v>
      </c>
      <c r="S37" s="799"/>
      <c r="T37" s="799"/>
      <c r="U37" s="799"/>
      <c r="V37" s="799"/>
    </row>
    <row r="38" spans="1:22" ht="15.75">
      <c r="A38" s="799"/>
      <c r="B38" s="799"/>
      <c r="C38" s="799"/>
      <c r="D38" s="799"/>
      <c r="E38" s="799"/>
      <c r="F38" s="799"/>
      <c r="G38" s="799"/>
      <c r="H38" s="799"/>
      <c r="I38" s="799"/>
      <c r="J38" s="799"/>
      <c r="K38" s="799"/>
      <c r="L38" s="799"/>
      <c r="M38" s="799"/>
      <c r="N38" s="799"/>
      <c r="O38" s="713" t="s">
        <v>752</v>
      </c>
      <c r="P38" s="713">
        <v>15.01</v>
      </c>
      <c r="Q38" s="713" t="s">
        <v>682</v>
      </c>
      <c r="R38" s="713">
        <v>5.3</v>
      </c>
      <c r="S38" s="799"/>
      <c r="T38" s="799"/>
      <c r="U38" s="799"/>
      <c r="V38" s="799"/>
    </row>
    <row r="39" spans="1:22" ht="15.75">
      <c r="A39" s="799"/>
      <c r="B39" s="799"/>
      <c r="C39" s="799"/>
      <c r="D39" s="799"/>
      <c r="E39" s="799"/>
      <c r="F39" s="799"/>
      <c r="G39" s="799"/>
      <c r="H39" s="799"/>
      <c r="I39" s="799"/>
      <c r="J39" s="799"/>
      <c r="K39" s="799"/>
      <c r="L39" s="799"/>
      <c r="M39" s="799"/>
      <c r="N39" s="799"/>
      <c r="O39" s="713" t="s">
        <v>697</v>
      </c>
      <c r="P39" s="713">
        <v>7.6</v>
      </c>
      <c r="Q39" s="713" t="s">
        <v>744</v>
      </c>
      <c r="R39" s="713">
        <v>6.7</v>
      </c>
      <c r="S39" s="799"/>
      <c r="T39" s="799"/>
      <c r="U39" s="799"/>
      <c r="V39" s="799"/>
    </row>
    <row r="40" spans="1:22" ht="15.75">
      <c r="A40" s="799"/>
      <c r="B40" s="799"/>
      <c r="C40" s="799"/>
      <c r="D40" s="799"/>
      <c r="E40" s="799"/>
      <c r="F40" s="799"/>
      <c r="G40" s="799"/>
      <c r="H40" s="799"/>
      <c r="I40" s="799"/>
      <c r="J40" s="799"/>
      <c r="K40" s="799"/>
      <c r="L40" s="799"/>
      <c r="M40" s="799"/>
      <c r="N40" s="799"/>
      <c r="O40" s="713" t="s">
        <v>696</v>
      </c>
      <c r="P40" s="713">
        <v>6.7</v>
      </c>
      <c r="Q40" s="713" t="s">
        <v>745</v>
      </c>
      <c r="R40" s="713">
        <v>6.57</v>
      </c>
      <c r="S40" s="799"/>
      <c r="T40" s="799"/>
      <c r="U40" s="799"/>
      <c r="V40" s="799"/>
    </row>
    <row r="41" spans="1:22" ht="15.75">
      <c r="A41" s="799"/>
      <c r="B41" s="799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13" t="s">
        <v>695</v>
      </c>
      <c r="P41" s="713">
        <v>4.5</v>
      </c>
      <c r="Q41" s="713" t="s">
        <v>686</v>
      </c>
      <c r="R41" s="713">
        <v>3.25</v>
      </c>
      <c r="S41" s="799"/>
      <c r="T41" s="799"/>
      <c r="U41" s="799"/>
      <c r="V41" s="799"/>
    </row>
    <row r="42" spans="1:22" ht="15.75">
      <c r="A42" s="799"/>
      <c r="B42" s="799"/>
      <c r="C42" s="799"/>
      <c r="D42" s="799"/>
      <c r="E42" s="799"/>
      <c r="F42" s="799"/>
      <c r="G42" s="799"/>
      <c r="H42" s="799"/>
      <c r="I42" s="799"/>
      <c r="J42" s="799"/>
      <c r="K42" s="799"/>
      <c r="L42" s="799"/>
      <c r="M42" s="799"/>
      <c r="N42" s="799"/>
      <c r="O42" s="713" t="s">
        <v>761</v>
      </c>
      <c r="P42" s="713">
        <v>9.4</v>
      </c>
      <c r="Q42" s="713" t="s">
        <v>743</v>
      </c>
      <c r="R42" s="713">
        <v>2.88</v>
      </c>
      <c r="S42" s="799"/>
      <c r="T42" s="799"/>
      <c r="U42" s="799"/>
      <c r="V42" s="799"/>
    </row>
    <row r="43" spans="1:22" ht="15.75">
      <c r="A43" s="799"/>
      <c r="B43" s="799"/>
      <c r="C43" s="799"/>
      <c r="D43" s="799"/>
      <c r="E43" s="799"/>
      <c r="F43" s="799"/>
      <c r="G43" s="799"/>
      <c r="H43" s="799"/>
      <c r="I43" s="799"/>
      <c r="J43" s="799"/>
      <c r="K43" s="799"/>
      <c r="L43" s="799"/>
      <c r="M43" s="799"/>
      <c r="N43" s="799"/>
      <c r="O43" s="713" t="s">
        <v>757</v>
      </c>
      <c r="P43" s="713">
        <v>3.47</v>
      </c>
      <c r="Q43" s="713" t="s">
        <v>759</v>
      </c>
      <c r="R43" s="713">
        <v>4</v>
      </c>
      <c r="S43" s="799"/>
      <c r="T43" s="799"/>
      <c r="U43" s="799"/>
      <c r="V43" s="799"/>
    </row>
    <row r="44" spans="1:22" ht="15.75">
      <c r="A44" s="799"/>
      <c r="B44" s="799"/>
      <c r="C44" s="799"/>
      <c r="D44" s="799"/>
      <c r="E44" s="799"/>
      <c r="F44" s="799"/>
      <c r="G44" s="799"/>
      <c r="H44" s="799"/>
      <c r="I44" s="799"/>
      <c r="J44" s="799"/>
      <c r="K44" s="799"/>
      <c r="L44" s="799"/>
      <c r="M44" s="799"/>
      <c r="N44" s="799"/>
      <c r="O44" s="713" t="s">
        <v>694</v>
      </c>
      <c r="P44" s="713">
        <v>4</v>
      </c>
      <c r="Q44" s="284" t="s">
        <v>746</v>
      </c>
      <c r="R44" s="284">
        <v>7.46</v>
      </c>
      <c r="S44" s="799"/>
      <c r="T44" s="799"/>
      <c r="U44" s="799"/>
      <c r="V44" s="799"/>
    </row>
    <row r="45" spans="1:22" ht="15.75">
      <c r="A45" s="799"/>
      <c r="B45" s="799"/>
      <c r="C45" s="799"/>
      <c r="D45" s="799"/>
      <c r="E45" s="799"/>
      <c r="F45" s="799"/>
      <c r="G45" s="799"/>
      <c r="H45" s="799"/>
      <c r="I45" s="799"/>
      <c r="J45" s="799"/>
      <c r="K45" s="799"/>
      <c r="L45" s="799"/>
      <c r="M45" s="799"/>
      <c r="N45" s="799"/>
      <c r="O45" s="713" t="s">
        <v>661</v>
      </c>
      <c r="P45" s="713">
        <v>6.13</v>
      </c>
      <c r="Q45" s="284" t="s">
        <v>747</v>
      </c>
      <c r="R45" s="720">
        <v>6</v>
      </c>
      <c r="S45" s="799"/>
      <c r="T45" s="799"/>
      <c r="U45" s="799"/>
      <c r="V45" s="799"/>
    </row>
    <row r="46" spans="1:22" ht="15.75">
      <c r="A46" s="799"/>
      <c r="B46" s="799"/>
      <c r="C46" s="799"/>
      <c r="D46" s="799"/>
      <c r="E46" s="799"/>
      <c r="F46" s="799"/>
      <c r="G46" s="799"/>
      <c r="H46" s="799"/>
      <c r="I46" s="799"/>
      <c r="J46" s="799"/>
      <c r="K46" s="799"/>
      <c r="L46" s="799"/>
      <c r="M46" s="799"/>
      <c r="N46" s="799"/>
      <c r="O46" s="713" t="s">
        <v>691</v>
      </c>
      <c r="P46" s="713">
        <v>3.67</v>
      </c>
      <c r="Q46" s="284" t="s">
        <v>750</v>
      </c>
      <c r="R46" s="779">
        <v>3.2</v>
      </c>
      <c r="S46" s="799"/>
      <c r="T46" s="799"/>
      <c r="U46" s="799"/>
      <c r="V46" s="799"/>
    </row>
    <row r="47" spans="1:22" ht="15.75">
      <c r="A47" s="799"/>
      <c r="B47" s="799"/>
      <c r="C47" s="799"/>
      <c r="D47" s="799"/>
      <c r="E47" s="799"/>
      <c r="F47" s="799"/>
      <c r="G47" s="799"/>
      <c r="H47" s="799"/>
      <c r="I47" s="799"/>
      <c r="J47" s="799"/>
      <c r="K47" s="799"/>
      <c r="L47" s="799"/>
      <c r="M47" s="799"/>
      <c r="N47" s="799"/>
      <c r="O47" s="713" t="s">
        <v>692</v>
      </c>
      <c r="P47" s="713">
        <v>10.07</v>
      </c>
      <c r="Q47" s="284" t="s">
        <v>753</v>
      </c>
      <c r="R47" s="713">
        <v>3.5</v>
      </c>
      <c r="S47" s="799"/>
      <c r="T47" s="799"/>
      <c r="U47" s="799"/>
      <c r="V47" s="799"/>
    </row>
    <row r="48" spans="1:22" ht="15.75">
      <c r="A48" s="799"/>
      <c r="B48" s="799"/>
      <c r="C48" s="799"/>
      <c r="D48" s="799"/>
      <c r="E48" s="799"/>
      <c r="F48" s="799"/>
      <c r="G48" s="799"/>
      <c r="H48" s="799"/>
      <c r="I48" s="799"/>
      <c r="J48" s="799"/>
      <c r="K48" s="799"/>
      <c r="L48" s="799"/>
      <c r="M48" s="799"/>
      <c r="N48" s="799"/>
      <c r="O48" s="713" t="s">
        <v>693</v>
      </c>
      <c r="P48" s="713">
        <v>13.38</v>
      </c>
      <c r="Q48" s="713" t="s">
        <v>673</v>
      </c>
      <c r="R48" s="713">
        <v>5.7</v>
      </c>
      <c r="S48" s="799"/>
      <c r="T48" s="799"/>
      <c r="U48" s="799"/>
      <c r="V48" s="799"/>
    </row>
    <row r="49" spans="1:22" ht="15.75">
      <c r="A49" s="799"/>
      <c r="B49" s="799"/>
      <c r="C49" s="799"/>
      <c r="D49" s="799"/>
      <c r="E49" s="799"/>
      <c r="F49" s="799"/>
      <c r="G49" s="799"/>
      <c r="H49" s="799"/>
      <c r="I49" s="799"/>
      <c r="J49" s="799"/>
      <c r="K49" s="799"/>
      <c r="L49" s="799"/>
      <c r="M49" s="799"/>
      <c r="N49" s="799"/>
      <c r="O49" s="713" t="s">
        <v>756</v>
      </c>
      <c r="P49" s="713">
        <v>1.4</v>
      </c>
      <c r="Q49" s="713" t="s">
        <v>749</v>
      </c>
      <c r="R49" s="713">
        <v>3</v>
      </c>
      <c r="S49" s="799"/>
      <c r="T49" s="799"/>
      <c r="U49" s="799"/>
      <c r="V49" s="799"/>
    </row>
    <row r="50" spans="1:22" ht="15.75">
      <c r="A50" s="800"/>
      <c r="B50" s="800"/>
      <c r="C50" s="800"/>
      <c r="D50" s="800"/>
      <c r="E50" s="800"/>
      <c r="F50" s="800"/>
      <c r="G50" s="800"/>
      <c r="H50" s="800"/>
      <c r="I50" s="800"/>
      <c r="J50" s="800"/>
      <c r="K50" s="800"/>
      <c r="L50" s="800"/>
      <c r="M50" s="800"/>
      <c r="N50" s="800"/>
      <c r="O50" s="707" t="s">
        <v>758</v>
      </c>
      <c r="P50" s="707">
        <v>2.7</v>
      </c>
      <c r="Q50" s="707" t="s">
        <v>690</v>
      </c>
      <c r="R50" s="707">
        <f>5.94-0.49</f>
        <v>5.45</v>
      </c>
      <c r="S50" s="800"/>
      <c r="T50" s="800"/>
      <c r="U50" s="800"/>
      <c r="V50" s="800"/>
    </row>
    <row r="51" spans="1:22" ht="15.75">
      <c r="A51" s="474">
        <v>3</v>
      </c>
      <c r="B51" s="475" t="s">
        <v>698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  <c r="P51" s="802"/>
      <c r="Q51" s="802"/>
      <c r="R51" s="802"/>
      <c r="S51" s="802"/>
      <c r="T51" s="802"/>
      <c r="U51" s="802"/>
      <c r="V51" s="802"/>
    </row>
    <row r="52" spans="1:22" ht="15.75">
      <c r="A52" s="798"/>
      <c r="B52" s="719" t="s">
        <v>677</v>
      </c>
      <c r="C52" s="688" t="s">
        <v>659</v>
      </c>
      <c r="D52" s="705">
        <f>1/3</f>
        <v>0.33333333333333331</v>
      </c>
      <c r="E52" s="798"/>
      <c r="F52" s="798"/>
      <c r="G52" s="798"/>
      <c r="H52" s="798"/>
      <c r="I52" s="715">
        <f>SUM(E53:H68)</f>
        <v>134.96999999999997</v>
      </c>
      <c r="J52" s="716">
        <v>1</v>
      </c>
      <c r="K52" s="706">
        <f>ROUND(I52/D52*J52,2)</f>
        <v>404.91</v>
      </c>
      <c r="L52" s="719" t="s">
        <v>677</v>
      </c>
      <c r="M52" s="688" t="s">
        <v>659</v>
      </c>
      <c r="N52" s="705">
        <f>1/4</f>
        <v>0.25</v>
      </c>
      <c r="O52" s="798"/>
      <c r="P52" s="798"/>
      <c r="Q52" s="798"/>
      <c r="R52" s="798"/>
      <c r="S52" s="715">
        <f>SUM(O53:R68)</f>
        <v>134.96999999999997</v>
      </c>
      <c r="T52" s="716">
        <v>1</v>
      </c>
      <c r="U52" s="706">
        <f>ROUND(S52/N52*T52,2)</f>
        <v>539.88</v>
      </c>
      <c r="V52" s="803">
        <f>U52-K52</f>
        <v>134.96999999999997</v>
      </c>
    </row>
    <row r="53" spans="1:22" ht="15.75">
      <c r="A53" s="799"/>
      <c r="B53" s="799"/>
      <c r="C53" s="799"/>
      <c r="D53" s="799"/>
      <c r="E53" s="284" t="s">
        <v>738</v>
      </c>
      <c r="F53" s="713">
        <v>3.58</v>
      </c>
      <c r="G53" s="713" t="s">
        <v>745</v>
      </c>
      <c r="H53" s="713">
        <v>9.76</v>
      </c>
      <c r="I53" s="799"/>
      <c r="J53" s="799"/>
      <c r="K53" s="799"/>
      <c r="L53" s="799"/>
      <c r="M53" s="799"/>
      <c r="N53" s="799"/>
      <c r="O53" s="284" t="s">
        <v>738</v>
      </c>
      <c r="P53" s="713">
        <v>3.58</v>
      </c>
      <c r="Q53" s="713" t="s">
        <v>745</v>
      </c>
      <c r="R53" s="713">
        <v>9.76</v>
      </c>
      <c r="S53" s="799"/>
      <c r="T53" s="799"/>
      <c r="U53" s="799"/>
      <c r="V53" s="799"/>
    </row>
    <row r="54" spans="1:22" ht="15.75">
      <c r="A54" s="799"/>
      <c r="B54" s="799"/>
      <c r="C54" s="799"/>
      <c r="D54" s="799"/>
      <c r="E54" s="713" t="s">
        <v>763</v>
      </c>
      <c r="F54" s="713">
        <v>4.3600000000000003</v>
      </c>
      <c r="G54" s="713" t="s">
        <v>688</v>
      </c>
      <c r="H54" s="713">
        <v>3.21</v>
      </c>
      <c r="I54" s="799"/>
      <c r="J54" s="799"/>
      <c r="K54" s="799"/>
      <c r="L54" s="799"/>
      <c r="M54" s="799"/>
      <c r="N54" s="799"/>
      <c r="O54" s="713" t="s">
        <v>763</v>
      </c>
      <c r="P54" s="713">
        <v>4.3600000000000003</v>
      </c>
      <c r="Q54" s="713" t="s">
        <v>688</v>
      </c>
      <c r="R54" s="713">
        <v>3.21</v>
      </c>
      <c r="S54" s="799"/>
      <c r="T54" s="799"/>
      <c r="U54" s="799"/>
      <c r="V54" s="799"/>
    </row>
    <row r="55" spans="1:22" ht="15.75">
      <c r="A55" s="799"/>
      <c r="B55" s="799"/>
      <c r="C55" s="799"/>
      <c r="D55" s="799"/>
      <c r="E55" s="713" t="s">
        <v>764</v>
      </c>
      <c r="F55" s="713">
        <v>7.93</v>
      </c>
      <c r="G55" s="713" t="s">
        <v>701</v>
      </c>
      <c r="H55" s="713">
        <v>2.88</v>
      </c>
      <c r="I55" s="799"/>
      <c r="J55" s="799"/>
      <c r="K55" s="799"/>
      <c r="L55" s="799"/>
      <c r="M55" s="799"/>
      <c r="N55" s="799"/>
      <c r="O55" s="713" t="s">
        <v>764</v>
      </c>
      <c r="P55" s="713">
        <v>7.93</v>
      </c>
      <c r="Q55" s="713" t="s">
        <v>701</v>
      </c>
      <c r="R55" s="713">
        <v>2.88</v>
      </c>
      <c r="S55" s="799"/>
      <c r="T55" s="799"/>
      <c r="U55" s="799"/>
      <c r="V55" s="799"/>
    </row>
    <row r="56" spans="1:22" ht="15.75">
      <c r="A56" s="799"/>
      <c r="B56" s="799"/>
      <c r="C56" s="799"/>
      <c r="D56" s="799"/>
      <c r="E56" s="713" t="s">
        <v>718</v>
      </c>
      <c r="F56" s="713">
        <v>3.28</v>
      </c>
      <c r="G56" s="713" t="s">
        <v>766</v>
      </c>
      <c r="H56" s="713">
        <v>1.5</v>
      </c>
      <c r="I56" s="799"/>
      <c r="J56" s="799"/>
      <c r="K56" s="799"/>
      <c r="L56" s="799"/>
      <c r="M56" s="799"/>
      <c r="N56" s="799"/>
      <c r="O56" s="713" t="s">
        <v>718</v>
      </c>
      <c r="P56" s="713">
        <v>3.28</v>
      </c>
      <c r="Q56" s="713" t="s">
        <v>766</v>
      </c>
      <c r="R56" s="713">
        <v>1.5</v>
      </c>
      <c r="S56" s="799"/>
      <c r="T56" s="799"/>
      <c r="U56" s="799"/>
      <c r="V56" s="799"/>
    </row>
    <row r="57" spans="1:22" ht="15.75">
      <c r="A57" s="799"/>
      <c r="B57" s="799"/>
      <c r="C57" s="799"/>
      <c r="D57" s="799"/>
      <c r="E57" s="713" t="s">
        <v>722</v>
      </c>
      <c r="F57" s="713">
        <v>4.28</v>
      </c>
      <c r="G57" s="713" t="s">
        <v>746</v>
      </c>
      <c r="H57" s="713">
        <v>1.1399999999999999</v>
      </c>
      <c r="I57" s="799"/>
      <c r="J57" s="799"/>
      <c r="K57" s="799"/>
      <c r="L57" s="799"/>
      <c r="M57" s="799"/>
      <c r="N57" s="799"/>
      <c r="O57" s="713" t="s">
        <v>722</v>
      </c>
      <c r="P57" s="713">
        <v>4.28</v>
      </c>
      <c r="Q57" s="713" t="s">
        <v>746</v>
      </c>
      <c r="R57" s="713">
        <v>1.1399999999999999</v>
      </c>
      <c r="S57" s="799"/>
      <c r="T57" s="799"/>
      <c r="U57" s="799"/>
      <c r="V57" s="799"/>
    </row>
    <row r="58" spans="1:22" ht="15.75">
      <c r="A58" s="799"/>
      <c r="B58" s="799"/>
      <c r="C58" s="799"/>
      <c r="D58" s="799"/>
      <c r="E58" s="713" t="s">
        <v>687</v>
      </c>
      <c r="F58" s="713">
        <v>4.2</v>
      </c>
      <c r="G58" s="713" t="s">
        <v>736</v>
      </c>
      <c r="H58" s="777">
        <v>2.72</v>
      </c>
      <c r="I58" s="799"/>
      <c r="J58" s="799"/>
      <c r="K58" s="799"/>
      <c r="L58" s="799"/>
      <c r="M58" s="799"/>
      <c r="N58" s="799"/>
      <c r="O58" s="713" t="s">
        <v>687</v>
      </c>
      <c r="P58" s="713">
        <v>4.2</v>
      </c>
      <c r="Q58" s="713" t="s">
        <v>736</v>
      </c>
      <c r="R58" s="777">
        <v>2.72</v>
      </c>
      <c r="S58" s="799"/>
      <c r="T58" s="799"/>
      <c r="U58" s="799"/>
      <c r="V58" s="799"/>
    </row>
    <row r="59" spans="1:22" ht="15.75">
      <c r="A59" s="799"/>
      <c r="B59" s="799"/>
      <c r="C59" s="799"/>
      <c r="D59" s="799"/>
      <c r="E59" s="713" t="s">
        <v>727</v>
      </c>
      <c r="F59" s="713">
        <v>2.73</v>
      </c>
      <c r="G59" s="284" t="s">
        <v>721</v>
      </c>
      <c r="H59" s="713">
        <v>1.17</v>
      </c>
      <c r="I59" s="799"/>
      <c r="J59" s="799"/>
      <c r="K59" s="799"/>
      <c r="L59" s="799"/>
      <c r="M59" s="799"/>
      <c r="N59" s="799"/>
      <c r="O59" s="713" t="s">
        <v>727</v>
      </c>
      <c r="P59" s="713">
        <v>2.73</v>
      </c>
      <c r="Q59" s="284" t="s">
        <v>721</v>
      </c>
      <c r="R59" s="713">
        <v>1.17</v>
      </c>
      <c r="S59" s="799"/>
      <c r="T59" s="799"/>
      <c r="U59" s="799"/>
      <c r="V59" s="799"/>
    </row>
    <row r="60" spans="1:22" ht="15.75">
      <c r="A60" s="799"/>
      <c r="B60" s="799"/>
      <c r="C60" s="799"/>
      <c r="D60" s="799"/>
      <c r="E60" s="713" t="s">
        <v>731</v>
      </c>
      <c r="F60" s="713">
        <v>0.46</v>
      </c>
      <c r="G60" s="284" t="s">
        <v>725</v>
      </c>
      <c r="H60" s="713">
        <v>4</v>
      </c>
      <c r="I60" s="799"/>
      <c r="J60" s="799"/>
      <c r="K60" s="799"/>
      <c r="L60" s="799"/>
      <c r="M60" s="799"/>
      <c r="N60" s="799"/>
      <c r="O60" s="713" t="s">
        <v>731</v>
      </c>
      <c r="P60" s="713">
        <v>0.46</v>
      </c>
      <c r="Q60" s="284" t="s">
        <v>725</v>
      </c>
      <c r="R60" s="713">
        <v>4</v>
      </c>
      <c r="S60" s="799"/>
      <c r="T60" s="799"/>
      <c r="U60" s="799"/>
      <c r="V60" s="799"/>
    </row>
    <row r="61" spans="1:22" ht="15.75">
      <c r="A61" s="799"/>
      <c r="B61" s="799"/>
      <c r="C61" s="799"/>
      <c r="D61" s="799"/>
      <c r="E61" s="713" t="s">
        <v>762</v>
      </c>
      <c r="F61" s="713">
        <v>9.6</v>
      </c>
      <c r="G61" s="713" t="s">
        <v>747</v>
      </c>
      <c r="H61" s="713">
        <v>2.6</v>
      </c>
      <c r="I61" s="799"/>
      <c r="J61" s="799"/>
      <c r="K61" s="799"/>
      <c r="L61" s="799"/>
      <c r="M61" s="799"/>
      <c r="N61" s="799"/>
      <c r="O61" s="713" t="s">
        <v>762</v>
      </c>
      <c r="P61" s="713">
        <v>9.6</v>
      </c>
      <c r="Q61" s="713" t="s">
        <v>747</v>
      </c>
      <c r="R61" s="713">
        <v>2.6</v>
      </c>
      <c r="S61" s="799"/>
      <c r="T61" s="799"/>
      <c r="U61" s="799"/>
      <c r="V61" s="799"/>
    </row>
    <row r="62" spans="1:22" ht="15.75">
      <c r="A62" s="799"/>
      <c r="B62" s="799"/>
      <c r="C62" s="799"/>
      <c r="D62" s="799"/>
      <c r="E62" s="713" t="s">
        <v>726</v>
      </c>
      <c r="F62" s="713">
        <v>1.65</v>
      </c>
      <c r="G62" s="713" t="s">
        <v>753</v>
      </c>
      <c r="H62" s="713">
        <v>3.5</v>
      </c>
      <c r="I62" s="799"/>
      <c r="J62" s="799"/>
      <c r="K62" s="799"/>
      <c r="L62" s="799"/>
      <c r="M62" s="799"/>
      <c r="N62" s="799"/>
      <c r="O62" s="713" t="s">
        <v>726</v>
      </c>
      <c r="P62" s="713">
        <v>1.65</v>
      </c>
      <c r="Q62" s="713" t="s">
        <v>753</v>
      </c>
      <c r="R62" s="713">
        <v>3.5</v>
      </c>
      <c r="S62" s="799"/>
      <c r="T62" s="799"/>
      <c r="U62" s="799"/>
      <c r="V62" s="799"/>
    </row>
    <row r="63" spans="1:22" ht="15.75">
      <c r="A63" s="799"/>
      <c r="B63" s="799"/>
      <c r="C63" s="799"/>
      <c r="D63" s="799"/>
      <c r="E63" s="713" t="s">
        <v>730</v>
      </c>
      <c r="F63" s="713">
        <v>3.1</v>
      </c>
      <c r="G63" s="713" t="s">
        <v>748</v>
      </c>
      <c r="H63" s="713">
        <v>1.93</v>
      </c>
      <c r="I63" s="799"/>
      <c r="J63" s="799"/>
      <c r="K63" s="799"/>
      <c r="L63" s="799"/>
      <c r="M63" s="799"/>
      <c r="N63" s="799"/>
      <c r="O63" s="713" t="s">
        <v>730</v>
      </c>
      <c r="P63" s="713">
        <v>3.1</v>
      </c>
      <c r="Q63" s="713" t="s">
        <v>748</v>
      </c>
      <c r="R63" s="713">
        <v>1.93</v>
      </c>
      <c r="S63" s="799"/>
      <c r="T63" s="799"/>
      <c r="U63" s="799"/>
      <c r="V63" s="799"/>
    </row>
    <row r="64" spans="1:22" ht="15.75">
      <c r="A64" s="799"/>
      <c r="B64" s="799"/>
      <c r="C64" s="799"/>
      <c r="D64" s="799"/>
      <c r="E64" s="713" t="s">
        <v>765</v>
      </c>
      <c r="F64" s="713">
        <v>11.3</v>
      </c>
      <c r="G64" s="713" t="s">
        <v>749</v>
      </c>
      <c r="H64" s="713">
        <v>3.8</v>
      </c>
      <c r="I64" s="799"/>
      <c r="J64" s="799"/>
      <c r="K64" s="799"/>
      <c r="L64" s="799"/>
      <c r="M64" s="799"/>
      <c r="N64" s="799"/>
      <c r="O64" s="713" t="s">
        <v>765</v>
      </c>
      <c r="P64" s="713">
        <v>11.3</v>
      </c>
      <c r="Q64" s="713" t="s">
        <v>749</v>
      </c>
      <c r="R64" s="713">
        <v>3.8</v>
      </c>
      <c r="S64" s="799"/>
      <c r="T64" s="799"/>
      <c r="U64" s="799"/>
      <c r="V64" s="799"/>
    </row>
    <row r="65" spans="1:22" ht="15.75">
      <c r="A65" s="799"/>
      <c r="B65" s="799"/>
      <c r="C65" s="799"/>
      <c r="D65" s="799"/>
      <c r="E65" s="713" t="s">
        <v>767</v>
      </c>
      <c r="F65" s="777">
        <v>5.77</v>
      </c>
      <c r="G65" s="713" t="s">
        <v>750</v>
      </c>
      <c r="H65" s="713">
        <v>12.5</v>
      </c>
      <c r="I65" s="799"/>
      <c r="J65" s="799"/>
      <c r="K65" s="799"/>
      <c r="L65" s="799"/>
      <c r="M65" s="799"/>
      <c r="N65" s="799"/>
      <c r="O65" s="713" t="s">
        <v>767</v>
      </c>
      <c r="P65" s="777">
        <v>5.77</v>
      </c>
      <c r="Q65" s="713" t="s">
        <v>750</v>
      </c>
      <c r="R65" s="713">
        <v>12.5</v>
      </c>
      <c r="S65" s="799"/>
      <c r="T65" s="799"/>
      <c r="U65" s="799"/>
      <c r="V65" s="799"/>
    </row>
    <row r="66" spans="1:22" ht="15.75">
      <c r="A66" s="799"/>
      <c r="B66" s="799"/>
      <c r="C66" s="799"/>
      <c r="D66" s="799"/>
      <c r="E66" s="713" t="s">
        <v>702</v>
      </c>
      <c r="F66" s="713">
        <v>4.0999999999999996</v>
      </c>
      <c r="G66" s="284" t="s">
        <v>729</v>
      </c>
      <c r="H66" s="713">
        <v>5.6</v>
      </c>
      <c r="I66" s="799"/>
      <c r="J66" s="799"/>
      <c r="K66" s="799"/>
      <c r="L66" s="799"/>
      <c r="M66" s="799"/>
      <c r="N66" s="799"/>
      <c r="O66" s="713" t="s">
        <v>702</v>
      </c>
      <c r="P66" s="713">
        <v>4.0999999999999996</v>
      </c>
      <c r="Q66" s="284" t="s">
        <v>729</v>
      </c>
      <c r="R66" s="713">
        <v>5.6</v>
      </c>
      <c r="S66" s="799"/>
      <c r="T66" s="799"/>
      <c r="U66" s="799"/>
      <c r="V66" s="799"/>
    </row>
    <row r="67" spans="1:22" ht="15.75">
      <c r="A67" s="799"/>
      <c r="B67" s="799"/>
      <c r="C67" s="799"/>
      <c r="D67" s="799"/>
      <c r="E67" s="713" t="s">
        <v>739</v>
      </c>
      <c r="F67" s="284">
        <v>4.72</v>
      </c>
      <c r="G67" s="284" t="s">
        <v>733</v>
      </c>
      <c r="H67" s="713">
        <v>5.22</v>
      </c>
      <c r="I67" s="799"/>
      <c r="J67" s="799"/>
      <c r="K67" s="799"/>
      <c r="L67" s="799"/>
      <c r="M67" s="799"/>
      <c r="N67" s="799"/>
      <c r="O67" s="713" t="s">
        <v>739</v>
      </c>
      <c r="P67" s="284">
        <v>4.72</v>
      </c>
      <c r="Q67" s="284" t="s">
        <v>733</v>
      </c>
      <c r="R67" s="713">
        <v>5.22</v>
      </c>
      <c r="S67" s="799"/>
      <c r="T67" s="799"/>
      <c r="U67" s="799"/>
      <c r="V67" s="799"/>
    </row>
    <row r="68" spans="1:22" ht="15.75">
      <c r="A68" s="799"/>
      <c r="B68" s="799"/>
      <c r="C68" s="799"/>
      <c r="D68" s="799"/>
      <c r="E68" s="713" t="s">
        <v>732</v>
      </c>
      <c r="F68" s="777">
        <v>2.38</v>
      </c>
      <c r="G68" s="799"/>
      <c r="H68" s="799"/>
      <c r="I68" s="799"/>
      <c r="J68" s="799"/>
      <c r="K68" s="799"/>
      <c r="L68" s="799"/>
      <c r="M68" s="799"/>
      <c r="N68" s="799"/>
      <c r="O68" s="713" t="s">
        <v>732</v>
      </c>
      <c r="P68" s="777">
        <v>2.38</v>
      </c>
      <c r="Q68" s="799"/>
      <c r="R68" s="799"/>
      <c r="S68" s="799"/>
      <c r="T68" s="799"/>
      <c r="U68" s="799"/>
      <c r="V68" s="799"/>
    </row>
    <row r="69" spans="1:22" ht="15.75">
      <c r="A69" s="799"/>
      <c r="B69" s="799"/>
      <c r="C69" s="799"/>
      <c r="D69" s="799"/>
      <c r="E69" s="713"/>
      <c r="F69" s="777"/>
      <c r="G69" s="799"/>
      <c r="H69" s="799"/>
      <c r="I69" s="799"/>
      <c r="J69" s="799"/>
      <c r="K69" s="799"/>
      <c r="L69" s="805" t="s">
        <v>658</v>
      </c>
      <c r="M69" s="799"/>
      <c r="N69" s="799"/>
      <c r="O69" s="713"/>
      <c r="P69" s="777"/>
      <c r="Q69" s="799"/>
      <c r="R69" s="799"/>
      <c r="S69" s="799"/>
      <c r="T69" s="799"/>
      <c r="U69" s="799"/>
      <c r="V69" s="799"/>
    </row>
    <row r="70" spans="1:22" ht="15.75">
      <c r="A70" s="799"/>
      <c r="B70" s="714" t="s">
        <v>741</v>
      </c>
      <c r="C70" s="284" t="s">
        <v>659</v>
      </c>
      <c r="D70" s="774">
        <f>1/1.25</f>
        <v>0.8</v>
      </c>
      <c r="E70" s="713"/>
      <c r="F70" s="777"/>
      <c r="G70" s="799"/>
      <c r="H70" s="799"/>
      <c r="I70" s="712">
        <f>SUM(E71:H84)</f>
        <v>106.13</v>
      </c>
      <c r="J70" s="711">
        <v>1</v>
      </c>
      <c r="K70" s="709">
        <f>ROUND(I70/D70*J70,2)</f>
        <v>132.66</v>
      </c>
      <c r="L70" s="714" t="s">
        <v>741</v>
      </c>
      <c r="M70" s="284" t="s">
        <v>659</v>
      </c>
      <c r="N70" s="774">
        <f>1/1.25</f>
        <v>0.8</v>
      </c>
      <c r="O70" s="713"/>
      <c r="P70" s="777"/>
      <c r="Q70" s="799"/>
      <c r="R70" s="799"/>
      <c r="S70" s="712">
        <f>SUM(O71:R73)</f>
        <v>45.779999999999994</v>
      </c>
      <c r="T70" s="711">
        <v>1</v>
      </c>
      <c r="U70" s="709">
        <f>ROUND(S70/N70*T70,2)</f>
        <v>57.23</v>
      </c>
      <c r="V70" s="804">
        <f>U70+U75-K70</f>
        <v>9.9999999999994316E-2</v>
      </c>
    </row>
    <row r="71" spans="1:22" ht="15.75">
      <c r="A71" s="799"/>
      <c r="B71" s="799"/>
      <c r="C71" s="799"/>
      <c r="D71" s="799"/>
      <c r="E71" s="713" t="s">
        <v>751</v>
      </c>
      <c r="F71" s="713">
        <v>2.78</v>
      </c>
      <c r="G71" s="713" t="s">
        <v>686</v>
      </c>
      <c r="H71" s="713">
        <v>5.15</v>
      </c>
      <c r="I71" s="799"/>
      <c r="J71" s="799"/>
      <c r="K71" s="799"/>
      <c r="L71" s="799"/>
      <c r="M71" s="799"/>
      <c r="N71" s="799"/>
      <c r="O71" s="772" t="s">
        <v>726</v>
      </c>
      <c r="P71" s="778">
        <v>5.45</v>
      </c>
      <c r="Q71" s="759" t="s">
        <v>722</v>
      </c>
      <c r="R71" s="759">
        <v>4.5199999999999996</v>
      </c>
      <c r="S71" s="799"/>
      <c r="T71" s="799"/>
      <c r="U71" s="799"/>
      <c r="V71" s="799"/>
    </row>
    <row r="72" spans="1:22" ht="15.75">
      <c r="A72" s="799"/>
      <c r="B72" s="799"/>
      <c r="C72" s="799"/>
      <c r="D72" s="799"/>
      <c r="E72" s="713" t="s">
        <v>696</v>
      </c>
      <c r="F72" s="713">
        <v>4.34</v>
      </c>
      <c r="G72" s="713" t="s">
        <v>749</v>
      </c>
      <c r="H72" s="713">
        <v>3.8</v>
      </c>
      <c r="I72" s="799"/>
      <c r="J72" s="799"/>
      <c r="K72" s="799"/>
      <c r="L72" s="799"/>
      <c r="M72" s="799"/>
      <c r="N72" s="799"/>
      <c r="O72" s="759" t="s">
        <v>742</v>
      </c>
      <c r="P72" s="780">
        <v>11.2</v>
      </c>
      <c r="Q72" s="759" t="s">
        <v>738</v>
      </c>
      <c r="R72" s="759">
        <v>7.85</v>
      </c>
      <c r="S72" s="799"/>
      <c r="T72" s="799"/>
      <c r="U72" s="799"/>
      <c r="V72" s="799"/>
    </row>
    <row r="73" spans="1:22" ht="15.75">
      <c r="A73" s="799"/>
      <c r="B73" s="799"/>
      <c r="C73" s="799"/>
      <c r="D73" s="799"/>
      <c r="E73" s="713" t="s">
        <v>701</v>
      </c>
      <c r="F73" s="713">
        <v>2.83</v>
      </c>
      <c r="G73" s="284" t="s">
        <v>746</v>
      </c>
      <c r="H73" s="284">
        <v>1.1399999999999999</v>
      </c>
      <c r="I73" s="799"/>
      <c r="J73" s="799"/>
      <c r="K73" s="799"/>
      <c r="L73" s="799"/>
      <c r="M73" s="799"/>
      <c r="N73" s="799"/>
      <c r="O73" s="759" t="s">
        <v>734</v>
      </c>
      <c r="P73" s="759">
        <v>11.87</v>
      </c>
      <c r="Q73" s="772" t="s">
        <v>730</v>
      </c>
      <c r="R73" s="772">
        <v>4.8899999999999997</v>
      </c>
      <c r="S73" s="799"/>
      <c r="T73" s="799"/>
      <c r="U73" s="799"/>
      <c r="V73" s="799"/>
    </row>
    <row r="74" spans="1:22" ht="15.75">
      <c r="A74" s="799"/>
      <c r="B74" s="799"/>
      <c r="C74" s="799"/>
      <c r="D74" s="799"/>
      <c r="E74" s="713" t="s">
        <v>694</v>
      </c>
      <c r="F74" s="713">
        <v>3.77</v>
      </c>
      <c r="G74" s="284" t="s">
        <v>747</v>
      </c>
      <c r="H74" s="713">
        <v>2.6</v>
      </c>
      <c r="I74" s="799"/>
      <c r="J74" s="799"/>
      <c r="K74" s="799"/>
      <c r="L74" s="805" t="s">
        <v>660</v>
      </c>
      <c r="M74" s="799"/>
      <c r="N74" s="799"/>
      <c r="O74" s="713"/>
      <c r="P74" s="777"/>
      <c r="Q74" s="799"/>
      <c r="R74" s="799"/>
      <c r="S74" s="799"/>
      <c r="T74" s="799"/>
      <c r="U74" s="799"/>
      <c r="V74" s="799"/>
    </row>
    <row r="75" spans="1:22" ht="15.75">
      <c r="A75" s="799"/>
      <c r="B75" s="799"/>
      <c r="C75" s="799"/>
      <c r="D75" s="799"/>
      <c r="E75" s="713" t="s">
        <v>662</v>
      </c>
      <c r="F75" s="713">
        <v>2.0699999999999998</v>
      </c>
      <c r="G75" s="713" t="s">
        <v>736</v>
      </c>
      <c r="H75" s="777">
        <v>2.72</v>
      </c>
      <c r="I75" s="799"/>
      <c r="J75" s="799"/>
      <c r="K75" s="799"/>
      <c r="L75" s="714" t="s">
        <v>741</v>
      </c>
      <c r="M75" s="284" t="s">
        <v>659</v>
      </c>
      <c r="N75" s="774">
        <f>1/1.25</f>
        <v>0.8</v>
      </c>
      <c r="O75" s="713"/>
      <c r="P75" s="777"/>
      <c r="Q75" s="799"/>
      <c r="R75" s="799"/>
      <c r="S75" s="712">
        <f>SUM(O76:R80)</f>
        <v>60.420000000000009</v>
      </c>
      <c r="T75" s="711">
        <v>1</v>
      </c>
      <c r="U75" s="709">
        <f>ROUND(S75/N75*T75,2)</f>
        <v>75.53</v>
      </c>
      <c r="V75" s="799"/>
    </row>
    <row r="76" spans="1:22" ht="15.75">
      <c r="A76" s="799"/>
      <c r="B76" s="799"/>
      <c r="C76" s="799"/>
      <c r="D76" s="799"/>
      <c r="E76" s="713" t="s">
        <v>727</v>
      </c>
      <c r="F76" s="713">
        <v>2.73</v>
      </c>
      <c r="G76" s="284" t="s">
        <v>721</v>
      </c>
      <c r="H76" s="713">
        <v>1.17</v>
      </c>
      <c r="I76" s="799"/>
      <c r="J76" s="799"/>
      <c r="K76" s="799"/>
      <c r="L76" s="799"/>
      <c r="M76" s="799"/>
      <c r="N76" s="799"/>
      <c r="O76" s="772" t="s">
        <v>754</v>
      </c>
      <c r="P76" s="772">
        <f>13.27</f>
        <v>13.27</v>
      </c>
      <c r="Q76" s="772" t="s">
        <v>661</v>
      </c>
      <c r="R76" s="772">
        <v>9.4</v>
      </c>
      <c r="S76" s="799"/>
      <c r="T76" s="799"/>
      <c r="U76" s="799"/>
      <c r="V76" s="799"/>
    </row>
    <row r="77" spans="1:22" ht="15.75">
      <c r="A77" s="799"/>
      <c r="B77" s="799"/>
      <c r="C77" s="799"/>
      <c r="D77" s="799"/>
      <c r="E77" s="713" t="s">
        <v>731</v>
      </c>
      <c r="F77" s="713">
        <v>0.46</v>
      </c>
      <c r="G77" s="284" t="s">
        <v>725</v>
      </c>
      <c r="H77" s="713">
        <v>4</v>
      </c>
      <c r="I77" s="799"/>
      <c r="J77" s="799"/>
      <c r="K77" s="799"/>
      <c r="L77" s="799"/>
      <c r="M77" s="799"/>
      <c r="N77" s="799"/>
      <c r="O77" s="772" t="s">
        <v>757</v>
      </c>
      <c r="P77" s="772">
        <v>3.47</v>
      </c>
      <c r="Q77" s="772" t="s">
        <v>759</v>
      </c>
      <c r="R77" s="772">
        <v>4</v>
      </c>
      <c r="S77" s="799"/>
      <c r="T77" s="799"/>
      <c r="U77" s="799"/>
      <c r="V77" s="799"/>
    </row>
    <row r="78" spans="1:22" ht="15.75">
      <c r="A78" s="799"/>
      <c r="B78" s="799"/>
      <c r="C78" s="799"/>
      <c r="D78" s="799"/>
      <c r="E78" s="713" t="s">
        <v>691</v>
      </c>
      <c r="F78" s="713">
        <v>5.32</v>
      </c>
      <c r="G78" s="284" t="s">
        <v>750</v>
      </c>
      <c r="H78" s="713">
        <v>12.5</v>
      </c>
      <c r="I78" s="799"/>
      <c r="J78" s="799"/>
      <c r="K78" s="799"/>
      <c r="L78" s="799"/>
      <c r="M78" s="799"/>
      <c r="N78" s="799"/>
      <c r="O78" s="772" t="s">
        <v>755</v>
      </c>
      <c r="P78" s="772">
        <v>11.45</v>
      </c>
      <c r="Q78" s="759" t="s">
        <v>703</v>
      </c>
      <c r="R78" s="780">
        <f>2.6</f>
        <v>2.6</v>
      </c>
      <c r="S78" s="799"/>
      <c r="T78" s="799"/>
      <c r="U78" s="799"/>
      <c r="V78" s="799"/>
    </row>
    <row r="79" spans="1:22" ht="15.75">
      <c r="A79" s="799"/>
      <c r="B79" s="799"/>
      <c r="C79" s="799"/>
      <c r="D79" s="799"/>
      <c r="E79" s="713" t="s">
        <v>692</v>
      </c>
      <c r="F79" s="713">
        <v>5.93</v>
      </c>
      <c r="G79" s="284" t="s">
        <v>687</v>
      </c>
      <c r="H79" s="713">
        <v>4.2</v>
      </c>
      <c r="I79" s="799"/>
      <c r="J79" s="799"/>
      <c r="K79" s="799"/>
      <c r="L79" s="799"/>
      <c r="M79" s="799"/>
      <c r="N79" s="799"/>
      <c r="O79" s="772" t="s">
        <v>758</v>
      </c>
      <c r="P79" s="772">
        <v>2.7</v>
      </c>
      <c r="Q79" s="759" t="s">
        <v>756</v>
      </c>
      <c r="R79" s="780">
        <v>1.4</v>
      </c>
      <c r="S79" s="799"/>
      <c r="T79" s="799"/>
      <c r="U79" s="799"/>
      <c r="V79" s="799"/>
    </row>
    <row r="80" spans="1:22" ht="15.75">
      <c r="A80" s="799"/>
      <c r="B80" s="799"/>
      <c r="C80" s="799"/>
      <c r="D80" s="799"/>
      <c r="E80" s="713" t="s">
        <v>693</v>
      </c>
      <c r="F80" s="713">
        <v>6.32</v>
      </c>
      <c r="G80" s="284" t="s">
        <v>702</v>
      </c>
      <c r="H80" s="284">
        <v>4.0999999999999996</v>
      </c>
      <c r="I80" s="799"/>
      <c r="J80" s="799"/>
      <c r="K80" s="799"/>
      <c r="L80" s="799"/>
      <c r="M80" s="799"/>
      <c r="N80" s="799"/>
      <c r="O80" s="713"/>
      <c r="P80" s="777"/>
      <c r="Q80" s="772" t="s">
        <v>718</v>
      </c>
      <c r="R80" s="772">
        <f>12.13</f>
        <v>12.13</v>
      </c>
      <c r="S80" s="799"/>
      <c r="T80" s="799"/>
      <c r="U80" s="799"/>
      <c r="V80" s="799"/>
    </row>
    <row r="81" spans="1:22" ht="15.75">
      <c r="A81" s="799"/>
      <c r="B81" s="799"/>
      <c r="C81" s="799"/>
      <c r="D81" s="799"/>
      <c r="E81" s="713" t="s">
        <v>681</v>
      </c>
      <c r="F81" s="713">
        <v>4.5199999999999996</v>
      </c>
      <c r="G81" s="713" t="s">
        <v>748</v>
      </c>
      <c r="H81" s="713">
        <v>1.93</v>
      </c>
      <c r="I81" s="799"/>
      <c r="J81" s="799"/>
      <c r="K81" s="799"/>
      <c r="L81" s="799"/>
      <c r="M81" s="799"/>
      <c r="N81" s="799"/>
      <c r="O81" s="713"/>
      <c r="P81" s="777"/>
      <c r="Q81" s="799"/>
      <c r="R81" s="799"/>
      <c r="S81" s="799"/>
      <c r="T81" s="799"/>
      <c r="U81" s="799"/>
      <c r="V81" s="799"/>
    </row>
    <row r="82" spans="1:22" ht="15.75">
      <c r="A82" s="799"/>
      <c r="B82" s="799"/>
      <c r="C82" s="799"/>
      <c r="D82" s="799"/>
      <c r="E82" s="713" t="s">
        <v>745</v>
      </c>
      <c r="F82" s="713">
        <v>3.83</v>
      </c>
      <c r="G82" s="284" t="s">
        <v>729</v>
      </c>
      <c r="H82" s="713">
        <v>5.6</v>
      </c>
      <c r="I82" s="799"/>
      <c r="J82" s="799"/>
      <c r="K82" s="799"/>
      <c r="L82" s="799"/>
      <c r="M82" s="799"/>
      <c r="N82" s="799"/>
      <c r="O82" s="713"/>
      <c r="P82" s="777"/>
      <c r="Q82" s="799"/>
      <c r="R82" s="799"/>
      <c r="S82" s="799"/>
      <c r="T82" s="799"/>
      <c r="U82" s="799"/>
      <c r="V82" s="799"/>
    </row>
    <row r="83" spans="1:22" ht="15.75">
      <c r="A83" s="799"/>
      <c r="B83" s="799"/>
      <c r="C83" s="799"/>
      <c r="D83" s="799"/>
      <c r="E83" s="713" t="s">
        <v>739</v>
      </c>
      <c r="F83" s="284">
        <v>4.72</v>
      </c>
      <c r="G83" s="284" t="s">
        <v>733</v>
      </c>
      <c r="H83" s="713">
        <v>5.22</v>
      </c>
      <c r="I83" s="799"/>
      <c r="J83" s="799"/>
      <c r="K83" s="799"/>
      <c r="L83" s="799"/>
      <c r="M83" s="799"/>
      <c r="N83" s="799"/>
      <c r="O83" s="713"/>
      <c r="P83" s="777"/>
      <c r="Q83" s="799"/>
      <c r="R83" s="799"/>
      <c r="S83" s="799"/>
      <c r="T83" s="799"/>
      <c r="U83" s="799"/>
      <c r="V83" s="799"/>
    </row>
    <row r="84" spans="1:22" ht="15.75">
      <c r="A84" s="799"/>
      <c r="B84" s="799"/>
      <c r="C84" s="799"/>
      <c r="D84" s="799"/>
      <c r="E84" s="713" t="s">
        <v>732</v>
      </c>
      <c r="F84" s="777">
        <v>2.38</v>
      </c>
      <c r="G84" s="799"/>
      <c r="H84" s="799"/>
      <c r="I84" s="799"/>
      <c r="J84" s="799"/>
      <c r="K84" s="799"/>
      <c r="L84" s="799"/>
      <c r="M84" s="799"/>
      <c r="N84" s="799"/>
      <c r="O84" s="713"/>
      <c r="P84" s="777"/>
      <c r="Q84" s="799"/>
      <c r="R84" s="799"/>
      <c r="S84" s="799"/>
      <c r="T84" s="799"/>
      <c r="U84" s="799"/>
      <c r="V84" s="799"/>
    </row>
    <row r="85" spans="1:22" ht="15.75">
      <c r="A85" s="474">
        <v>4</v>
      </c>
      <c r="B85" s="717" t="s">
        <v>663</v>
      </c>
      <c r="C85" s="802"/>
      <c r="D85" s="802"/>
      <c r="E85" s="701"/>
      <c r="F85" s="806"/>
      <c r="G85" s="802"/>
      <c r="H85" s="802"/>
      <c r="I85" s="802"/>
      <c r="J85" s="802"/>
      <c r="K85" s="802"/>
      <c r="L85" s="802"/>
      <c r="M85" s="802"/>
      <c r="N85" s="802"/>
      <c r="O85" s="701"/>
      <c r="P85" s="806"/>
      <c r="Q85" s="802"/>
      <c r="R85" s="802"/>
      <c r="S85" s="802"/>
      <c r="T85" s="802"/>
      <c r="U85" s="802"/>
      <c r="V85" s="802"/>
    </row>
    <row r="86" spans="1:22" ht="15.75">
      <c r="A86" s="798"/>
      <c r="B86" s="807" t="s">
        <v>768</v>
      </c>
      <c r="C86" s="808" t="s">
        <v>769</v>
      </c>
      <c r="D86" s="809">
        <v>150</v>
      </c>
      <c r="E86" s="705"/>
      <c r="F86" s="797"/>
      <c r="G86" s="798"/>
      <c r="H86" s="798"/>
      <c r="I86" s="704">
        <f>SUM(E87:H102)</f>
        <v>113618</v>
      </c>
      <c r="J86" s="716">
        <v>1</v>
      </c>
      <c r="K86" s="706">
        <f>ROUND(I86/D86*J86,2)</f>
        <v>757.45</v>
      </c>
      <c r="L86" s="807" t="s">
        <v>768</v>
      </c>
      <c r="M86" s="808" t="s">
        <v>769</v>
      </c>
      <c r="N86" s="809">
        <v>90</v>
      </c>
      <c r="O86" s="705"/>
      <c r="P86" s="797"/>
      <c r="Q86" s="798"/>
      <c r="R86" s="798"/>
      <c r="S86" s="704">
        <f>SUM(O87:R102)</f>
        <v>113618</v>
      </c>
      <c r="T86" s="716">
        <v>1</v>
      </c>
      <c r="U86" s="706">
        <f>ROUND(S86/N86*T86,2)</f>
        <v>1262.42</v>
      </c>
      <c r="V86" s="803">
        <f>U86-K86</f>
        <v>504.97</v>
      </c>
    </row>
    <row r="87" spans="1:22" ht="15.75">
      <c r="A87" s="799"/>
      <c r="B87" s="799"/>
      <c r="C87" s="799"/>
      <c r="D87" s="799"/>
      <c r="E87" s="783" t="s">
        <v>680</v>
      </c>
      <c r="F87" s="784">
        <v>2668</v>
      </c>
      <c r="G87" s="781" t="s">
        <v>688</v>
      </c>
      <c r="H87" s="785">
        <v>7686</v>
      </c>
      <c r="I87" s="799"/>
      <c r="J87" s="799"/>
      <c r="K87" s="799"/>
      <c r="L87" s="799"/>
      <c r="M87" s="799"/>
      <c r="N87" s="799"/>
      <c r="O87" s="783" t="s">
        <v>680</v>
      </c>
      <c r="P87" s="784">
        <v>2668</v>
      </c>
      <c r="Q87" s="781" t="s">
        <v>688</v>
      </c>
      <c r="R87" s="785">
        <v>7686</v>
      </c>
      <c r="S87" s="799"/>
      <c r="T87" s="799"/>
      <c r="U87" s="799"/>
      <c r="V87" s="799"/>
    </row>
    <row r="88" spans="1:22" ht="15.75">
      <c r="A88" s="799"/>
      <c r="B88" s="799"/>
      <c r="C88" s="799"/>
      <c r="D88" s="799"/>
      <c r="E88" s="783" t="s">
        <v>672</v>
      </c>
      <c r="F88" s="784">
        <v>2910</v>
      </c>
      <c r="G88" s="787" t="s">
        <v>773</v>
      </c>
      <c r="H88" s="784">
        <v>905</v>
      </c>
      <c r="I88" s="799"/>
      <c r="J88" s="799"/>
      <c r="K88" s="799"/>
      <c r="L88" s="799"/>
      <c r="M88" s="799"/>
      <c r="N88" s="799"/>
      <c r="O88" s="783" t="s">
        <v>672</v>
      </c>
      <c r="P88" s="784">
        <v>2910</v>
      </c>
      <c r="Q88" s="787" t="s">
        <v>773</v>
      </c>
      <c r="R88" s="784">
        <v>905</v>
      </c>
      <c r="S88" s="799"/>
      <c r="T88" s="799"/>
      <c r="U88" s="799"/>
      <c r="V88" s="799"/>
    </row>
    <row r="89" spans="1:22" ht="15.75">
      <c r="A89" s="799"/>
      <c r="B89" s="799"/>
      <c r="C89" s="799"/>
      <c r="D89" s="799"/>
      <c r="E89" s="783" t="s">
        <v>682</v>
      </c>
      <c r="F89" s="784">
        <v>3611</v>
      </c>
      <c r="G89" s="787" t="s">
        <v>662</v>
      </c>
      <c r="H89" s="784">
        <v>3540</v>
      </c>
      <c r="I89" s="799"/>
      <c r="J89" s="799"/>
      <c r="K89" s="799"/>
      <c r="L89" s="799"/>
      <c r="M89" s="799"/>
      <c r="N89" s="799"/>
      <c r="O89" s="783" t="s">
        <v>682</v>
      </c>
      <c r="P89" s="784">
        <v>3611</v>
      </c>
      <c r="Q89" s="787" t="s">
        <v>662</v>
      </c>
      <c r="R89" s="784">
        <v>3540</v>
      </c>
      <c r="S89" s="799"/>
      <c r="T89" s="799"/>
      <c r="U89" s="799"/>
      <c r="V89" s="799"/>
    </row>
    <row r="90" spans="1:22" ht="15.75">
      <c r="A90" s="799"/>
      <c r="B90" s="799"/>
      <c r="C90" s="799"/>
      <c r="D90" s="799"/>
      <c r="E90" s="783" t="s">
        <v>681</v>
      </c>
      <c r="F90" s="784">
        <v>7353</v>
      </c>
      <c r="G90" s="786" t="s">
        <v>777</v>
      </c>
      <c r="H90" s="784">
        <v>4608</v>
      </c>
      <c r="I90" s="799"/>
      <c r="J90" s="799"/>
      <c r="K90" s="799"/>
      <c r="L90" s="799"/>
      <c r="M90" s="799"/>
      <c r="N90" s="799"/>
      <c r="O90" s="783" t="s">
        <v>681</v>
      </c>
      <c r="P90" s="784">
        <v>7353</v>
      </c>
      <c r="Q90" s="786" t="s">
        <v>777</v>
      </c>
      <c r="R90" s="784">
        <v>4608</v>
      </c>
      <c r="S90" s="799"/>
      <c r="T90" s="799"/>
      <c r="U90" s="799"/>
      <c r="V90" s="799"/>
    </row>
    <row r="91" spans="1:22" ht="15.75">
      <c r="A91" s="799"/>
      <c r="B91" s="799"/>
      <c r="C91" s="799"/>
      <c r="D91" s="799"/>
      <c r="E91" s="782" t="s">
        <v>699</v>
      </c>
      <c r="F91" s="788">
        <v>4914</v>
      </c>
      <c r="G91" s="782" t="s">
        <v>779</v>
      </c>
      <c r="H91" s="788">
        <v>1006</v>
      </c>
      <c r="I91" s="799"/>
      <c r="J91" s="799"/>
      <c r="K91" s="799"/>
      <c r="L91" s="799"/>
      <c r="M91" s="799"/>
      <c r="N91" s="799"/>
      <c r="O91" s="782" t="s">
        <v>699</v>
      </c>
      <c r="P91" s="788">
        <v>4914</v>
      </c>
      <c r="Q91" s="782" t="s">
        <v>779</v>
      </c>
      <c r="R91" s="788">
        <v>1006</v>
      </c>
      <c r="S91" s="799"/>
      <c r="T91" s="799"/>
      <c r="U91" s="799"/>
      <c r="V91" s="799"/>
    </row>
    <row r="92" spans="1:22" ht="15.75">
      <c r="A92" s="799"/>
      <c r="B92" s="799"/>
      <c r="C92" s="799"/>
      <c r="D92" s="799"/>
      <c r="E92" s="782" t="s">
        <v>700</v>
      </c>
      <c r="F92" s="788">
        <v>715</v>
      </c>
      <c r="G92" s="782" t="s">
        <v>683</v>
      </c>
      <c r="H92" s="788">
        <v>1612</v>
      </c>
      <c r="I92" s="799"/>
      <c r="J92" s="799"/>
      <c r="K92" s="799"/>
      <c r="L92" s="799"/>
      <c r="M92" s="799"/>
      <c r="N92" s="799"/>
      <c r="O92" s="782" t="s">
        <v>700</v>
      </c>
      <c r="P92" s="788">
        <v>715</v>
      </c>
      <c r="Q92" s="782" t="s">
        <v>683</v>
      </c>
      <c r="R92" s="788">
        <v>1612</v>
      </c>
      <c r="S92" s="799"/>
      <c r="T92" s="799"/>
      <c r="U92" s="799"/>
      <c r="V92" s="799"/>
    </row>
    <row r="93" spans="1:22" ht="15.75">
      <c r="A93" s="799"/>
      <c r="B93" s="799"/>
      <c r="C93" s="799"/>
      <c r="D93" s="799"/>
      <c r="E93" s="782" t="s">
        <v>702</v>
      </c>
      <c r="F93" s="781">
        <v>3125</v>
      </c>
      <c r="G93" s="781" t="s">
        <v>780</v>
      </c>
      <c r="H93" s="785">
        <v>7512</v>
      </c>
      <c r="I93" s="799"/>
      <c r="J93" s="799"/>
      <c r="K93" s="799"/>
      <c r="L93" s="799"/>
      <c r="M93" s="799"/>
      <c r="N93" s="799"/>
      <c r="O93" s="782" t="s">
        <v>702</v>
      </c>
      <c r="P93" s="781">
        <v>3125</v>
      </c>
      <c r="Q93" s="781" t="s">
        <v>780</v>
      </c>
      <c r="R93" s="785">
        <v>7512</v>
      </c>
      <c r="S93" s="799"/>
      <c r="T93" s="799"/>
      <c r="U93" s="799"/>
      <c r="V93" s="799"/>
    </row>
    <row r="94" spans="1:22" ht="15.75">
      <c r="A94" s="799"/>
      <c r="B94" s="799"/>
      <c r="C94" s="799"/>
      <c r="D94" s="799"/>
      <c r="E94" s="787" t="s">
        <v>661</v>
      </c>
      <c r="F94" s="784">
        <v>2746</v>
      </c>
      <c r="G94" s="284" t="s">
        <v>687</v>
      </c>
      <c r="H94" s="757">
        <v>3835</v>
      </c>
      <c r="I94" s="799"/>
      <c r="J94" s="799"/>
      <c r="K94" s="799"/>
      <c r="L94" s="799"/>
      <c r="M94" s="799"/>
      <c r="N94" s="799"/>
      <c r="O94" s="787" t="s">
        <v>661</v>
      </c>
      <c r="P94" s="784">
        <v>2746</v>
      </c>
      <c r="Q94" s="284" t="s">
        <v>687</v>
      </c>
      <c r="R94" s="757">
        <v>3835</v>
      </c>
      <c r="S94" s="799"/>
      <c r="T94" s="799"/>
      <c r="U94" s="799"/>
      <c r="V94" s="799"/>
    </row>
    <row r="95" spans="1:22" ht="15.75">
      <c r="A95" s="799"/>
      <c r="B95" s="799"/>
      <c r="C95" s="799"/>
      <c r="D95" s="799"/>
      <c r="E95" s="783" t="s">
        <v>770</v>
      </c>
      <c r="F95" s="784">
        <v>4492</v>
      </c>
      <c r="G95" s="786" t="s">
        <v>771</v>
      </c>
      <c r="H95" s="784">
        <v>2008</v>
      </c>
      <c r="I95" s="799"/>
      <c r="J95" s="799"/>
      <c r="K95" s="799"/>
      <c r="L95" s="799"/>
      <c r="M95" s="799"/>
      <c r="N95" s="799"/>
      <c r="O95" s="783" t="s">
        <v>770</v>
      </c>
      <c r="P95" s="784">
        <v>4492</v>
      </c>
      <c r="Q95" s="786" t="s">
        <v>771</v>
      </c>
      <c r="R95" s="784">
        <v>2008</v>
      </c>
      <c r="S95" s="799"/>
      <c r="T95" s="799"/>
      <c r="U95" s="799"/>
      <c r="V95" s="799"/>
    </row>
    <row r="96" spans="1:22" ht="15.75">
      <c r="A96" s="799"/>
      <c r="B96" s="799"/>
      <c r="C96" s="799"/>
      <c r="D96" s="799"/>
      <c r="E96" s="783" t="s">
        <v>772</v>
      </c>
      <c r="F96" s="784">
        <v>3718</v>
      </c>
      <c r="G96" s="786" t="s">
        <v>774</v>
      </c>
      <c r="H96" s="784">
        <v>4700</v>
      </c>
      <c r="I96" s="799"/>
      <c r="J96" s="799"/>
      <c r="K96" s="799"/>
      <c r="L96" s="799"/>
      <c r="M96" s="799"/>
      <c r="N96" s="799"/>
      <c r="O96" s="783" t="s">
        <v>772</v>
      </c>
      <c r="P96" s="784">
        <v>3718</v>
      </c>
      <c r="Q96" s="786" t="s">
        <v>774</v>
      </c>
      <c r="R96" s="784">
        <v>4700</v>
      </c>
      <c r="S96" s="799"/>
      <c r="T96" s="799"/>
      <c r="U96" s="799"/>
      <c r="V96" s="799"/>
    </row>
    <row r="97" spans="1:22" ht="15.75">
      <c r="A97" s="799"/>
      <c r="B97" s="799"/>
      <c r="C97" s="799"/>
      <c r="D97" s="799"/>
      <c r="E97" s="781" t="s">
        <v>775</v>
      </c>
      <c r="F97" s="785">
        <v>4542</v>
      </c>
      <c r="G97" s="784" t="s">
        <v>678</v>
      </c>
      <c r="H97" s="788">
        <v>1352</v>
      </c>
      <c r="I97" s="799"/>
      <c r="J97" s="799"/>
      <c r="K97" s="799"/>
      <c r="L97" s="799"/>
      <c r="M97" s="799"/>
      <c r="N97" s="799"/>
      <c r="O97" s="781" t="s">
        <v>775</v>
      </c>
      <c r="P97" s="785">
        <v>4542</v>
      </c>
      <c r="Q97" s="784" t="s">
        <v>678</v>
      </c>
      <c r="R97" s="788">
        <v>1352</v>
      </c>
      <c r="S97" s="799"/>
      <c r="T97" s="799"/>
      <c r="U97" s="799"/>
      <c r="V97" s="799"/>
    </row>
    <row r="98" spans="1:22" ht="15.75">
      <c r="A98" s="799"/>
      <c r="B98" s="799"/>
      <c r="C98" s="799"/>
      <c r="D98" s="799"/>
      <c r="E98" s="781" t="s">
        <v>776</v>
      </c>
      <c r="F98" s="785">
        <v>7020</v>
      </c>
      <c r="G98" s="788" t="s">
        <v>679</v>
      </c>
      <c r="H98" s="788">
        <v>872</v>
      </c>
      <c r="I98" s="799"/>
      <c r="J98" s="799"/>
      <c r="K98" s="799"/>
      <c r="L98" s="799"/>
      <c r="M98" s="799"/>
      <c r="N98" s="799"/>
      <c r="O98" s="781" t="s">
        <v>776</v>
      </c>
      <c r="P98" s="785">
        <v>7020</v>
      </c>
      <c r="Q98" s="788" t="s">
        <v>679</v>
      </c>
      <c r="R98" s="788">
        <v>872</v>
      </c>
      <c r="S98" s="799"/>
      <c r="T98" s="799"/>
      <c r="U98" s="799"/>
      <c r="V98" s="799"/>
    </row>
    <row r="99" spans="1:22" ht="15.75">
      <c r="A99" s="799"/>
      <c r="B99" s="799"/>
      <c r="C99" s="799"/>
      <c r="D99" s="799"/>
      <c r="E99" s="781" t="s">
        <v>778</v>
      </c>
      <c r="F99" s="788">
        <v>2082</v>
      </c>
      <c r="G99" s="782" t="s">
        <v>686</v>
      </c>
      <c r="H99" s="788">
        <v>2488</v>
      </c>
      <c r="I99" s="799"/>
      <c r="J99" s="799"/>
      <c r="K99" s="799"/>
      <c r="L99" s="799"/>
      <c r="M99" s="799"/>
      <c r="N99" s="799"/>
      <c r="O99" s="781" t="s">
        <v>778</v>
      </c>
      <c r="P99" s="788">
        <v>2082</v>
      </c>
      <c r="Q99" s="782" t="s">
        <v>686</v>
      </c>
      <c r="R99" s="788">
        <v>2488</v>
      </c>
      <c r="S99" s="799"/>
      <c r="T99" s="799"/>
      <c r="U99" s="799"/>
      <c r="V99" s="799"/>
    </row>
    <row r="100" spans="1:22" ht="15.75">
      <c r="A100" s="799"/>
      <c r="B100" s="799"/>
      <c r="C100" s="799"/>
      <c r="D100" s="799"/>
      <c r="E100" s="781" t="s">
        <v>703</v>
      </c>
      <c r="F100" s="788">
        <v>1596</v>
      </c>
      <c r="G100" s="782" t="s">
        <v>685</v>
      </c>
      <c r="H100" s="788">
        <v>5771</v>
      </c>
      <c r="I100" s="799"/>
      <c r="J100" s="799"/>
      <c r="K100" s="799"/>
      <c r="L100" s="799"/>
      <c r="M100" s="799"/>
      <c r="N100" s="799"/>
      <c r="O100" s="781" t="s">
        <v>703</v>
      </c>
      <c r="P100" s="788">
        <v>1596</v>
      </c>
      <c r="Q100" s="782" t="s">
        <v>685</v>
      </c>
      <c r="R100" s="788">
        <v>5771</v>
      </c>
      <c r="S100" s="799"/>
      <c r="T100" s="799"/>
      <c r="U100" s="799"/>
      <c r="V100" s="799"/>
    </row>
    <row r="101" spans="1:22" ht="15.75">
      <c r="A101" s="799"/>
      <c r="B101" s="799"/>
      <c r="C101" s="799"/>
      <c r="D101" s="799"/>
      <c r="E101" s="782" t="s">
        <v>673</v>
      </c>
      <c r="F101" s="788">
        <v>1306</v>
      </c>
      <c r="G101" s="783" t="s">
        <v>781</v>
      </c>
      <c r="H101" s="784">
        <v>8255</v>
      </c>
      <c r="I101" s="799"/>
      <c r="J101" s="799"/>
      <c r="K101" s="799"/>
      <c r="L101" s="799"/>
      <c r="M101" s="799"/>
      <c r="N101" s="799"/>
      <c r="O101" s="782" t="s">
        <v>673</v>
      </c>
      <c r="P101" s="788">
        <v>1306</v>
      </c>
      <c r="Q101" s="783" t="s">
        <v>781</v>
      </c>
      <c r="R101" s="784">
        <v>8255</v>
      </c>
      <c r="S101" s="799"/>
      <c r="T101" s="799"/>
      <c r="U101" s="799"/>
      <c r="V101" s="799"/>
    </row>
    <row r="102" spans="1:22" ht="15.75">
      <c r="A102" s="800"/>
      <c r="B102" s="800"/>
      <c r="C102" s="800"/>
      <c r="D102" s="800"/>
      <c r="E102" s="810" t="s">
        <v>782</v>
      </c>
      <c r="F102" s="758">
        <v>4670</v>
      </c>
      <c r="G102" s="800"/>
      <c r="H102" s="800"/>
      <c r="I102" s="800"/>
      <c r="J102" s="800"/>
      <c r="K102" s="800"/>
      <c r="L102" s="800"/>
      <c r="M102" s="800"/>
      <c r="N102" s="800"/>
      <c r="O102" s="810" t="s">
        <v>782</v>
      </c>
      <c r="P102" s="758">
        <v>4670</v>
      </c>
      <c r="Q102" s="800"/>
      <c r="R102" s="800"/>
      <c r="S102" s="800"/>
      <c r="T102" s="800"/>
      <c r="U102" s="800"/>
      <c r="V102" s="800"/>
    </row>
    <row r="103" spans="1:22" ht="15.75">
      <c r="A103" s="3825" t="s">
        <v>787</v>
      </c>
      <c r="B103" s="3826"/>
      <c r="C103" s="802"/>
      <c r="D103" s="802"/>
      <c r="E103" s="721"/>
      <c r="F103" s="811"/>
      <c r="G103" s="802"/>
      <c r="H103" s="802"/>
      <c r="I103" s="802"/>
      <c r="J103" s="802"/>
      <c r="K103" s="812">
        <f>SUM(K7:K102)</f>
        <v>2292.6400000000003</v>
      </c>
      <c r="L103" s="802"/>
      <c r="M103" s="802"/>
      <c r="N103" s="802"/>
      <c r="O103" s="721"/>
      <c r="P103" s="811"/>
      <c r="Q103" s="802"/>
      <c r="R103" s="802"/>
      <c r="S103" s="802"/>
      <c r="T103" s="802"/>
      <c r="U103" s="812">
        <f>SUM(U7:U102)</f>
        <v>4422.1100000000006</v>
      </c>
      <c r="V103" s="812">
        <f>U103-K103</f>
        <v>2129.4700000000003</v>
      </c>
    </row>
    <row r="104" spans="1:22" ht="15.75">
      <c r="E104" s="813"/>
      <c r="F104" s="775"/>
      <c r="V104" s="723" t="s">
        <v>783</v>
      </c>
    </row>
    <row r="105" spans="1:22" ht="18.75">
      <c r="A105" s="814"/>
      <c r="B105" s="815" t="s">
        <v>674</v>
      </c>
      <c r="C105" s="814"/>
      <c r="D105" s="814"/>
      <c r="E105" s="814"/>
      <c r="F105" s="816"/>
      <c r="G105" s="815"/>
      <c r="H105" s="816" t="s">
        <v>664</v>
      </c>
      <c r="I105" s="816"/>
      <c r="J105" s="814"/>
      <c r="K105" s="817"/>
      <c r="L105" s="818"/>
      <c r="M105" s="819"/>
      <c r="N105" s="816" t="s">
        <v>665</v>
      </c>
      <c r="O105" s="817"/>
      <c r="P105" s="814"/>
      <c r="Q105" s="820"/>
      <c r="R105" s="816"/>
      <c r="S105" s="814"/>
      <c r="T105" s="821"/>
      <c r="U105" s="821" t="s">
        <v>195</v>
      </c>
      <c r="V105" s="814"/>
    </row>
    <row r="106" spans="1:22" ht="18.75">
      <c r="A106" s="814"/>
      <c r="B106" s="814"/>
      <c r="C106" s="814"/>
      <c r="D106" s="814"/>
      <c r="E106" s="822"/>
      <c r="F106" s="816"/>
      <c r="G106" s="816"/>
      <c r="H106" s="816"/>
      <c r="I106" s="816"/>
      <c r="J106" s="816"/>
      <c r="K106" s="816"/>
      <c r="L106" s="823"/>
      <c r="M106" s="819"/>
      <c r="N106" s="823"/>
      <c r="O106" s="816"/>
      <c r="P106" s="823"/>
      <c r="Q106" s="820"/>
      <c r="R106" s="816"/>
      <c r="S106" s="816"/>
      <c r="T106" s="816"/>
      <c r="U106" s="814"/>
      <c r="V106" s="814"/>
    </row>
    <row r="107" spans="1:22" ht="18.75">
      <c r="A107" s="814"/>
      <c r="B107" s="814"/>
      <c r="C107" s="814"/>
      <c r="D107" s="814"/>
      <c r="E107" s="816"/>
      <c r="F107" s="816"/>
      <c r="G107" s="816"/>
      <c r="H107" s="816"/>
      <c r="I107" s="816"/>
      <c r="J107" s="816"/>
      <c r="K107" s="816"/>
      <c r="L107" s="823"/>
      <c r="M107" s="819"/>
      <c r="N107" s="823"/>
      <c r="O107" s="816"/>
      <c r="P107" s="823"/>
      <c r="Q107" s="820"/>
      <c r="R107" s="816"/>
      <c r="S107" s="816"/>
      <c r="T107" s="816"/>
      <c r="U107" s="814"/>
      <c r="V107" s="814"/>
    </row>
    <row r="108" spans="1:22" ht="18.75">
      <c r="A108" s="814"/>
      <c r="B108" s="814"/>
      <c r="C108" s="814"/>
      <c r="D108" s="814"/>
      <c r="E108" s="816"/>
      <c r="F108" s="816"/>
      <c r="G108" s="816"/>
      <c r="H108" s="816"/>
      <c r="I108" s="816"/>
      <c r="J108" s="816"/>
      <c r="K108" s="816"/>
      <c r="L108" s="823"/>
      <c r="M108" s="819"/>
      <c r="N108" s="823"/>
      <c r="O108" s="816"/>
      <c r="P108" s="823"/>
      <c r="Q108" s="820"/>
      <c r="R108" s="816"/>
      <c r="S108" s="816"/>
      <c r="T108" s="816"/>
      <c r="U108" s="814"/>
      <c r="V108" s="814"/>
    </row>
    <row r="109" spans="1:22" ht="18.75">
      <c r="A109" s="814"/>
      <c r="B109" s="814"/>
      <c r="C109" s="814"/>
      <c r="D109" s="814"/>
      <c r="E109" s="816"/>
      <c r="F109" s="816"/>
      <c r="G109" s="816"/>
      <c r="H109" s="816"/>
      <c r="I109" s="816"/>
      <c r="J109" s="816"/>
      <c r="K109" s="816"/>
      <c r="L109" s="823"/>
      <c r="M109" s="819"/>
      <c r="N109" s="823"/>
      <c r="O109" s="816"/>
      <c r="P109" s="823"/>
      <c r="Q109" s="820"/>
      <c r="R109" s="816"/>
      <c r="S109" s="816"/>
      <c r="T109" s="816"/>
      <c r="U109" s="814"/>
      <c r="V109" s="814"/>
    </row>
    <row r="110" spans="1:22" ht="18.75">
      <c r="A110" s="814"/>
      <c r="B110" s="814"/>
      <c r="C110" s="814"/>
      <c r="D110" s="814"/>
      <c r="E110" s="816"/>
      <c r="F110" s="824"/>
      <c r="G110" s="816"/>
      <c r="H110" s="824"/>
      <c r="I110" s="824"/>
      <c r="J110" s="825"/>
      <c r="K110" s="825"/>
      <c r="L110" s="826"/>
      <c r="M110" s="825"/>
      <c r="N110" s="826"/>
      <c r="O110" s="825"/>
      <c r="P110" s="826"/>
      <c r="Q110" s="820"/>
      <c r="R110" s="827"/>
      <c r="S110" s="828"/>
      <c r="T110" s="829"/>
      <c r="U110" s="814"/>
      <c r="V110" s="814"/>
    </row>
    <row r="111" spans="1:22" ht="18.75">
      <c r="A111" s="814"/>
      <c r="B111" s="814"/>
      <c r="C111" s="814"/>
      <c r="D111" s="814"/>
      <c r="E111" s="824"/>
      <c r="F111" s="815"/>
      <c r="G111" s="3827" t="s">
        <v>533</v>
      </c>
      <c r="H111" s="3827"/>
      <c r="I111" s="3827"/>
      <c r="J111" s="824"/>
      <c r="K111" s="824"/>
      <c r="L111" s="830"/>
      <c r="M111" s="816"/>
      <c r="N111" s="816" t="s">
        <v>199</v>
      </c>
      <c r="O111" s="830"/>
      <c r="P111" s="814"/>
      <c r="Q111" s="820"/>
      <c r="R111" s="831"/>
      <c r="S111" s="831"/>
      <c r="T111" s="831"/>
      <c r="U111" s="814"/>
      <c r="V111" s="814"/>
    </row>
    <row r="112" spans="1:22" ht="18.75">
      <c r="A112" s="814"/>
      <c r="B112" s="814"/>
      <c r="C112" s="814"/>
      <c r="D112" s="814"/>
      <c r="E112" s="830"/>
      <c r="F112" s="832"/>
      <c r="G112" s="832"/>
      <c r="H112" s="832"/>
      <c r="I112" s="832"/>
      <c r="J112" s="832"/>
      <c r="K112" s="833" t="s">
        <v>666</v>
      </c>
      <c r="L112" s="832"/>
      <c r="M112" s="832"/>
      <c r="N112" s="832"/>
      <c r="O112" s="832"/>
      <c r="P112" s="832"/>
      <c r="Q112" s="834"/>
      <c r="R112" s="832"/>
      <c r="S112" s="832"/>
      <c r="T112" s="832"/>
      <c r="U112" s="814"/>
      <c r="V112" s="814"/>
    </row>
    <row r="113" spans="1:22" ht="18.75">
      <c r="A113" s="815" t="s">
        <v>670</v>
      </c>
      <c r="B113" s="814"/>
      <c r="C113" s="814"/>
      <c r="D113" s="814"/>
      <c r="E113" s="824"/>
      <c r="F113" s="822"/>
      <c r="G113" s="824"/>
      <c r="H113" s="825"/>
      <c r="I113" s="825"/>
      <c r="J113" s="825"/>
      <c r="K113" s="816" t="s">
        <v>667</v>
      </c>
      <c r="L113" s="814"/>
      <c r="M113" s="816"/>
      <c r="N113" s="817"/>
      <c r="O113" s="825"/>
      <c r="P113" s="825" t="s">
        <v>668</v>
      </c>
      <c r="Q113" s="820"/>
      <c r="R113" s="817"/>
      <c r="S113" s="814"/>
      <c r="T113" s="821"/>
      <c r="U113" s="821" t="s">
        <v>669</v>
      </c>
      <c r="V113" s="814"/>
    </row>
    <row r="114" spans="1:22" ht="18.75">
      <c r="A114" s="814"/>
      <c r="B114" s="814"/>
      <c r="C114" s="814"/>
      <c r="D114" s="814"/>
      <c r="E114" s="814"/>
      <c r="F114" s="814"/>
      <c r="G114" s="814"/>
      <c r="H114" s="814"/>
      <c r="I114" s="814"/>
      <c r="J114" s="814"/>
      <c r="K114" s="814"/>
      <c r="L114" s="826"/>
      <c r="M114" s="825"/>
      <c r="N114" s="826"/>
      <c r="O114" s="825"/>
      <c r="P114" s="826"/>
      <c r="Q114" s="820"/>
      <c r="R114" s="827"/>
      <c r="S114" s="835"/>
      <c r="T114" s="835"/>
      <c r="U114" s="814"/>
      <c r="V114" s="814"/>
    </row>
    <row r="115" spans="1:22" ht="15.75">
      <c r="E115" s="776"/>
      <c r="F115" s="698"/>
      <c r="G115" s="776"/>
      <c r="H115" s="698"/>
      <c r="I115" s="724"/>
      <c r="J115" s="724"/>
      <c r="K115" s="724"/>
      <c r="L115" s="722"/>
      <c r="M115" s="724"/>
      <c r="N115" s="722"/>
      <c r="O115" s="724"/>
      <c r="P115" s="722"/>
      <c r="Q115" s="725"/>
      <c r="R115" s="726"/>
      <c r="S115" s="727"/>
      <c r="T115" s="776"/>
    </row>
  </sheetData>
  <mergeCells count="8">
    <mergeCell ref="A103:B103"/>
    <mergeCell ref="G111:I111"/>
    <mergeCell ref="E1:H1"/>
    <mergeCell ref="N1:T1"/>
    <mergeCell ref="E2:H2"/>
    <mergeCell ref="N2:T2"/>
    <mergeCell ref="A5:K5"/>
    <mergeCell ref="L5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230"/>
  <sheetViews>
    <sheetView topLeftCell="Q206" zoomScale="48" zoomScaleNormal="48" zoomScaleSheetLayoutView="40" workbookViewId="0">
      <selection activeCell="AG213" sqref="AG213:AJ214"/>
    </sheetView>
  </sheetViews>
  <sheetFormatPr defaultColWidth="18.7109375" defaultRowHeight="23.25"/>
  <cols>
    <col min="1" max="1" width="6.7109375" style="3104" customWidth="1"/>
    <col min="2" max="2" width="7.85546875" style="3106" customWidth="1"/>
    <col min="3" max="3" width="31.85546875" style="3106" customWidth="1"/>
    <col min="4" max="4" width="13.140625" style="3106" customWidth="1"/>
    <col min="5" max="12" width="14" style="3106" customWidth="1"/>
    <col min="13" max="13" width="13.42578125" style="3106" customWidth="1"/>
    <col min="14" max="14" width="13.140625" style="3106" customWidth="1"/>
    <col min="15" max="19" width="14" style="3106" customWidth="1"/>
    <col min="20" max="20" width="13.42578125" style="3106" customWidth="1"/>
    <col min="21" max="29" width="14" style="3106" customWidth="1"/>
    <col min="30" max="34" width="14.28515625" style="3106" customWidth="1"/>
    <col min="35" max="35" width="17" style="3174" customWidth="1"/>
    <col min="36" max="36" width="15.42578125" style="3174" customWidth="1"/>
    <col min="37" max="37" width="16.5703125" style="3106" customWidth="1"/>
    <col min="38" max="38" width="14.28515625" style="3106" customWidth="1"/>
    <col min="39" max="39" width="20.5703125" style="3106" customWidth="1"/>
    <col min="40" max="43" width="18.7109375" style="3106"/>
    <col min="44" max="44" width="21.42578125" style="3106" customWidth="1"/>
    <col min="45" max="45" width="21.140625" style="3106" customWidth="1"/>
    <col min="46" max="16384" width="18.7109375" style="3106"/>
  </cols>
  <sheetData>
    <row r="1" spans="1:46" ht="21.75" customHeight="1">
      <c r="B1" s="3840" t="s">
        <v>23</v>
      </c>
      <c r="C1" s="3840"/>
      <c r="D1" s="3840"/>
      <c r="E1" s="3840"/>
      <c r="F1" s="3840"/>
      <c r="G1" s="3840"/>
      <c r="H1" s="3840"/>
      <c r="I1" s="3840"/>
      <c r="J1" s="3840"/>
      <c r="K1" s="3840"/>
      <c r="L1" s="3840"/>
      <c r="M1" s="3840"/>
      <c r="N1" s="3840"/>
      <c r="O1" s="3840"/>
      <c r="P1" s="3840"/>
      <c r="Q1" s="3840"/>
      <c r="R1" s="3840"/>
      <c r="S1" s="3840"/>
      <c r="T1" s="3840"/>
      <c r="U1" s="3840"/>
      <c r="V1" s="3840"/>
      <c r="W1" s="3840"/>
      <c r="X1" s="3840"/>
      <c r="Y1" s="3840"/>
      <c r="Z1" s="3840"/>
      <c r="AA1" s="3840"/>
      <c r="AB1" s="3840"/>
      <c r="AC1" s="3840"/>
      <c r="AD1" s="3840"/>
      <c r="AE1" s="3840"/>
      <c r="AF1" s="3840"/>
      <c r="AG1" s="3840"/>
      <c r="AH1" s="3840"/>
      <c r="AI1" s="3840"/>
      <c r="AJ1" s="3840"/>
      <c r="AK1" s="3840"/>
      <c r="AL1" s="3840"/>
      <c r="AM1" s="3840"/>
    </row>
    <row r="2" spans="1:46" ht="21.75" customHeight="1">
      <c r="B2" s="3840" t="s">
        <v>45</v>
      </c>
      <c r="C2" s="3840"/>
      <c r="D2" s="3840"/>
      <c r="E2" s="3840"/>
      <c r="F2" s="3840"/>
      <c r="G2" s="3840"/>
      <c r="H2" s="3840"/>
      <c r="I2" s="3840"/>
      <c r="J2" s="3840"/>
      <c r="K2" s="3840"/>
      <c r="L2" s="3840"/>
      <c r="M2" s="3840"/>
      <c r="N2" s="3840"/>
      <c r="O2" s="3840"/>
      <c r="P2" s="3840"/>
      <c r="Q2" s="3840"/>
      <c r="R2" s="3840"/>
      <c r="S2" s="3840"/>
      <c r="T2" s="3840"/>
      <c r="U2" s="3840"/>
      <c r="V2" s="3840"/>
      <c r="W2" s="3840"/>
      <c r="X2" s="3840"/>
      <c r="Y2" s="3840"/>
      <c r="Z2" s="3840"/>
      <c r="AA2" s="3840"/>
      <c r="AB2" s="3840"/>
      <c r="AC2" s="3840"/>
      <c r="AD2" s="3840"/>
      <c r="AE2" s="3840"/>
      <c r="AF2" s="3840"/>
      <c r="AG2" s="3840"/>
      <c r="AH2" s="3840"/>
      <c r="AI2" s="3840"/>
      <c r="AJ2" s="3840"/>
      <c r="AK2" s="3840"/>
      <c r="AL2" s="3840"/>
      <c r="AM2" s="3840"/>
    </row>
    <row r="3" spans="1:46" ht="21.75" customHeight="1">
      <c r="B3" s="3841" t="s">
        <v>1580</v>
      </c>
      <c r="C3" s="3841"/>
      <c r="D3" s="3841"/>
      <c r="E3" s="3841"/>
      <c r="F3" s="3841"/>
      <c r="G3" s="3841"/>
      <c r="H3" s="3841"/>
      <c r="I3" s="3841"/>
      <c r="J3" s="3841"/>
      <c r="K3" s="3841"/>
      <c r="L3" s="3841"/>
      <c r="M3" s="3841"/>
      <c r="N3" s="3841"/>
      <c r="O3" s="3841"/>
      <c r="P3" s="3841"/>
      <c r="Q3" s="3841"/>
      <c r="R3" s="3841"/>
      <c r="S3" s="3841"/>
      <c r="T3" s="3841"/>
      <c r="U3" s="3841"/>
      <c r="V3" s="3841"/>
      <c r="W3" s="3841"/>
      <c r="X3" s="3841"/>
      <c r="Y3" s="3841"/>
      <c r="Z3" s="3841"/>
      <c r="AA3" s="3841"/>
      <c r="AB3" s="3841"/>
      <c r="AC3" s="3841"/>
      <c r="AD3" s="3841"/>
      <c r="AE3" s="3841"/>
      <c r="AF3" s="3841"/>
      <c r="AG3" s="3841"/>
      <c r="AH3" s="3841"/>
      <c r="AI3" s="3841"/>
      <c r="AJ3" s="3841"/>
      <c r="AK3" s="3841"/>
      <c r="AL3" s="3841"/>
      <c r="AM3" s="3841"/>
    </row>
    <row r="4" spans="1:46" ht="21.75" customHeight="1">
      <c r="B4" s="3842" t="s">
        <v>1855</v>
      </c>
      <c r="C4" s="3842"/>
      <c r="D4" s="3842"/>
      <c r="E4" s="3842"/>
      <c r="F4" s="3842"/>
      <c r="G4" s="3842"/>
      <c r="H4" s="3107"/>
      <c r="I4" s="3107"/>
      <c r="J4" s="3107"/>
      <c r="K4" s="3107"/>
      <c r="L4" s="3107"/>
      <c r="M4" s="3107"/>
      <c r="N4" s="3107"/>
      <c r="O4" s="3107"/>
      <c r="P4" s="3107"/>
      <c r="Q4" s="3107"/>
      <c r="R4" s="3107"/>
      <c r="S4" s="3107"/>
      <c r="T4" s="3107"/>
      <c r="U4" s="3107"/>
      <c r="V4" s="3107"/>
      <c r="W4" s="3107"/>
      <c r="X4" s="3107"/>
      <c r="Y4" s="3108"/>
      <c r="Z4" s="3108"/>
      <c r="AA4" s="3108"/>
      <c r="AB4" s="3108"/>
      <c r="AC4" s="3108"/>
      <c r="AD4" s="3108"/>
      <c r="AE4" s="3108"/>
      <c r="AF4" s="3108"/>
      <c r="AG4" s="3585"/>
      <c r="AH4" s="3585"/>
      <c r="AI4" s="3109"/>
      <c r="AJ4" s="3109"/>
      <c r="AK4" s="3108"/>
      <c r="AL4" s="3110"/>
      <c r="AM4" s="3111"/>
    </row>
    <row r="5" spans="1:46" ht="21.75" customHeight="1">
      <c r="B5" s="3840" t="s">
        <v>90</v>
      </c>
      <c r="C5" s="3840"/>
      <c r="D5" s="3840"/>
      <c r="E5" s="3840"/>
      <c r="F5" s="3840"/>
      <c r="G5" s="3840"/>
      <c r="H5" s="3107"/>
      <c r="I5" s="3107"/>
      <c r="J5" s="3107"/>
      <c r="K5" s="3107"/>
      <c r="L5" s="3107"/>
      <c r="M5" s="3107"/>
      <c r="N5" s="3107"/>
      <c r="O5" s="3107"/>
      <c r="P5" s="3107"/>
      <c r="Q5" s="3107"/>
      <c r="R5" s="3107"/>
      <c r="S5" s="3107"/>
      <c r="T5" s="3107"/>
      <c r="U5" s="3107"/>
      <c r="V5" s="3107"/>
      <c r="W5" s="3107"/>
      <c r="X5" s="3107"/>
      <c r="Y5" s="3108"/>
      <c r="Z5" s="3108"/>
      <c r="AA5" s="3108"/>
      <c r="AB5" s="3108"/>
      <c r="AC5" s="3108"/>
      <c r="AD5" s="3108"/>
      <c r="AE5" s="3108"/>
      <c r="AF5" s="3108"/>
      <c r="AG5" s="3585"/>
      <c r="AH5" s="3585"/>
      <c r="AI5" s="3109"/>
      <c r="AJ5" s="3109"/>
      <c r="AK5" s="3108"/>
      <c r="AL5" s="3110"/>
      <c r="AM5" s="3111"/>
    </row>
    <row r="6" spans="1:46" ht="21.75" customHeight="1">
      <c r="B6" s="3112"/>
      <c r="C6" s="3107"/>
      <c r="D6" s="3107"/>
      <c r="E6" s="3107"/>
      <c r="F6" s="3107"/>
      <c r="G6" s="3107"/>
      <c r="H6" s="3107"/>
      <c r="I6" s="3107"/>
      <c r="J6" s="3113"/>
      <c r="K6" s="3107"/>
      <c r="L6" s="3107"/>
      <c r="M6" s="3107"/>
      <c r="N6" s="3107"/>
      <c r="O6" s="3107"/>
      <c r="P6" s="3107"/>
      <c r="Q6" s="3113"/>
      <c r="R6" s="3107"/>
      <c r="S6" s="3107"/>
      <c r="T6" s="3107"/>
      <c r="U6" s="3107"/>
      <c r="V6" s="3107"/>
      <c r="W6" s="3107"/>
      <c r="X6" s="3113"/>
      <c r="Y6" s="3107"/>
      <c r="Z6" s="3107"/>
      <c r="AA6" s="3107"/>
      <c r="AB6" s="3107"/>
      <c r="AC6" s="3113"/>
      <c r="AD6" s="3107"/>
      <c r="AE6" s="3113"/>
      <c r="AF6" s="3107"/>
      <c r="AG6" s="3107"/>
      <c r="AH6" s="3107"/>
      <c r="AI6" s="3114"/>
      <c r="AJ6" s="3114"/>
      <c r="AK6" s="3056"/>
      <c r="AL6" s="3110"/>
      <c r="AM6" s="3111"/>
    </row>
    <row r="7" spans="1:46" ht="29.25" customHeight="1">
      <c r="A7" s="3840" t="s">
        <v>2194</v>
      </c>
      <c r="B7" s="3840"/>
      <c r="C7" s="3840"/>
      <c r="D7" s="3840"/>
      <c r="E7" s="3840"/>
      <c r="F7" s="3840"/>
      <c r="G7" s="3840"/>
      <c r="H7" s="3840"/>
      <c r="I7" s="3840"/>
      <c r="J7" s="3840"/>
      <c r="K7" s="3840"/>
      <c r="L7" s="3840"/>
      <c r="M7" s="3840"/>
      <c r="N7" s="3840"/>
      <c r="O7" s="3840"/>
      <c r="P7" s="3840"/>
      <c r="Q7" s="3840"/>
      <c r="R7" s="3840"/>
      <c r="S7" s="3840"/>
      <c r="T7" s="3840"/>
      <c r="U7" s="3840"/>
      <c r="V7" s="3840"/>
      <c r="W7" s="3840"/>
      <c r="X7" s="3840"/>
      <c r="Y7" s="3840"/>
      <c r="Z7" s="3840"/>
      <c r="AA7" s="3840"/>
      <c r="AB7" s="3840"/>
      <c r="AC7" s="3840"/>
      <c r="AD7" s="3840"/>
      <c r="AE7" s="3840"/>
      <c r="AF7" s="3840"/>
      <c r="AG7" s="3840"/>
      <c r="AH7" s="3840"/>
      <c r="AI7" s="3840"/>
      <c r="AJ7" s="3840"/>
      <c r="AK7" s="3840"/>
      <c r="AL7" s="3840"/>
      <c r="AM7" s="3840"/>
    </row>
    <row r="8" spans="1:46">
      <c r="B8" s="3104"/>
      <c r="C8" s="3111"/>
      <c r="D8" s="3111"/>
      <c r="E8" s="3111"/>
      <c r="F8" s="3111"/>
      <c r="G8" s="3111"/>
      <c r="H8" s="3111"/>
      <c r="I8" s="3111"/>
      <c r="J8" s="3111"/>
      <c r="K8" s="3111"/>
      <c r="L8" s="3111"/>
      <c r="M8" s="3111"/>
      <c r="N8" s="3111"/>
      <c r="O8" s="3111"/>
      <c r="P8" s="3111"/>
      <c r="Q8" s="3111"/>
      <c r="R8" s="3111"/>
      <c r="S8" s="3111"/>
      <c r="T8" s="3111"/>
      <c r="U8" s="3111"/>
      <c r="V8" s="3111"/>
      <c r="W8" s="3111"/>
      <c r="X8" s="3111"/>
      <c r="Y8" s="3111"/>
      <c r="Z8" s="3111"/>
      <c r="AA8" s="3111"/>
      <c r="AB8" s="3111"/>
      <c r="AC8" s="3115"/>
      <c r="AD8" s="3111"/>
      <c r="AE8" s="3111"/>
      <c r="AF8" s="3111"/>
      <c r="AG8" s="3111"/>
      <c r="AH8" s="3111"/>
      <c r="AI8" s="3116"/>
      <c r="AJ8" s="3116"/>
      <c r="AK8" s="3117"/>
      <c r="AL8" s="3110"/>
      <c r="AM8" s="3111"/>
    </row>
    <row r="9" spans="1:46" ht="27" customHeight="1">
      <c r="A9" s="3831" t="s">
        <v>932</v>
      </c>
      <c r="B9" s="3831" t="s">
        <v>932</v>
      </c>
      <c r="C9" s="3831" t="s">
        <v>1</v>
      </c>
      <c r="D9" s="3843" t="s">
        <v>3</v>
      </c>
      <c r="E9" s="3846" t="s">
        <v>2137</v>
      </c>
      <c r="F9" s="3847"/>
      <c r="G9" s="3847"/>
      <c r="H9" s="3847"/>
      <c r="I9" s="3847"/>
      <c r="J9" s="3847"/>
      <c r="K9" s="3847"/>
      <c r="L9" s="3847"/>
      <c r="M9" s="3847"/>
      <c r="N9" s="3847"/>
      <c r="O9" s="3847"/>
      <c r="P9" s="3847"/>
      <c r="Q9" s="3847"/>
      <c r="R9" s="3847"/>
      <c r="S9" s="3847"/>
      <c r="T9" s="3847"/>
      <c r="U9" s="3847"/>
      <c r="V9" s="3847"/>
      <c r="W9" s="3847"/>
      <c r="X9" s="3847"/>
      <c r="Y9" s="3847"/>
      <c r="Z9" s="3847"/>
      <c r="AA9" s="3847"/>
      <c r="AB9" s="3847"/>
      <c r="AC9" s="3847"/>
      <c r="AD9" s="3847"/>
      <c r="AE9" s="3847"/>
      <c r="AF9" s="3847"/>
      <c r="AG9" s="3586"/>
      <c r="AH9" s="3586"/>
      <c r="AI9" s="3850" t="s">
        <v>1858</v>
      </c>
      <c r="AJ9" s="3848" t="s">
        <v>2056</v>
      </c>
      <c r="AK9" s="3843" t="s">
        <v>2058</v>
      </c>
      <c r="AL9" s="3844" t="s">
        <v>1860</v>
      </c>
      <c r="AM9" s="3844" t="s">
        <v>1861</v>
      </c>
    </row>
    <row r="10" spans="1:46" ht="73.5" customHeight="1">
      <c r="A10" s="3831"/>
      <c r="B10" s="3831"/>
      <c r="C10" s="3831"/>
      <c r="D10" s="3831"/>
      <c r="E10" s="3118">
        <v>1</v>
      </c>
      <c r="F10" s="3118">
        <v>2</v>
      </c>
      <c r="G10" s="3118">
        <v>3</v>
      </c>
      <c r="H10" s="3119">
        <v>4</v>
      </c>
      <c r="I10" s="3118">
        <v>5</v>
      </c>
      <c r="J10" s="3118">
        <v>6</v>
      </c>
      <c r="K10" s="3118">
        <v>7</v>
      </c>
      <c r="L10" s="3118">
        <v>8</v>
      </c>
      <c r="M10" s="3118">
        <v>9</v>
      </c>
      <c r="N10" s="3118">
        <v>10</v>
      </c>
      <c r="O10" s="3119">
        <v>11</v>
      </c>
      <c r="P10" s="3118">
        <v>12</v>
      </c>
      <c r="Q10" s="3118">
        <v>13</v>
      </c>
      <c r="R10" s="3118">
        <v>14</v>
      </c>
      <c r="S10" s="3118">
        <v>15</v>
      </c>
      <c r="T10" s="3118">
        <v>16</v>
      </c>
      <c r="U10" s="3118">
        <v>17</v>
      </c>
      <c r="V10" s="3119">
        <v>18</v>
      </c>
      <c r="W10" s="3118">
        <v>19</v>
      </c>
      <c r="X10" s="3118">
        <v>20</v>
      </c>
      <c r="Y10" s="3118">
        <v>21</v>
      </c>
      <c r="Z10" s="3118">
        <v>22</v>
      </c>
      <c r="AA10" s="3118">
        <v>23</v>
      </c>
      <c r="AB10" s="3118">
        <v>24</v>
      </c>
      <c r="AC10" s="3119">
        <v>25</v>
      </c>
      <c r="AD10" s="3118">
        <v>26</v>
      </c>
      <c r="AE10" s="3118">
        <v>27</v>
      </c>
      <c r="AF10" s="3118">
        <v>28</v>
      </c>
      <c r="AG10" s="3659">
        <v>29</v>
      </c>
      <c r="AH10" s="3659">
        <v>30</v>
      </c>
      <c r="AI10" s="3850"/>
      <c r="AJ10" s="3849"/>
      <c r="AK10" s="3843"/>
      <c r="AL10" s="3845"/>
      <c r="AM10" s="3845"/>
      <c r="AR10" s="3298" t="s">
        <v>1970</v>
      </c>
      <c r="AS10" s="3298" t="s">
        <v>1934</v>
      </c>
      <c r="AT10" s="3298" t="s">
        <v>819</v>
      </c>
    </row>
    <row r="11" spans="1:46" ht="95.25" customHeight="1">
      <c r="A11" s="3118" t="s">
        <v>141</v>
      </c>
      <c r="B11" s="3120" t="s">
        <v>1862</v>
      </c>
      <c r="C11" s="3120"/>
      <c r="D11" s="3120"/>
      <c r="E11" s="3175">
        <f>+SUBTOTAL(9,E12:E45)</f>
        <v>0</v>
      </c>
      <c r="F11" s="3175">
        <f t="shared" ref="F11:AH11" si="0">+SUBTOTAL(9,F12:F45)</f>
        <v>0</v>
      </c>
      <c r="G11" s="3175">
        <f t="shared" si="0"/>
        <v>0</v>
      </c>
      <c r="H11" s="3175">
        <f t="shared" si="0"/>
        <v>0</v>
      </c>
      <c r="I11" s="3175">
        <f t="shared" si="0"/>
        <v>0</v>
      </c>
      <c r="J11" s="3175">
        <f t="shared" si="0"/>
        <v>0</v>
      </c>
      <c r="K11" s="3175">
        <f t="shared" si="0"/>
        <v>0</v>
      </c>
      <c r="L11" s="3175">
        <f t="shared" si="0"/>
        <v>0</v>
      </c>
      <c r="M11" s="3175">
        <f t="shared" si="0"/>
        <v>0</v>
      </c>
      <c r="N11" s="3175">
        <f t="shared" si="0"/>
        <v>0</v>
      </c>
      <c r="O11" s="3175">
        <f t="shared" si="0"/>
        <v>0</v>
      </c>
      <c r="P11" s="3175">
        <f t="shared" si="0"/>
        <v>0</v>
      </c>
      <c r="Q11" s="3175">
        <f t="shared" si="0"/>
        <v>0</v>
      </c>
      <c r="R11" s="3175">
        <f t="shared" si="0"/>
        <v>0</v>
      </c>
      <c r="S11" s="3175">
        <f t="shared" si="0"/>
        <v>0</v>
      </c>
      <c r="T11" s="3175">
        <f t="shared" si="0"/>
        <v>0</v>
      </c>
      <c r="U11" s="3175">
        <f t="shared" si="0"/>
        <v>0</v>
      </c>
      <c r="V11" s="3175">
        <f t="shared" si="0"/>
        <v>0</v>
      </c>
      <c r="W11" s="3175">
        <f t="shared" si="0"/>
        <v>0</v>
      </c>
      <c r="X11" s="3175">
        <f t="shared" si="0"/>
        <v>0</v>
      </c>
      <c r="Y11" s="3175">
        <f t="shared" si="0"/>
        <v>0</v>
      </c>
      <c r="Z11" s="3175">
        <f t="shared" si="0"/>
        <v>0</v>
      </c>
      <c r="AA11" s="3175">
        <f t="shared" si="0"/>
        <v>0</v>
      </c>
      <c r="AB11" s="3175">
        <f t="shared" si="0"/>
        <v>0</v>
      </c>
      <c r="AC11" s="3175">
        <f t="shared" si="0"/>
        <v>0</v>
      </c>
      <c r="AD11" s="3175">
        <f t="shared" si="0"/>
        <v>456</v>
      </c>
      <c r="AE11" s="3175">
        <f t="shared" si="0"/>
        <v>423</v>
      </c>
      <c r="AF11" s="3175">
        <f t="shared" si="0"/>
        <v>0</v>
      </c>
      <c r="AG11" s="3175">
        <f t="shared" si="0"/>
        <v>0</v>
      </c>
      <c r="AH11" s="3175">
        <f t="shared" si="0"/>
        <v>0</v>
      </c>
      <c r="AI11" s="3122">
        <f>SUM(AI12:AI45)</f>
        <v>879</v>
      </c>
      <c r="AJ11" s="3068">
        <f>+AJ12</f>
        <v>56.836923553079544</v>
      </c>
      <c r="AK11" s="3122">
        <f>+SUM(AK12:AK45)</f>
        <v>499.59655803156915</v>
      </c>
      <c r="AL11" s="3660"/>
      <c r="AM11" s="3124"/>
      <c r="AR11" s="3294">
        <v>879</v>
      </c>
      <c r="AS11" s="3295">
        <v>499.5965580315692</v>
      </c>
      <c r="AT11" s="3294">
        <f>+AS11/AR11</f>
        <v>0.56836923553079544</v>
      </c>
    </row>
    <row r="12" spans="1:46" ht="95.25" customHeight="1">
      <c r="A12" s="3125">
        <v>1</v>
      </c>
      <c r="B12" s="3126">
        <v>1</v>
      </c>
      <c r="C12" s="3126" t="s">
        <v>1557</v>
      </c>
      <c r="D12" s="3127" t="s">
        <v>451</v>
      </c>
      <c r="E12" s="3128"/>
      <c r="F12" s="3128"/>
      <c r="G12" s="3128"/>
      <c r="H12" s="3128"/>
      <c r="I12" s="3128"/>
      <c r="J12" s="3128"/>
      <c r="K12" s="3128"/>
      <c r="L12" s="3128"/>
      <c r="M12" s="3128"/>
      <c r="N12" s="3128"/>
      <c r="O12" s="3128"/>
      <c r="P12" s="3128"/>
      <c r="Q12" s="3128"/>
      <c r="R12" s="3128"/>
      <c r="S12" s="3128"/>
      <c r="T12" s="3128"/>
      <c r="U12" s="3128"/>
      <c r="V12" s="3128"/>
      <c r="W12" s="3128"/>
      <c r="X12" s="3128"/>
      <c r="Y12" s="3128"/>
      <c r="Z12" s="3128"/>
      <c r="AA12" s="3128"/>
      <c r="AB12" s="3128"/>
      <c r="AC12" s="3128"/>
      <c r="AD12" s="3128">
        <v>0</v>
      </c>
      <c r="AE12" s="3128">
        <v>0</v>
      </c>
      <c r="AF12" s="3128"/>
      <c r="AG12" s="3128"/>
      <c r="AH12" s="3128"/>
      <c r="AI12" s="3129">
        <f>+SUM(E12:AH12)</f>
        <v>0</v>
      </c>
      <c r="AJ12" s="3130">
        <f>$AT$11*100</f>
        <v>56.836923553079544</v>
      </c>
      <c r="AK12" s="3129">
        <f>+AI12*AJ12/100</f>
        <v>0</v>
      </c>
      <c r="AL12" s="3660" t="s">
        <v>141</v>
      </c>
      <c r="AM12" s="3132"/>
      <c r="AS12" s="3019">
        <f>+AK11-AS11</f>
        <v>0</v>
      </c>
    </row>
    <row r="13" spans="1:46" ht="95.25" customHeight="1">
      <c r="A13" s="3125">
        <v>2</v>
      </c>
      <c r="B13" s="3126">
        <v>2</v>
      </c>
      <c r="C13" s="3126" t="s">
        <v>2169</v>
      </c>
      <c r="D13" s="3127" t="s">
        <v>451</v>
      </c>
      <c r="E13" s="3128"/>
      <c r="F13" s="3128"/>
      <c r="G13" s="3128"/>
      <c r="H13" s="3128"/>
      <c r="I13" s="3128"/>
      <c r="J13" s="3128"/>
      <c r="K13" s="3128"/>
      <c r="L13" s="3128"/>
      <c r="M13" s="3128"/>
      <c r="N13" s="3128"/>
      <c r="O13" s="3128"/>
      <c r="P13" s="3128"/>
      <c r="Q13" s="3128"/>
      <c r="R13" s="3128"/>
      <c r="S13" s="3128"/>
      <c r="T13" s="3128"/>
      <c r="U13" s="3128"/>
      <c r="V13" s="3128"/>
      <c r="W13" s="3128"/>
      <c r="X13" s="3128"/>
      <c r="Y13" s="3128"/>
      <c r="Z13" s="3128"/>
      <c r="AA13" s="3128"/>
      <c r="AB13" s="3128"/>
      <c r="AC13" s="3128"/>
      <c r="AD13" s="3128">
        <v>33</v>
      </c>
      <c r="AE13" s="3128">
        <v>28</v>
      </c>
      <c r="AF13" s="3128"/>
      <c r="AG13" s="3128"/>
      <c r="AH13" s="3128"/>
      <c r="AI13" s="3129">
        <f t="shared" ref="AI13:AI45" si="1">+SUM(E13:AH13)</f>
        <v>61</v>
      </c>
      <c r="AJ13" s="3130">
        <f>$AT$11*100</f>
        <v>56.836923553079544</v>
      </c>
      <c r="AK13" s="3129">
        <f>+AI13*AJ13/100</f>
        <v>34.670523367378522</v>
      </c>
      <c r="AL13" s="3660" t="s">
        <v>141</v>
      </c>
      <c r="AM13" s="3132"/>
    </row>
    <row r="14" spans="1:46" ht="95.25" customHeight="1">
      <c r="A14" s="3125">
        <v>3</v>
      </c>
      <c r="B14" s="3126">
        <v>3</v>
      </c>
      <c r="C14" s="3126" t="s">
        <v>2170</v>
      </c>
      <c r="D14" s="3127" t="s">
        <v>451</v>
      </c>
      <c r="E14" s="3128"/>
      <c r="F14" s="3128"/>
      <c r="G14" s="3128"/>
      <c r="H14" s="3128"/>
      <c r="I14" s="3128"/>
      <c r="J14" s="3128"/>
      <c r="K14" s="3128"/>
      <c r="L14" s="3128"/>
      <c r="M14" s="3128"/>
      <c r="N14" s="3128"/>
      <c r="O14" s="3128"/>
      <c r="P14" s="3128"/>
      <c r="Q14" s="3128"/>
      <c r="R14" s="3128"/>
      <c r="S14" s="3128"/>
      <c r="T14" s="3128"/>
      <c r="U14" s="3128"/>
      <c r="V14" s="3128"/>
      <c r="W14" s="3128"/>
      <c r="X14" s="3128"/>
      <c r="Y14" s="3128"/>
      <c r="Z14" s="3128"/>
      <c r="AA14" s="3128"/>
      <c r="AB14" s="3128"/>
      <c r="AC14" s="3128"/>
      <c r="AD14" s="3128">
        <v>6</v>
      </c>
      <c r="AE14" s="3128">
        <v>0</v>
      </c>
      <c r="AF14" s="3128"/>
      <c r="AG14" s="3128"/>
      <c r="AH14" s="3128"/>
      <c r="AI14" s="3129">
        <f t="shared" si="1"/>
        <v>6</v>
      </c>
      <c r="AJ14" s="3130">
        <f t="shared" ref="AJ14:AJ45" si="2">$AT$11*100</f>
        <v>56.836923553079544</v>
      </c>
      <c r="AK14" s="3129">
        <f t="shared" ref="AK14:AK45" si="3">+AI14*AJ14/100</f>
        <v>3.4102154131847726</v>
      </c>
      <c r="AL14" s="3660" t="s">
        <v>141</v>
      </c>
      <c r="AM14" s="3132"/>
      <c r="AO14" s="3106" t="s">
        <v>141</v>
      </c>
      <c r="AP14" s="3106">
        <f>+COUNTIF($AL$12:$AL$45,"A")</f>
        <v>34</v>
      </c>
    </row>
    <row r="15" spans="1:46" ht="95.25" customHeight="1">
      <c r="A15" s="3125">
        <v>4</v>
      </c>
      <c r="B15" s="3126">
        <v>4</v>
      </c>
      <c r="C15" s="3126" t="s">
        <v>2171</v>
      </c>
      <c r="D15" s="3127" t="s">
        <v>451</v>
      </c>
      <c r="E15" s="3129"/>
      <c r="F15" s="3129"/>
      <c r="G15" s="3129"/>
      <c r="H15" s="3128"/>
      <c r="I15" s="3128"/>
      <c r="J15" s="3128"/>
      <c r="K15" s="3128"/>
      <c r="L15" s="3128"/>
      <c r="M15" s="3128"/>
      <c r="N15" s="3128"/>
      <c r="O15" s="3128"/>
      <c r="P15" s="3128"/>
      <c r="Q15" s="3128"/>
      <c r="R15" s="3128"/>
      <c r="S15" s="3128"/>
      <c r="T15" s="3128"/>
      <c r="U15" s="3128"/>
      <c r="V15" s="3128"/>
      <c r="W15" s="3128"/>
      <c r="X15" s="3128"/>
      <c r="Y15" s="3128"/>
      <c r="Z15" s="3128"/>
      <c r="AA15" s="3128"/>
      <c r="AB15" s="3128"/>
      <c r="AC15" s="3128"/>
      <c r="AD15" s="3128">
        <v>18</v>
      </c>
      <c r="AE15" s="3128">
        <v>7</v>
      </c>
      <c r="AF15" s="3128"/>
      <c r="AG15" s="3128"/>
      <c r="AH15" s="3128"/>
      <c r="AI15" s="3129">
        <f t="shared" si="1"/>
        <v>25</v>
      </c>
      <c r="AJ15" s="3130">
        <f t="shared" si="2"/>
        <v>56.836923553079544</v>
      </c>
      <c r="AK15" s="3129">
        <f t="shared" si="3"/>
        <v>14.209230888269886</v>
      </c>
      <c r="AL15" s="3660" t="s">
        <v>141</v>
      </c>
      <c r="AM15" s="3132"/>
      <c r="AO15" s="3106" t="s">
        <v>138</v>
      </c>
      <c r="AP15" s="3106">
        <f>+COUNTIF($AL$12:$AL$45,"B")</f>
        <v>0</v>
      </c>
    </row>
    <row r="16" spans="1:46" ht="95.25" customHeight="1">
      <c r="A16" s="3125">
        <v>5</v>
      </c>
      <c r="B16" s="3126">
        <v>5</v>
      </c>
      <c r="C16" s="3126" t="s">
        <v>2172</v>
      </c>
      <c r="D16" s="3127" t="s">
        <v>451</v>
      </c>
      <c r="E16" s="3129"/>
      <c r="F16" s="3129"/>
      <c r="G16" s="3129"/>
      <c r="H16" s="3128"/>
      <c r="I16" s="3128"/>
      <c r="J16" s="3128"/>
      <c r="K16" s="3128"/>
      <c r="L16" s="3128"/>
      <c r="M16" s="3128"/>
      <c r="N16" s="3128"/>
      <c r="O16" s="3128"/>
      <c r="P16" s="3128"/>
      <c r="Q16" s="3128"/>
      <c r="R16" s="3128"/>
      <c r="S16" s="3128"/>
      <c r="T16" s="3128"/>
      <c r="U16" s="3128"/>
      <c r="V16" s="3128"/>
      <c r="W16" s="3128"/>
      <c r="X16" s="3128"/>
      <c r="Y16" s="3128"/>
      <c r="Z16" s="3128"/>
      <c r="AA16" s="3128"/>
      <c r="AB16" s="3128"/>
      <c r="AC16" s="3128"/>
      <c r="AD16" s="3128">
        <v>0</v>
      </c>
      <c r="AE16" s="3128">
        <v>0</v>
      </c>
      <c r="AF16" s="3128"/>
      <c r="AG16" s="3128"/>
      <c r="AH16" s="3128"/>
      <c r="AI16" s="3129">
        <f t="shared" si="1"/>
        <v>0</v>
      </c>
      <c r="AJ16" s="3130">
        <f t="shared" si="2"/>
        <v>56.836923553079544</v>
      </c>
      <c r="AK16" s="3129">
        <f t="shared" si="3"/>
        <v>0</v>
      </c>
      <c r="AL16" s="3660" t="s">
        <v>141</v>
      </c>
      <c r="AM16" s="3132"/>
      <c r="AO16" s="3106" t="s">
        <v>168</v>
      </c>
      <c r="AP16" s="3106">
        <f>+COUNTIF($AL$12:$AL$45,"C")</f>
        <v>0</v>
      </c>
    </row>
    <row r="17" spans="1:44" ht="95.25" customHeight="1">
      <c r="A17" s="3125">
        <v>6</v>
      </c>
      <c r="B17" s="3126">
        <v>6</v>
      </c>
      <c r="C17" s="3126" t="s">
        <v>1528</v>
      </c>
      <c r="D17" s="3127" t="s">
        <v>451</v>
      </c>
      <c r="E17" s="3128"/>
      <c r="F17" s="3128"/>
      <c r="G17" s="3128"/>
      <c r="H17" s="3128"/>
      <c r="I17" s="3128"/>
      <c r="J17" s="3128"/>
      <c r="K17" s="3128"/>
      <c r="L17" s="3128"/>
      <c r="M17" s="3128"/>
      <c r="N17" s="3128"/>
      <c r="O17" s="3128"/>
      <c r="P17" s="3128"/>
      <c r="Q17" s="3128"/>
      <c r="R17" s="3128"/>
      <c r="S17" s="3128"/>
      <c r="T17" s="3128"/>
      <c r="U17" s="3128"/>
      <c r="V17" s="3128"/>
      <c r="W17" s="3128"/>
      <c r="X17" s="3128"/>
      <c r="Y17" s="3128"/>
      <c r="Z17" s="3128"/>
      <c r="AA17" s="3128"/>
      <c r="AB17" s="3128"/>
      <c r="AC17" s="3128"/>
      <c r="AD17" s="3128">
        <v>0</v>
      </c>
      <c r="AE17" s="3128">
        <v>0</v>
      </c>
      <c r="AF17" s="3128"/>
      <c r="AG17" s="3128"/>
      <c r="AH17" s="3128"/>
      <c r="AI17" s="3129">
        <f t="shared" si="1"/>
        <v>0</v>
      </c>
      <c r="AJ17" s="3130">
        <f t="shared" si="2"/>
        <v>56.836923553079544</v>
      </c>
      <c r="AK17" s="3129">
        <f t="shared" si="3"/>
        <v>0</v>
      </c>
      <c r="AL17" s="3660" t="s">
        <v>141</v>
      </c>
      <c r="AM17" s="3132"/>
    </row>
    <row r="18" spans="1:44" ht="95.25" customHeight="1">
      <c r="A18" s="3125">
        <v>7</v>
      </c>
      <c r="B18" s="3126">
        <v>7</v>
      </c>
      <c r="C18" s="3126" t="s">
        <v>2173</v>
      </c>
      <c r="D18" s="3127" t="s">
        <v>451</v>
      </c>
      <c r="E18" s="3128"/>
      <c r="F18" s="3128"/>
      <c r="G18" s="3128"/>
      <c r="H18" s="3128"/>
      <c r="I18" s="3128"/>
      <c r="J18" s="3128"/>
      <c r="K18" s="3128"/>
      <c r="L18" s="3128"/>
      <c r="M18" s="3128"/>
      <c r="N18" s="3128"/>
      <c r="O18" s="3128"/>
      <c r="P18" s="3128"/>
      <c r="Q18" s="3128"/>
      <c r="R18" s="3128"/>
      <c r="S18" s="3128"/>
      <c r="T18" s="3128"/>
      <c r="U18" s="3128"/>
      <c r="V18" s="3128"/>
      <c r="W18" s="3128"/>
      <c r="X18" s="3128"/>
      <c r="Y18" s="3128"/>
      <c r="Z18" s="3128"/>
      <c r="AA18" s="3128"/>
      <c r="AB18" s="3128"/>
      <c r="AC18" s="3128"/>
      <c r="AD18" s="3128">
        <v>20</v>
      </c>
      <c r="AE18" s="3128">
        <v>20</v>
      </c>
      <c r="AF18" s="3128"/>
      <c r="AG18" s="3128"/>
      <c r="AH18" s="3128"/>
      <c r="AI18" s="3129">
        <f t="shared" si="1"/>
        <v>40</v>
      </c>
      <c r="AJ18" s="3130">
        <f t="shared" si="2"/>
        <v>56.836923553079544</v>
      </c>
      <c r="AK18" s="3129">
        <f t="shared" si="3"/>
        <v>22.734769421231817</v>
      </c>
      <c r="AL18" s="3660" t="s">
        <v>141</v>
      </c>
      <c r="AM18" s="3132"/>
    </row>
    <row r="19" spans="1:44" ht="95.25" customHeight="1">
      <c r="A19" s="3125">
        <v>8</v>
      </c>
      <c r="B19" s="3126">
        <v>8</v>
      </c>
      <c r="C19" s="3126" t="s">
        <v>2174</v>
      </c>
      <c r="D19" s="3127" t="s">
        <v>451</v>
      </c>
      <c r="E19" s="3128"/>
      <c r="F19" s="3128"/>
      <c r="G19" s="3128"/>
      <c r="H19" s="3128"/>
      <c r="I19" s="3128"/>
      <c r="J19" s="3128"/>
      <c r="K19" s="3128"/>
      <c r="L19" s="3128"/>
      <c r="M19" s="3128"/>
      <c r="N19" s="3128"/>
      <c r="O19" s="3128"/>
      <c r="P19" s="3128"/>
      <c r="Q19" s="3128"/>
      <c r="R19" s="3128"/>
      <c r="S19" s="3128"/>
      <c r="T19" s="3128"/>
      <c r="U19" s="3128"/>
      <c r="V19" s="3128"/>
      <c r="W19" s="3128"/>
      <c r="X19" s="3128"/>
      <c r="Y19" s="3128"/>
      <c r="Z19" s="3128"/>
      <c r="AA19" s="3128"/>
      <c r="AB19" s="3128"/>
      <c r="AC19" s="3128"/>
      <c r="AD19" s="3128">
        <v>10</v>
      </c>
      <c r="AE19" s="3128">
        <v>10</v>
      </c>
      <c r="AF19" s="3128"/>
      <c r="AG19" s="3128"/>
      <c r="AH19" s="3128"/>
      <c r="AI19" s="3129">
        <f t="shared" si="1"/>
        <v>20</v>
      </c>
      <c r="AJ19" s="3130">
        <f t="shared" si="2"/>
        <v>56.836923553079544</v>
      </c>
      <c r="AK19" s="3129">
        <f t="shared" si="3"/>
        <v>11.367384710615909</v>
      </c>
      <c r="AL19" s="3660" t="s">
        <v>141</v>
      </c>
      <c r="AM19" s="3132"/>
    </row>
    <row r="20" spans="1:44" ht="95.25" customHeight="1">
      <c r="A20" s="3125">
        <v>9</v>
      </c>
      <c r="B20" s="3126">
        <v>9</v>
      </c>
      <c r="C20" s="3126" t="s">
        <v>2175</v>
      </c>
      <c r="D20" s="3127" t="s">
        <v>451</v>
      </c>
      <c r="E20" s="3128"/>
      <c r="F20" s="3128"/>
      <c r="G20" s="3128"/>
      <c r="H20" s="3128"/>
      <c r="I20" s="3128"/>
      <c r="J20" s="3128"/>
      <c r="K20" s="3128"/>
      <c r="L20" s="3128"/>
      <c r="M20" s="3128"/>
      <c r="N20" s="3128"/>
      <c r="O20" s="3128"/>
      <c r="P20" s="3128"/>
      <c r="Q20" s="3128"/>
      <c r="R20" s="3128"/>
      <c r="S20" s="3128"/>
      <c r="T20" s="3128"/>
      <c r="U20" s="3128"/>
      <c r="V20" s="3128"/>
      <c r="W20" s="3128"/>
      <c r="X20" s="3128"/>
      <c r="Y20" s="3128"/>
      <c r="Z20" s="3128"/>
      <c r="AA20" s="3128"/>
      <c r="AB20" s="3128"/>
      <c r="AC20" s="3128"/>
      <c r="AD20" s="3128">
        <v>11</v>
      </c>
      <c r="AE20" s="3128">
        <v>0</v>
      </c>
      <c r="AF20" s="3128"/>
      <c r="AG20" s="3128"/>
      <c r="AH20" s="3128"/>
      <c r="AI20" s="3129">
        <f t="shared" si="1"/>
        <v>11</v>
      </c>
      <c r="AJ20" s="3130">
        <f t="shared" si="2"/>
        <v>56.836923553079544</v>
      </c>
      <c r="AK20" s="3129">
        <f t="shared" si="3"/>
        <v>6.2520615908387507</v>
      </c>
      <c r="AL20" s="3660" t="s">
        <v>141</v>
      </c>
      <c r="AM20" s="3132"/>
    </row>
    <row r="21" spans="1:44" ht="95.25" customHeight="1">
      <c r="A21" s="3125">
        <v>10</v>
      </c>
      <c r="B21" s="3126">
        <v>10</v>
      </c>
      <c r="C21" s="3126" t="s">
        <v>2176</v>
      </c>
      <c r="D21" s="3127" t="s">
        <v>451</v>
      </c>
      <c r="E21" s="3128"/>
      <c r="F21" s="3128"/>
      <c r="G21" s="3128"/>
      <c r="H21" s="3128"/>
      <c r="I21" s="3128"/>
      <c r="J21" s="3128"/>
      <c r="K21" s="3128"/>
      <c r="L21" s="3128"/>
      <c r="M21" s="3128"/>
      <c r="N21" s="3128"/>
      <c r="O21" s="3128"/>
      <c r="P21" s="3128"/>
      <c r="Q21" s="3128"/>
      <c r="R21" s="3128"/>
      <c r="S21" s="3128"/>
      <c r="T21" s="3128"/>
      <c r="U21" s="3128"/>
      <c r="V21" s="3128"/>
      <c r="W21" s="3128"/>
      <c r="X21" s="3128"/>
      <c r="Y21" s="3128"/>
      <c r="Z21" s="3128"/>
      <c r="AA21" s="3128"/>
      <c r="AB21" s="3128"/>
      <c r="AC21" s="3128"/>
      <c r="AD21" s="3128">
        <v>6</v>
      </c>
      <c r="AE21" s="3128">
        <v>0</v>
      </c>
      <c r="AF21" s="3128"/>
      <c r="AG21" s="3128"/>
      <c r="AH21" s="3128"/>
      <c r="AI21" s="3129">
        <f t="shared" si="1"/>
        <v>6</v>
      </c>
      <c r="AJ21" s="3130">
        <f t="shared" si="2"/>
        <v>56.836923553079544</v>
      </c>
      <c r="AK21" s="3129">
        <f t="shared" si="3"/>
        <v>3.4102154131847726</v>
      </c>
      <c r="AL21" s="3660" t="s">
        <v>141</v>
      </c>
      <c r="AM21" s="3132"/>
    </row>
    <row r="22" spans="1:44" ht="95.25" customHeight="1">
      <c r="A22" s="3125">
        <v>11</v>
      </c>
      <c r="B22" s="3126">
        <v>11</v>
      </c>
      <c r="C22" s="3126" t="s">
        <v>2177</v>
      </c>
      <c r="D22" s="3127" t="s">
        <v>451</v>
      </c>
      <c r="E22" s="3128"/>
      <c r="F22" s="3128"/>
      <c r="G22" s="3128"/>
      <c r="H22" s="3128"/>
      <c r="I22" s="3128"/>
      <c r="J22" s="3128"/>
      <c r="K22" s="3128"/>
      <c r="L22" s="3128"/>
      <c r="M22" s="3128"/>
      <c r="N22" s="3128"/>
      <c r="O22" s="3128"/>
      <c r="P22" s="3128"/>
      <c r="Q22" s="3128"/>
      <c r="R22" s="3128"/>
      <c r="S22" s="3128"/>
      <c r="T22" s="3128"/>
      <c r="U22" s="3128"/>
      <c r="V22" s="3128"/>
      <c r="W22" s="3128"/>
      <c r="X22" s="3128"/>
      <c r="Y22" s="3128"/>
      <c r="Z22" s="3128"/>
      <c r="AA22" s="3128"/>
      <c r="AB22" s="3128"/>
      <c r="AC22" s="3128"/>
      <c r="AD22" s="3128">
        <v>12</v>
      </c>
      <c r="AE22" s="3128">
        <v>12</v>
      </c>
      <c r="AF22" s="3128"/>
      <c r="AG22" s="3128"/>
      <c r="AH22" s="3128"/>
      <c r="AI22" s="3129">
        <f t="shared" si="1"/>
        <v>24</v>
      </c>
      <c r="AJ22" s="3130">
        <f t="shared" si="2"/>
        <v>56.836923553079544</v>
      </c>
      <c r="AK22" s="3129">
        <f t="shared" si="3"/>
        <v>13.64086165273909</v>
      </c>
      <c r="AL22" s="3660" t="s">
        <v>141</v>
      </c>
      <c r="AM22" s="3132"/>
      <c r="AR22" s="2581"/>
    </row>
    <row r="23" spans="1:44" ht="95.25" customHeight="1">
      <c r="A23" s="3125">
        <v>12</v>
      </c>
      <c r="B23" s="3126">
        <v>12</v>
      </c>
      <c r="C23" s="3126" t="s">
        <v>2178</v>
      </c>
      <c r="D23" s="3127" t="s">
        <v>451</v>
      </c>
      <c r="E23" s="3128"/>
      <c r="F23" s="3128"/>
      <c r="G23" s="3128"/>
      <c r="H23" s="3128"/>
      <c r="I23" s="3128"/>
      <c r="J23" s="3128"/>
      <c r="K23" s="3128"/>
      <c r="L23" s="3128"/>
      <c r="M23" s="3128"/>
      <c r="N23" s="3128"/>
      <c r="O23" s="3128"/>
      <c r="P23" s="3128"/>
      <c r="Q23" s="3128"/>
      <c r="R23" s="3128"/>
      <c r="S23" s="3128"/>
      <c r="T23" s="3128"/>
      <c r="U23" s="3128"/>
      <c r="V23" s="3128"/>
      <c r="W23" s="3128"/>
      <c r="X23" s="3128"/>
      <c r="Y23" s="3128"/>
      <c r="Z23" s="3128"/>
      <c r="AA23" s="3128"/>
      <c r="AB23" s="3128"/>
      <c r="AC23" s="3128"/>
      <c r="AD23" s="3128">
        <v>15</v>
      </c>
      <c r="AE23" s="3128">
        <v>45</v>
      </c>
      <c r="AF23" s="3128"/>
      <c r="AG23" s="3128"/>
      <c r="AH23" s="3128"/>
      <c r="AI23" s="3129">
        <f t="shared" si="1"/>
        <v>60</v>
      </c>
      <c r="AJ23" s="3130">
        <f t="shared" si="2"/>
        <v>56.836923553079544</v>
      </c>
      <c r="AK23" s="3129">
        <f t="shared" si="3"/>
        <v>34.102154131847726</v>
      </c>
      <c r="AL23" s="3660" t="s">
        <v>141</v>
      </c>
      <c r="AM23" s="3132"/>
    </row>
    <row r="24" spans="1:44" ht="95.25" customHeight="1">
      <c r="A24" s="3125">
        <v>13</v>
      </c>
      <c r="B24" s="3126">
        <v>13</v>
      </c>
      <c r="C24" s="3126" t="s">
        <v>2179</v>
      </c>
      <c r="D24" s="3127" t="s">
        <v>451</v>
      </c>
      <c r="E24" s="3128"/>
      <c r="F24" s="3128"/>
      <c r="G24" s="3128"/>
      <c r="H24" s="3128"/>
      <c r="I24" s="3128"/>
      <c r="J24" s="3128"/>
      <c r="K24" s="3128"/>
      <c r="L24" s="3128"/>
      <c r="M24" s="3128"/>
      <c r="N24" s="3128"/>
      <c r="O24" s="3128"/>
      <c r="P24" s="3128"/>
      <c r="Q24" s="3128"/>
      <c r="R24" s="3128"/>
      <c r="S24" s="3128"/>
      <c r="T24" s="3128"/>
      <c r="U24" s="3128"/>
      <c r="V24" s="3128"/>
      <c r="W24" s="3128"/>
      <c r="X24" s="3128"/>
      <c r="Y24" s="3128"/>
      <c r="Z24" s="3128"/>
      <c r="AA24" s="3128"/>
      <c r="AB24" s="3128"/>
      <c r="AC24" s="3128"/>
      <c r="AD24" s="3128">
        <v>26</v>
      </c>
      <c r="AE24" s="3128">
        <v>14</v>
      </c>
      <c r="AF24" s="3128"/>
      <c r="AG24" s="3128"/>
      <c r="AH24" s="3128"/>
      <c r="AI24" s="3129">
        <f t="shared" si="1"/>
        <v>40</v>
      </c>
      <c r="AJ24" s="3130">
        <f t="shared" si="2"/>
        <v>56.836923553079544</v>
      </c>
      <c r="AK24" s="3129">
        <f t="shared" si="3"/>
        <v>22.734769421231817</v>
      </c>
      <c r="AL24" s="3660" t="s">
        <v>141</v>
      </c>
      <c r="AM24" s="3132"/>
    </row>
    <row r="25" spans="1:44" ht="95.25" customHeight="1">
      <c r="A25" s="3125">
        <v>14</v>
      </c>
      <c r="B25" s="3126">
        <v>14</v>
      </c>
      <c r="C25" s="3126" t="s">
        <v>1301</v>
      </c>
      <c r="D25" s="3127" t="s">
        <v>451</v>
      </c>
      <c r="E25" s="3128"/>
      <c r="F25" s="3128"/>
      <c r="G25" s="3128"/>
      <c r="H25" s="3128"/>
      <c r="I25" s="3128"/>
      <c r="J25" s="3128"/>
      <c r="K25" s="3128"/>
      <c r="L25" s="3128"/>
      <c r="M25" s="3128"/>
      <c r="N25" s="3128"/>
      <c r="O25" s="3128"/>
      <c r="P25" s="3128"/>
      <c r="Q25" s="3128"/>
      <c r="R25" s="3128"/>
      <c r="S25" s="3128"/>
      <c r="T25" s="3128"/>
      <c r="U25" s="3128"/>
      <c r="V25" s="3128"/>
      <c r="W25" s="3128"/>
      <c r="X25" s="3128"/>
      <c r="Y25" s="3128"/>
      <c r="Z25" s="3128"/>
      <c r="AA25" s="3128"/>
      <c r="AB25" s="3128"/>
      <c r="AC25" s="3128"/>
      <c r="AD25" s="3128">
        <v>0</v>
      </c>
      <c r="AE25" s="3128">
        <v>0</v>
      </c>
      <c r="AF25" s="3128"/>
      <c r="AG25" s="3128"/>
      <c r="AH25" s="3128"/>
      <c r="AI25" s="3129">
        <f t="shared" si="1"/>
        <v>0</v>
      </c>
      <c r="AJ25" s="3130">
        <f t="shared" si="2"/>
        <v>56.836923553079544</v>
      </c>
      <c r="AK25" s="3129">
        <f t="shared" si="3"/>
        <v>0</v>
      </c>
      <c r="AL25" s="3660" t="s">
        <v>141</v>
      </c>
      <c r="AM25" s="3132"/>
    </row>
    <row r="26" spans="1:44" ht="95.25" customHeight="1">
      <c r="A26" s="3125">
        <v>15</v>
      </c>
      <c r="B26" s="3126">
        <v>15</v>
      </c>
      <c r="C26" s="3126" t="s">
        <v>2180</v>
      </c>
      <c r="D26" s="3127" t="s">
        <v>451</v>
      </c>
      <c r="E26" s="3128"/>
      <c r="F26" s="3128"/>
      <c r="G26" s="3128"/>
      <c r="H26" s="3128"/>
      <c r="I26" s="3128"/>
      <c r="J26" s="3128"/>
      <c r="K26" s="3128"/>
      <c r="L26" s="3128"/>
      <c r="M26" s="3128"/>
      <c r="N26" s="3128"/>
      <c r="O26" s="3128"/>
      <c r="P26" s="3128"/>
      <c r="Q26" s="3128"/>
      <c r="R26" s="3128"/>
      <c r="S26" s="3128"/>
      <c r="T26" s="3128"/>
      <c r="U26" s="3128"/>
      <c r="V26" s="3128"/>
      <c r="W26" s="3128"/>
      <c r="X26" s="3128"/>
      <c r="Y26" s="3128"/>
      <c r="Z26" s="3128"/>
      <c r="AA26" s="3128"/>
      <c r="AB26" s="3128"/>
      <c r="AC26" s="3128"/>
      <c r="AD26" s="3128">
        <v>15</v>
      </c>
      <c r="AE26" s="3128">
        <v>20</v>
      </c>
      <c r="AF26" s="3128"/>
      <c r="AG26" s="3128"/>
      <c r="AH26" s="3128"/>
      <c r="AI26" s="3129">
        <f t="shared" si="1"/>
        <v>35</v>
      </c>
      <c r="AJ26" s="3130">
        <f t="shared" si="2"/>
        <v>56.836923553079544</v>
      </c>
      <c r="AK26" s="3129">
        <f t="shared" si="3"/>
        <v>19.89292324357784</v>
      </c>
      <c r="AL26" s="3660" t="s">
        <v>141</v>
      </c>
      <c r="AM26" s="3132"/>
    </row>
    <row r="27" spans="1:44" ht="95.25" customHeight="1">
      <c r="A27" s="3125">
        <v>16</v>
      </c>
      <c r="B27" s="3126">
        <v>16</v>
      </c>
      <c r="C27" s="2546" t="s">
        <v>1677</v>
      </c>
      <c r="D27" s="3127" t="s">
        <v>451</v>
      </c>
      <c r="E27" s="3128"/>
      <c r="F27" s="3128"/>
      <c r="G27" s="3128"/>
      <c r="H27" s="3128"/>
      <c r="I27" s="3128"/>
      <c r="J27" s="3128"/>
      <c r="K27" s="3128"/>
      <c r="L27" s="3128"/>
      <c r="M27" s="3128"/>
      <c r="N27" s="3128"/>
      <c r="O27" s="3128"/>
      <c r="P27" s="3128"/>
      <c r="Q27" s="3128"/>
      <c r="R27" s="3128"/>
      <c r="S27" s="3128"/>
      <c r="T27" s="3128"/>
      <c r="U27" s="3128"/>
      <c r="V27" s="3128"/>
      <c r="W27" s="3128"/>
      <c r="X27" s="3128"/>
      <c r="Y27" s="3128"/>
      <c r="Z27" s="3128"/>
      <c r="AA27" s="3128"/>
      <c r="AB27" s="3128"/>
      <c r="AC27" s="3128"/>
      <c r="AD27" s="3128">
        <v>35</v>
      </c>
      <c r="AE27" s="3128">
        <v>62</v>
      </c>
      <c r="AF27" s="3128"/>
      <c r="AG27" s="3128"/>
      <c r="AH27" s="3128"/>
      <c r="AI27" s="3129">
        <f t="shared" si="1"/>
        <v>97</v>
      </c>
      <c r="AJ27" s="3130">
        <f t="shared" si="2"/>
        <v>56.836923553079544</v>
      </c>
      <c r="AK27" s="3129">
        <f t="shared" si="3"/>
        <v>55.131815846487164</v>
      </c>
      <c r="AL27" s="3660" t="s">
        <v>141</v>
      </c>
      <c r="AM27" s="3132"/>
    </row>
    <row r="28" spans="1:44" ht="95.25" customHeight="1">
      <c r="A28" s="3125">
        <v>17</v>
      </c>
      <c r="B28" s="3126">
        <v>17</v>
      </c>
      <c r="C28" s="3126" t="s">
        <v>289</v>
      </c>
      <c r="D28" s="3127" t="s">
        <v>451</v>
      </c>
      <c r="E28" s="3128"/>
      <c r="F28" s="3128"/>
      <c r="G28" s="3128"/>
      <c r="H28" s="3128"/>
      <c r="I28" s="3128"/>
      <c r="J28" s="3128"/>
      <c r="K28" s="3128"/>
      <c r="L28" s="3128"/>
      <c r="M28" s="3128"/>
      <c r="N28" s="3128"/>
      <c r="O28" s="3128"/>
      <c r="P28" s="3128"/>
      <c r="Q28" s="3128"/>
      <c r="R28" s="3128"/>
      <c r="S28" s="3128"/>
      <c r="T28" s="3128"/>
      <c r="U28" s="3128"/>
      <c r="V28" s="3128"/>
      <c r="W28" s="3128"/>
      <c r="X28" s="3128"/>
      <c r="Y28" s="3128"/>
      <c r="Z28" s="3128"/>
      <c r="AA28" s="3128"/>
      <c r="AB28" s="3128"/>
      <c r="AC28" s="3128"/>
      <c r="AD28" s="3128">
        <v>0</v>
      </c>
      <c r="AE28" s="3128">
        <v>7</v>
      </c>
      <c r="AF28" s="3128"/>
      <c r="AG28" s="3128"/>
      <c r="AH28" s="3128"/>
      <c r="AI28" s="3129">
        <f t="shared" si="1"/>
        <v>7</v>
      </c>
      <c r="AJ28" s="3130">
        <f t="shared" si="2"/>
        <v>56.836923553079544</v>
      </c>
      <c r="AK28" s="3129">
        <f t="shared" si="3"/>
        <v>3.9785846487155681</v>
      </c>
      <c r="AL28" s="3660" t="s">
        <v>141</v>
      </c>
      <c r="AM28" s="3132"/>
    </row>
    <row r="29" spans="1:44" ht="95.25" customHeight="1">
      <c r="A29" s="3125">
        <v>18</v>
      </c>
      <c r="B29" s="3126">
        <v>18</v>
      </c>
      <c r="C29" s="3126" t="s">
        <v>2181</v>
      </c>
      <c r="D29" s="3127" t="s">
        <v>451</v>
      </c>
      <c r="E29" s="3128"/>
      <c r="F29" s="3128"/>
      <c r="G29" s="3128"/>
      <c r="H29" s="3128"/>
      <c r="I29" s="3128"/>
      <c r="J29" s="3128"/>
      <c r="K29" s="3128"/>
      <c r="L29" s="3128"/>
      <c r="M29" s="3128"/>
      <c r="N29" s="3128"/>
      <c r="O29" s="3128"/>
      <c r="P29" s="3128"/>
      <c r="Q29" s="3128"/>
      <c r="R29" s="3128"/>
      <c r="S29" s="3128"/>
      <c r="T29" s="3128"/>
      <c r="U29" s="3128"/>
      <c r="V29" s="3128"/>
      <c r="W29" s="3128"/>
      <c r="X29" s="3128"/>
      <c r="Y29" s="3128"/>
      <c r="Z29" s="3128"/>
      <c r="AA29" s="3128"/>
      <c r="AB29" s="3128"/>
      <c r="AC29" s="3128"/>
      <c r="AD29" s="3128">
        <v>15</v>
      </c>
      <c r="AE29" s="3128">
        <v>29</v>
      </c>
      <c r="AF29" s="3128"/>
      <c r="AG29" s="3128"/>
      <c r="AH29" s="3128"/>
      <c r="AI29" s="3129">
        <f t="shared" si="1"/>
        <v>44</v>
      </c>
      <c r="AJ29" s="3130">
        <f t="shared" si="2"/>
        <v>56.836923553079544</v>
      </c>
      <c r="AK29" s="3129">
        <f t="shared" si="3"/>
        <v>25.008246363355003</v>
      </c>
      <c r="AL29" s="3660" t="s">
        <v>141</v>
      </c>
      <c r="AM29" s="3132"/>
    </row>
    <row r="30" spans="1:44" ht="95.25" customHeight="1">
      <c r="A30" s="3125">
        <v>19</v>
      </c>
      <c r="B30" s="3126">
        <v>19</v>
      </c>
      <c r="C30" s="3126" t="s">
        <v>2182</v>
      </c>
      <c r="D30" s="3127" t="s">
        <v>451</v>
      </c>
      <c r="E30" s="3128"/>
      <c r="F30" s="3128"/>
      <c r="G30" s="3128"/>
      <c r="H30" s="3128"/>
      <c r="I30" s="3128"/>
      <c r="J30" s="3128"/>
      <c r="K30" s="3128"/>
      <c r="L30" s="3128"/>
      <c r="M30" s="3128"/>
      <c r="N30" s="3128"/>
      <c r="O30" s="3128"/>
      <c r="P30" s="3128"/>
      <c r="Q30" s="3128"/>
      <c r="R30" s="3128"/>
      <c r="S30" s="3128"/>
      <c r="T30" s="3128"/>
      <c r="U30" s="3128"/>
      <c r="V30" s="3128"/>
      <c r="W30" s="3128"/>
      <c r="X30" s="3128"/>
      <c r="Y30" s="3128"/>
      <c r="Z30" s="3128"/>
      <c r="AA30" s="3128"/>
      <c r="AB30" s="3128"/>
      <c r="AC30" s="3128"/>
      <c r="AD30" s="3128">
        <v>15</v>
      </c>
      <c r="AE30" s="3128">
        <v>21</v>
      </c>
      <c r="AF30" s="3128"/>
      <c r="AG30" s="3128"/>
      <c r="AH30" s="3128"/>
      <c r="AI30" s="3129">
        <f t="shared" si="1"/>
        <v>36</v>
      </c>
      <c r="AJ30" s="3130">
        <f t="shared" si="2"/>
        <v>56.836923553079544</v>
      </c>
      <c r="AK30" s="3129">
        <f t="shared" si="3"/>
        <v>20.461292479108636</v>
      </c>
      <c r="AL30" s="3660" t="s">
        <v>141</v>
      </c>
      <c r="AM30" s="3132"/>
    </row>
    <row r="31" spans="1:44" ht="95.25" customHeight="1">
      <c r="A31" s="3125">
        <v>20</v>
      </c>
      <c r="B31" s="3126">
        <v>20</v>
      </c>
      <c r="C31" s="3126" t="s">
        <v>2183</v>
      </c>
      <c r="D31" s="3127" t="s">
        <v>451</v>
      </c>
      <c r="E31" s="3128"/>
      <c r="F31" s="3128"/>
      <c r="G31" s="3128"/>
      <c r="H31" s="3128"/>
      <c r="I31" s="3128"/>
      <c r="J31" s="3128"/>
      <c r="K31" s="3128"/>
      <c r="L31" s="3128"/>
      <c r="M31" s="3128"/>
      <c r="N31" s="3128"/>
      <c r="O31" s="3128"/>
      <c r="P31" s="3128"/>
      <c r="Q31" s="3128"/>
      <c r="R31" s="3128"/>
      <c r="S31" s="3128"/>
      <c r="T31" s="3128"/>
      <c r="U31" s="3128"/>
      <c r="V31" s="3128"/>
      <c r="W31" s="3128"/>
      <c r="X31" s="3128"/>
      <c r="Y31" s="3128"/>
      <c r="Z31" s="3128"/>
      <c r="AA31" s="3128"/>
      <c r="AB31" s="3128"/>
      <c r="AC31" s="3128"/>
      <c r="AD31" s="3128">
        <v>57</v>
      </c>
      <c r="AE31" s="3128">
        <v>0</v>
      </c>
      <c r="AF31" s="3128"/>
      <c r="AG31" s="3128"/>
      <c r="AH31" s="3128"/>
      <c r="AI31" s="3129">
        <f t="shared" si="1"/>
        <v>57</v>
      </c>
      <c r="AJ31" s="3130">
        <f t="shared" si="2"/>
        <v>56.836923553079544</v>
      </c>
      <c r="AK31" s="3129">
        <f t="shared" si="3"/>
        <v>32.39704642525534</v>
      </c>
      <c r="AL31" s="3660" t="s">
        <v>141</v>
      </c>
      <c r="AM31" s="3132"/>
    </row>
    <row r="32" spans="1:44" ht="95.25" customHeight="1">
      <c r="A32" s="3125">
        <v>21</v>
      </c>
      <c r="B32" s="3126">
        <v>21</v>
      </c>
      <c r="C32" s="3126" t="s">
        <v>1236</v>
      </c>
      <c r="D32" s="3127" t="s">
        <v>451</v>
      </c>
      <c r="E32" s="3128"/>
      <c r="F32" s="3128"/>
      <c r="G32" s="3128"/>
      <c r="H32" s="3128"/>
      <c r="I32" s="3128"/>
      <c r="J32" s="3128"/>
      <c r="K32" s="3128"/>
      <c r="L32" s="3128"/>
      <c r="M32" s="3128"/>
      <c r="N32" s="3128"/>
      <c r="O32" s="3128"/>
      <c r="P32" s="3128"/>
      <c r="Q32" s="3128"/>
      <c r="R32" s="3128"/>
      <c r="S32" s="3128"/>
      <c r="T32" s="3128"/>
      <c r="U32" s="3128"/>
      <c r="V32" s="3128"/>
      <c r="W32" s="3128"/>
      <c r="X32" s="3128"/>
      <c r="Y32" s="3128"/>
      <c r="Z32" s="3128"/>
      <c r="AA32" s="3128"/>
      <c r="AB32" s="3128"/>
      <c r="AC32" s="3128"/>
      <c r="AD32" s="3128">
        <v>0</v>
      </c>
      <c r="AE32" s="3128">
        <v>0</v>
      </c>
      <c r="AF32" s="3128"/>
      <c r="AG32" s="3128"/>
      <c r="AH32" s="3128"/>
      <c r="AI32" s="3129">
        <f t="shared" si="1"/>
        <v>0</v>
      </c>
      <c r="AJ32" s="3130">
        <f t="shared" si="2"/>
        <v>56.836923553079544</v>
      </c>
      <c r="AK32" s="3129">
        <f t="shared" si="3"/>
        <v>0</v>
      </c>
      <c r="AL32" s="3660" t="s">
        <v>141</v>
      </c>
      <c r="AM32" s="3132"/>
    </row>
    <row r="33" spans="1:55" ht="95.25" customHeight="1">
      <c r="A33" s="3125">
        <v>22</v>
      </c>
      <c r="B33" s="3126">
        <v>22</v>
      </c>
      <c r="C33" s="3126" t="s">
        <v>2184</v>
      </c>
      <c r="D33" s="3127" t="s">
        <v>451</v>
      </c>
      <c r="E33" s="3128"/>
      <c r="F33" s="3128"/>
      <c r="G33" s="3128"/>
      <c r="H33" s="3128"/>
      <c r="I33" s="3128"/>
      <c r="J33" s="3128"/>
      <c r="K33" s="3128"/>
      <c r="L33" s="3128"/>
      <c r="M33" s="3128"/>
      <c r="N33" s="3128"/>
      <c r="O33" s="3128"/>
      <c r="P33" s="3128"/>
      <c r="Q33" s="3128"/>
      <c r="R33" s="3128"/>
      <c r="S33" s="3128"/>
      <c r="T33" s="3128"/>
      <c r="U33" s="3128"/>
      <c r="V33" s="3128"/>
      <c r="W33" s="3128"/>
      <c r="X33" s="3128"/>
      <c r="Y33" s="3128"/>
      <c r="Z33" s="3128"/>
      <c r="AA33" s="3128"/>
      <c r="AB33" s="3128"/>
      <c r="AC33" s="3128"/>
      <c r="AD33" s="3128">
        <v>14</v>
      </c>
      <c r="AE33" s="3128">
        <v>14</v>
      </c>
      <c r="AF33" s="3128"/>
      <c r="AG33" s="3128"/>
      <c r="AH33" s="3128"/>
      <c r="AI33" s="3129">
        <f t="shared" si="1"/>
        <v>28</v>
      </c>
      <c r="AJ33" s="3130">
        <f t="shared" si="2"/>
        <v>56.836923553079544</v>
      </c>
      <c r="AK33" s="3129">
        <f t="shared" si="3"/>
        <v>15.914338594862272</v>
      </c>
      <c r="AL33" s="3660" t="s">
        <v>141</v>
      </c>
      <c r="AM33" s="3132"/>
    </row>
    <row r="34" spans="1:55" ht="95.25" customHeight="1">
      <c r="A34" s="3125">
        <v>23</v>
      </c>
      <c r="B34" s="3126">
        <v>23</v>
      </c>
      <c r="C34" s="3126" t="s">
        <v>2185</v>
      </c>
      <c r="D34" s="3127" t="s">
        <v>451</v>
      </c>
      <c r="E34" s="3128"/>
      <c r="F34" s="3128"/>
      <c r="G34" s="3128"/>
      <c r="H34" s="3128"/>
      <c r="I34" s="3128"/>
      <c r="J34" s="3128"/>
      <c r="K34" s="3128"/>
      <c r="L34" s="3128"/>
      <c r="M34" s="3128"/>
      <c r="N34" s="3128"/>
      <c r="O34" s="3128"/>
      <c r="P34" s="3128"/>
      <c r="Q34" s="3128"/>
      <c r="R34" s="3128"/>
      <c r="S34" s="3128"/>
      <c r="T34" s="3128"/>
      <c r="U34" s="3128"/>
      <c r="V34" s="3128"/>
      <c r="W34" s="3128"/>
      <c r="X34" s="3128"/>
      <c r="Y34" s="3128"/>
      <c r="Z34" s="3128"/>
      <c r="AA34" s="3128"/>
      <c r="AB34" s="3128"/>
      <c r="AC34" s="3128"/>
      <c r="AD34" s="3128">
        <v>21</v>
      </c>
      <c r="AE34" s="3128">
        <v>13</v>
      </c>
      <c r="AF34" s="3128"/>
      <c r="AG34" s="3128"/>
      <c r="AH34" s="3128"/>
      <c r="AI34" s="3129">
        <f t="shared" si="1"/>
        <v>34</v>
      </c>
      <c r="AJ34" s="3130">
        <f t="shared" si="2"/>
        <v>56.836923553079544</v>
      </c>
      <c r="AK34" s="3129">
        <f t="shared" si="3"/>
        <v>19.324554008047045</v>
      </c>
      <c r="AL34" s="3660" t="s">
        <v>141</v>
      </c>
      <c r="AM34" s="3132"/>
    </row>
    <row r="35" spans="1:55" ht="95.25" customHeight="1">
      <c r="A35" s="3125">
        <v>24</v>
      </c>
      <c r="B35" s="3126">
        <v>24</v>
      </c>
      <c r="C35" s="3126" t="s">
        <v>2186</v>
      </c>
      <c r="D35" s="3127" t="s">
        <v>451</v>
      </c>
      <c r="E35" s="3128"/>
      <c r="F35" s="3128"/>
      <c r="G35" s="3128"/>
      <c r="H35" s="3128"/>
      <c r="I35" s="3128"/>
      <c r="J35" s="3128"/>
      <c r="K35" s="3128"/>
      <c r="L35" s="3128"/>
      <c r="M35" s="3128"/>
      <c r="N35" s="3128"/>
      <c r="O35" s="3128"/>
      <c r="P35" s="3128"/>
      <c r="Q35" s="3128"/>
      <c r="R35" s="3128"/>
      <c r="S35" s="3128"/>
      <c r="T35" s="3128"/>
      <c r="U35" s="3128"/>
      <c r="V35" s="3128"/>
      <c r="W35" s="3128"/>
      <c r="X35" s="3128"/>
      <c r="Y35" s="3128"/>
      <c r="Z35" s="3128"/>
      <c r="AA35" s="3128"/>
      <c r="AB35" s="3128"/>
      <c r="AC35" s="3128"/>
      <c r="AD35" s="3128">
        <v>13</v>
      </c>
      <c r="AE35" s="3128">
        <v>13</v>
      </c>
      <c r="AF35" s="3128"/>
      <c r="AG35" s="3128"/>
      <c r="AH35" s="3128"/>
      <c r="AI35" s="3129">
        <f t="shared" si="1"/>
        <v>26</v>
      </c>
      <c r="AJ35" s="3130">
        <f t="shared" si="2"/>
        <v>56.836923553079544</v>
      </c>
      <c r="AK35" s="3129">
        <f t="shared" si="3"/>
        <v>14.77760012380068</v>
      </c>
      <c r="AL35" s="3660" t="s">
        <v>141</v>
      </c>
      <c r="AM35" s="3132"/>
    </row>
    <row r="36" spans="1:55" ht="95.25" customHeight="1">
      <c r="A36" s="3125">
        <v>25</v>
      </c>
      <c r="B36" s="3126">
        <v>25</v>
      </c>
      <c r="C36" s="3126" t="s">
        <v>2187</v>
      </c>
      <c r="D36" s="3127" t="s">
        <v>451</v>
      </c>
      <c r="E36" s="3128"/>
      <c r="F36" s="3128"/>
      <c r="G36" s="3128"/>
      <c r="H36" s="3128"/>
      <c r="I36" s="3128"/>
      <c r="J36" s="3128"/>
      <c r="K36" s="3128"/>
      <c r="L36" s="3128"/>
      <c r="M36" s="3128"/>
      <c r="N36" s="3128"/>
      <c r="O36" s="3128"/>
      <c r="P36" s="3128"/>
      <c r="Q36" s="3128"/>
      <c r="R36" s="3128"/>
      <c r="S36" s="3128"/>
      <c r="T36" s="3128"/>
      <c r="U36" s="3128"/>
      <c r="V36" s="3128"/>
      <c r="W36" s="3128"/>
      <c r="X36" s="3128"/>
      <c r="Y36" s="3128"/>
      <c r="Z36" s="3128"/>
      <c r="AA36" s="3128"/>
      <c r="AB36" s="3128"/>
      <c r="AC36" s="3128"/>
      <c r="AD36" s="3128">
        <v>9</v>
      </c>
      <c r="AE36" s="3128">
        <v>10</v>
      </c>
      <c r="AF36" s="3128"/>
      <c r="AG36" s="3128"/>
      <c r="AH36" s="3128"/>
      <c r="AI36" s="3129">
        <f t="shared" si="1"/>
        <v>19</v>
      </c>
      <c r="AJ36" s="3130">
        <f t="shared" si="2"/>
        <v>56.836923553079544</v>
      </c>
      <c r="AK36" s="3129">
        <f t="shared" si="3"/>
        <v>10.799015475085113</v>
      </c>
      <c r="AL36" s="3660" t="s">
        <v>141</v>
      </c>
      <c r="AM36" s="3132"/>
    </row>
    <row r="37" spans="1:55" ht="95.25" customHeight="1">
      <c r="A37" s="3125">
        <v>26</v>
      </c>
      <c r="B37" s="3126">
        <v>26</v>
      </c>
      <c r="C37" s="3126" t="s">
        <v>1525</v>
      </c>
      <c r="D37" s="3127" t="s">
        <v>451</v>
      </c>
      <c r="E37" s="3128"/>
      <c r="F37" s="3128"/>
      <c r="G37" s="3128"/>
      <c r="H37" s="3128"/>
      <c r="I37" s="3128"/>
      <c r="J37" s="3128"/>
      <c r="K37" s="3128"/>
      <c r="L37" s="3128"/>
      <c r="M37" s="3128"/>
      <c r="N37" s="3128"/>
      <c r="O37" s="3128"/>
      <c r="P37" s="3128"/>
      <c r="Q37" s="3128"/>
      <c r="R37" s="3128"/>
      <c r="S37" s="3128"/>
      <c r="T37" s="3128"/>
      <c r="U37" s="3128"/>
      <c r="V37" s="3128"/>
      <c r="W37" s="3128"/>
      <c r="X37" s="3128"/>
      <c r="Y37" s="3128"/>
      <c r="Z37" s="3128"/>
      <c r="AA37" s="3128"/>
      <c r="AB37" s="3128"/>
      <c r="AC37" s="3128"/>
      <c r="AD37" s="3128">
        <v>0</v>
      </c>
      <c r="AE37" s="3128">
        <v>0</v>
      </c>
      <c r="AF37" s="3128"/>
      <c r="AG37" s="3128"/>
      <c r="AH37" s="3128"/>
      <c r="AI37" s="3129">
        <f t="shared" si="1"/>
        <v>0</v>
      </c>
      <c r="AJ37" s="3130">
        <f t="shared" si="2"/>
        <v>56.836923553079544</v>
      </c>
      <c r="AK37" s="3129">
        <f t="shared" si="3"/>
        <v>0</v>
      </c>
      <c r="AL37" s="3660" t="s">
        <v>141</v>
      </c>
      <c r="AM37" s="3132"/>
    </row>
    <row r="38" spans="1:55" ht="95.25" customHeight="1">
      <c r="A38" s="3125">
        <v>27</v>
      </c>
      <c r="B38" s="3126">
        <v>27</v>
      </c>
      <c r="C38" s="3126" t="s">
        <v>2188</v>
      </c>
      <c r="D38" s="3127" t="s">
        <v>451</v>
      </c>
      <c r="E38" s="3128"/>
      <c r="F38" s="3128"/>
      <c r="G38" s="3128"/>
      <c r="H38" s="3128"/>
      <c r="I38" s="3128"/>
      <c r="J38" s="3128"/>
      <c r="K38" s="3128"/>
      <c r="L38" s="3128"/>
      <c r="M38" s="3128"/>
      <c r="N38" s="3128"/>
      <c r="O38" s="3128"/>
      <c r="P38" s="3128"/>
      <c r="Q38" s="3128"/>
      <c r="R38" s="3128"/>
      <c r="S38" s="3128"/>
      <c r="T38" s="3128"/>
      <c r="U38" s="3128"/>
      <c r="V38" s="3128"/>
      <c r="W38" s="3128"/>
      <c r="X38" s="3128"/>
      <c r="Y38" s="3128"/>
      <c r="Z38" s="3128"/>
      <c r="AA38" s="3128"/>
      <c r="AB38" s="3128"/>
      <c r="AC38" s="3128"/>
      <c r="AD38" s="3128">
        <v>0</v>
      </c>
      <c r="AE38" s="3128">
        <v>0</v>
      </c>
      <c r="AF38" s="3128"/>
      <c r="AG38" s="3128"/>
      <c r="AH38" s="3128"/>
      <c r="AI38" s="3129">
        <f t="shared" si="1"/>
        <v>0</v>
      </c>
      <c r="AJ38" s="3130">
        <f t="shared" si="2"/>
        <v>56.836923553079544</v>
      </c>
      <c r="AK38" s="3129">
        <f t="shared" si="3"/>
        <v>0</v>
      </c>
      <c r="AL38" s="3660" t="s">
        <v>141</v>
      </c>
      <c r="AM38" s="3132"/>
    </row>
    <row r="39" spans="1:55" ht="95.25" customHeight="1">
      <c r="A39" s="3125">
        <v>28</v>
      </c>
      <c r="B39" s="3126">
        <v>28</v>
      </c>
      <c r="C39" s="3126" t="s">
        <v>2189</v>
      </c>
      <c r="D39" s="3127" t="s">
        <v>451</v>
      </c>
      <c r="E39" s="3128"/>
      <c r="F39" s="3128"/>
      <c r="G39" s="3128"/>
      <c r="H39" s="3128"/>
      <c r="I39" s="3128"/>
      <c r="J39" s="3128"/>
      <c r="K39" s="3128"/>
      <c r="L39" s="3128"/>
      <c r="M39" s="3128"/>
      <c r="N39" s="3128"/>
      <c r="O39" s="3128"/>
      <c r="P39" s="3128"/>
      <c r="Q39" s="3128"/>
      <c r="R39" s="3128"/>
      <c r="S39" s="3128"/>
      <c r="T39" s="3128"/>
      <c r="U39" s="3128"/>
      <c r="V39" s="3128"/>
      <c r="W39" s="3128"/>
      <c r="X39" s="3128"/>
      <c r="Y39" s="3128"/>
      <c r="Z39" s="3128"/>
      <c r="AA39" s="3128"/>
      <c r="AB39" s="3128"/>
      <c r="AC39" s="3128"/>
      <c r="AD39" s="3128">
        <v>34</v>
      </c>
      <c r="AE39" s="3128">
        <v>0</v>
      </c>
      <c r="AF39" s="3128"/>
      <c r="AG39" s="3128"/>
      <c r="AH39" s="3128"/>
      <c r="AI39" s="3129">
        <f t="shared" si="1"/>
        <v>34</v>
      </c>
      <c r="AJ39" s="3130">
        <f t="shared" si="2"/>
        <v>56.836923553079544</v>
      </c>
      <c r="AK39" s="3129">
        <f t="shared" si="3"/>
        <v>19.324554008047045</v>
      </c>
      <c r="AL39" s="3660" t="s">
        <v>141</v>
      </c>
      <c r="AM39" s="3132"/>
    </row>
    <row r="40" spans="1:55" ht="95.25" customHeight="1">
      <c r="A40" s="3125">
        <v>29</v>
      </c>
      <c r="B40" s="3126">
        <v>29</v>
      </c>
      <c r="C40" s="3126" t="s">
        <v>1507</v>
      </c>
      <c r="D40" s="3127" t="s">
        <v>451</v>
      </c>
      <c r="E40" s="3128"/>
      <c r="F40" s="3128"/>
      <c r="G40" s="3128"/>
      <c r="H40" s="3128"/>
      <c r="I40" s="3128"/>
      <c r="J40" s="3128"/>
      <c r="K40" s="3128"/>
      <c r="L40" s="3128"/>
      <c r="M40" s="3128"/>
      <c r="N40" s="3128"/>
      <c r="O40" s="3128"/>
      <c r="P40" s="3128"/>
      <c r="Q40" s="3128"/>
      <c r="R40" s="3128"/>
      <c r="S40" s="3128"/>
      <c r="T40" s="3128"/>
      <c r="U40" s="3128"/>
      <c r="V40" s="3128"/>
      <c r="W40" s="3128"/>
      <c r="X40" s="3128"/>
      <c r="Y40" s="3128"/>
      <c r="Z40" s="3128"/>
      <c r="AA40" s="3128"/>
      <c r="AB40" s="3128"/>
      <c r="AC40" s="3128"/>
      <c r="AD40" s="3128">
        <v>21</v>
      </c>
      <c r="AE40" s="3128">
        <v>21</v>
      </c>
      <c r="AF40" s="3128"/>
      <c r="AG40" s="3128"/>
      <c r="AH40" s="3128"/>
      <c r="AI40" s="3129">
        <f t="shared" si="1"/>
        <v>42</v>
      </c>
      <c r="AJ40" s="3130">
        <f t="shared" si="2"/>
        <v>56.836923553079544</v>
      </c>
      <c r="AK40" s="3129">
        <f t="shared" si="3"/>
        <v>23.871507892293408</v>
      </c>
      <c r="AL40" s="3660" t="s">
        <v>141</v>
      </c>
      <c r="AM40" s="3132"/>
    </row>
    <row r="41" spans="1:55" ht="95.25" customHeight="1">
      <c r="A41" s="3125">
        <v>30</v>
      </c>
      <c r="B41" s="3126">
        <v>30</v>
      </c>
      <c r="C41" s="3126" t="s">
        <v>2190</v>
      </c>
      <c r="D41" s="3127" t="s">
        <v>451</v>
      </c>
      <c r="E41" s="3128"/>
      <c r="F41" s="3128"/>
      <c r="G41" s="3128"/>
      <c r="H41" s="3128"/>
      <c r="I41" s="3128"/>
      <c r="J41" s="3128"/>
      <c r="K41" s="3128"/>
      <c r="L41" s="3128"/>
      <c r="M41" s="3128"/>
      <c r="N41" s="3128"/>
      <c r="O41" s="3128"/>
      <c r="P41" s="3128"/>
      <c r="Q41" s="3128"/>
      <c r="R41" s="3128"/>
      <c r="S41" s="3128"/>
      <c r="T41" s="3128"/>
      <c r="U41" s="3128"/>
      <c r="V41" s="3128"/>
      <c r="W41" s="3128"/>
      <c r="X41" s="3128"/>
      <c r="Y41" s="3128"/>
      <c r="Z41" s="3128"/>
      <c r="AA41" s="3128"/>
      <c r="AB41" s="3128"/>
      <c r="AC41" s="3128"/>
      <c r="AD41" s="3128">
        <v>16</v>
      </c>
      <c r="AE41" s="3128">
        <v>25</v>
      </c>
      <c r="AF41" s="3128"/>
      <c r="AG41" s="3128"/>
      <c r="AH41" s="3128"/>
      <c r="AI41" s="3129">
        <f t="shared" si="1"/>
        <v>41</v>
      </c>
      <c r="AJ41" s="3130">
        <f t="shared" si="2"/>
        <v>56.836923553079544</v>
      </c>
      <c r="AK41" s="3129">
        <f t="shared" si="3"/>
        <v>23.303138656762613</v>
      </c>
      <c r="AL41" s="3660" t="s">
        <v>141</v>
      </c>
      <c r="AM41" s="3132"/>
    </row>
    <row r="42" spans="1:55" ht="95.25" customHeight="1">
      <c r="A42" s="3125">
        <v>31</v>
      </c>
      <c r="B42" s="3126">
        <v>31</v>
      </c>
      <c r="C42" s="3126" t="s">
        <v>2191</v>
      </c>
      <c r="D42" s="3127" t="s">
        <v>451</v>
      </c>
      <c r="E42" s="3128"/>
      <c r="F42" s="3128"/>
      <c r="G42" s="3128"/>
      <c r="H42" s="3128"/>
      <c r="I42" s="3128"/>
      <c r="J42" s="3128"/>
      <c r="K42" s="3128"/>
      <c r="L42" s="3128"/>
      <c r="M42" s="3128"/>
      <c r="N42" s="3128"/>
      <c r="O42" s="3128"/>
      <c r="P42" s="3128"/>
      <c r="Q42" s="3128"/>
      <c r="R42" s="3128"/>
      <c r="S42" s="3128"/>
      <c r="T42" s="3128"/>
      <c r="U42" s="3128"/>
      <c r="V42" s="3128"/>
      <c r="W42" s="3128"/>
      <c r="X42" s="3128"/>
      <c r="Y42" s="3128"/>
      <c r="Z42" s="3128"/>
      <c r="AA42" s="3128"/>
      <c r="AB42" s="3128"/>
      <c r="AC42" s="3128"/>
      <c r="AD42" s="3128">
        <v>16</v>
      </c>
      <c r="AE42" s="3128">
        <v>25</v>
      </c>
      <c r="AF42" s="3128"/>
      <c r="AG42" s="3128"/>
      <c r="AH42" s="3128"/>
      <c r="AI42" s="3129">
        <f t="shared" si="1"/>
        <v>41</v>
      </c>
      <c r="AJ42" s="3130">
        <f t="shared" si="2"/>
        <v>56.836923553079544</v>
      </c>
      <c r="AK42" s="3129">
        <f t="shared" si="3"/>
        <v>23.303138656762613</v>
      </c>
      <c r="AL42" s="3660" t="s">
        <v>141</v>
      </c>
      <c r="AM42" s="3132"/>
    </row>
    <row r="43" spans="1:55" ht="95.25" customHeight="1">
      <c r="A43" s="3125">
        <v>32</v>
      </c>
      <c r="B43" s="3126">
        <v>32</v>
      </c>
      <c r="C43" s="3126" t="s">
        <v>1923</v>
      </c>
      <c r="D43" s="3127" t="s">
        <v>451</v>
      </c>
      <c r="E43" s="3128"/>
      <c r="F43" s="3128"/>
      <c r="G43" s="3128"/>
      <c r="H43" s="3128"/>
      <c r="I43" s="3128"/>
      <c r="J43" s="3128"/>
      <c r="K43" s="3128"/>
      <c r="L43" s="3128"/>
      <c r="M43" s="3128"/>
      <c r="N43" s="3128"/>
      <c r="O43" s="3128"/>
      <c r="P43" s="3128"/>
      <c r="Q43" s="3128"/>
      <c r="R43" s="3128"/>
      <c r="S43" s="3128"/>
      <c r="T43" s="3128"/>
      <c r="U43" s="3128"/>
      <c r="V43" s="3128"/>
      <c r="W43" s="3128"/>
      <c r="X43" s="3128"/>
      <c r="Y43" s="3128"/>
      <c r="Z43" s="3128"/>
      <c r="AA43" s="3128"/>
      <c r="AB43" s="3128"/>
      <c r="AC43" s="3128"/>
      <c r="AD43" s="3128">
        <v>0</v>
      </c>
      <c r="AE43" s="3128">
        <v>0</v>
      </c>
      <c r="AF43" s="3128"/>
      <c r="AG43" s="3128"/>
      <c r="AH43" s="3128"/>
      <c r="AI43" s="3129">
        <f t="shared" si="1"/>
        <v>0</v>
      </c>
      <c r="AJ43" s="3130">
        <f t="shared" si="2"/>
        <v>56.836923553079544</v>
      </c>
      <c r="AK43" s="3129">
        <f t="shared" si="3"/>
        <v>0</v>
      </c>
      <c r="AL43" s="3660" t="s">
        <v>141</v>
      </c>
      <c r="AM43" s="3132"/>
    </row>
    <row r="44" spans="1:55" ht="95.25" customHeight="1">
      <c r="A44" s="3125">
        <v>33</v>
      </c>
      <c r="B44" s="3126">
        <v>33</v>
      </c>
      <c r="C44" s="3126" t="s">
        <v>2192</v>
      </c>
      <c r="D44" s="3127" t="s">
        <v>451</v>
      </c>
      <c r="E44" s="3128"/>
      <c r="F44" s="3128"/>
      <c r="G44" s="3128"/>
      <c r="H44" s="3128"/>
      <c r="I44" s="3128"/>
      <c r="J44" s="3128"/>
      <c r="K44" s="3128"/>
      <c r="L44" s="3128"/>
      <c r="M44" s="3128"/>
      <c r="N44" s="3128"/>
      <c r="O44" s="3128"/>
      <c r="P44" s="3128"/>
      <c r="Q44" s="3128"/>
      <c r="R44" s="3128"/>
      <c r="S44" s="3128"/>
      <c r="T44" s="3128"/>
      <c r="U44" s="3128"/>
      <c r="V44" s="3128"/>
      <c r="W44" s="3128"/>
      <c r="X44" s="3128"/>
      <c r="Y44" s="3128"/>
      <c r="Z44" s="3128"/>
      <c r="AA44" s="3128"/>
      <c r="AB44" s="3128"/>
      <c r="AC44" s="3128"/>
      <c r="AD44" s="3128">
        <v>0</v>
      </c>
      <c r="AE44" s="3128">
        <v>0</v>
      </c>
      <c r="AF44" s="3128"/>
      <c r="AG44" s="3128"/>
      <c r="AH44" s="3128"/>
      <c r="AI44" s="3129">
        <f t="shared" si="1"/>
        <v>0</v>
      </c>
      <c r="AJ44" s="3130">
        <f t="shared" si="2"/>
        <v>56.836923553079544</v>
      </c>
      <c r="AK44" s="3129">
        <f t="shared" si="3"/>
        <v>0</v>
      </c>
      <c r="AL44" s="3660" t="s">
        <v>141</v>
      </c>
      <c r="AM44" s="3132"/>
    </row>
    <row r="45" spans="1:55" ht="95.25" customHeight="1">
      <c r="A45" s="3125">
        <v>34</v>
      </c>
      <c r="B45" s="3126">
        <v>34</v>
      </c>
      <c r="C45" s="2546" t="s">
        <v>2193</v>
      </c>
      <c r="D45" s="3127" t="s">
        <v>451</v>
      </c>
      <c r="E45" s="3128"/>
      <c r="F45" s="3128"/>
      <c r="G45" s="3128"/>
      <c r="H45" s="3128"/>
      <c r="I45" s="3128"/>
      <c r="J45" s="3128"/>
      <c r="K45" s="3128"/>
      <c r="L45" s="3128"/>
      <c r="M45" s="3128"/>
      <c r="N45" s="3128"/>
      <c r="O45" s="3128"/>
      <c r="P45" s="3128"/>
      <c r="Q45" s="3128"/>
      <c r="R45" s="3128"/>
      <c r="S45" s="3128"/>
      <c r="T45" s="3128"/>
      <c r="U45" s="3128"/>
      <c r="V45" s="3128"/>
      <c r="W45" s="3128"/>
      <c r="X45" s="3128"/>
      <c r="Y45" s="3128"/>
      <c r="Z45" s="3128"/>
      <c r="AA45" s="3128"/>
      <c r="AB45" s="3128"/>
      <c r="AC45" s="3128"/>
      <c r="AD45" s="3128">
        <v>18</v>
      </c>
      <c r="AE45" s="3128">
        <v>27</v>
      </c>
      <c r="AF45" s="3128"/>
      <c r="AG45" s="3128"/>
      <c r="AH45" s="3128"/>
      <c r="AI45" s="3129">
        <f t="shared" si="1"/>
        <v>45</v>
      </c>
      <c r="AJ45" s="3130">
        <f t="shared" si="2"/>
        <v>56.836923553079544</v>
      </c>
      <c r="AK45" s="3129">
        <f t="shared" si="3"/>
        <v>25.576615598885795</v>
      </c>
      <c r="AL45" s="3660" t="s">
        <v>141</v>
      </c>
      <c r="AM45" s="3132"/>
    </row>
    <row r="46" spans="1:55" ht="95.25" customHeight="1">
      <c r="A46" s="3133" t="s">
        <v>138</v>
      </c>
      <c r="B46" s="3134" t="s">
        <v>1863</v>
      </c>
      <c r="C46" s="3134"/>
      <c r="D46" s="3134"/>
      <c r="E46" s="3175">
        <f>+SUBTOTAL(9,E47:E89)</f>
        <v>0</v>
      </c>
      <c r="F46" s="3175">
        <f t="shared" ref="F46:AK46" si="4">+SUBTOTAL(9,F47:F89)</f>
        <v>0</v>
      </c>
      <c r="G46" s="3175">
        <f t="shared" si="4"/>
        <v>0</v>
      </c>
      <c r="H46" s="3175">
        <f t="shared" si="4"/>
        <v>0</v>
      </c>
      <c r="I46" s="3175">
        <f t="shared" si="4"/>
        <v>0</v>
      </c>
      <c r="J46" s="3175">
        <f t="shared" si="4"/>
        <v>0</v>
      </c>
      <c r="K46" s="3175">
        <f t="shared" si="4"/>
        <v>0</v>
      </c>
      <c r="L46" s="3175">
        <f t="shared" si="4"/>
        <v>0</v>
      </c>
      <c r="M46" s="3175">
        <f t="shared" si="4"/>
        <v>0</v>
      </c>
      <c r="N46" s="3175">
        <f t="shared" si="4"/>
        <v>0</v>
      </c>
      <c r="O46" s="3175">
        <f t="shared" si="4"/>
        <v>0</v>
      </c>
      <c r="P46" s="3175">
        <f t="shared" si="4"/>
        <v>0</v>
      </c>
      <c r="Q46" s="3175">
        <f t="shared" si="4"/>
        <v>0</v>
      </c>
      <c r="R46" s="3175">
        <f t="shared" si="4"/>
        <v>0</v>
      </c>
      <c r="S46" s="3175">
        <f t="shared" si="4"/>
        <v>0</v>
      </c>
      <c r="T46" s="3175">
        <f t="shared" si="4"/>
        <v>0</v>
      </c>
      <c r="U46" s="3175">
        <f t="shared" si="4"/>
        <v>0</v>
      </c>
      <c r="V46" s="3175">
        <f t="shared" si="4"/>
        <v>0</v>
      </c>
      <c r="W46" s="3175">
        <f t="shared" si="4"/>
        <v>0</v>
      </c>
      <c r="X46" s="3175">
        <f t="shared" si="4"/>
        <v>0</v>
      </c>
      <c r="Y46" s="3175">
        <f t="shared" si="4"/>
        <v>0</v>
      </c>
      <c r="Z46" s="3175">
        <f t="shared" si="4"/>
        <v>0</v>
      </c>
      <c r="AA46" s="3175">
        <f t="shared" si="4"/>
        <v>0</v>
      </c>
      <c r="AB46" s="3175">
        <f t="shared" si="4"/>
        <v>0</v>
      </c>
      <c r="AC46" s="3175">
        <f t="shared" si="4"/>
        <v>0</v>
      </c>
      <c r="AD46" s="3175">
        <f t="shared" si="4"/>
        <v>1136</v>
      </c>
      <c r="AE46" s="3175">
        <f t="shared" si="4"/>
        <v>1216</v>
      </c>
      <c r="AF46" s="3175">
        <f t="shared" si="4"/>
        <v>2777</v>
      </c>
      <c r="AG46" s="3175">
        <f t="shared" si="4"/>
        <v>2346</v>
      </c>
      <c r="AH46" s="3175">
        <f t="shared" si="4"/>
        <v>0</v>
      </c>
      <c r="AI46" s="3175">
        <f t="shared" si="4"/>
        <v>7475</v>
      </c>
      <c r="AJ46" s="3490">
        <f>+AJ47</f>
        <v>57.563979156768305</v>
      </c>
      <c r="AK46" s="3175">
        <f t="shared" si="4"/>
        <v>4302.9074419684302</v>
      </c>
      <c r="AL46" s="3135"/>
      <c r="AM46" s="3136"/>
      <c r="AN46" s="3137"/>
      <c r="AP46" s="3138"/>
      <c r="AR46" s="3294">
        <v>7475</v>
      </c>
      <c r="AS46" s="3294">
        <v>4302.9074419684312</v>
      </c>
      <c r="AT46" s="3294">
        <f>+AS46/AR46</f>
        <v>0.57563979156768308</v>
      </c>
      <c r="BC46" s="3106">
        <v>45.786724603988645</v>
      </c>
    </row>
    <row r="47" spans="1:55" ht="95.25" customHeight="1">
      <c r="A47" s="3125">
        <v>35</v>
      </c>
      <c r="B47" s="3126">
        <v>1</v>
      </c>
      <c r="C47" s="3126" t="s">
        <v>2195</v>
      </c>
      <c r="D47" s="3139" t="s">
        <v>451</v>
      </c>
      <c r="E47" s="3282"/>
      <c r="F47" s="3282"/>
      <c r="G47" s="3282"/>
      <c r="H47" s="3282"/>
      <c r="I47" s="3282"/>
      <c r="J47" s="3282"/>
      <c r="K47" s="3282"/>
      <c r="L47" s="3282"/>
      <c r="M47" s="3282"/>
      <c r="N47" s="3282"/>
      <c r="O47" s="3282"/>
      <c r="P47" s="3282"/>
      <c r="Q47" s="3282"/>
      <c r="R47" s="3282"/>
      <c r="S47" s="3282"/>
      <c r="T47" s="3282"/>
      <c r="U47" s="3282"/>
      <c r="V47" s="3282"/>
      <c r="W47" s="3282"/>
      <c r="X47" s="3282"/>
      <c r="Y47" s="3282"/>
      <c r="Z47" s="3282"/>
      <c r="AA47" s="3282"/>
      <c r="AB47" s="3282"/>
      <c r="AC47" s="3282"/>
      <c r="AD47" s="3282">
        <v>39</v>
      </c>
      <c r="AE47" s="3282">
        <v>43</v>
      </c>
      <c r="AF47" s="3282">
        <v>115</v>
      </c>
      <c r="AG47" s="3282">
        <v>46</v>
      </c>
      <c r="AH47" s="3282"/>
      <c r="AI47" s="3129">
        <f>+SUM(E47:AH47)</f>
        <v>243</v>
      </c>
      <c r="AJ47" s="3490">
        <f>+$AT$46*100</f>
        <v>57.563979156768305</v>
      </c>
      <c r="AK47" s="3129">
        <f>+AI47*$AT$46</f>
        <v>139.88046935094698</v>
      </c>
      <c r="AL47" s="3140" t="s">
        <v>141</v>
      </c>
      <c r="AM47" s="3141"/>
      <c r="AT47" s="2581"/>
      <c r="AU47" s="2581"/>
    </row>
    <row r="48" spans="1:55" ht="95.25" customHeight="1">
      <c r="A48" s="3125">
        <v>36</v>
      </c>
      <c r="B48" s="3126">
        <v>2</v>
      </c>
      <c r="C48" s="3126" t="s">
        <v>2196</v>
      </c>
      <c r="D48" s="3127" t="s">
        <v>451</v>
      </c>
      <c r="E48" s="3282"/>
      <c r="F48" s="3282"/>
      <c r="G48" s="3282"/>
      <c r="H48" s="3282"/>
      <c r="I48" s="3282"/>
      <c r="J48" s="3282"/>
      <c r="K48" s="3282"/>
      <c r="L48" s="3282"/>
      <c r="M48" s="3282"/>
      <c r="N48" s="3282"/>
      <c r="O48" s="3282"/>
      <c r="P48" s="3282"/>
      <c r="Q48" s="3282"/>
      <c r="R48" s="3282"/>
      <c r="S48" s="3282"/>
      <c r="T48" s="3282"/>
      <c r="U48" s="3282"/>
      <c r="V48" s="3282"/>
      <c r="W48" s="3282"/>
      <c r="X48" s="3282"/>
      <c r="Y48" s="3282"/>
      <c r="Z48" s="3282"/>
      <c r="AA48" s="3282"/>
      <c r="AB48" s="3282"/>
      <c r="AC48" s="3282"/>
      <c r="AD48" s="3282">
        <v>39</v>
      </c>
      <c r="AE48" s="3282">
        <v>43</v>
      </c>
      <c r="AF48" s="3282">
        <v>115</v>
      </c>
      <c r="AG48" s="3282">
        <v>66</v>
      </c>
      <c r="AH48" s="3282"/>
      <c r="AI48" s="3129">
        <f t="shared" ref="AI48:AI89" si="5">+SUM(E48:AH48)</f>
        <v>263</v>
      </c>
      <c r="AJ48" s="3490">
        <f t="shared" ref="AJ48:AJ89" si="6">+$AT$46*100</f>
        <v>57.563979156768305</v>
      </c>
      <c r="AK48" s="3129">
        <f t="shared" ref="AK48:AK89" si="7">+AI48*$AT$46</f>
        <v>151.39326518230064</v>
      </c>
      <c r="AL48" s="3140" t="s">
        <v>141</v>
      </c>
      <c r="AM48" s="3132"/>
      <c r="AP48" s="2581"/>
      <c r="AT48" s="3019"/>
      <c r="AU48" s="2581"/>
    </row>
    <row r="49" spans="1:47" ht="95.25" customHeight="1">
      <c r="A49" s="3125">
        <v>37</v>
      </c>
      <c r="B49" s="3126">
        <v>3</v>
      </c>
      <c r="C49" s="3126" t="s">
        <v>2197</v>
      </c>
      <c r="D49" s="3139" t="s">
        <v>451</v>
      </c>
      <c r="E49" s="3282"/>
      <c r="F49" s="3282"/>
      <c r="G49" s="3282"/>
      <c r="H49" s="3282"/>
      <c r="I49" s="3282"/>
      <c r="J49" s="3282"/>
      <c r="K49" s="3282"/>
      <c r="L49" s="3282"/>
      <c r="M49" s="3282"/>
      <c r="N49" s="3282"/>
      <c r="O49" s="3282"/>
      <c r="P49" s="3282"/>
      <c r="Q49" s="3282"/>
      <c r="R49" s="3282"/>
      <c r="S49" s="3282"/>
      <c r="T49" s="3282"/>
      <c r="U49" s="3282"/>
      <c r="V49" s="3282"/>
      <c r="W49" s="3282"/>
      <c r="X49" s="3282"/>
      <c r="Y49" s="3282"/>
      <c r="Z49" s="3282"/>
      <c r="AA49" s="3282"/>
      <c r="AB49" s="3282"/>
      <c r="AC49" s="3282"/>
      <c r="AD49" s="3282">
        <v>38</v>
      </c>
      <c r="AE49" s="3282">
        <v>42</v>
      </c>
      <c r="AF49" s="3282">
        <v>115</v>
      </c>
      <c r="AG49" s="3282">
        <v>53</v>
      </c>
      <c r="AH49" s="3282"/>
      <c r="AI49" s="3129">
        <f t="shared" si="5"/>
        <v>248</v>
      </c>
      <c r="AJ49" s="3490">
        <f t="shared" si="6"/>
        <v>57.563979156768305</v>
      </c>
      <c r="AK49" s="3129">
        <f t="shared" si="7"/>
        <v>142.75866830878542</v>
      </c>
      <c r="AL49" s="3140" t="s">
        <v>141</v>
      </c>
      <c r="AM49" s="3132"/>
      <c r="AU49" s="2581"/>
    </row>
    <row r="50" spans="1:47" s="3115" customFormat="1" ht="95.25" customHeight="1">
      <c r="A50" s="3125">
        <v>38</v>
      </c>
      <c r="B50" s="3126">
        <v>4</v>
      </c>
      <c r="C50" s="3150" t="s">
        <v>2198</v>
      </c>
      <c r="D50" s="3139" t="s">
        <v>451</v>
      </c>
      <c r="E50" s="3358"/>
      <c r="F50" s="3358"/>
      <c r="G50" s="3358"/>
      <c r="H50" s="3358"/>
      <c r="I50" s="3358"/>
      <c r="J50" s="3358"/>
      <c r="K50" s="3358"/>
      <c r="L50" s="3358"/>
      <c r="M50" s="3358"/>
      <c r="N50" s="3358"/>
      <c r="O50" s="3358"/>
      <c r="P50" s="3358"/>
      <c r="Q50" s="3358"/>
      <c r="R50" s="3358"/>
      <c r="S50" s="3358"/>
      <c r="T50" s="3358"/>
      <c r="U50" s="3358"/>
      <c r="V50" s="3358"/>
      <c r="W50" s="3358"/>
      <c r="X50" s="3358"/>
      <c r="Y50" s="3358"/>
      <c r="Z50" s="3358"/>
      <c r="AA50" s="3358"/>
      <c r="AB50" s="3358"/>
      <c r="AC50" s="3358"/>
      <c r="AD50" s="3358">
        <v>45</v>
      </c>
      <c r="AE50" s="3358">
        <v>27</v>
      </c>
      <c r="AF50" s="3358">
        <v>80</v>
      </c>
      <c r="AG50" s="3358">
        <v>94</v>
      </c>
      <c r="AH50" s="3358"/>
      <c r="AI50" s="3129">
        <f t="shared" si="5"/>
        <v>246</v>
      </c>
      <c r="AJ50" s="3490">
        <f t="shared" si="6"/>
        <v>57.563979156768305</v>
      </c>
      <c r="AK50" s="3129">
        <f t="shared" si="7"/>
        <v>141.60738872565003</v>
      </c>
      <c r="AL50" s="3140" t="s">
        <v>141</v>
      </c>
      <c r="AM50" s="3141"/>
      <c r="AO50" s="3115" t="s">
        <v>141</v>
      </c>
      <c r="AP50" s="3115">
        <f>+COUNTIF($AL$47:$AL$89,"A")</f>
        <v>43</v>
      </c>
      <c r="AU50" s="3359"/>
    </row>
    <row r="51" spans="1:47" ht="95.25" customHeight="1">
      <c r="A51" s="3125">
        <v>39</v>
      </c>
      <c r="B51" s="3126">
        <v>5</v>
      </c>
      <c r="C51" s="3126" t="s">
        <v>2199</v>
      </c>
      <c r="D51" s="3139" t="s">
        <v>451</v>
      </c>
      <c r="E51" s="3282"/>
      <c r="F51" s="3282"/>
      <c r="G51" s="3282"/>
      <c r="H51" s="3282"/>
      <c r="I51" s="3282"/>
      <c r="J51" s="3282"/>
      <c r="K51" s="3282"/>
      <c r="L51" s="3282"/>
      <c r="M51" s="3282"/>
      <c r="N51" s="3282"/>
      <c r="O51" s="3282"/>
      <c r="P51" s="3282"/>
      <c r="Q51" s="3282"/>
      <c r="R51" s="3282"/>
      <c r="S51" s="3282"/>
      <c r="T51" s="3282"/>
      <c r="U51" s="3282"/>
      <c r="V51" s="3282"/>
      <c r="W51" s="3282"/>
      <c r="X51" s="3282"/>
      <c r="Y51" s="3282"/>
      <c r="Z51" s="3282"/>
      <c r="AA51" s="3282"/>
      <c r="AB51" s="3282"/>
      <c r="AC51" s="3282"/>
      <c r="AD51" s="3282">
        <v>45</v>
      </c>
      <c r="AE51" s="3282">
        <v>27</v>
      </c>
      <c r="AF51" s="3282">
        <v>86</v>
      </c>
      <c r="AG51" s="3282">
        <v>68</v>
      </c>
      <c r="AH51" s="3282"/>
      <c r="AI51" s="3129">
        <f t="shared" si="5"/>
        <v>226</v>
      </c>
      <c r="AJ51" s="3490">
        <f t="shared" si="6"/>
        <v>57.563979156768305</v>
      </c>
      <c r="AK51" s="3129">
        <f t="shared" si="7"/>
        <v>130.09459289429637</v>
      </c>
      <c r="AL51" s="3140" t="s">
        <v>141</v>
      </c>
      <c r="AM51" s="3132"/>
      <c r="AO51" s="3106" t="s">
        <v>138</v>
      </c>
      <c r="AP51" s="3115">
        <f>+COUNTIF($AL$47:$AL$89,"B")</f>
        <v>0</v>
      </c>
      <c r="AU51" s="2581"/>
    </row>
    <row r="52" spans="1:47" ht="95.25" customHeight="1">
      <c r="A52" s="3125">
        <v>40</v>
      </c>
      <c r="B52" s="3126">
        <v>6</v>
      </c>
      <c r="C52" s="3126" t="s">
        <v>2200</v>
      </c>
      <c r="D52" s="3127" t="s">
        <v>451</v>
      </c>
      <c r="E52" s="3282"/>
      <c r="F52" s="3282"/>
      <c r="G52" s="3282"/>
      <c r="H52" s="3282"/>
      <c r="I52" s="3282"/>
      <c r="J52" s="3282"/>
      <c r="K52" s="3282"/>
      <c r="L52" s="3282"/>
      <c r="M52" s="3282"/>
      <c r="N52" s="3282"/>
      <c r="O52" s="3282"/>
      <c r="P52" s="3282"/>
      <c r="Q52" s="3282"/>
      <c r="R52" s="3282"/>
      <c r="S52" s="3282"/>
      <c r="T52" s="3282"/>
      <c r="U52" s="3282"/>
      <c r="V52" s="3282"/>
      <c r="W52" s="3282"/>
      <c r="X52" s="3282"/>
      <c r="Y52" s="3282"/>
      <c r="Z52" s="3282"/>
      <c r="AA52" s="3282"/>
      <c r="AB52" s="3282"/>
      <c r="AC52" s="3282"/>
      <c r="AD52" s="3282">
        <v>32</v>
      </c>
      <c r="AE52" s="3282">
        <v>32</v>
      </c>
      <c r="AF52" s="3282">
        <v>96</v>
      </c>
      <c r="AG52" s="3282">
        <v>70</v>
      </c>
      <c r="AH52" s="3282"/>
      <c r="AI52" s="3129">
        <f t="shared" si="5"/>
        <v>230</v>
      </c>
      <c r="AJ52" s="3490">
        <f t="shared" si="6"/>
        <v>57.563979156768305</v>
      </c>
      <c r="AK52" s="3129">
        <f t="shared" si="7"/>
        <v>132.39715206056709</v>
      </c>
      <c r="AL52" s="3140" t="s">
        <v>141</v>
      </c>
      <c r="AM52" s="3132"/>
      <c r="AO52" s="3106" t="s">
        <v>168</v>
      </c>
      <c r="AP52" s="3115">
        <f>+COUNTIF($AL$47:$AL$89,"C")</f>
        <v>0</v>
      </c>
      <c r="AU52" s="2581"/>
    </row>
    <row r="53" spans="1:47" ht="95.25" customHeight="1">
      <c r="A53" s="3125">
        <v>41</v>
      </c>
      <c r="B53" s="3126">
        <v>7</v>
      </c>
      <c r="C53" s="3126" t="s">
        <v>2201</v>
      </c>
      <c r="D53" s="3139" t="s">
        <v>451</v>
      </c>
      <c r="E53" s="3282"/>
      <c r="F53" s="3282"/>
      <c r="G53" s="3282"/>
      <c r="H53" s="3282"/>
      <c r="I53" s="3282"/>
      <c r="J53" s="3282"/>
      <c r="K53" s="3282"/>
      <c r="L53" s="3282"/>
      <c r="M53" s="3282"/>
      <c r="N53" s="3282"/>
      <c r="O53" s="3282"/>
      <c r="P53" s="3282"/>
      <c r="Q53" s="3282"/>
      <c r="R53" s="3282"/>
      <c r="S53" s="3282"/>
      <c r="T53" s="3282"/>
      <c r="U53" s="3282"/>
      <c r="V53" s="3282"/>
      <c r="W53" s="3282"/>
      <c r="X53" s="3282"/>
      <c r="Y53" s="3282"/>
      <c r="Z53" s="3282"/>
      <c r="AA53" s="3282"/>
      <c r="AB53" s="3282"/>
      <c r="AC53" s="3282"/>
      <c r="AD53" s="3282">
        <v>30</v>
      </c>
      <c r="AE53" s="3282">
        <v>30</v>
      </c>
      <c r="AF53" s="3282">
        <v>212</v>
      </c>
      <c r="AG53" s="3282">
        <v>65</v>
      </c>
      <c r="AH53" s="3282"/>
      <c r="AI53" s="3129">
        <f t="shared" si="5"/>
        <v>337</v>
      </c>
      <c r="AJ53" s="3490">
        <f t="shared" si="6"/>
        <v>57.563979156768305</v>
      </c>
      <c r="AK53" s="3129">
        <f t="shared" si="7"/>
        <v>193.9906097583092</v>
      </c>
      <c r="AL53" s="3140" t="s">
        <v>141</v>
      </c>
      <c r="AM53" s="3132"/>
      <c r="AU53" s="2581"/>
    </row>
    <row r="54" spans="1:47" ht="95.25" customHeight="1">
      <c r="A54" s="3125">
        <v>42</v>
      </c>
      <c r="B54" s="3126">
        <v>8</v>
      </c>
      <c r="C54" s="3126" t="s">
        <v>2202</v>
      </c>
      <c r="D54" s="3127" t="s">
        <v>451</v>
      </c>
      <c r="E54" s="3282"/>
      <c r="F54" s="3282"/>
      <c r="G54" s="3282"/>
      <c r="H54" s="3282"/>
      <c r="I54" s="3282"/>
      <c r="J54" s="3282"/>
      <c r="K54" s="3282"/>
      <c r="L54" s="3282"/>
      <c r="M54" s="3282"/>
      <c r="N54" s="3282"/>
      <c r="O54" s="3282"/>
      <c r="P54" s="3282"/>
      <c r="Q54" s="3282"/>
      <c r="R54" s="3282"/>
      <c r="S54" s="3282"/>
      <c r="T54" s="3282"/>
      <c r="U54" s="3282"/>
      <c r="V54" s="3282"/>
      <c r="W54" s="3282"/>
      <c r="X54" s="3282"/>
      <c r="Y54" s="3282"/>
      <c r="Z54" s="3282"/>
      <c r="AA54" s="3282"/>
      <c r="AB54" s="3282"/>
      <c r="AC54" s="3282"/>
      <c r="AD54" s="3282">
        <v>30</v>
      </c>
      <c r="AE54" s="3282">
        <v>31</v>
      </c>
      <c r="AF54" s="3282">
        <v>91</v>
      </c>
      <c r="AG54" s="3282">
        <v>69</v>
      </c>
      <c r="AH54" s="3282"/>
      <c r="AI54" s="3129">
        <f t="shared" si="5"/>
        <v>221</v>
      </c>
      <c r="AJ54" s="3490">
        <f t="shared" si="6"/>
        <v>57.563979156768305</v>
      </c>
      <c r="AK54" s="3129">
        <f t="shared" si="7"/>
        <v>127.21639393645796</v>
      </c>
      <c r="AL54" s="3140" t="s">
        <v>141</v>
      </c>
      <c r="AM54" s="3132"/>
      <c r="AR54" s="2581">
        <f>+MAX(AI51:AI79)</f>
        <v>337</v>
      </c>
      <c r="AU54" s="2581"/>
    </row>
    <row r="55" spans="1:47" ht="95.25" customHeight="1">
      <c r="A55" s="3125">
        <v>43</v>
      </c>
      <c r="B55" s="3126">
        <v>9</v>
      </c>
      <c r="C55" s="3126" t="s">
        <v>2203</v>
      </c>
      <c r="D55" s="3139" t="s">
        <v>451</v>
      </c>
      <c r="E55" s="3282"/>
      <c r="F55" s="3282"/>
      <c r="G55" s="3282"/>
      <c r="H55" s="3282"/>
      <c r="I55" s="3282"/>
      <c r="J55" s="3282"/>
      <c r="K55" s="3282"/>
      <c r="L55" s="3282"/>
      <c r="M55" s="3282"/>
      <c r="N55" s="3282"/>
      <c r="O55" s="3282"/>
      <c r="P55" s="3282"/>
      <c r="Q55" s="3282"/>
      <c r="R55" s="3282"/>
      <c r="S55" s="3282"/>
      <c r="T55" s="3282"/>
      <c r="U55" s="3282"/>
      <c r="V55" s="3282"/>
      <c r="W55" s="3282"/>
      <c r="X55" s="3282"/>
      <c r="Y55" s="3282"/>
      <c r="Z55" s="3282"/>
      <c r="AA55" s="3282"/>
      <c r="AB55" s="3282"/>
      <c r="AC55" s="3282"/>
      <c r="AD55" s="3282">
        <v>31</v>
      </c>
      <c r="AE55" s="3282">
        <v>31</v>
      </c>
      <c r="AF55" s="3282">
        <v>88</v>
      </c>
      <c r="AG55" s="3282">
        <v>73</v>
      </c>
      <c r="AH55" s="3282"/>
      <c r="AI55" s="3129">
        <f t="shared" si="5"/>
        <v>223</v>
      </c>
      <c r="AJ55" s="3490">
        <f t="shared" si="6"/>
        <v>57.563979156768305</v>
      </c>
      <c r="AK55" s="3129">
        <f t="shared" si="7"/>
        <v>128.36767351959332</v>
      </c>
      <c r="AL55" s="3140" t="s">
        <v>141</v>
      </c>
      <c r="AM55" s="3132"/>
      <c r="AU55" s="2581"/>
    </row>
    <row r="56" spans="1:47" ht="95.25" customHeight="1">
      <c r="A56" s="3125">
        <v>44</v>
      </c>
      <c r="B56" s="3126">
        <v>10</v>
      </c>
      <c r="C56" s="3126" t="s">
        <v>2204</v>
      </c>
      <c r="D56" s="3127" t="s">
        <v>451</v>
      </c>
      <c r="E56" s="3282"/>
      <c r="F56" s="3282"/>
      <c r="G56" s="3282"/>
      <c r="H56" s="3282"/>
      <c r="I56" s="3282"/>
      <c r="J56" s="3282"/>
      <c r="K56" s="3282"/>
      <c r="L56" s="3282"/>
      <c r="M56" s="3282"/>
      <c r="N56" s="3282"/>
      <c r="O56" s="3282"/>
      <c r="P56" s="3282"/>
      <c r="Q56" s="3282"/>
      <c r="R56" s="3282"/>
      <c r="S56" s="3282"/>
      <c r="T56" s="3282"/>
      <c r="U56" s="3282"/>
      <c r="V56" s="3282"/>
      <c r="W56" s="3282"/>
      <c r="X56" s="3282"/>
      <c r="Y56" s="3282"/>
      <c r="Z56" s="3282"/>
      <c r="AA56" s="3282"/>
      <c r="AB56" s="3282"/>
      <c r="AC56" s="3282"/>
      <c r="AD56" s="3282">
        <v>40</v>
      </c>
      <c r="AE56" s="3282">
        <v>40</v>
      </c>
      <c r="AF56" s="3282">
        <v>89</v>
      </c>
      <c r="AG56" s="3282">
        <v>76</v>
      </c>
      <c r="AH56" s="3282"/>
      <c r="AI56" s="3129">
        <f t="shared" si="5"/>
        <v>245</v>
      </c>
      <c r="AJ56" s="3490">
        <f t="shared" si="6"/>
        <v>57.563979156768305</v>
      </c>
      <c r="AK56" s="3129">
        <f t="shared" si="7"/>
        <v>141.03174893408234</v>
      </c>
      <c r="AL56" s="3140" t="s">
        <v>141</v>
      </c>
      <c r="AM56" s="3132"/>
      <c r="AU56" s="2581"/>
    </row>
    <row r="57" spans="1:47" ht="95.25" customHeight="1">
      <c r="A57" s="3125">
        <v>45</v>
      </c>
      <c r="B57" s="3126">
        <v>11</v>
      </c>
      <c r="C57" s="3126" t="s">
        <v>2205</v>
      </c>
      <c r="D57" s="3139" t="s">
        <v>451</v>
      </c>
      <c r="E57" s="3282"/>
      <c r="F57" s="3282"/>
      <c r="G57" s="3282"/>
      <c r="H57" s="3282"/>
      <c r="I57" s="3282"/>
      <c r="J57" s="3282"/>
      <c r="K57" s="3282"/>
      <c r="L57" s="3282"/>
      <c r="M57" s="3282"/>
      <c r="N57" s="3282"/>
      <c r="O57" s="3282"/>
      <c r="P57" s="3282"/>
      <c r="Q57" s="3282"/>
      <c r="R57" s="3282"/>
      <c r="S57" s="3282"/>
      <c r="T57" s="3282"/>
      <c r="U57" s="3282"/>
      <c r="V57" s="3282"/>
      <c r="W57" s="3282"/>
      <c r="X57" s="3282"/>
      <c r="Y57" s="3282"/>
      <c r="Z57" s="3282"/>
      <c r="AA57" s="3282"/>
      <c r="AB57" s="3282"/>
      <c r="AC57" s="3282"/>
      <c r="AD57" s="3282">
        <v>35</v>
      </c>
      <c r="AE57" s="3282">
        <v>35</v>
      </c>
      <c r="AF57" s="3282">
        <v>186</v>
      </c>
      <c r="AG57" s="3282">
        <v>79</v>
      </c>
      <c r="AH57" s="3282"/>
      <c r="AI57" s="3129">
        <f t="shared" si="5"/>
        <v>335</v>
      </c>
      <c r="AJ57" s="3490">
        <f t="shared" si="6"/>
        <v>57.563979156768305</v>
      </c>
      <c r="AK57" s="3129">
        <f t="shared" si="7"/>
        <v>192.83933017517384</v>
      </c>
      <c r="AL57" s="3140" t="s">
        <v>141</v>
      </c>
      <c r="AM57" s="3132"/>
      <c r="AU57" s="2581"/>
    </row>
    <row r="58" spans="1:47" ht="95.25" customHeight="1">
      <c r="A58" s="3125">
        <v>46</v>
      </c>
      <c r="B58" s="3126">
        <v>12</v>
      </c>
      <c r="C58" s="3126" t="s">
        <v>2206</v>
      </c>
      <c r="D58" s="3127" t="s">
        <v>451</v>
      </c>
      <c r="E58" s="3282"/>
      <c r="F58" s="3282"/>
      <c r="G58" s="3282"/>
      <c r="H58" s="3282"/>
      <c r="I58" s="3282"/>
      <c r="J58" s="3282"/>
      <c r="K58" s="3282"/>
      <c r="L58" s="3282"/>
      <c r="M58" s="3282"/>
      <c r="N58" s="3282"/>
      <c r="O58" s="3282"/>
      <c r="P58" s="3282"/>
      <c r="Q58" s="3282"/>
      <c r="R58" s="3282"/>
      <c r="S58" s="3282"/>
      <c r="T58" s="3282"/>
      <c r="U58" s="3282"/>
      <c r="V58" s="3282"/>
      <c r="W58" s="3282"/>
      <c r="X58" s="3282"/>
      <c r="Y58" s="3282"/>
      <c r="Z58" s="3282"/>
      <c r="AA58" s="3282"/>
      <c r="AB58" s="3282"/>
      <c r="AC58" s="3282"/>
      <c r="AD58" s="3282">
        <v>27</v>
      </c>
      <c r="AE58" s="3282">
        <v>27</v>
      </c>
      <c r="AF58" s="3282">
        <v>66</v>
      </c>
      <c r="AG58" s="3282">
        <v>105</v>
      </c>
      <c r="AH58" s="3282"/>
      <c r="AI58" s="3129">
        <f t="shared" si="5"/>
        <v>225</v>
      </c>
      <c r="AJ58" s="3490">
        <f t="shared" si="6"/>
        <v>57.563979156768305</v>
      </c>
      <c r="AK58" s="3129">
        <f t="shared" si="7"/>
        <v>129.51895310272869</v>
      </c>
      <c r="AL58" s="3140" t="s">
        <v>141</v>
      </c>
      <c r="AM58" s="3132"/>
      <c r="AU58" s="2581"/>
    </row>
    <row r="59" spans="1:47" ht="95.25" customHeight="1">
      <c r="A59" s="3125">
        <v>47</v>
      </c>
      <c r="B59" s="3126">
        <v>13</v>
      </c>
      <c r="C59" s="3126" t="s">
        <v>2207</v>
      </c>
      <c r="D59" s="3139" t="s">
        <v>451</v>
      </c>
      <c r="E59" s="3282"/>
      <c r="F59" s="3282"/>
      <c r="G59" s="3282"/>
      <c r="H59" s="3282"/>
      <c r="I59" s="3282"/>
      <c r="J59" s="3282"/>
      <c r="K59" s="3282"/>
      <c r="L59" s="3282"/>
      <c r="M59" s="3282"/>
      <c r="N59" s="3282"/>
      <c r="O59" s="3282"/>
      <c r="P59" s="3282"/>
      <c r="Q59" s="3282"/>
      <c r="R59" s="3282"/>
      <c r="S59" s="3282"/>
      <c r="T59" s="3282"/>
      <c r="U59" s="3282"/>
      <c r="V59" s="3282"/>
      <c r="W59" s="3282"/>
      <c r="X59" s="3282"/>
      <c r="Y59" s="3282"/>
      <c r="Z59" s="3282"/>
      <c r="AA59" s="3282"/>
      <c r="AB59" s="3282"/>
      <c r="AC59" s="3282"/>
      <c r="AD59" s="3282">
        <v>27</v>
      </c>
      <c r="AE59" s="3282">
        <v>27</v>
      </c>
      <c r="AF59" s="3282">
        <v>79</v>
      </c>
      <c r="AG59" s="3282">
        <v>110</v>
      </c>
      <c r="AH59" s="3282"/>
      <c r="AI59" s="3129">
        <f t="shared" si="5"/>
        <v>243</v>
      </c>
      <c r="AJ59" s="3490">
        <f t="shared" si="6"/>
        <v>57.563979156768305</v>
      </c>
      <c r="AK59" s="3129">
        <f t="shared" si="7"/>
        <v>139.88046935094698</v>
      </c>
      <c r="AL59" s="3140" t="s">
        <v>141</v>
      </c>
      <c r="AM59" s="3132"/>
      <c r="AU59" s="2581"/>
    </row>
    <row r="60" spans="1:47" ht="95.25" customHeight="1">
      <c r="A60" s="3125">
        <v>48</v>
      </c>
      <c r="B60" s="3126">
        <v>14</v>
      </c>
      <c r="C60" s="3126" t="s">
        <v>2208</v>
      </c>
      <c r="D60" s="3127" t="s">
        <v>451</v>
      </c>
      <c r="E60" s="3282"/>
      <c r="F60" s="3282"/>
      <c r="G60" s="3282"/>
      <c r="H60" s="3282"/>
      <c r="I60" s="3282"/>
      <c r="J60" s="3282"/>
      <c r="K60" s="3282"/>
      <c r="L60" s="3282"/>
      <c r="M60" s="3282"/>
      <c r="N60" s="3282"/>
      <c r="O60" s="3282"/>
      <c r="P60" s="3282"/>
      <c r="Q60" s="3282"/>
      <c r="R60" s="3282"/>
      <c r="S60" s="3282"/>
      <c r="T60" s="3282"/>
      <c r="U60" s="3282"/>
      <c r="V60" s="3282"/>
      <c r="W60" s="3282"/>
      <c r="X60" s="3282"/>
      <c r="Y60" s="3282"/>
      <c r="Z60" s="3282"/>
      <c r="AA60" s="3282"/>
      <c r="AB60" s="3282"/>
      <c r="AC60" s="3282"/>
      <c r="AD60" s="3282">
        <v>32</v>
      </c>
      <c r="AE60" s="3282">
        <v>33</v>
      </c>
      <c r="AF60" s="3282">
        <v>48</v>
      </c>
      <c r="AG60" s="3282">
        <v>60</v>
      </c>
      <c r="AH60" s="3282"/>
      <c r="AI60" s="3129">
        <f t="shared" si="5"/>
        <v>173</v>
      </c>
      <c r="AJ60" s="3490">
        <f t="shared" si="6"/>
        <v>57.563979156768305</v>
      </c>
      <c r="AK60" s="3129">
        <f t="shared" si="7"/>
        <v>99.585683941209169</v>
      </c>
      <c r="AL60" s="3140" t="s">
        <v>141</v>
      </c>
      <c r="AM60" s="3132"/>
      <c r="AU60" s="2581"/>
    </row>
    <row r="61" spans="1:47" ht="95.25" customHeight="1">
      <c r="A61" s="3125">
        <v>49</v>
      </c>
      <c r="B61" s="3126">
        <v>15</v>
      </c>
      <c r="C61" s="3126" t="s">
        <v>2209</v>
      </c>
      <c r="D61" s="3139" t="s">
        <v>451</v>
      </c>
      <c r="E61" s="3282"/>
      <c r="F61" s="3282"/>
      <c r="G61" s="3282"/>
      <c r="H61" s="3282"/>
      <c r="I61" s="3282"/>
      <c r="J61" s="3282"/>
      <c r="K61" s="3282"/>
      <c r="L61" s="3282"/>
      <c r="M61" s="3282"/>
      <c r="N61" s="3282"/>
      <c r="O61" s="3282"/>
      <c r="P61" s="3282"/>
      <c r="Q61" s="3282"/>
      <c r="R61" s="3282"/>
      <c r="S61" s="3282"/>
      <c r="T61" s="3282"/>
      <c r="U61" s="3282"/>
      <c r="V61" s="3282"/>
      <c r="W61" s="3282"/>
      <c r="X61" s="3282"/>
      <c r="Y61" s="3282"/>
      <c r="Z61" s="3282"/>
      <c r="AA61" s="3282"/>
      <c r="AB61" s="3282"/>
      <c r="AC61" s="3282"/>
      <c r="AD61" s="3282">
        <v>33</v>
      </c>
      <c r="AE61" s="3282">
        <v>33</v>
      </c>
      <c r="AF61" s="3282">
        <v>48</v>
      </c>
      <c r="AG61" s="3282">
        <v>61</v>
      </c>
      <c r="AH61" s="3282"/>
      <c r="AI61" s="3129">
        <f t="shared" si="5"/>
        <v>175</v>
      </c>
      <c r="AJ61" s="3490">
        <f t="shared" si="6"/>
        <v>57.563979156768305</v>
      </c>
      <c r="AK61" s="3129">
        <f t="shared" si="7"/>
        <v>100.73696352434455</v>
      </c>
      <c r="AL61" s="3140" t="s">
        <v>141</v>
      </c>
      <c r="AM61" s="3132"/>
      <c r="AU61" s="2581"/>
    </row>
    <row r="62" spans="1:47" ht="95.25" customHeight="1">
      <c r="A62" s="3125">
        <v>50</v>
      </c>
      <c r="B62" s="3126">
        <v>16</v>
      </c>
      <c r="C62" s="3126" t="s">
        <v>2210</v>
      </c>
      <c r="D62" s="3127" t="s">
        <v>451</v>
      </c>
      <c r="E62" s="3282"/>
      <c r="F62" s="3282"/>
      <c r="G62" s="3282"/>
      <c r="H62" s="3282"/>
      <c r="I62" s="3282"/>
      <c r="J62" s="3282"/>
      <c r="K62" s="3282"/>
      <c r="L62" s="3282"/>
      <c r="M62" s="3282"/>
      <c r="N62" s="3282"/>
      <c r="O62" s="3282"/>
      <c r="P62" s="3282"/>
      <c r="Q62" s="3282"/>
      <c r="R62" s="3282"/>
      <c r="S62" s="3282"/>
      <c r="T62" s="3282"/>
      <c r="U62" s="3282"/>
      <c r="V62" s="3282"/>
      <c r="W62" s="3282"/>
      <c r="X62" s="3282"/>
      <c r="Y62" s="3282"/>
      <c r="Z62" s="3282"/>
      <c r="AA62" s="3282"/>
      <c r="AB62" s="3282"/>
      <c r="AC62" s="3282"/>
      <c r="AD62" s="3282">
        <v>31</v>
      </c>
      <c r="AE62" s="3282">
        <v>21</v>
      </c>
      <c r="AF62" s="3282">
        <v>61</v>
      </c>
      <c r="AG62" s="3282">
        <v>53</v>
      </c>
      <c r="AH62" s="3282"/>
      <c r="AI62" s="3129">
        <f t="shared" si="5"/>
        <v>166</v>
      </c>
      <c r="AJ62" s="3490">
        <f t="shared" si="6"/>
        <v>57.563979156768305</v>
      </c>
      <c r="AK62" s="3129">
        <f t="shared" si="7"/>
        <v>95.556205400235385</v>
      </c>
      <c r="AL62" s="3140" t="s">
        <v>141</v>
      </c>
      <c r="AM62" s="3132"/>
      <c r="AU62" s="2581"/>
    </row>
    <row r="63" spans="1:47" ht="95.25" customHeight="1">
      <c r="A63" s="3125">
        <v>51</v>
      </c>
      <c r="B63" s="3126">
        <v>17</v>
      </c>
      <c r="C63" s="3126" t="s">
        <v>2211</v>
      </c>
      <c r="D63" s="3139" t="s">
        <v>451</v>
      </c>
      <c r="E63" s="3282"/>
      <c r="F63" s="3282"/>
      <c r="G63" s="3282"/>
      <c r="H63" s="3282"/>
      <c r="I63" s="3282"/>
      <c r="J63" s="3282"/>
      <c r="K63" s="3282"/>
      <c r="L63" s="3282"/>
      <c r="M63" s="3282"/>
      <c r="N63" s="3282"/>
      <c r="O63" s="3282"/>
      <c r="P63" s="3282"/>
      <c r="Q63" s="3282"/>
      <c r="R63" s="3282"/>
      <c r="S63" s="3282"/>
      <c r="T63" s="3282"/>
      <c r="U63" s="3282"/>
      <c r="V63" s="3282"/>
      <c r="W63" s="3282"/>
      <c r="X63" s="3282"/>
      <c r="Y63" s="3282"/>
      <c r="Z63" s="3282"/>
      <c r="AA63" s="3282"/>
      <c r="AB63" s="3282"/>
      <c r="AC63" s="3282"/>
      <c r="AD63" s="3282">
        <v>31</v>
      </c>
      <c r="AE63" s="3282">
        <v>21</v>
      </c>
      <c r="AF63" s="3282">
        <v>65</v>
      </c>
      <c r="AG63" s="3282">
        <v>47</v>
      </c>
      <c r="AH63" s="3282"/>
      <c r="AI63" s="3129">
        <f t="shared" si="5"/>
        <v>164</v>
      </c>
      <c r="AJ63" s="3490">
        <f t="shared" si="6"/>
        <v>57.563979156768305</v>
      </c>
      <c r="AK63" s="3129">
        <f t="shared" si="7"/>
        <v>94.404925817100022</v>
      </c>
      <c r="AL63" s="3140" t="s">
        <v>141</v>
      </c>
      <c r="AM63" s="3132"/>
      <c r="AU63" s="2581"/>
    </row>
    <row r="64" spans="1:47" ht="95.25" customHeight="1">
      <c r="A64" s="3125">
        <v>52</v>
      </c>
      <c r="B64" s="3126">
        <v>18</v>
      </c>
      <c r="C64" s="3126" t="s">
        <v>2212</v>
      </c>
      <c r="D64" s="3127" t="s">
        <v>451</v>
      </c>
      <c r="E64" s="3282"/>
      <c r="F64" s="3282"/>
      <c r="G64" s="3282"/>
      <c r="H64" s="3282"/>
      <c r="I64" s="3282"/>
      <c r="J64" s="3282"/>
      <c r="K64" s="3282"/>
      <c r="L64" s="3282"/>
      <c r="M64" s="3282"/>
      <c r="N64" s="3282"/>
      <c r="O64" s="3282"/>
      <c r="P64" s="3282"/>
      <c r="Q64" s="3282"/>
      <c r="R64" s="3282"/>
      <c r="S64" s="3282"/>
      <c r="T64" s="3282"/>
      <c r="U64" s="3282"/>
      <c r="V64" s="3282"/>
      <c r="W64" s="3282"/>
      <c r="X64" s="3282"/>
      <c r="Y64" s="3282"/>
      <c r="Z64" s="3282"/>
      <c r="AA64" s="3282"/>
      <c r="AB64" s="3282"/>
      <c r="AC64" s="3282"/>
      <c r="AD64" s="3282">
        <v>18</v>
      </c>
      <c r="AE64" s="3282">
        <v>22</v>
      </c>
      <c r="AF64" s="3282">
        <v>20</v>
      </c>
      <c r="AG64" s="3282">
        <v>20</v>
      </c>
      <c r="AH64" s="3282"/>
      <c r="AI64" s="3129">
        <f t="shared" si="5"/>
        <v>80</v>
      </c>
      <c r="AJ64" s="3490">
        <f t="shared" si="6"/>
        <v>57.563979156768305</v>
      </c>
      <c r="AK64" s="3129">
        <f t="shared" si="7"/>
        <v>46.051183325414648</v>
      </c>
      <c r="AL64" s="3140" t="s">
        <v>141</v>
      </c>
      <c r="AM64" s="3132"/>
      <c r="AU64" s="2581"/>
    </row>
    <row r="65" spans="1:47" ht="95.25" customHeight="1">
      <c r="A65" s="3125">
        <v>53</v>
      </c>
      <c r="B65" s="3126">
        <v>19</v>
      </c>
      <c r="C65" s="3126" t="s">
        <v>2213</v>
      </c>
      <c r="D65" s="3139" t="s">
        <v>451</v>
      </c>
      <c r="E65" s="3282"/>
      <c r="F65" s="3282"/>
      <c r="G65" s="3282"/>
      <c r="H65" s="3282"/>
      <c r="I65" s="3282"/>
      <c r="J65" s="3282"/>
      <c r="K65" s="3282"/>
      <c r="L65" s="3282"/>
      <c r="M65" s="3282"/>
      <c r="N65" s="3282"/>
      <c r="O65" s="3282"/>
      <c r="P65" s="3282"/>
      <c r="Q65" s="3282"/>
      <c r="R65" s="3282"/>
      <c r="S65" s="3282"/>
      <c r="T65" s="3282"/>
      <c r="U65" s="3282"/>
      <c r="V65" s="3282"/>
      <c r="W65" s="3282"/>
      <c r="X65" s="3282"/>
      <c r="Y65" s="3282"/>
      <c r="Z65" s="3282"/>
      <c r="AA65" s="3282"/>
      <c r="AB65" s="3282"/>
      <c r="AC65" s="3282"/>
      <c r="AD65" s="3282">
        <v>18</v>
      </c>
      <c r="AE65" s="3282">
        <v>21</v>
      </c>
      <c r="AF65" s="3282">
        <v>20</v>
      </c>
      <c r="AG65" s="3282">
        <v>20</v>
      </c>
      <c r="AH65" s="3282"/>
      <c r="AI65" s="3129">
        <f t="shared" si="5"/>
        <v>79</v>
      </c>
      <c r="AJ65" s="3490">
        <f t="shared" si="6"/>
        <v>57.563979156768305</v>
      </c>
      <c r="AK65" s="3129">
        <f t="shared" si="7"/>
        <v>45.475543533846967</v>
      </c>
      <c r="AL65" s="3140" t="s">
        <v>141</v>
      </c>
      <c r="AM65" s="3132"/>
      <c r="AU65" s="2581"/>
    </row>
    <row r="66" spans="1:47" ht="95.25" customHeight="1">
      <c r="A66" s="3125">
        <v>54</v>
      </c>
      <c r="B66" s="3126">
        <v>20</v>
      </c>
      <c r="C66" s="3126" t="s">
        <v>2214</v>
      </c>
      <c r="D66" s="3127" t="s">
        <v>451</v>
      </c>
      <c r="E66" s="3282"/>
      <c r="F66" s="3282"/>
      <c r="G66" s="3282"/>
      <c r="H66" s="3282"/>
      <c r="I66" s="3282"/>
      <c r="J66" s="3282"/>
      <c r="K66" s="3282"/>
      <c r="L66" s="3282"/>
      <c r="M66" s="3282"/>
      <c r="N66" s="3282"/>
      <c r="O66" s="3282"/>
      <c r="P66" s="3282"/>
      <c r="Q66" s="3282"/>
      <c r="R66" s="3282"/>
      <c r="S66" s="3282"/>
      <c r="T66" s="3282"/>
      <c r="U66" s="3282"/>
      <c r="V66" s="3282"/>
      <c r="W66" s="3282"/>
      <c r="X66" s="3282"/>
      <c r="Y66" s="3282"/>
      <c r="Z66" s="3282"/>
      <c r="AA66" s="3282"/>
      <c r="AB66" s="3282"/>
      <c r="AC66" s="3282"/>
      <c r="AD66" s="3282">
        <v>17</v>
      </c>
      <c r="AE66" s="3282">
        <v>14</v>
      </c>
      <c r="AF66" s="3282">
        <v>49</v>
      </c>
      <c r="AG66" s="3282">
        <v>38</v>
      </c>
      <c r="AH66" s="3282"/>
      <c r="AI66" s="3129">
        <f t="shared" si="5"/>
        <v>118</v>
      </c>
      <c r="AJ66" s="3490">
        <f t="shared" si="6"/>
        <v>57.563979156768305</v>
      </c>
      <c r="AK66" s="3129">
        <f t="shared" si="7"/>
        <v>67.925495404986606</v>
      </c>
      <c r="AL66" s="3140" t="s">
        <v>141</v>
      </c>
      <c r="AM66" s="3132"/>
      <c r="AU66" s="2581"/>
    </row>
    <row r="67" spans="1:47" ht="95.25" customHeight="1">
      <c r="A67" s="3125">
        <v>55</v>
      </c>
      <c r="B67" s="3126">
        <v>21</v>
      </c>
      <c r="C67" s="3126" t="s">
        <v>2215</v>
      </c>
      <c r="D67" s="3139" t="s">
        <v>451</v>
      </c>
      <c r="E67" s="3282"/>
      <c r="F67" s="3282"/>
      <c r="G67" s="3282"/>
      <c r="H67" s="3282"/>
      <c r="I67" s="3282"/>
      <c r="J67" s="3282"/>
      <c r="K67" s="3282"/>
      <c r="L67" s="3282"/>
      <c r="M67" s="3282"/>
      <c r="N67" s="3282"/>
      <c r="O67" s="3282"/>
      <c r="P67" s="3282"/>
      <c r="Q67" s="3282"/>
      <c r="R67" s="3282"/>
      <c r="S67" s="3282"/>
      <c r="T67" s="3282"/>
      <c r="U67" s="3282"/>
      <c r="V67" s="3282"/>
      <c r="W67" s="3282"/>
      <c r="X67" s="3282"/>
      <c r="Y67" s="3282"/>
      <c r="Z67" s="3282"/>
      <c r="AA67" s="3282"/>
      <c r="AB67" s="3282"/>
      <c r="AC67" s="3282"/>
      <c r="AD67" s="3282">
        <v>27</v>
      </c>
      <c r="AE67" s="3282">
        <v>39</v>
      </c>
      <c r="AF67" s="3282">
        <v>40</v>
      </c>
      <c r="AG67" s="3282">
        <v>18</v>
      </c>
      <c r="AH67" s="3282"/>
      <c r="AI67" s="3129">
        <f t="shared" si="5"/>
        <v>124</v>
      </c>
      <c r="AJ67" s="3490">
        <f t="shared" si="6"/>
        <v>57.563979156768305</v>
      </c>
      <c r="AK67" s="3129">
        <f t="shared" si="7"/>
        <v>71.379334154392708</v>
      </c>
      <c r="AL67" s="3140" t="s">
        <v>141</v>
      </c>
      <c r="AM67" s="3132"/>
      <c r="AU67" s="2581"/>
    </row>
    <row r="68" spans="1:47" ht="95.25" customHeight="1">
      <c r="A68" s="3125">
        <v>56</v>
      </c>
      <c r="B68" s="3126">
        <v>22</v>
      </c>
      <c r="C68" s="3126" t="s">
        <v>307</v>
      </c>
      <c r="D68" s="3127" t="s">
        <v>451</v>
      </c>
      <c r="E68" s="3282"/>
      <c r="F68" s="3282"/>
      <c r="G68" s="3282"/>
      <c r="H68" s="3282"/>
      <c r="I68" s="3282"/>
      <c r="J68" s="3282"/>
      <c r="K68" s="3282"/>
      <c r="L68" s="3282"/>
      <c r="M68" s="3282"/>
      <c r="N68" s="3282"/>
      <c r="O68" s="3282"/>
      <c r="P68" s="3282"/>
      <c r="Q68" s="3282"/>
      <c r="R68" s="3282"/>
      <c r="S68" s="3282"/>
      <c r="T68" s="3282"/>
      <c r="U68" s="3282"/>
      <c r="V68" s="3282"/>
      <c r="W68" s="3282"/>
      <c r="X68" s="3282"/>
      <c r="Y68" s="3282"/>
      <c r="Z68" s="3282"/>
      <c r="AA68" s="3282"/>
      <c r="AB68" s="3282"/>
      <c r="AC68" s="3282"/>
      <c r="AD68" s="3282">
        <v>18</v>
      </c>
      <c r="AE68" s="3282">
        <v>21</v>
      </c>
      <c r="AF68" s="3282">
        <v>25</v>
      </c>
      <c r="AG68" s="3282">
        <v>25</v>
      </c>
      <c r="AH68" s="3282"/>
      <c r="AI68" s="3129">
        <f t="shared" si="5"/>
        <v>89</v>
      </c>
      <c r="AJ68" s="3490">
        <f t="shared" si="6"/>
        <v>57.563979156768305</v>
      </c>
      <c r="AK68" s="3129">
        <f t="shared" si="7"/>
        <v>51.231941449523795</v>
      </c>
      <c r="AL68" s="3140" t="s">
        <v>141</v>
      </c>
      <c r="AM68" s="3132"/>
      <c r="AU68" s="2581"/>
    </row>
    <row r="69" spans="1:47" ht="95.25" customHeight="1">
      <c r="A69" s="3125">
        <v>57</v>
      </c>
      <c r="B69" s="3126">
        <v>23</v>
      </c>
      <c r="C69" s="3126" t="s">
        <v>2216</v>
      </c>
      <c r="D69" s="3139" t="s">
        <v>451</v>
      </c>
      <c r="E69" s="3282"/>
      <c r="F69" s="3282"/>
      <c r="G69" s="3282"/>
      <c r="H69" s="3282"/>
      <c r="I69" s="3282"/>
      <c r="J69" s="3282"/>
      <c r="K69" s="3282"/>
      <c r="L69" s="3282"/>
      <c r="M69" s="3282"/>
      <c r="N69" s="3282"/>
      <c r="O69" s="3282"/>
      <c r="P69" s="3282"/>
      <c r="Q69" s="3282"/>
      <c r="R69" s="3282"/>
      <c r="S69" s="3282"/>
      <c r="T69" s="3282"/>
      <c r="U69" s="3282"/>
      <c r="V69" s="3282"/>
      <c r="W69" s="3282"/>
      <c r="X69" s="3282"/>
      <c r="Y69" s="3282"/>
      <c r="Z69" s="3282"/>
      <c r="AA69" s="3282"/>
      <c r="AB69" s="3282"/>
      <c r="AC69" s="3282"/>
      <c r="AD69" s="3282">
        <v>18</v>
      </c>
      <c r="AE69" s="3282">
        <v>30</v>
      </c>
      <c r="AF69" s="3282">
        <v>26</v>
      </c>
      <c r="AG69" s="3282">
        <v>26</v>
      </c>
      <c r="AH69" s="3282"/>
      <c r="AI69" s="3129">
        <f t="shared" si="5"/>
        <v>100</v>
      </c>
      <c r="AJ69" s="3490">
        <f t="shared" si="6"/>
        <v>57.563979156768305</v>
      </c>
      <c r="AK69" s="3129">
        <f t="shared" si="7"/>
        <v>57.563979156768305</v>
      </c>
      <c r="AL69" s="3140" t="s">
        <v>141</v>
      </c>
      <c r="AM69" s="3132"/>
      <c r="AU69" s="2581"/>
    </row>
    <row r="70" spans="1:47" ht="95.25" customHeight="1">
      <c r="A70" s="3125">
        <v>58</v>
      </c>
      <c r="B70" s="3126">
        <v>24</v>
      </c>
      <c r="C70" s="3126" t="s">
        <v>2217</v>
      </c>
      <c r="D70" s="3127" t="s">
        <v>451</v>
      </c>
      <c r="E70" s="3282"/>
      <c r="F70" s="3282"/>
      <c r="G70" s="3282"/>
      <c r="H70" s="3282"/>
      <c r="I70" s="3282"/>
      <c r="J70" s="3282"/>
      <c r="K70" s="3282"/>
      <c r="L70" s="3282"/>
      <c r="M70" s="3282"/>
      <c r="N70" s="3282"/>
      <c r="O70" s="3282"/>
      <c r="P70" s="3282"/>
      <c r="Q70" s="3282"/>
      <c r="R70" s="3282"/>
      <c r="S70" s="3282"/>
      <c r="T70" s="3282"/>
      <c r="U70" s="3282"/>
      <c r="V70" s="3282"/>
      <c r="W70" s="3282"/>
      <c r="X70" s="3282"/>
      <c r="Y70" s="3282"/>
      <c r="Z70" s="3282"/>
      <c r="AA70" s="3282"/>
      <c r="AB70" s="3282"/>
      <c r="AC70" s="3282"/>
      <c r="AD70" s="3282">
        <v>34</v>
      </c>
      <c r="AE70" s="3282">
        <v>40</v>
      </c>
      <c r="AF70" s="3282">
        <v>63</v>
      </c>
      <c r="AG70" s="3282">
        <v>63</v>
      </c>
      <c r="AH70" s="3282"/>
      <c r="AI70" s="3129">
        <f t="shared" si="5"/>
        <v>200</v>
      </c>
      <c r="AJ70" s="3490">
        <f t="shared" si="6"/>
        <v>57.563979156768305</v>
      </c>
      <c r="AK70" s="3129">
        <f t="shared" si="7"/>
        <v>115.12795831353661</v>
      </c>
      <c r="AL70" s="3140" t="s">
        <v>141</v>
      </c>
      <c r="AM70" s="3132"/>
      <c r="AU70" s="2581"/>
    </row>
    <row r="71" spans="1:47" ht="95.25" customHeight="1">
      <c r="A71" s="3125">
        <v>59</v>
      </c>
      <c r="B71" s="3126">
        <v>25</v>
      </c>
      <c r="C71" s="3126" t="s">
        <v>2218</v>
      </c>
      <c r="D71" s="3139" t="s">
        <v>451</v>
      </c>
      <c r="E71" s="3282"/>
      <c r="F71" s="3282"/>
      <c r="G71" s="3282"/>
      <c r="H71" s="3282"/>
      <c r="I71" s="3282"/>
      <c r="J71" s="3282"/>
      <c r="K71" s="3282"/>
      <c r="L71" s="3282"/>
      <c r="M71" s="3282"/>
      <c r="N71" s="3282"/>
      <c r="O71" s="3282"/>
      <c r="P71" s="3282"/>
      <c r="Q71" s="3282"/>
      <c r="R71" s="3282"/>
      <c r="S71" s="3282"/>
      <c r="T71" s="3282"/>
      <c r="U71" s="3282"/>
      <c r="V71" s="3282"/>
      <c r="W71" s="3282"/>
      <c r="X71" s="3282"/>
      <c r="Y71" s="3282"/>
      <c r="Z71" s="3282"/>
      <c r="AA71" s="3282"/>
      <c r="AB71" s="3282"/>
      <c r="AC71" s="3282"/>
      <c r="AD71" s="3282">
        <v>40</v>
      </c>
      <c r="AE71" s="3282">
        <v>47</v>
      </c>
      <c r="AF71" s="3282">
        <v>59</v>
      </c>
      <c r="AG71" s="3282">
        <v>62</v>
      </c>
      <c r="AH71" s="3282"/>
      <c r="AI71" s="3129">
        <f t="shared" si="5"/>
        <v>208</v>
      </c>
      <c r="AJ71" s="3490">
        <f t="shared" si="6"/>
        <v>57.563979156768305</v>
      </c>
      <c r="AK71" s="3129">
        <f t="shared" si="7"/>
        <v>119.73307664607808</v>
      </c>
      <c r="AL71" s="3140" t="s">
        <v>141</v>
      </c>
      <c r="AM71" s="3132"/>
      <c r="AU71" s="2581"/>
    </row>
    <row r="72" spans="1:47" ht="95.25" customHeight="1">
      <c r="A72" s="3125">
        <v>60</v>
      </c>
      <c r="B72" s="3126">
        <v>26</v>
      </c>
      <c r="C72" s="3126" t="s">
        <v>2219</v>
      </c>
      <c r="D72" s="3127" t="s">
        <v>451</v>
      </c>
      <c r="E72" s="3282"/>
      <c r="F72" s="3282"/>
      <c r="G72" s="3282"/>
      <c r="H72" s="3282"/>
      <c r="I72" s="3282"/>
      <c r="J72" s="3282"/>
      <c r="K72" s="3282"/>
      <c r="L72" s="3282"/>
      <c r="M72" s="3282"/>
      <c r="N72" s="3282"/>
      <c r="O72" s="3282"/>
      <c r="P72" s="3282"/>
      <c r="Q72" s="3282"/>
      <c r="R72" s="3282"/>
      <c r="S72" s="3282"/>
      <c r="T72" s="3282"/>
      <c r="U72" s="3282"/>
      <c r="V72" s="3282"/>
      <c r="W72" s="3282"/>
      <c r="X72" s="3282"/>
      <c r="Y72" s="3282"/>
      <c r="Z72" s="3282"/>
      <c r="AA72" s="3282"/>
      <c r="AB72" s="3282"/>
      <c r="AC72" s="3282"/>
      <c r="AD72" s="3282">
        <v>17</v>
      </c>
      <c r="AE72" s="3282">
        <v>14</v>
      </c>
      <c r="AF72" s="3282">
        <v>50</v>
      </c>
      <c r="AG72" s="3282">
        <v>37</v>
      </c>
      <c r="AH72" s="3282"/>
      <c r="AI72" s="3129">
        <f t="shared" si="5"/>
        <v>118</v>
      </c>
      <c r="AJ72" s="3490">
        <f t="shared" si="6"/>
        <v>57.563979156768305</v>
      </c>
      <c r="AK72" s="3129">
        <f t="shared" si="7"/>
        <v>67.925495404986606</v>
      </c>
      <c r="AL72" s="3140" t="s">
        <v>141</v>
      </c>
      <c r="AM72" s="3132"/>
      <c r="AU72" s="2581"/>
    </row>
    <row r="73" spans="1:47" ht="95.25" customHeight="1">
      <c r="A73" s="3125">
        <v>61</v>
      </c>
      <c r="B73" s="3126">
        <v>27</v>
      </c>
      <c r="C73" s="3126" t="s">
        <v>2220</v>
      </c>
      <c r="D73" s="3139" t="s">
        <v>451</v>
      </c>
      <c r="E73" s="3282"/>
      <c r="F73" s="3282"/>
      <c r="G73" s="3282"/>
      <c r="H73" s="3282"/>
      <c r="I73" s="3282"/>
      <c r="J73" s="3282"/>
      <c r="K73" s="3282"/>
      <c r="L73" s="3282"/>
      <c r="M73" s="3282"/>
      <c r="N73" s="3282"/>
      <c r="O73" s="3282"/>
      <c r="P73" s="3282"/>
      <c r="Q73" s="3282"/>
      <c r="R73" s="3282"/>
      <c r="S73" s="3282"/>
      <c r="T73" s="3282"/>
      <c r="U73" s="3282"/>
      <c r="V73" s="3282"/>
      <c r="W73" s="3282"/>
      <c r="X73" s="3282"/>
      <c r="Y73" s="3282"/>
      <c r="Z73" s="3282"/>
      <c r="AA73" s="3282"/>
      <c r="AB73" s="3282"/>
      <c r="AC73" s="3282"/>
      <c r="AD73" s="3282">
        <v>16</v>
      </c>
      <c r="AE73" s="3282">
        <v>13</v>
      </c>
      <c r="AF73" s="3282">
        <v>50</v>
      </c>
      <c r="AG73" s="3282">
        <v>45</v>
      </c>
      <c r="AH73" s="3282"/>
      <c r="AI73" s="3129">
        <f t="shared" si="5"/>
        <v>124</v>
      </c>
      <c r="AJ73" s="3490">
        <f t="shared" si="6"/>
        <v>57.563979156768305</v>
      </c>
      <c r="AK73" s="3129">
        <f t="shared" si="7"/>
        <v>71.379334154392708</v>
      </c>
      <c r="AL73" s="3140" t="s">
        <v>141</v>
      </c>
      <c r="AM73" s="3132"/>
      <c r="AU73" s="2581"/>
    </row>
    <row r="74" spans="1:47" ht="95.25" customHeight="1">
      <c r="A74" s="3125">
        <v>62</v>
      </c>
      <c r="B74" s="3126">
        <v>28</v>
      </c>
      <c r="C74" s="3126" t="s">
        <v>1189</v>
      </c>
      <c r="D74" s="3127" t="s">
        <v>451</v>
      </c>
      <c r="E74" s="3282"/>
      <c r="F74" s="3282"/>
      <c r="G74" s="3282"/>
      <c r="H74" s="3282"/>
      <c r="I74" s="3282"/>
      <c r="J74" s="3282"/>
      <c r="K74" s="3282"/>
      <c r="L74" s="3282"/>
      <c r="M74" s="3282"/>
      <c r="N74" s="3282"/>
      <c r="O74" s="3282"/>
      <c r="P74" s="3282"/>
      <c r="Q74" s="3282"/>
      <c r="R74" s="3282"/>
      <c r="S74" s="3282"/>
      <c r="T74" s="3282"/>
      <c r="U74" s="3282"/>
      <c r="V74" s="3282"/>
      <c r="W74" s="3282"/>
      <c r="X74" s="3282"/>
      <c r="Y74" s="3282"/>
      <c r="Z74" s="3282"/>
      <c r="AA74" s="3282"/>
      <c r="AB74" s="3282"/>
      <c r="AC74" s="3282"/>
      <c r="AD74" s="3282">
        <v>22</v>
      </c>
      <c r="AE74" s="3282">
        <v>17</v>
      </c>
      <c r="AF74" s="3282">
        <v>54</v>
      </c>
      <c r="AG74" s="3282">
        <v>69</v>
      </c>
      <c r="AH74" s="3282"/>
      <c r="AI74" s="3129">
        <f t="shared" si="5"/>
        <v>162</v>
      </c>
      <c r="AJ74" s="3490">
        <f t="shared" si="6"/>
        <v>57.563979156768305</v>
      </c>
      <c r="AK74" s="3129">
        <f t="shared" si="7"/>
        <v>93.253646233964659</v>
      </c>
      <c r="AL74" s="3140" t="s">
        <v>141</v>
      </c>
      <c r="AM74" s="3132"/>
      <c r="AR74" s="3142"/>
      <c r="AU74" s="2581"/>
    </row>
    <row r="75" spans="1:47" ht="95.25" customHeight="1">
      <c r="A75" s="3125">
        <v>63</v>
      </c>
      <c r="B75" s="3126">
        <v>29</v>
      </c>
      <c r="C75" s="3126" t="s">
        <v>1908</v>
      </c>
      <c r="D75" s="3139" t="s">
        <v>451</v>
      </c>
      <c r="E75" s="3282"/>
      <c r="F75" s="3282"/>
      <c r="G75" s="3282"/>
      <c r="H75" s="3282"/>
      <c r="I75" s="3282"/>
      <c r="J75" s="3282"/>
      <c r="K75" s="3282"/>
      <c r="L75" s="3282"/>
      <c r="M75" s="3282"/>
      <c r="N75" s="3282"/>
      <c r="O75" s="3282"/>
      <c r="P75" s="3282"/>
      <c r="Q75" s="3282"/>
      <c r="R75" s="3282"/>
      <c r="S75" s="3282"/>
      <c r="T75" s="3282"/>
      <c r="U75" s="3282"/>
      <c r="V75" s="3282"/>
      <c r="W75" s="3282"/>
      <c r="X75" s="3282"/>
      <c r="Y75" s="3282"/>
      <c r="Z75" s="3282"/>
      <c r="AA75" s="3282"/>
      <c r="AB75" s="3282"/>
      <c r="AC75" s="3282"/>
      <c r="AD75" s="3282">
        <v>22</v>
      </c>
      <c r="AE75" s="3282">
        <v>17</v>
      </c>
      <c r="AF75" s="3282">
        <v>52</v>
      </c>
      <c r="AG75" s="3282">
        <v>65</v>
      </c>
      <c r="AH75" s="3282"/>
      <c r="AI75" s="3129">
        <f t="shared" si="5"/>
        <v>156</v>
      </c>
      <c r="AJ75" s="3490">
        <f t="shared" si="6"/>
        <v>57.563979156768305</v>
      </c>
      <c r="AK75" s="3129">
        <f t="shared" si="7"/>
        <v>89.799807484558556</v>
      </c>
      <c r="AL75" s="3140" t="s">
        <v>141</v>
      </c>
      <c r="AM75" s="3132"/>
      <c r="AU75" s="2581"/>
    </row>
    <row r="76" spans="1:47" ht="95.25" customHeight="1">
      <c r="A76" s="3125">
        <v>64</v>
      </c>
      <c r="B76" s="3126">
        <v>30</v>
      </c>
      <c r="C76" s="3126" t="s">
        <v>1914</v>
      </c>
      <c r="D76" s="3127" t="s">
        <v>451</v>
      </c>
      <c r="E76" s="3282"/>
      <c r="F76" s="3282"/>
      <c r="G76" s="3282"/>
      <c r="H76" s="3282"/>
      <c r="I76" s="3282"/>
      <c r="J76" s="3282"/>
      <c r="K76" s="3282"/>
      <c r="L76" s="3282"/>
      <c r="M76" s="3282"/>
      <c r="N76" s="3282"/>
      <c r="O76" s="3282"/>
      <c r="P76" s="3282"/>
      <c r="Q76" s="3282"/>
      <c r="R76" s="3282"/>
      <c r="S76" s="3282"/>
      <c r="T76" s="3282"/>
      <c r="U76" s="3282"/>
      <c r="V76" s="3282"/>
      <c r="W76" s="3282"/>
      <c r="X76" s="3282"/>
      <c r="Y76" s="3282"/>
      <c r="Z76" s="3282"/>
      <c r="AA76" s="3282"/>
      <c r="AB76" s="3282"/>
      <c r="AC76" s="3282"/>
      <c r="AD76" s="3282">
        <v>22</v>
      </c>
      <c r="AE76" s="3282">
        <v>17</v>
      </c>
      <c r="AF76" s="3282">
        <v>54</v>
      </c>
      <c r="AG76" s="3282">
        <v>130</v>
      </c>
      <c r="AH76" s="3282"/>
      <c r="AI76" s="3129">
        <f t="shared" si="5"/>
        <v>223</v>
      </c>
      <c r="AJ76" s="3490">
        <f t="shared" si="6"/>
        <v>57.563979156768305</v>
      </c>
      <c r="AK76" s="3129">
        <f t="shared" si="7"/>
        <v>128.36767351959332</v>
      </c>
      <c r="AL76" s="3140" t="s">
        <v>141</v>
      </c>
      <c r="AM76" s="3132"/>
      <c r="AU76" s="2581"/>
    </row>
    <row r="77" spans="1:47" ht="95.25" customHeight="1">
      <c r="A77" s="3125">
        <v>65</v>
      </c>
      <c r="B77" s="3126">
        <v>31</v>
      </c>
      <c r="C77" s="3126" t="s">
        <v>2221</v>
      </c>
      <c r="D77" s="3139" t="s">
        <v>451</v>
      </c>
      <c r="E77" s="3282"/>
      <c r="F77" s="3282"/>
      <c r="G77" s="3282"/>
      <c r="H77" s="3282"/>
      <c r="I77" s="3282"/>
      <c r="J77" s="3282"/>
      <c r="K77" s="3282"/>
      <c r="L77" s="3282"/>
      <c r="M77" s="3282"/>
      <c r="N77" s="3282"/>
      <c r="O77" s="3282"/>
      <c r="P77" s="3282"/>
      <c r="Q77" s="3282"/>
      <c r="R77" s="3282"/>
      <c r="S77" s="3282"/>
      <c r="T77" s="3282"/>
      <c r="U77" s="3282"/>
      <c r="V77" s="3282"/>
      <c r="W77" s="3282"/>
      <c r="X77" s="3282"/>
      <c r="Y77" s="3282"/>
      <c r="Z77" s="3282"/>
      <c r="AA77" s="3282"/>
      <c r="AB77" s="3282"/>
      <c r="AC77" s="3282"/>
      <c r="AD77" s="3282">
        <v>21</v>
      </c>
      <c r="AE77" s="3282">
        <v>16</v>
      </c>
      <c r="AF77" s="3282">
        <v>52</v>
      </c>
      <c r="AG77" s="3282">
        <v>78</v>
      </c>
      <c r="AH77" s="3282"/>
      <c r="AI77" s="3129">
        <f t="shared" si="5"/>
        <v>167</v>
      </c>
      <c r="AJ77" s="3490">
        <f t="shared" si="6"/>
        <v>57.563979156768305</v>
      </c>
      <c r="AK77" s="3129">
        <f t="shared" si="7"/>
        <v>96.13184519180308</v>
      </c>
      <c r="AL77" s="3140" t="s">
        <v>141</v>
      </c>
      <c r="AM77" s="3132"/>
      <c r="AU77" s="2581"/>
    </row>
    <row r="78" spans="1:47" ht="95.25" customHeight="1">
      <c r="A78" s="3125">
        <v>66</v>
      </c>
      <c r="B78" s="3126">
        <v>32</v>
      </c>
      <c r="C78" s="3126" t="s">
        <v>1903</v>
      </c>
      <c r="D78" s="3127" t="s">
        <v>451</v>
      </c>
      <c r="E78" s="3282"/>
      <c r="F78" s="3282"/>
      <c r="G78" s="3282"/>
      <c r="H78" s="3282"/>
      <c r="I78" s="3282"/>
      <c r="J78" s="3282"/>
      <c r="K78" s="3282"/>
      <c r="L78" s="3282"/>
      <c r="M78" s="3282"/>
      <c r="N78" s="3282"/>
      <c r="O78" s="3282"/>
      <c r="P78" s="3282"/>
      <c r="Q78" s="3282"/>
      <c r="R78" s="3282"/>
      <c r="S78" s="3282"/>
      <c r="T78" s="3282"/>
      <c r="U78" s="3282"/>
      <c r="V78" s="3282"/>
      <c r="W78" s="3282"/>
      <c r="X78" s="3282"/>
      <c r="Y78" s="3282"/>
      <c r="Z78" s="3282"/>
      <c r="AA78" s="3282"/>
      <c r="AB78" s="3282"/>
      <c r="AC78" s="3282"/>
      <c r="AD78" s="3282">
        <v>18</v>
      </c>
      <c r="AE78" s="3282">
        <v>17</v>
      </c>
      <c r="AF78" s="3282">
        <v>59</v>
      </c>
      <c r="AG78" s="3282">
        <v>59</v>
      </c>
      <c r="AH78" s="3282"/>
      <c r="AI78" s="3129">
        <f t="shared" si="5"/>
        <v>153</v>
      </c>
      <c r="AJ78" s="3490">
        <f t="shared" si="6"/>
        <v>57.563979156768305</v>
      </c>
      <c r="AK78" s="3129">
        <f t="shared" si="7"/>
        <v>88.072888109855512</v>
      </c>
      <c r="AL78" s="3140" t="s">
        <v>141</v>
      </c>
      <c r="AM78" s="3132"/>
      <c r="AU78" s="2581"/>
    </row>
    <row r="79" spans="1:47" ht="95.25" customHeight="1">
      <c r="A79" s="3125">
        <v>67</v>
      </c>
      <c r="B79" s="3126">
        <v>33</v>
      </c>
      <c r="C79" s="2546" t="s">
        <v>2222</v>
      </c>
      <c r="D79" s="3139" t="s">
        <v>451</v>
      </c>
      <c r="E79" s="3282"/>
      <c r="F79" s="3282"/>
      <c r="G79" s="3282"/>
      <c r="H79" s="3282"/>
      <c r="I79" s="3282"/>
      <c r="J79" s="3282"/>
      <c r="K79" s="3282"/>
      <c r="L79" s="3282"/>
      <c r="M79" s="3282"/>
      <c r="N79" s="3282"/>
      <c r="O79" s="3282"/>
      <c r="P79" s="3282"/>
      <c r="Q79" s="3282"/>
      <c r="R79" s="3282"/>
      <c r="S79" s="3282"/>
      <c r="T79" s="3282"/>
      <c r="U79" s="3282"/>
      <c r="V79" s="3282"/>
      <c r="W79" s="3282"/>
      <c r="X79" s="3282"/>
      <c r="Y79" s="3282"/>
      <c r="Z79" s="3282"/>
      <c r="AA79" s="3282"/>
      <c r="AB79" s="3282"/>
      <c r="AC79" s="3282"/>
      <c r="AD79" s="3282">
        <v>18</v>
      </c>
      <c r="AE79" s="3282">
        <v>17</v>
      </c>
      <c r="AF79" s="3282">
        <v>68</v>
      </c>
      <c r="AG79" s="3282">
        <v>59</v>
      </c>
      <c r="AH79" s="3282"/>
      <c r="AI79" s="3129">
        <f t="shared" si="5"/>
        <v>162</v>
      </c>
      <c r="AJ79" s="3490">
        <f t="shared" si="6"/>
        <v>57.563979156768305</v>
      </c>
      <c r="AK79" s="3129">
        <f t="shared" si="7"/>
        <v>93.253646233964659</v>
      </c>
      <c r="AL79" s="3140" t="s">
        <v>141</v>
      </c>
      <c r="AM79" s="3132"/>
      <c r="AU79" s="2581"/>
    </row>
    <row r="80" spans="1:47" ht="95.25" customHeight="1">
      <c r="A80" s="3125">
        <v>68</v>
      </c>
      <c r="B80" s="3126">
        <v>34</v>
      </c>
      <c r="C80" s="2546" t="s">
        <v>1910</v>
      </c>
      <c r="D80" s="3127" t="s">
        <v>451</v>
      </c>
      <c r="E80" s="3282"/>
      <c r="F80" s="3282"/>
      <c r="G80" s="3282"/>
      <c r="H80" s="3282"/>
      <c r="I80" s="3282"/>
      <c r="J80" s="3282"/>
      <c r="K80" s="3282"/>
      <c r="L80" s="3282"/>
      <c r="M80" s="3282"/>
      <c r="N80" s="3282"/>
      <c r="O80" s="3282"/>
      <c r="P80" s="3282"/>
      <c r="Q80" s="3282"/>
      <c r="R80" s="3282"/>
      <c r="S80" s="3282"/>
      <c r="T80" s="3282"/>
      <c r="U80" s="3282"/>
      <c r="V80" s="3282"/>
      <c r="W80" s="3282"/>
      <c r="X80" s="3282"/>
      <c r="Y80" s="3282"/>
      <c r="Z80" s="3282"/>
      <c r="AA80" s="3282"/>
      <c r="AB80" s="3282"/>
      <c r="AC80" s="3282"/>
      <c r="AD80" s="3282">
        <v>17</v>
      </c>
      <c r="AE80" s="3282">
        <v>17</v>
      </c>
      <c r="AF80" s="3282">
        <v>54</v>
      </c>
      <c r="AG80" s="3282">
        <v>59</v>
      </c>
      <c r="AH80" s="3282"/>
      <c r="AI80" s="3129">
        <f t="shared" si="5"/>
        <v>147</v>
      </c>
      <c r="AJ80" s="3490">
        <f t="shared" si="6"/>
        <v>57.563979156768305</v>
      </c>
      <c r="AK80" s="3129">
        <f t="shared" si="7"/>
        <v>84.619049360449409</v>
      </c>
      <c r="AL80" s="3140" t="s">
        <v>141</v>
      </c>
      <c r="AM80" s="3132"/>
      <c r="AU80" s="2581"/>
    </row>
    <row r="81" spans="1:56" ht="95.25" customHeight="1">
      <c r="A81" s="3125">
        <v>69</v>
      </c>
      <c r="B81" s="3126">
        <v>35</v>
      </c>
      <c r="C81" s="2546" t="s">
        <v>2223</v>
      </c>
      <c r="D81" s="3139" t="s">
        <v>451</v>
      </c>
      <c r="E81" s="3282"/>
      <c r="F81" s="3282"/>
      <c r="G81" s="3282"/>
      <c r="H81" s="3282"/>
      <c r="I81" s="3282"/>
      <c r="J81" s="3282"/>
      <c r="K81" s="3282"/>
      <c r="L81" s="3282"/>
      <c r="M81" s="3282"/>
      <c r="N81" s="3282"/>
      <c r="O81" s="3282"/>
      <c r="P81" s="3282"/>
      <c r="Q81" s="3282"/>
      <c r="R81" s="3282"/>
      <c r="S81" s="3282"/>
      <c r="T81" s="3282"/>
      <c r="U81" s="3282"/>
      <c r="V81" s="3282"/>
      <c r="W81" s="3282"/>
      <c r="X81" s="3282"/>
      <c r="Y81" s="3282"/>
      <c r="Z81" s="3282"/>
      <c r="AA81" s="3282"/>
      <c r="AB81" s="3282"/>
      <c r="AC81" s="3282"/>
      <c r="AD81" s="3282">
        <v>17</v>
      </c>
      <c r="AE81" s="3282">
        <v>18</v>
      </c>
      <c r="AF81" s="3282">
        <v>57</v>
      </c>
      <c r="AG81" s="3282">
        <v>60</v>
      </c>
      <c r="AH81" s="3282"/>
      <c r="AI81" s="3129">
        <f t="shared" si="5"/>
        <v>152</v>
      </c>
      <c r="AJ81" s="3490">
        <f t="shared" si="6"/>
        <v>57.563979156768305</v>
      </c>
      <c r="AK81" s="3129">
        <f t="shared" si="7"/>
        <v>87.497248318287831</v>
      </c>
      <c r="AL81" s="3140" t="s">
        <v>141</v>
      </c>
      <c r="AM81" s="3132"/>
      <c r="AU81" s="2581"/>
    </row>
    <row r="82" spans="1:56" ht="95.25" customHeight="1">
      <c r="A82" s="3125">
        <v>70</v>
      </c>
      <c r="B82" s="3126">
        <v>36</v>
      </c>
      <c r="C82" s="2546" t="s">
        <v>2224</v>
      </c>
      <c r="D82" s="3127" t="s">
        <v>451</v>
      </c>
      <c r="E82" s="3282"/>
      <c r="F82" s="3282"/>
      <c r="G82" s="3282"/>
      <c r="H82" s="3282"/>
      <c r="I82" s="3282"/>
      <c r="J82" s="3282"/>
      <c r="K82" s="3282"/>
      <c r="L82" s="3282"/>
      <c r="M82" s="3282"/>
      <c r="N82" s="3282"/>
      <c r="O82" s="3282"/>
      <c r="P82" s="3282"/>
      <c r="Q82" s="3282"/>
      <c r="R82" s="3282"/>
      <c r="S82" s="3282"/>
      <c r="T82" s="3282"/>
      <c r="U82" s="3282"/>
      <c r="V82" s="3282"/>
      <c r="W82" s="3282"/>
      <c r="X82" s="3282"/>
      <c r="Y82" s="3282"/>
      <c r="Z82" s="3282"/>
      <c r="AA82" s="3282"/>
      <c r="AB82" s="3282"/>
      <c r="AC82" s="3282"/>
      <c r="AD82" s="3282">
        <v>43</v>
      </c>
      <c r="AE82" s="3282">
        <v>41</v>
      </c>
      <c r="AF82" s="3282">
        <v>70</v>
      </c>
      <c r="AG82" s="3282">
        <v>35</v>
      </c>
      <c r="AH82" s="3282"/>
      <c r="AI82" s="3129">
        <f t="shared" si="5"/>
        <v>189</v>
      </c>
      <c r="AJ82" s="3490">
        <f t="shared" si="6"/>
        <v>57.563979156768305</v>
      </c>
      <c r="AK82" s="3129">
        <f t="shared" si="7"/>
        <v>108.7959206062921</v>
      </c>
      <c r="AL82" s="3140" t="s">
        <v>141</v>
      </c>
      <c r="AM82" s="3132"/>
      <c r="AU82" s="2581"/>
    </row>
    <row r="83" spans="1:56" ht="95.25" customHeight="1">
      <c r="A83" s="3125">
        <v>71</v>
      </c>
      <c r="B83" s="3126">
        <v>37</v>
      </c>
      <c r="C83" s="2546" t="s">
        <v>2225</v>
      </c>
      <c r="D83" s="3139" t="s">
        <v>451</v>
      </c>
      <c r="E83" s="3282"/>
      <c r="F83" s="3282"/>
      <c r="G83" s="3282"/>
      <c r="H83" s="3282"/>
      <c r="I83" s="3282"/>
      <c r="J83" s="3282"/>
      <c r="K83" s="3282"/>
      <c r="L83" s="3282"/>
      <c r="M83" s="3282"/>
      <c r="N83" s="3282"/>
      <c r="O83" s="3282"/>
      <c r="P83" s="3282"/>
      <c r="Q83" s="3282"/>
      <c r="R83" s="3282"/>
      <c r="S83" s="3282"/>
      <c r="T83" s="3282"/>
      <c r="U83" s="3282"/>
      <c r="V83" s="3282"/>
      <c r="W83" s="3282"/>
      <c r="X83" s="3282"/>
      <c r="Y83" s="3282"/>
      <c r="Z83" s="3282"/>
      <c r="AA83" s="3282"/>
      <c r="AB83" s="3282"/>
      <c r="AC83" s="3282"/>
      <c r="AD83" s="3282">
        <v>43</v>
      </c>
      <c r="AE83" s="3282">
        <v>41</v>
      </c>
      <c r="AF83" s="3282">
        <v>76</v>
      </c>
      <c r="AG83" s="3282">
        <v>40</v>
      </c>
      <c r="AH83" s="3282"/>
      <c r="AI83" s="3129">
        <f t="shared" si="5"/>
        <v>200</v>
      </c>
      <c r="AJ83" s="3490">
        <f t="shared" si="6"/>
        <v>57.563979156768305</v>
      </c>
      <c r="AK83" s="3129">
        <f t="shared" si="7"/>
        <v>115.12795831353661</v>
      </c>
      <c r="AL83" s="3140" t="s">
        <v>141</v>
      </c>
      <c r="AM83" s="3132"/>
      <c r="AU83" s="2581"/>
    </row>
    <row r="84" spans="1:56" ht="95.25" customHeight="1">
      <c r="A84" s="3125">
        <v>72</v>
      </c>
      <c r="B84" s="3126">
        <v>38</v>
      </c>
      <c r="C84" s="2546" t="s">
        <v>2226</v>
      </c>
      <c r="D84" s="3127" t="s">
        <v>451</v>
      </c>
      <c r="E84" s="3282"/>
      <c r="F84" s="3282"/>
      <c r="G84" s="3282"/>
      <c r="H84" s="3282"/>
      <c r="I84" s="3282"/>
      <c r="J84" s="3282"/>
      <c r="K84" s="3282"/>
      <c r="L84" s="3282"/>
      <c r="M84" s="3282"/>
      <c r="N84" s="3282"/>
      <c r="O84" s="3282"/>
      <c r="P84" s="3282"/>
      <c r="Q84" s="3282"/>
      <c r="R84" s="3282"/>
      <c r="S84" s="3282"/>
      <c r="T84" s="3282"/>
      <c r="U84" s="3282"/>
      <c r="V84" s="3282"/>
      <c r="W84" s="3282"/>
      <c r="X84" s="3282"/>
      <c r="Y84" s="3282"/>
      <c r="Z84" s="3282"/>
      <c r="AA84" s="3282"/>
      <c r="AB84" s="3282"/>
      <c r="AC84" s="3282"/>
      <c r="AD84" s="3282">
        <v>27</v>
      </c>
      <c r="AE84" s="3282">
        <v>55</v>
      </c>
      <c r="AF84" s="3282">
        <v>47</v>
      </c>
      <c r="AG84" s="3282">
        <v>36</v>
      </c>
      <c r="AH84" s="3282"/>
      <c r="AI84" s="3129">
        <f t="shared" si="5"/>
        <v>165</v>
      </c>
      <c r="AJ84" s="3490">
        <f t="shared" si="6"/>
        <v>57.563979156768305</v>
      </c>
      <c r="AK84" s="3129">
        <f t="shared" si="7"/>
        <v>94.980565608667703</v>
      </c>
      <c r="AL84" s="3140" t="s">
        <v>141</v>
      </c>
      <c r="AM84" s="3132"/>
      <c r="AU84" s="2581"/>
    </row>
    <row r="85" spans="1:56" ht="95.25" customHeight="1">
      <c r="A85" s="3125">
        <v>73</v>
      </c>
      <c r="B85" s="3126">
        <v>39</v>
      </c>
      <c r="C85" s="2546" t="s">
        <v>2227</v>
      </c>
      <c r="D85" s="3139" t="s">
        <v>451</v>
      </c>
      <c r="E85" s="3282"/>
      <c r="F85" s="3282"/>
      <c r="G85" s="3282"/>
      <c r="H85" s="3282"/>
      <c r="I85" s="3282"/>
      <c r="J85" s="3282"/>
      <c r="K85" s="3282"/>
      <c r="L85" s="3282"/>
      <c r="M85" s="3282"/>
      <c r="N85" s="3282"/>
      <c r="O85" s="3282"/>
      <c r="P85" s="3282"/>
      <c r="Q85" s="3282"/>
      <c r="R85" s="3282"/>
      <c r="S85" s="3282"/>
      <c r="T85" s="3282"/>
      <c r="U85" s="3282"/>
      <c r="V85" s="3282"/>
      <c r="W85" s="3282"/>
      <c r="X85" s="3282"/>
      <c r="Y85" s="3282"/>
      <c r="Z85" s="3282"/>
      <c r="AA85" s="3282"/>
      <c r="AB85" s="3282"/>
      <c r="AC85" s="3282"/>
      <c r="AD85" s="3282">
        <v>28</v>
      </c>
      <c r="AE85" s="3282">
        <v>55</v>
      </c>
      <c r="AF85" s="3282">
        <v>37</v>
      </c>
      <c r="AG85" s="3282">
        <v>49</v>
      </c>
      <c r="AH85" s="3282"/>
      <c r="AI85" s="3129">
        <f t="shared" si="5"/>
        <v>169</v>
      </c>
      <c r="AJ85" s="3490">
        <f t="shared" si="6"/>
        <v>57.563979156768305</v>
      </c>
      <c r="AK85" s="3129">
        <f t="shared" si="7"/>
        <v>97.283124774938443</v>
      </c>
      <c r="AL85" s="3140" t="s">
        <v>141</v>
      </c>
      <c r="AM85" s="3132"/>
      <c r="AU85" s="2581"/>
    </row>
    <row r="86" spans="1:56" ht="95.25" customHeight="1">
      <c r="A86" s="3125">
        <v>74</v>
      </c>
      <c r="B86" s="3126">
        <v>40</v>
      </c>
      <c r="C86" s="2546" t="s">
        <v>2228</v>
      </c>
      <c r="D86" s="3127" t="s">
        <v>451</v>
      </c>
      <c r="E86" s="3282"/>
      <c r="F86" s="3282"/>
      <c r="G86" s="3282"/>
      <c r="H86" s="3282"/>
      <c r="I86" s="3282"/>
      <c r="J86" s="3282"/>
      <c r="K86" s="3282"/>
      <c r="L86" s="3282"/>
      <c r="M86" s="3282"/>
      <c r="N86" s="3282"/>
      <c r="O86" s="3282"/>
      <c r="P86" s="3282"/>
      <c r="Q86" s="3282"/>
      <c r="R86" s="3282"/>
      <c r="S86" s="3282"/>
      <c r="T86" s="3282"/>
      <c r="U86" s="3282"/>
      <c r="V86" s="3282"/>
      <c r="W86" s="3282"/>
      <c r="X86" s="3282"/>
      <c r="Y86" s="3282"/>
      <c r="Z86" s="3282"/>
      <c r="AA86" s="3282"/>
      <c r="AB86" s="3282"/>
      <c r="AC86" s="3282"/>
      <c r="AD86" s="3282">
        <v>15</v>
      </c>
      <c r="AE86" s="3282">
        <v>42</v>
      </c>
      <c r="AF86" s="3282">
        <v>30</v>
      </c>
      <c r="AG86" s="3282">
        <v>30</v>
      </c>
      <c r="AH86" s="3282"/>
      <c r="AI86" s="3129">
        <f t="shared" si="5"/>
        <v>117</v>
      </c>
      <c r="AJ86" s="3490">
        <f t="shared" si="6"/>
        <v>57.563979156768305</v>
      </c>
      <c r="AK86" s="3129">
        <f t="shared" si="7"/>
        <v>67.349855613418924</v>
      </c>
      <c r="AL86" s="3140" t="s">
        <v>141</v>
      </c>
      <c r="AM86" s="3132"/>
      <c r="AU86" s="2581"/>
    </row>
    <row r="87" spans="1:56" ht="95.25" customHeight="1">
      <c r="A87" s="3125">
        <v>75</v>
      </c>
      <c r="B87" s="3126">
        <v>41</v>
      </c>
      <c r="C87" s="2546" t="s">
        <v>2229</v>
      </c>
      <c r="D87" s="3139" t="s">
        <v>451</v>
      </c>
      <c r="E87" s="3282"/>
      <c r="F87" s="3282"/>
      <c r="G87" s="3282"/>
      <c r="H87" s="3282"/>
      <c r="I87" s="3282"/>
      <c r="J87" s="3282"/>
      <c r="K87" s="3282"/>
      <c r="L87" s="3282"/>
      <c r="M87" s="3282"/>
      <c r="N87" s="3282"/>
      <c r="O87" s="3282"/>
      <c r="P87" s="3282"/>
      <c r="Q87" s="3282"/>
      <c r="R87" s="3282"/>
      <c r="S87" s="3282"/>
      <c r="T87" s="3282"/>
      <c r="U87" s="3282"/>
      <c r="V87" s="3282"/>
      <c r="W87" s="3282"/>
      <c r="X87" s="3282"/>
      <c r="Y87" s="3282"/>
      <c r="Z87" s="3282"/>
      <c r="AA87" s="3282"/>
      <c r="AB87" s="3282"/>
      <c r="AC87" s="3282"/>
      <c r="AD87" s="3282">
        <v>15</v>
      </c>
      <c r="AE87" s="3282">
        <v>42</v>
      </c>
      <c r="AF87" s="3282">
        <v>25</v>
      </c>
      <c r="AG87" s="3282">
        <v>28</v>
      </c>
      <c r="AH87" s="3282"/>
      <c r="AI87" s="3129">
        <f t="shared" si="5"/>
        <v>110</v>
      </c>
      <c r="AJ87" s="3490">
        <f t="shared" si="6"/>
        <v>57.563979156768305</v>
      </c>
      <c r="AK87" s="3129">
        <f t="shared" si="7"/>
        <v>63.32037707244514</v>
      </c>
      <c r="AL87" s="3140" t="s">
        <v>141</v>
      </c>
      <c r="AM87" s="3132"/>
      <c r="AU87" s="2581"/>
    </row>
    <row r="88" spans="1:56" ht="95.25" customHeight="1">
      <c r="A88" s="3125">
        <v>76</v>
      </c>
      <c r="B88" s="3126">
        <v>42</v>
      </c>
      <c r="C88" s="2546" t="s">
        <v>2230</v>
      </c>
      <c r="D88" s="3127" t="s">
        <v>451</v>
      </c>
      <c r="E88" s="3282"/>
      <c r="F88" s="3282"/>
      <c r="G88" s="3282"/>
      <c r="H88" s="3282"/>
      <c r="I88" s="3282"/>
      <c r="J88" s="3282"/>
      <c r="K88" s="3282"/>
      <c r="L88" s="3282"/>
      <c r="M88" s="3282"/>
      <c r="N88" s="3282"/>
      <c r="O88" s="3282"/>
      <c r="P88" s="3282"/>
      <c r="Q88" s="3282"/>
      <c r="R88" s="3282"/>
      <c r="S88" s="3282"/>
      <c r="T88" s="3282"/>
      <c r="U88" s="3282"/>
      <c r="V88" s="3282"/>
      <c r="W88" s="3282"/>
      <c r="X88" s="3282"/>
      <c r="Y88" s="3282"/>
      <c r="Z88" s="3282"/>
      <c r="AA88" s="3282"/>
      <c r="AB88" s="3282"/>
      <c r="AC88" s="3282"/>
      <c r="AD88" s="3282"/>
      <c r="AE88" s="3282"/>
      <c r="AF88" s="3282"/>
      <c r="AG88" s="3282"/>
      <c r="AH88" s="3282"/>
      <c r="AI88" s="3129">
        <f t="shared" si="5"/>
        <v>0</v>
      </c>
      <c r="AJ88" s="3490">
        <f t="shared" si="6"/>
        <v>57.563979156768305</v>
      </c>
      <c r="AK88" s="3129">
        <f t="shared" si="7"/>
        <v>0</v>
      </c>
      <c r="AL88" s="3140" t="s">
        <v>141</v>
      </c>
      <c r="AM88" s="3132"/>
      <c r="AU88" s="2581"/>
    </row>
    <row r="89" spans="1:56" ht="95.25" customHeight="1">
      <c r="A89" s="3125">
        <v>77</v>
      </c>
      <c r="B89" s="3126">
        <v>43</v>
      </c>
      <c r="C89" s="2546" t="s">
        <v>2231</v>
      </c>
      <c r="D89" s="3139" t="s">
        <v>451</v>
      </c>
      <c r="E89" s="3282"/>
      <c r="F89" s="3282"/>
      <c r="G89" s="3282"/>
      <c r="H89" s="3282"/>
      <c r="I89" s="3282"/>
      <c r="J89" s="3282"/>
      <c r="K89" s="3282"/>
      <c r="L89" s="3282"/>
      <c r="M89" s="3282"/>
      <c r="N89" s="3282"/>
      <c r="O89" s="3282"/>
      <c r="P89" s="3282"/>
      <c r="Q89" s="3282"/>
      <c r="R89" s="3282"/>
      <c r="S89" s="3282"/>
      <c r="T89" s="3282"/>
      <c r="U89" s="3282"/>
      <c r="V89" s="3282"/>
      <c r="W89" s="3282"/>
      <c r="X89" s="3282"/>
      <c r="Y89" s="3282"/>
      <c r="Z89" s="3282"/>
      <c r="AA89" s="3282"/>
      <c r="AB89" s="3282"/>
      <c r="AC89" s="3282"/>
      <c r="AD89" s="3282"/>
      <c r="AE89" s="3282"/>
      <c r="AF89" s="3282"/>
      <c r="AG89" s="3282"/>
      <c r="AH89" s="3282"/>
      <c r="AI89" s="3129">
        <f t="shared" si="5"/>
        <v>0</v>
      </c>
      <c r="AJ89" s="3490">
        <f t="shared" si="6"/>
        <v>57.563979156768305</v>
      </c>
      <c r="AK89" s="3129">
        <f t="shared" si="7"/>
        <v>0</v>
      </c>
      <c r="AL89" s="3140" t="s">
        <v>141</v>
      </c>
      <c r="AM89" s="3132"/>
      <c r="AU89" s="2581"/>
    </row>
    <row r="90" spans="1:56" ht="95.25" customHeight="1">
      <c r="A90" s="3133" t="s">
        <v>168</v>
      </c>
      <c r="B90" s="3839" t="s">
        <v>1864</v>
      </c>
      <c r="C90" s="3839"/>
      <c r="D90" s="3839"/>
      <c r="E90" s="3175">
        <f>+SUBTOTAL(9,E91:E152)</f>
        <v>0</v>
      </c>
      <c r="F90" s="3175">
        <f t="shared" ref="F90:AH90" si="8">+SUBTOTAL(9,F91:F152)</f>
        <v>0</v>
      </c>
      <c r="G90" s="3175">
        <f t="shared" si="8"/>
        <v>0</v>
      </c>
      <c r="H90" s="3175">
        <f t="shared" si="8"/>
        <v>0</v>
      </c>
      <c r="I90" s="3175">
        <f t="shared" si="8"/>
        <v>0</v>
      </c>
      <c r="J90" s="3175">
        <f t="shared" si="8"/>
        <v>0</v>
      </c>
      <c r="K90" s="3175">
        <f t="shared" si="8"/>
        <v>0</v>
      </c>
      <c r="L90" s="3175">
        <f t="shared" si="8"/>
        <v>0</v>
      </c>
      <c r="M90" s="3175">
        <f t="shared" si="8"/>
        <v>0</v>
      </c>
      <c r="N90" s="3175">
        <f t="shared" si="8"/>
        <v>0</v>
      </c>
      <c r="O90" s="3175">
        <f t="shared" si="8"/>
        <v>0</v>
      </c>
      <c r="P90" s="3175">
        <f t="shared" si="8"/>
        <v>0</v>
      </c>
      <c r="Q90" s="3175">
        <f t="shared" si="8"/>
        <v>0</v>
      </c>
      <c r="R90" s="3175">
        <f t="shared" si="8"/>
        <v>0</v>
      </c>
      <c r="S90" s="3175">
        <f t="shared" si="8"/>
        <v>0</v>
      </c>
      <c r="T90" s="3175">
        <f t="shared" si="8"/>
        <v>0</v>
      </c>
      <c r="U90" s="3175">
        <f t="shared" si="8"/>
        <v>0</v>
      </c>
      <c r="V90" s="3175">
        <f t="shared" si="8"/>
        <v>0</v>
      </c>
      <c r="W90" s="3175">
        <f t="shared" si="8"/>
        <v>0</v>
      </c>
      <c r="X90" s="3175">
        <f t="shared" si="8"/>
        <v>0</v>
      </c>
      <c r="Y90" s="3175">
        <f t="shared" si="8"/>
        <v>0</v>
      </c>
      <c r="Z90" s="3175">
        <f t="shared" si="8"/>
        <v>0</v>
      </c>
      <c r="AA90" s="3175">
        <f t="shared" si="8"/>
        <v>0</v>
      </c>
      <c r="AB90" s="3175">
        <f t="shared" si="8"/>
        <v>0</v>
      </c>
      <c r="AC90" s="3175">
        <f t="shared" si="8"/>
        <v>0</v>
      </c>
      <c r="AD90" s="3175">
        <f t="shared" si="8"/>
        <v>1729</v>
      </c>
      <c r="AE90" s="3175">
        <f t="shared" si="8"/>
        <v>1555</v>
      </c>
      <c r="AF90" s="3175">
        <f t="shared" si="8"/>
        <v>0</v>
      </c>
      <c r="AG90" s="3175">
        <f t="shared" si="8"/>
        <v>1766</v>
      </c>
      <c r="AH90" s="3175">
        <f t="shared" si="8"/>
        <v>0</v>
      </c>
      <c r="AI90" s="3175">
        <f>SUM(AI91:AI152)</f>
        <v>5050</v>
      </c>
      <c r="AJ90" s="3177"/>
      <c r="AK90" s="3175">
        <f>SUM(AK91:AK152)</f>
        <v>2929.4399999999982</v>
      </c>
      <c r="AL90" s="3123"/>
      <c r="AM90" s="3143"/>
      <c r="AR90" s="3294">
        <v>5050</v>
      </c>
      <c r="AS90" s="3294">
        <v>2929.4399999999996</v>
      </c>
      <c r="AT90" s="3294">
        <f>+AS90/AR90</f>
        <v>0.58008712871287116</v>
      </c>
      <c r="BD90" s="3106">
        <v>42.747144208419094</v>
      </c>
    </row>
    <row r="91" spans="1:56" ht="95.25" customHeight="1">
      <c r="A91" s="3144">
        <v>78</v>
      </c>
      <c r="B91" s="3144">
        <v>1</v>
      </c>
      <c r="C91" s="3126" t="s">
        <v>2232</v>
      </c>
      <c r="D91" s="3145" t="s">
        <v>452</v>
      </c>
      <c r="E91" s="3128"/>
      <c r="F91" s="3128"/>
      <c r="G91" s="3128"/>
      <c r="H91" s="3128"/>
      <c r="I91" s="3128"/>
      <c r="J91" s="3128"/>
      <c r="K91" s="3128"/>
      <c r="L91" s="3128"/>
      <c r="M91" s="3128"/>
      <c r="N91" s="3128"/>
      <c r="O91" s="3128"/>
      <c r="P91" s="3128"/>
      <c r="Q91" s="3128"/>
      <c r="R91" s="3128"/>
      <c r="S91" s="3128"/>
      <c r="T91" s="3128"/>
      <c r="U91" s="3128"/>
      <c r="V91" s="3128"/>
      <c r="W91" s="3128"/>
      <c r="X91" s="3128"/>
      <c r="Y91" s="3128"/>
      <c r="Z91" s="3128"/>
      <c r="AA91" s="3128"/>
      <c r="AB91" s="3128"/>
      <c r="AC91" s="3128"/>
      <c r="AD91" s="3128">
        <v>29</v>
      </c>
      <c r="AE91" s="3128">
        <v>30</v>
      </c>
      <c r="AF91" s="3128"/>
      <c r="AG91" s="3128"/>
      <c r="AH91" s="3128"/>
      <c r="AI91" s="3129">
        <f>+SUM(E91:AH91)</f>
        <v>59</v>
      </c>
      <c r="AJ91" s="3130">
        <f>+$AT$90*100</f>
        <v>58.008712871287116</v>
      </c>
      <c r="AK91" s="3129">
        <f>+AI91*$AT$90</f>
        <v>34.225140594059397</v>
      </c>
      <c r="AL91" s="3146" t="s">
        <v>141</v>
      </c>
      <c r="AM91" s="3147"/>
      <c r="AT91" s="3142"/>
    </row>
    <row r="92" spans="1:56" ht="95.25" customHeight="1">
      <c r="A92" s="3144">
        <v>79</v>
      </c>
      <c r="B92" s="3125">
        <v>2</v>
      </c>
      <c r="C92" s="3126" t="s">
        <v>2233</v>
      </c>
      <c r="D92" s="3126" t="s">
        <v>452</v>
      </c>
      <c r="E92" s="3128"/>
      <c r="F92" s="3128"/>
      <c r="G92" s="3128"/>
      <c r="H92" s="3128"/>
      <c r="I92" s="3128"/>
      <c r="J92" s="3128"/>
      <c r="K92" s="3128"/>
      <c r="L92" s="3128"/>
      <c r="M92" s="3128"/>
      <c r="N92" s="3128"/>
      <c r="O92" s="3128"/>
      <c r="P92" s="3128"/>
      <c r="Q92" s="3128"/>
      <c r="R92" s="3128"/>
      <c r="S92" s="3128"/>
      <c r="T92" s="3128"/>
      <c r="U92" s="3128"/>
      <c r="V92" s="3128"/>
      <c r="W92" s="3128"/>
      <c r="X92" s="3128"/>
      <c r="Y92" s="3128"/>
      <c r="Z92" s="3128"/>
      <c r="AA92" s="3128"/>
      <c r="AB92" s="3128"/>
      <c r="AC92" s="3128"/>
      <c r="AD92" s="3128">
        <v>35</v>
      </c>
      <c r="AE92" s="3128">
        <v>30</v>
      </c>
      <c r="AF92" s="3128"/>
      <c r="AG92" s="3128"/>
      <c r="AH92" s="3128"/>
      <c r="AI92" s="3129">
        <f t="shared" ref="AI92:AI152" si="9">+SUM(E92:AH92)</f>
        <v>65</v>
      </c>
      <c r="AJ92" s="3130">
        <f t="shared" ref="AJ92:AJ152" si="10">+$AT$90*100</f>
        <v>58.008712871287116</v>
      </c>
      <c r="AK92" s="3129">
        <f t="shared" ref="AK92:AK152" si="11">+AI92*$AT$90</f>
        <v>37.705663366336623</v>
      </c>
      <c r="AL92" s="3131" t="s">
        <v>141</v>
      </c>
      <c r="AM92" s="3132"/>
    </row>
    <row r="93" spans="1:56" ht="95.25" customHeight="1">
      <c r="A93" s="3144">
        <v>80</v>
      </c>
      <c r="B93" s="3144">
        <v>3</v>
      </c>
      <c r="C93" s="3126" t="s">
        <v>2234</v>
      </c>
      <c r="D93" s="3126" t="s">
        <v>452</v>
      </c>
      <c r="E93" s="3128"/>
      <c r="F93" s="3128"/>
      <c r="G93" s="3128"/>
      <c r="H93" s="3128"/>
      <c r="I93" s="3128"/>
      <c r="J93" s="3128"/>
      <c r="K93" s="3128"/>
      <c r="L93" s="3128"/>
      <c r="M93" s="3128"/>
      <c r="N93" s="3128"/>
      <c r="O93" s="3128"/>
      <c r="P93" s="3128"/>
      <c r="Q93" s="3128"/>
      <c r="R93" s="3128"/>
      <c r="S93" s="3128"/>
      <c r="T93" s="3128"/>
      <c r="U93" s="3128"/>
      <c r="V93" s="3128"/>
      <c r="W93" s="3128"/>
      <c r="X93" s="3128"/>
      <c r="Y93" s="3128"/>
      <c r="Z93" s="3128"/>
      <c r="AA93" s="3128"/>
      <c r="AB93" s="3128"/>
      <c r="AC93" s="3128"/>
      <c r="AD93" s="3128">
        <v>30</v>
      </c>
      <c r="AE93" s="3128">
        <v>31</v>
      </c>
      <c r="AF93" s="3128"/>
      <c r="AG93" s="3128"/>
      <c r="AH93" s="3128"/>
      <c r="AI93" s="3129">
        <f t="shared" si="9"/>
        <v>61</v>
      </c>
      <c r="AJ93" s="3130">
        <f t="shared" si="10"/>
        <v>58.008712871287116</v>
      </c>
      <c r="AK93" s="3129">
        <f t="shared" si="11"/>
        <v>35.385314851485141</v>
      </c>
      <c r="AL93" s="3146" t="s">
        <v>141</v>
      </c>
      <c r="AM93" s="3132"/>
    </row>
    <row r="94" spans="1:56" ht="95.25" customHeight="1">
      <c r="A94" s="3144">
        <v>81</v>
      </c>
      <c r="B94" s="3125">
        <v>4</v>
      </c>
      <c r="C94" s="3126" t="s">
        <v>2235</v>
      </c>
      <c r="D94" s="3126" t="s">
        <v>452</v>
      </c>
      <c r="E94" s="3128"/>
      <c r="F94" s="3128"/>
      <c r="G94" s="3128"/>
      <c r="H94" s="3128"/>
      <c r="I94" s="3128"/>
      <c r="J94" s="3128"/>
      <c r="K94" s="3128"/>
      <c r="L94" s="3128"/>
      <c r="M94" s="3128"/>
      <c r="N94" s="3128"/>
      <c r="O94" s="3128"/>
      <c r="P94" s="3128"/>
      <c r="Q94" s="3128"/>
      <c r="R94" s="3128"/>
      <c r="S94" s="3128"/>
      <c r="T94" s="3128"/>
      <c r="U94" s="3128"/>
      <c r="V94" s="3128"/>
      <c r="W94" s="3128"/>
      <c r="X94" s="3128"/>
      <c r="Y94" s="3128"/>
      <c r="Z94" s="3128"/>
      <c r="AA94" s="3128"/>
      <c r="AB94" s="3128"/>
      <c r="AC94" s="3128"/>
      <c r="AD94" s="3128">
        <v>30</v>
      </c>
      <c r="AE94" s="3128">
        <v>31</v>
      </c>
      <c r="AF94" s="3128"/>
      <c r="AG94" s="3128"/>
      <c r="AH94" s="3128"/>
      <c r="AI94" s="3129">
        <f t="shared" si="9"/>
        <v>61</v>
      </c>
      <c r="AJ94" s="3130">
        <f t="shared" si="10"/>
        <v>58.008712871287116</v>
      </c>
      <c r="AK94" s="3129">
        <f t="shared" si="11"/>
        <v>35.385314851485141</v>
      </c>
      <c r="AL94" s="3131" t="s">
        <v>141</v>
      </c>
      <c r="AM94" s="3132"/>
    </row>
    <row r="95" spans="1:56" ht="95.25" customHeight="1">
      <c r="A95" s="3144">
        <v>82</v>
      </c>
      <c r="B95" s="3144">
        <v>5</v>
      </c>
      <c r="C95" s="3126" t="s">
        <v>2236</v>
      </c>
      <c r="D95" s="3126" t="s">
        <v>452</v>
      </c>
      <c r="E95" s="3128"/>
      <c r="F95" s="3128"/>
      <c r="G95" s="3128"/>
      <c r="H95" s="3128"/>
      <c r="I95" s="3128"/>
      <c r="J95" s="3128"/>
      <c r="K95" s="3128"/>
      <c r="L95" s="3128"/>
      <c r="M95" s="3128"/>
      <c r="N95" s="3128"/>
      <c r="O95" s="3128"/>
      <c r="P95" s="3128"/>
      <c r="Q95" s="3128"/>
      <c r="R95" s="3128"/>
      <c r="S95" s="3128"/>
      <c r="T95" s="3128"/>
      <c r="U95" s="3128"/>
      <c r="V95" s="3128"/>
      <c r="W95" s="3128"/>
      <c r="X95" s="3128"/>
      <c r="Y95" s="3128"/>
      <c r="Z95" s="3128"/>
      <c r="AA95" s="3128"/>
      <c r="AB95" s="3128"/>
      <c r="AC95" s="3128"/>
      <c r="AD95" s="3128"/>
      <c r="AE95" s="3128">
        <v>28</v>
      </c>
      <c r="AF95" s="3128"/>
      <c r="AG95" s="3128"/>
      <c r="AH95" s="3128"/>
      <c r="AI95" s="3129">
        <f t="shared" si="9"/>
        <v>28</v>
      </c>
      <c r="AJ95" s="3130">
        <f t="shared" si="10"/>
        <v>58.008712871287116</v>
      </c>
      <c r="AK95" s="3129">
        <f t="shared" si="11"/>
        <v>16.242439603960392</v>
      </c>
      <c r="AL95" s="3146" t="s">
        <v>141</v>
      </c>
      <c r="AM95" s="3132"/>
    </row>
    <row r="96" spans="1:56" ht="95.25" customHeight="1">
      <c r="A96" s="3144">
        <v>83</v>
      </c>
      <c r="B96" s="3125">
        <v>6</v>
      </c>
      <c r="C96" s="3126" t="s">
        <v>2237</v>
      </c>
      <c r="D96" s="3126" t="s">
        <v>452</v>
      </c>
      <c r="E96" s="3128"/>
      <c r="F96" s="3128"/>
      <c r="G96" s="3128"/>
      <c r="H96" s="3128"/>
      <c r="I96" s="3128"/>
      <c r="J96" s="3128"/>
      <c r="K96" s="3128"/>
      <c r="L96" s="3128"/>
      <c r="M96" s="3128"/>
      <c r="N96" s="3128"/>
      <c r="O96" s="3128"/>
      <c r="P96" s="3128"/>
      <c r="Q96" s="3128"/>
      <c r="R96" s="3128"/>
      <c r="S96" s="3128"/>
      <c r="T96" s="3128"/>
      <c r="U96" s="3128"/>
      <c r="V96" s="3128"/>
      <c r="W96" s="3128"/>
      <c r="X96" s="3128"/>
      <c r="Y96" s="3128"/>
      <c r="Z96" s="3128"/>
      <c r="AA96" s="3128"/>
      <c r="AB96" s="3128"/>
      <c r="AC96" s="3128"/>
      <c r="AD96" s="3128"/>
      <c r="AE96" s="3128">
        <v>28</v>
      </c>
      <c r="AF96" s="3128"/>
      <c r="AG96" s="3128"/>
      <c r="AH96" s="3128"/>
      <c r="AI96" s="3129">
        <f t="shared" si="9"/>
        <v>28</v>
      </c>
      <c r="AJ96" s="3130">
        <f t="shared" si="10"/>
        <v>58.008712871287116</v>
      </c>
      <c r="AK96" s="3129">
        <f t="shared" si="11"/>
        <v>16.242439603960392</v>
      </c>
      <c r="AL96" s="3131" t="s">
        <v>141</v>
      </c>
      <c r="AM96" s="3132"/>
    </row>
    <row r="97" spans="1:45" ht="95.25" customHeight="1">
      <c r="A97" s="3144">
        <v>84</v>
      </c>
      <c r="B97" s="3144">
        <v>7</v>
      </c>
      <c r="C97" s="3126" t="s">
        <v>2238</v>
      </c>
      <c r="D97" s="3126" t="s">
        <v>452</v>
      </c>
      <c r="E97" s="3128"/>
      <c r="F97" s="3128"/>
      <c r="G97" s="3128"/>
      <c r="H97" s="3128"/>
      <c r="I97" s="3128"/>
      <c r="J97" s="3128"/>
      <c r="K97" s="3128"/>
      <c r="L97" s="3128"/>
      <c r="M97" s="3128"/>
      <c r="N97" s="3128"/>
      <c r="O97" s="3128"/>
      <c r="P97" s="3128"/>
      <c r="Q97" s="3128"/>
      <c r="R97" s="3128"/>
      <c r="S97" s="3128"/>
      <c r="T97" s="3128"/>
      <c r="U97" s="3128"/>
      <c r="V97" s="3128"/>
      <c r="W97" s="3128"/>
      <c r="X97" s="3128"/>
      <c r="Y97" s="3128"/>
      <c r="Z97" s="3128"/>
      <c r="AA97" s="3128"/>
      <c r="AB97" s="3128"/>
      <c r="AC97" s="3128"/>
      <c r="AD97" s="3128">
        <v>40</v>
      </c>
      <c r="AE97" s="3128">
        <v>50</v>
      </c>
      <c r="AF97" s="3128"/>
      <c r="AG97" s="3128"/>
      <c r="AH97" s="3128"/>
      <c r="AI97" s="3129">
        <f t="shared" si="9"/>
        <v>90</v>
      </c>
      <c r="AJ97" s="3130">
        <f t="shared" si="10"/>
        <v>58.008712871287116</v>
      </c>
      <c r="AK97" s="3129">
        <f t="shared" si="11"/>
        <v>52.207841584158402</v>
      </c>
      <c r="AL97" s="3146" t="s">
        <v>141</v>
      </c>
      <c r="AM97" s="3132"/>
    </row>
    <row r="98" spans="1:45" ht="95.25" customHeight="1">
      <c r="A98" s="3144">
        <v>85</v>
      </c>
      <c r="B98" s="3125">
        <v>8</v>
      </c>
      <c r="C98" s="3126" t="s">
        <v>2239</v>
      </c>
      <c r="D98" s="3126" t="s">
        <v>452</v>
      </c>
      <c r="E98" s="3128"/>
      <c r="F98" s="3128"/>
      <c r="G98" s="3128"/>
      <c r="H98" s="3128"/>
      <c r="I98" s="3128"/>
      <c r="J98" s="3128"/>
      <c r="K98" s="3128"/>
      <c r="L98" s="3128"/>
      <c r="M98" s="3128"/>
      <c r="N98" s="3128"/>
      <c r="O98" s="3128"/>
      <c r="P98" s="3128"/>
      <c r="Q98" s="3128"/>
      <c r="R98" s="3128"/>
      <c r="S98" s="3128"/>
      <c r="T98" s="3128"/>
      <c r="U98" s="3128"/>
      <c r="V98" s="3128"/>
      <c r="W98" s="3128"/>
      <c r="X98" s="3128"/>
      <c r="Y98" s="3128"/>
      <c r="Z98" s="3128"/>
      <c r="AA98" s="3128"/>
      <c r="AB98" s="3128"/>
      <c r="AC98" s="3128"/>
      <c r="AD98" s="3128">
        <v>35</v>
      </c>
      <c r="AE98" s="3128">
        <v>50</v>
      </c>
      <c r="AF98" s="3128"/>
      <c r="AG98" s="3128"/>
      <c r="AH98" s="3128"/>
      <c r="AI98" s="3129">
        <f t="shared" si="9"/>
        <v>85</v>
      </c>
      <c r="AJ98" s="3130">
        <f t="shared" si="10"/>
        <v>58.008712871287116</v>
      </c>
      <c r="AK98" s="3129">
        <f t="shared" si="11"/>
        <v>49.307405940594052</v>
      </c>
      <c r="AL98" s="3131" t="s">
        <v>141</v>
      </c>
      <c r="AM98" s="3132"/>
      <c r="AP98" s="3106" t="s">
        <v>141</v>
      </c>
      <c r="AQ98" s="3106">
        <f>+COUNTIF(AL91:$AL$152,"A")</f>
        <v>60</v>
      </c>
    </row>
    <row r="99" spans="1:45" ht="95.25" customHeight="1">
      <c r="A99" s="3144">
        <v>86</v>
      </c>
      <c r="B99" s="3144">
        <v>9</v>
      </c>
      <c r="C99" s="3126" t="s">
        <v>2240</v>
      </c>
      <c r="D99" s="3126" t="s">
        <v>452</v>
      </c>
      <c r="E99" s="3128"/>
      <c r="F99" s="3128"/>
      <c r="G99" s="3128"/>
      <c r="H99" s="3128"/>
      <c r="I99" s="3128"/>
      <c r="J99" s="3128"/>
      <c r="K99" s="3128"/>
      <c r="L99" s="3128"/>
      <c r="M99" s="3128"/>
      <c r="N99" s="3128"/>
      <c r="O99" s="3128"/>
      <c r="P99" s="3128"/>
      <c r="Q99" s="3128"/>
      <c r="R99" s="3128"/>
      <c r="S99" s="3128"/>
      <c r="T99" s="3128"/>
      <c r="U99" s="3128"/>
      <c r="V99" s="3128"/>
      <c r="W99" s="3128"/>
      <c r="X99" s="3128"/>
      <c r="Y99" s="3128"/>
      <c r="Z99" s="3128"/>
      <c r="AA99" s="3128"/>
      <c r="AB99" s="3128"/>
      <c r="AC99" s="3128"/>
      <c r="AD99" s="3128"/>
      <c r="AE99" s="3128"/>
      <c r="AF99" s="3128"/>
      <c r="AG99" s="3128"/>
      <c r="AH99" s="3128"/>
      <c r="AI99" s="3129">
        <f t="shared" si="9"/>
        <v>0</v>
      </c>
      <c r="AJ99" s="3130">
        <f t="shared" si="10"/>
        <v>58.008712871287116</v>
      </c>
      <c r="AK99" s="3129">
        <f t="shared" si="11"/>
        <v>0</v>
      </c>
      <c r="AL99" s="3146" t="s">
        <v>141</v>
      </c>
      <c r="AM99" s="3132"/>
      <c r="AP99" s="3106" t="s">
        <v>138</v>
      </c>
      <c r="AQ99" s="3106">
        <f>+COUNTIF(AL92:$AL$152,"B")</f>
        <v>2</v>
      </c>
    </row>
    <row r="100" spans="1:45" ht="95.25" customHeight="1">
      <c r="A100" s="3144">
        <v>87</v>
      </c>
      <c r="B100" s="3125">
        <v>10</v>
      </c>
      <c r="C100" s="3126" t="s">
        <v>2241</v>
      </c>
      <c r="D100" s="3126" t="s">
        <v>452</v>
      </c>
      <c r="E100" s="3128"/>
      <c r="F100" s="3128"/>
      <c r="G100" s="3128"/>
      <c r="H100" s="3128"/>
      <c r="I100" s="3128"/>
      <c r="J100" s="3128"/>
      <c r="K100" s="3128"/>
      <c r="L100" s="3128"/>
      <c r="M100" s="3128"/>
      <c r="N100" s="3128"/>
      <c r="O100" s="3128"/>
      <c r="P100" s="3128"/>
      <c r="Q100" s="3128"/>
      <c r="R100" s="3128"/>
      <c r="S100" s="3128"/>
      <c r="T100" s="3128"/>
      <c r="U100" s="3128"/>
      <c r="V100" s="3128"/>
      <c r="W100" s="3128"/>
      <c r="X100" s="3128"/>
      <c r="Y100" s="3128"/>
      <c r="Z100" s="3128"/>
      <c r="AA100" s="3128"/>
      <c r="AB100" s="3128"/>
      <c r="AC100" s="3128"/>
      <c r="AD100" s="3128"/>
      <c r="AE100" s="3128"/>
      <c r="AF100" s="3128"/>
      <c r="AG100" s="3128"/>
      <c r="AH100" s="3128"/>
      <c r="AI100" s="3129">
        <f t="shared" si="9"/>
        <v>0</v>
      </c>
      <c r="AJ100" s="3130">
        <f t="shared" si="10"/>
        <v>58.008712871287116</v>
      </c>
      <c r="AK100" s="3129">
        <f t="shared" si="11"/>
        <v>0</v>
      </c>
      <c r="AL100" s="3131" t="s">
        <v>141</v>
      </c>
      <c r="AM100" s="3132"/>
      <c r="AP100" s="3106" t="s">
        <v>168</v>
      </c>
      <c r="AQ100" s="3106">
        <f>+COUNTIF(AL93:$AL$152,"C")</f>
        <v>0</v>
      </c>
    </row>
    <row r="101" spans="1:45" ht="95.25" customHeight="1">
      <c r="A101" s="3144">
        <v>88</v>
      </c>
      <c r="B101" s="3144">
        <v>11</v>
      </c>
      <c r="C101" s="3126" t="s">
        <v>2242</v>
      </c>
      <c r="D101" s="3126" t="s">
        <v>452</v>
      </c>
      <c r="E101" s="3128"/>
      <c r="F101" s="3128"/>
      <c r="G101" s="3128"/>
      <c r="H101" s="3128"/>
      <c r="I101" s="3128"/>
      <c r="J101" s="3128"/>
      <c r="K101" s="3128"/>
      <c r="L101" s="3128"/>
      <c r="M101" s="3128"/>
      <c r="N101" s="3128"/>
      <c r="O101" s="3128"/>
      <c r="P101" s="3128"/>
      <c r="Q101" s="3128"/>
      <c r="R101" s="3128"/>
      <c r="S101" s="3128"/>
      <c r="T101" s="3128"/>
      <c r="U101" s="3128"/>
      <c r="V101" s="3128"/>
      <c r="W101" s="3128"/>
      <c r="X101" s="3128"/>
      <c r="Y101" s="3128"/>
      <c r="Z101" s="3128"/>
      <c r="AA101" s="3128"/>
      <c r="AB101" s="3128"/>
      <c r="AC101" s="3128"/>
      <c r="AD101" s="3128">
        <v>33</v>
      </c>
      <c r="AE101" s="3128">
        <v>64</v>
      </c>
      <c r="AF101" s="3128"/>
      <c r="AG101" s="3128"/>
      <c r="AH101" s="3128"/>
      <c r="AI101" s="3129">
        <f t="shared" si="9"/>
        <v>97</v>
      </c>
      <c r="AJ101" s="3130">
        <f t="shared" si="10"/>
        <v>58.008712871287116</v>
      </c>
      <c r="AK101" s="3129">
        <f t="shared" si="11"/>
        <v>56.268451485148503</v>
      </c>
      <c r="AL101" s="3146" t="s">
        <v>141</v>
      </c>
      <c r="AM101" s="3132"/>
    </row>
    <row r="102" spans="1:45" ht="95.25" customHeight="1">
      <c r="A102" s="3144">
        <v>89</v>
      </c>
      <c r="B102" s="3125">
        <v>12</v>
      </c>
      <c r="C102" s="3126" t="s">
        <v>488</v>
      </c>
      <c r="D102" s="3126" t="s">
        <v>452</v>
      </c>
      <c r="E102" s="3128"/>
      <c r="F102" s="3128"/>
      <c r="G102" s="3128"/>
      <c r="H102" s="3128"/>
      <c r="I102" s="3128"/>
      <c r="J102" s="3128"/>
      <c r="K102" s="3128"/>
      <c r="L102" s="3128"/>
      <c r="M102" s="3128"/>
      <c r="N102" s="3128"/>
      <c r="O102" s="3128"/>
      <c r="P102" s="3128"/>
      <c r="Q102" s="3128"/>
      <c r="R102" s="3128"/>
      <c r="S102" s="3128"/>
      <c r="T102" s="3128"/>
      <c r="U102" s="3128"/>
      <c r="V102" s="3128"/>
      <c r="W102" s="3128"/>
      <c r="X102" s="3128"/>
      <c r="Y102" s="3128"/>
      <c r="Z102" s="3128"/>
      <c r="AA102" s="3128"/>
      <c r="AB102" s="3128"/>
      <c r="AC102" s="3128"/>
      <c r="AD102" s="3128">
        <v>33</v>
      </c>
      <c r="AE102" s="3128">
        <v>65</v>
      </c>
      <c r="AF102" s="3128"/>
      <c r="AG102" s="3128"/>
      <c r="AH102" s="3128"/>
      <c r="AI102" s="3129">
        <f t="shared" si="9"/>
        <v>98</v>
      </c>
      <c r="AJ102" s="3130">
        <f t="shared" si="10"/>
        <v>58.008712871287116</v>
      </c>
      <c r="AK102" s="3129">
        <f t="shared" si="11"/>
        <v>56.848538613861372</v>
      </c>
      <c r="AL102" s="3131" t="s">
        <v>141</v>
      </c>
      <c r="AM102" s="3132"/>
    </row>
    <row r="103" spans="1:45" ht="95.25" customHeight="1">
      <c r="A103" s="3144">
        <v>90</v>
      </c>
      <c r="B103" s="3144">
        <v>13</v>
      </c>
      <c r="C103" s="3126" t="s">
        <v>2243</v>
      </c>
      <c r="D103" s="3126" t="s">
        <v>452</v>
      </c>
      <c r="E103" s="3128"/>
      <c r="F103" s="3128"/>
      <c r="G103" s="3128"/>
      <c r="H103" s="3128"/>
      <c r="I103" s="3128"/>
      <c r="J103" s="3128"/>
      <c r="K103" s="3128"/>
      <c r="L103" s="3128"/>
      <c r="M103" s="3128"/>
      <c r="N103" s="3128"/>
      <c r="O103" s="3128"/>
      <c r="P103" s="3128"/>
      <c r="Q103" s="3128"/>
      <c r="R103" s="3128"/>
      <c r="S103" s="3128"/>
      <c r="T103" s="3128"/>
      <c r="U103" s="3128"/>
      <c r="V103" s="3128"/>
      <c r="W103" s="3128"/>
      <c r="X103" s="3128"/>
      <c r="Y103" s="3128"/>
      <c r="Z103" s="3128"/>
      <c r="AA103" s="3128"/>
      <c r="AB103" s="3128"/>
      <c r="AC103" s="3128"/>
      <c r="AD103" s="3128">
        <v>68</v>
      </c>
      <c r="AE103" s="3128"/>
      <c r="AF103" s="3128"/>
      <c r="AG103" s="3128"/>
      <c r="AH103" s="3128"/>
      <c r="AI103" s="3129">
        <f t="shared" si="9"/>
        <v>68</v>
      </c>
      <c r="AJ103" s="3130">
        <f t="shared" si="10"/>
        <v>58.008712871287116</v>
      </c>
      <c r="AK103" s="3129">
        <f t="shared" si="11"/>
        <v>39.445924752475236</v>
      </c>
      <c r="AL103" s="3146" t="s">
        <v>141</v>
      </c>
      <c r="AM103" s="3132"/>
    </row>
    <row r="104" spans="1:45" ht="95.25" customHeight="1">
      <c r="A104" s="3144">
        <v>91</v>
      </c>
      <c r="B104" s="3125">
        <v>14</v>
      </c>
      <c r="C104" s="3126" t="s">
        <v>2244</v>
      </c>
      <c r="D104" s="3126" t="s">
        <v>452</v>
      </c>
      <c r="E104" s="3128"/>
      <c r="F104" s="3128"/>
      <c r="G104" s="3128"/>
      <c r="H104" s="3128"/>
      <c r="I104" s="3128"/>
      <c r="J104" s="3128"/>
      <c r="K104" s="3128"/>
      <c r="L104" s="3128"/>
      <c r="M104" s="3128"/>
      <c r="N104" s="3128"/>
      <c r="O104" s="3128"/>
      <c r="P104" s="3128"/>
      <c r="Q104" s="3128"/>
      <c r="R104" s="3128"/>
      <c r="S104" s="3128"/>
      <c r="T104" s="3128"/>
      <c r="U104" s="3128"/>
      <c r="V104" s="3128"/>
      <c r="W104" s="3128"/>
      <c r="X104" s="3128"/>
      <c r="Y104" s="3128"/>
      <c r="Z104" s="3128"/>
      <c r="AA104" s="3128"/>
      <c r="AB104" s="3128"/>
      <c r="AC104" s="3128"/>
      <c r="AD104" s="3128">
        <v>56</v>
      </c>
      <c r="AE104" s="3128"/>
      <c r="AF104" s="3128"/>
      <c r="AG104" s="3128"/>
      <c r="AH104" s="3128"/>
      <c r="AI104" s="3129">
        <f t="shared" si="9"/>
        <v>56</v>
      </c>
      <c r="AJ104" s="3130">
        <f t="shared" si="10"/>
        <v>58.008712871287116</v>
      </c>
      <c r="AK104" s="3129">
        <f t="shared" si="11"/>
        <v>32.484879207920784</v>
      </c>
      <c r="AL104" s="3131" t="s">
        <v>141</v>
      </c>
      <c r="AM104" s="3132"/>
    </row>
    <row r="105" spans="1:45" ht="95.25" customHeight="1">
      <c r="A105" s="3144">
        <v>92</v>
      </c>
      <c r="B105" s="3144">
        <v>15</v>
      </c>
      <c r="C105" s="3126" t="s">
        <v>2245</v>
      </c>
      <c r="D105" s="3126" t="s">
        <v>452</v>
      </c>
      <c r="E105" s="3128"/>
      <c r="F105" s="3128"/>
      <c r="G105" s="3128"/>
      <c r="H105" s="3128"/>
      <c r="I105" s="3128"/>
      <c r="J105" s="3128"/>
      <c r="K105" s="3128"/>
      <c r="L105" s="3128"/>
      <c r="M105" s="3128"/>
      <c r="N105" s="3128"/>
      <c r="O105" s="3128"/>
      <c r="P105" s="3128"/>
      <c r="Q105" s="3128"/>
      <c r="R105" s="3128"/>
      <c r="S105" s="3128"/>
      <c r="T105" s="3128"/>
      <c r="U105" s="3128"/>
      <c r="V105" s="3128"/>
      <c r="W105" s="3128"/>
      <c r="X105" s="3128"/>
      <c r="Y105" s="3128"/>
      <c r="Z105" s="3128"/>
      <c r="AA105" s="3128"/>
      <c r="AB105" s="3128"/>
      <c r="AC105" s="3128"/>
      <c r="AD105" s="3128">
        <v>38</v>
      </c>
      <c r="AE105" s="3128"/>
      <c r="AF105" s="3128"/>
      <c r="AG105" s="3128"/>
      <c r="AH105" s="3128"/>
      <c r="AI105" s="3129">
        <f t="shared" si="9"/>
        <v>38</v>
      </c>
      <c r="AJ105" s="3130">
        <f t="shared" si="10"/>
        <v>58.008712871287116</v>
      </c>
      <c r="AK105" s="3129">
        <f t="shared" si="11"/>
        <v>22.043310891089103</v>
      </c>
      <c r="AL105" s="3146" t="s">
        <v>141</v>
      </c>
      <c r="AM105" s="3132"/>
    </row>
    <row r="106" spans="1:45" ht="95.25" customHeight="1">
      <c r="A106" s="3144">
        <v>93</v>
      </c>
      <c r="B106" s="3125">
        <v>16</v>
      </c>
      <c r="C106" s="3126" t="s">
        <v>2246</v>
      </c>
      <c r="D106" s="3126" t="s">
        <v>452</v>
      </c>
      <c r="E106" s="3128"/>
      <c r="F106" s="3128"/>
      <c r="G106" s="3128"/>
      <c r="H106" s="3128"/>
      <c r="I106" s="3128"/>
      <c r="J106" s="3128"/>
      <c r="K106" s="3128"/>
      <c r="L106" s="3128"/>
      <c r="M106" s="3128"/>
      <c r="N106" s="3128"/>
      <c r="O106" s="3128"/>
      <c r="P106" s="3128"/>
      <c r="Q106" s="3128"/>
      <c r="R106" s="3128"/>
      <c r="S106" s="3128"/>
      <c r="T106" s="3128"/>
      <c r="U106" s="3128"/>
      <c r="V106" s="3128"/>
      <c r="W106" s="3128"/>
      <c r="X106" s="3128"/>
      <c r="Y106" s="3128"/>
      <c r="Z106" s="3128"/>
      <c r="AA106" s="3128"/>
      <c r="AB106" s="3128"/>
      <c r="AC106" s="3128"/>
      <c r="AD106" s="3128">
        <v>39</v>
      </c>
      <c r="AE106" s="3128"/>
      <c r="AF106" s="3128"/>
      <c r="AG106" s="3128"/>
      <c r="AH106" s="3128"/>
      <c r="AI106" s="3129">
        <f t="shared" si="9"/>
        <v>39</v>
      </c>
      <c r="AJ106" s="3130">
        <f t="shared" si="10"/>
        <v>58.008712871287116</v>
      </c>
      <c r="AK106" s="3129">
        <f t="shared" si="11"/>
        <v>22.623398019801975</v>
      </c>
      <c r="AL106" s="3131" t="s">
        <v>141</v>
      </c>
      <c r="AM106" s="3132"/>
    </row>
    <row r="107" spans="1:45" ht="95.25" customHeight="1">
      <c r="A107" s="3144">
        <v>94</v>
      </c>
      <c r="B107" s="3144">
        <v>17</v>
      </c>
      <c r="C107" s="3126" t="s">
        <v>2247</v>
      </c>
      <c r="D107" s="3126" t="s">
        <v>452</v>
      </c>
      <c r="E107" s="3128"/>
      <c r="F107" s="3128"/>
      <c r="G107" s="3128"/>
      <c r="H107" s="3128"/>
      <c r="I107" s="3128"/>
      <c r="J107" s="3128"/>
      <c r="K107" s="3128"/>
      <c r="L107" s="3128"/>
      <c r="M107" s="3128"/>
      <c r="N107" s="3128"/>
      <c r="O107" s="3128"/>
      <c r="P107" s="3128"/>
      <c r="Q107" s="3128"/>
      <c r="R107" s="3128"/>
      <c r="S107" s="3128"/>
      <c r="T107" s="3128"/>
      <c r="U107" s="3128"/>
      <c r="V107" s="3128"/>
      <c r="W107" s="3128"/>
      <c r="X107" s="3128"/>
      <c r="Y107" s="3128"/>
      <c r="Z107" s="3128"/>
      <c r="AA107" s="3128"/>
      <c r="AB107" s="3128"/>
      <c r="AC107" s="3128"/>
      <c r="AD107" s="3128">
        <v>38</v>
      </c>
      <c r="AE107" s="3128">
        <v>15</v>
      </c>
      <c r="AF107" s="3128"/>
      <c r="AG107" s="3128"/>
      <c r="AH107" s="3128"/>
      <c r="AI107" s="3129">
        <f t="shared" si="9"/>
        <v>53</v>
      </c>
      <c r="AJ107" s="3130">
        <f t="shared" si="10"/>
        <v>58.008712871287116</v>
      </c>
      <c r="AK107" s="3129">
        <f t="shared" si="11"/>
        <v>30.744617821782171</v>
      </c>
      <c r="AL107" s="3146" t="s">
        <v>141</v>
      </c>
      <c r="AM107" s="3132"/>
    </row>
    <row r="108" spans="1:45" ht="95.25" customHeight="1">
      <c r="A108" s="3144">
        <v>95</v>
      </c>
      <c r="B108" s="3125">
        <v>18</v>
      </c>
      <c r="C108" s="3126" t="s">
        <v>2248</v>
      </c>
      <c r="D108" s="3126" t="s">
        <v>452</v>
      </c>
      <c r="E108" s="3128"/>
      <c r="F108" s="3128"/>
      <c r="G108" s="3128"/>
      <c r="H108" s="3128"/>
      <c r="I108" s="3128"/>
      <c r="J108" s="3128"/>
      <c r="K108" s="3128"/>
      <c r="L108" s="3128"/>
      <c r="M108" s="3128"/>
      <c r="N108" s="3128"/>
      <c r="O108" s="3128"/>
      <c r="P108" s="3128"/>
      <c r="Q108" s="3128"/>
      <c r="R108" s="3128"/>
      <c r="S108" s="3128"/>
      <c r="T108" s="3128"/>
      <c r="U108" s="3128"/>
      <c r="V108" s="3128"/>
      <c r="W108" s="3128"/>
      <c r="X108" s="3128"/>
      <c r="Y108" s="3128"/>
      <c r="Z108" s="3128"/>
      <c r="AA108" s="3128"/>
      <c r="AB108" s="3128"/>
      <c r="AC108" s="3128"/>
      <c r="AD108" s="3128">
        <v>38</v>
      </c>
      <c r="AE108" s="3128">
        <v>16</v>
      </c>
      <c r="AF108" s="3128"/>
      <c r="AG108" s="3128"/>
      <c r="AH108" s="3128"/>
      <c r="AI108" s="3129">
        <f t="shared" si="9"/>
        <v>54</v>
      </c>
      <c r="AJ108" s="3130">
        <f t="shared" si="10"/>
        <v>58.008712871287116</v>
      </c>
      <c r="AK108" s="3129">
        <f t="shared" si="11"/>
        <v>31.324704950495043</v>
      </c>
      <c r="AL108" s="3131" t="s">
        <v>141</v>
      </c>
      <c r="AM108" s="3132"/>
    </row>
    <row r="109" spans="1:45" ht="95.25" customHeight="1">
      <c r="A109" s="3144">
        <v>96</v>
      </c>
      <c r="B109" s="3144">
        <v>19</v>
      </c>
      <c r="C109" s="3126" t="s">
        <v>2249</v>
      </c>
      <c r="D109" s="3126" t="s">
        <v>452</v>
      </c>
      <c r="E109" s="3128"/>
      <c r="F109" s="3128"/>
      <c r="G109" s="3128"/>
      <c r="H109" s="3128"/>
      <c r="I109" s="3128"/>
      <c r="J109" s="3128"/>
      <c r="K109" s="3128"/>
      <c r="L109" s="3128"/>
      <c r="M109" s="3128"/>
      <c r="N109" s="3128"/>
      <c r="O109" s="3128"/>
      <c r="P109" s="3128"/>
      <c r="Q109" s="3128"/>
      <c r="R109" s="3128"/>
      <c r="S109" s="3128"/>
      <c r="T109" s="3128"/>
      <c r="U109" s="3128"/>
      <c r="V109" s="3128"/>
      <c r="W109" s="3128"/>
      <c r="X109" s="3128"/>
      <c r="Y109" s="3128"/>
      <c r="Z109" s="3128"/>
      <c r="AA109" s="3128"/>
      <c r="AB109" s="3128"/>
      <c r="AC109" s="3128"/>
      <c r="AD109" s="3128">
        <v>39</v>
      </c>
      <c r="AE109" s="3128">
        <v>17</v>
      </c>
      <c r="AF109" s="3128"/>
      <c r="AG109" s="3128"/>
      <c r="AH109" s="3128"/>
      <c r="AI109" s="3129">
        <f t="shared" si="9"/>
        <v>56</v>
      </c>
      <c r="AJ109" s="3130">
        <f t="shared" si="10"/>
        <v>58.008712871287116</v>
      </c>
      <c r="AK109" s="3129">
        <f t="shared" si="11"/>
        <v>32.484879207920784</v>
      </c>
      <c r="AL109" s="3146" t="s">
        <v>141</v>
      </c>
      <c r="AM109" s="3132"/>
    </row>
    <row r="110" spans="1:45" ht="95.25" customHeight="1">
      <c r="A110" s="3144">
        <v>97</v>
      </c>
      <c r="B110" s="3125">
        <v>20</v>
      </c>
      <c r="C110" s="3126" t="s">
        <v>2250</v>
      </c>
      <c r="D110" s="3126" t="s">
        <v>452</v>
      </c>
      <c r="E110" s="3128"/>
      <c r="F110" s="3128"/>
      <c r="G110" s="3128"/>
      <c r="H110" s="3128"/>
      <c r="I110" s="3128"/>
      <c r="J110" s="3128"/>
      <c r="K110" s="3128"/>
      <c r="L110" s="3128"/>
      <c r="M110" s="3128"/>
      <c r="N110" s="3128"/>
      <c r="O110" s="3128"/>
      <c r="P110" s="3128"/>
      <c r="Q110" s="3128"/>
      <c r="R110" s="3128"/>
      <c r="S110" s="3128"/>
      <c r="T110" s="3128"/>
      <c r="U110" s="3128"/>
      <c r="V110" s="3128"/>
      <c r="W110" s="3128"/>
      <c r="X110" s="3128"/>
      <c r="Y110" s="3128"/>
      <c r="Z110" s="3128"/>
      <c r="AA110" s="3128"/>
      <c r="AB110" s="3128"/>
      <c r="AC110" s="3128"/>
      <c r="AD110" s="3128">
        <v>40</v>
      </c>
      <c r="AE110" s="3128"/>
      <c r="AF110" s="3128"/>
      <c r="AG110" s="3128"/>
      <c r="AH110" s="3128"/>
      <c r="AI110" s="3129">
        <f t="shared" si="9"/>
        <v>40</v>
      </c>
      <c r="AJ110" s="3130">
        <f t="shared" si="10"/>
        <v>58.008712871287116</v>
      </c>
      <c r="AK110" s="3129">
        <f t="shared" si="11"/>
        <v>23.203485148514847</v>
      </c>
      <c r="AL110" s="3131" t="s">
        <v>141</v>
      </c>
      <c r="AM110" s="3132"/>
    </row>
    <row r="111" spans="1:45" ht="95.25" customHeight="1">
      <c r="A111" s="3144">
        <v>98</v>
      </c>
      <c r="B111" s="3144">
        <v>21</v>
      </c>
      <c r="C111" s="3126" t="s">
        <v>2251</v>
      </c>
      <c r="D111" s="3126" t="s">
        <v>452</v>
      </c>
      <c r="E111" s="3128"/>
      <c r="F111" s="3128"/>
      <c r="G111" s="3128"/>
      <c r="H111" s="3128"/>
      <c r="I111" s="3128"/>
      <c r="J111" s="3128"/>
      <c r="K111" s="3128"/>
      <c r="L111" s="3128"/>
      <c r="M111" s="3128"/>
      <c r="N111" s="3128"/>
      <c r="O111" s="3128"/>
      <c r="P111" s="3128"/>
      <c r="Q111" s="3128"/>
      <c r="R111" s="3128"/>
      <c r="S111" s="3128"/>
      <c r="T111" s="3128"/>
      <c r="U111" s="3128"/>
      <c r="V111" s="3128"/>
      <c r="W111" s="3128"/>
      <c r="X111" s="3128"/>
      <c r="Y111" s="3128"/>
      <c r="Z111" s="3128"/>
      <c r="AA111" s="3128"/>
      <c r="AB111" s="3128"/>
      <c r="AC111" s="3128"/>
      <c r="AD111" s="3128">
        <v>40</v>
      </c>
      <c r="AE111" s="3128"/>
      <c r="AF111" s="3128"/>
      <c r="AG111" s="3128"/>
      <c r="AH111" s="3128"/>
      <c r="AI111" s="3129">
        <f t="shared" si="9"/>
        <v>40</v>
      </c>
      <c r="AJ111" s="3130">
        <f t="shared" si="10"/>
        <v>58.008712871287116</v>
      </c>
      <c r="AK111" s="3129">
        <f t="shared" si="11"/>
        <v>23.203485148514847</v>
      </c>
      <c r="AL111" s="3146" t="s">
        <v>141</v>
      </c>
      <c r="AM111" s="3132"/>
      <c r="AS111" s="2581">
        <f>+MAX(AI91:AI152)</f>
        <v>287</v>
      </c>
    </row>
    <row r="112" spans="1:45" ht="95.25" customHeight="1">
      <c r="A112" s="3144">
        <v>99</v>
      </c>
      <c r="B112" s="3125">
        <v>22</v>
      </c>
      <c r="C112" s="3126" t="s">
        <v>2252</v>
      </c>
      <c r="D112" s="3126" t="s">
        <v>452</v>
      </c>
      <c r="E112" s="3128"/>
      <c r="F112" s="3128"/>
      <c r="G112" s="3128"/>
      <c r="H112" s="3128"/>
      <c r="I112" s="3128"/>
      <c r="J112" s="3128"/>
      <c r="K112" s="3128"/>
      <c r="L112" s="3128"/>
      <c r="M112" s="3128"/>
      <c r="N112" s="3128"/>
      <c r="O112" s="3128"/>
      <c r="P112" s="3128"/>
      <c r="Q112" s="3128"/>
      <c r="R112" s="3128"/>
      <c r="S112" s="3128"/>
      <c r="T112" s="3128"/>
      <c r="U112" s="3128"/>
      <c r="V112" s="3128"/>
      <c r="W112" s="3128"/>
      <c r="X112" s="3128"/>
      <c r="Y112" s="3128"/>
      <c r="Z112" s="3128"/>
      <c r="AA112" s="3128"/>
      <c r="AB112" s="3128"/>
      <c r="AC112" s="3128"/>
      <c r="AD112" s="3128">
        <v>33</v>
      </c>
      <c r="AE112" s="3128"/>
      <c r="AF112" s="3128"/>
      <c r="AG112" s="3128"/>
      <c r="AH112" s="3128"/>
      <c r="AI112" s="3129">
        <f t="shared" si="9"/>
        <v>33</v>
      </c>
      <c r="AJ112" s="3130">
        <f t="shared" si="10"/>
        <v>58.008712871287116</v>
      </c>
      <c r="AK112" s="3129">
        <f t="shared" si="11"/>
        <v>19.142875247524749</v>
      </c>
      <c r="AL112" s="3131" t="s">
        <v>141</v>
      </c>
      <c r="AM112" s="3132"/>
    </row>
    <row r="113" spans="1:39" ht="95.25" customHeight="1">
      <c r="A113" s="3144">
        <v>100</v>
      </c>
      <c r="B113" s="3144">
        <v>23</v>
      </c>
      <c r="C113" s="3126" t="s">
        <v>2253</v>
      </c>
      <c r="D113" s="3126" t="s">
        <v>452</v>
      </c>
      <c r="E113" s="3128"/>
      <c r="F113" s="3128"/>
      <c r="G113" s="3128"/>
      <c r="H113" s="3128"/>
      <c r="I113" s="3128"/>
      <c r="J113" s="3128"/>
      <c r="K113" s="3128"/>
      <c r="L113" s="3128"/>
      <c r="M113" s="3128"/>
      <c r="N113" s="3128"/>
      <c r="O113" s="3128"/>
      <c r="P113" s="3128"/>
      <c r="Q113" s="3128"/>
      <c r="R113" s="3128"/>
      <c r="S113" s="3128"/>
      <c r="T113" s="3128"/>
      <c r="U113" s="3128"/>
      <c r="V113" s="3128"/>
      <c r="W113" s="3128"/>
      <c r="X113" s="3128"/>
      <c r="Y113" s="3128"/>
      <c r="Z113" s="3128"/>
      <c r="AA113" s="3128"/>
      <c r="AB113" s="3128"/>
      <c r="AC113" s="3128"/>
      <c r="AD113" s="3128">
        <v>40</v>
      </c>
      <c r="AE113" s="3128"/>
      <c r="AF113" s="3128"/>
      <c r="AG113" s="3128"/>
      <c r="AH113" s="3128"/>
      <c r="AI113" s="3129">
        <f t="shared" si="9"/>
        <v>40</v>
      </c>
      <c r="AJ113" s="3130">
        <f t="shared" si="10"/>
        <v>58.008712871287116</v>
      </c>
      <c r="AK113" s="3129">
        <f t="shared" si="11"/>
        <v>23.203485148514847</v>
      </c>
      <c r="AL113" s="3146" t="s">
        <v>141</v>
      </c>
      <c r="AM113" s="3132"/>
    </row>
    <row r="114" spans="1:39" ht="95.25" customHeight="1">
      <c r="A114" s="3144">
        <v>101</v>
      </c>
      <c r="B114" s="3125">
        <v>24</v>
      </c>
      <c r="C114" s="3126" t="s">
        <v>2254</v>
      </c>
      <c r="D114" s="3126" t="s">
        <v>452</v>
      </c>
      <c r="E114" s="3128"/>
      <c r="F114" s="3128"/>
      <c r="G114" s="3128"/>
      <c r="H114" s="3128"/>
      <c r="I114" s="3128"/>
      <c r="J114" s="3128"/>
      <c r="K114" s="3128"/>
      <c r="L114" s="3128"/>
      <c r="M114" s="3128"/>
      <c r="N114" s="3128"/>
      <c r="O114" s="3128"/>
      <c r="P114" s="3128"/>
      <c r="Q114" s="3128"/>
      <c r="R114" s="3128"/>
      <c r="S114" s="3128"/>
      <c r="T114" s="3128"/>
      <c r="U114" s="3128"/>
      <c r="V114" s="3128"/>
      <c r="W114" s="3128"/>
      <c r="X114" s="3128"/>
      <c r="Y114" s="3128"/>
      <c r="Z114" s="3128"/>
      <c r="AA114" s="3128"/>
      <c r="AB114" s="3128"/>
      <c r="AC114" s="3128"/>
      <c r="AD114" s="3128">
        <v>40</v>
      </c>
      <c r="AE114" s="3128"/>
      <c r="AF114" s="3128"/>
      <c r="AG114" s="3128"/>
      <c r="AH114" s="3128"/>
      <c r="AI114" s="3129">
        <f t="shared" si="9"/>
        <v>40</v>
      </c>
      <c r="AJ114" s="3130">
        <f t="shared" si="10"/>
        <v>58.008712871287116</v>
      </c>
      <c r="AK114" s="3129">
        <f t="shared" si="11"/>
        <v>23.203485148514847</v>
      </c>
      <c r="AL114" s="3131" t="s">
        <v>141</v>
      </c>
      <c r="AM114" s="3132"/>
    </row>
    <row r="115" spans="1:39" ht="95.25" customHeight="1">
      <c r="A115" s="3144">
        <v>102</v>
      </c>
      <c r="B115" s="3144">
        <v>25</v>
      </c>
      <c r="C115" s="3126" t="s">
        <v>2255</v>
      </c>
      <c r="D115" s="3126" t="s">
        <v>452</v>
      </c>
      <c r="E115" s="3128"/>
      <c r="F115" s="3128"/>
      <c r="G115" s="3128"/>
      <c r="H115" s="3128"/>
      <c r="I115" s="3128"/>
      <c r="J115" s="3128"/>
      <c r="K115" s="3128"/>
      <c r="L115" s="3128"/>
      <c r="M115" s="3128"/>
      <c r="N115" s="3128"/>
      <c r="O115" s="3128"/>
      <c r="P115" s="3128"/>
      <c r="Q115" s="3128"/>
      <c r="R115" s="3128"/>
      <c r="S115" s="3128"/>
      <c r="T115" s="3128"/>
      <c r="U115" s="3128"/>
      <c r="V115" s="3128"/>
      <c r="W115" s="3128"/>
      <c r="X115" s="3128"/>
      <c r="Y115" s="3128"/>
      <c r="Z115" s="3128"/>
      <c r="AA115" s="3128"/>
      <c r="AB115" s="3128"/>
      <c r="AC115" s="3128"/>
      <c r="AD115" s="3128"/>
      <c r="AE115" s="3128"/>
      <c r="AF115" s="3128"/>
      <c r="AG115" s="3128">
        <v>65</v>
      </c>
      <c r="AH115" s="3128"/>
      <c r="AI115" s="3129">
        <f t="shared" si="9"/>
        <v>65</v>
      </c>
      <c r="AJ115" s="3130">
        <f t="shared" si="10"/>
        <v>58.008712871287116</v>
      </c>
      <c r="AK115" s="3129">
        <f t="shared" si="11"/>
        <v>37.705663366336623</v>
      </c>
      <c r="AL115" s="3146" t="s">
        <v>141</v>
      </c>
      <c r="AM115" s="3132"/>
    </row>
    <row r="116" spans="1:39" ht="95.25" customHeight="1">
      <c r="A116" s="3144">
        <v>103</v>
      </c>
      <c r="B116" s="3125">
        <v>26</v>
      </c>
      <c r="C116" s="3126" t="s">
        <v>2256</v>
      </c>
      <c r="D116" s="3126" t="s">
        <v>452</v>
      </c>
      <c r="E116" s="3128"/>
      <c r="F116" s="3128"/>
      <c r="G116" s="3128"/>
      <c r="H116" s="3128"/>
      <c r="I116" s="3128"/>
      <c r="J116" s="3128"/>
      <c r="K116" s="3128"/>
      <c r="L116" s="3128"/>
      <c r="M116" s="3128"/>
      <c r="N116" s="3128"/>
      <c r="O116" s="3128"/>
      <c r="P116" s="3128"/>
      <c r="Q116" s="3128"/>
      <c r="R116" s="3128"/>
      <c r="S116" s="3128"/>
      <c r="T116" s="3128"/>
      <c r="U116" s="3128"/>
      <c r="V116" s="3128"/>
      <c r="W116" s="3128"/>
      <c r="X116" s="3128"/>
      <c r="Y116" s="3128"/>
      <c r="Z116" s="3128"/>
      <c r="AA116" s="3128"/>
      <c r="AB116" s="3128"/>
      <c r="AC116" s="3128"/>
      <c r="AD116" s="3128"/>
      <c r="AE116" s="3128"/>
      <c r="AF116" s="3128"/>
      <c r="AG116" s="3128">
        <v>65</v>
      </c>
      <c r="AH116" s="3128"/>
      <c r="AI116" s="3129">
        <f t="shared" si="9"/>
        <v>65</v>
      </c>
      <c r="AJ116" s="3130">
        <f t="shared" si="10"/>
        <v>58.008712871287116</v>
      </c>
      <c r="AK116" s="3129">
        <f t="shared" si="11"/>
        <v>37.705663366336623</v>
      </c>
      <c r="AL116" s="3131" t="s">
        <v>141</v>
      </c>
      <c r="AM116" s="3132"/>
    </row>
    <row r="117" spans="1:39" ht="95.25" customHeight="1">
      <c r="A117" s="3144">
        <v>104</v>
      </c>
      <c r="B117" s="3144">
        <v>27</v>
      </c>
      <c r="C117" s="3126" t="s">
        <v>2257</v>
      </c>
      <c r="D117" s="3126" t="s">
        <v>452</v>
      </c>
      <c r="E117" s="3128"/>
      <c r="F117" s="3128"/>
      <c r="G117" s="3128"/>
      <c r="H117" s="3128"/>
      <c r="I117" s="3128"/>
      <c r="J117" s="3128"/>
      <c r="K117" s="3128"/>
      <c r="L117" s="3128"/>
      <c r="M117" s="3128"/>
      <c r="N117" s="3128"/>
      <c r="O117" s="3128"/>
      <c r="P117" s="3128"/>
      <c r="Q117" s="3128"/>
      <c r="R117" s="3128"/>
      <c r="S117" s="3128"/>
      <c r="T117" s="3128"/>
      <c r="U117" s="3128"/>
      <c r="V117" s="3128"/>
      <c r="W117" s="3128"/>
      <c r="X117" s="3128"/>
      <c r="Y117" s="3128"/>
      <c r="Z117" s="3128"/>
      <c r="AA117" s="3128"/>
      <c r="AB117" s="3128"/>
      <c r="AC117" s="3128"/>
      <c r="AD117" s="3128">
        <v>57</v>
      </c>
      <c r="AE117" s="3128">
        <v>90</v>
      </c>
      <c r="AF117" s="3128"/>
      <c r="AG117" s="3128">
        <v>50</v>
      </c>
      <c r="AH117" s="3128"/>
      <c r="AI117" s="3129">
        <f t="shared" si="9"/>
        <v>197</v>
      </c>
      <c r="AJ117" s="3130">
        <f t="shared" si="10"/>
        <v>58.008712871287116</v>
      </c>
      <c r="AK117" s="3129">
        <f t="shared" si="11"/>
        <v>114.27716435643562</v>
      </c>
      <c r="AL117" s="3146" t="s">
        <v>141</v>
      </c>
      <c r="AM117" s="3132"/>
    </row>
    <row r="118" spans="1:39" ht="95.25" customHeight="1">
      <c r="A118" s="3144">
        <v>105</v>
      </c>
      <c r="B118" s="3125">
        <v>28</v>
      </c>
      <c r="C118" s="3126" t="s">
        <v>488</v>
      </c>
      <c r="D118" s="3126" t="s">
        <v>452</v>
      </c>
      <c r="E118" s="3128"/>
      <c r="F118" s="3128"/>
      <c r="G118" s="3128"/>
      <c r="H118" s="3128"/>
      <c r="I118" s="3128"/>
      <c r="J118" s="3128"/>
      <c r="K118" s="3128"/>
      <c r="L118" s="3128"/>
      <c r="M118" s="3128"/>
      <c r="N118" s="3128"/>
      <c r="O118" s="3128"/>
      <c r="P118" s="3128"/>
      <c r="Q118" s="3128"/>
      <c r="R118" s="3128"/>
      <c r="S118" s="3128"/>
      <c r="T118" s="3128"/>
      <c r="U118" s="3128"/>
      <c r="V118" s="3128"/>
      <c r="W118" s="3128"/>
      <c r="X118" s="3128"/>
      <c r="Y118" s="3128"/>
      <c r="Z118" s="3128"/>
      <c r="AA118" s="3128"/>
      <c r="AB118" s="3128"/>
      <c r="AC118" s="3128"/>
      <c r="AD118" s="3128">
        <v>58</v>
      </c>
      <c r="AE118" s="3128">
        <v>91</v>
      </c>
      <c r="AF118" s="3128"/>
      <c r="AG118" s="3128">
        <v>45</v>
      </c>
      <c r="AH118" s="3128"/>
      <c r="AI118" s="3129">
        <f t="shared" si="9"/>
        <v>194</v>
      </c>
      <c r="AJ118" s="3130">
        <f t="shared" si="10"/>
        <v>58.008712871287116</v>
      </c>
      <c r="AK118" s="3129">
        <f t="shared" si="11"/>
        <v>112.53690297029701</v>
      </c>
      <c r="AL118" s="3131" t="s">
        <v>141</v>
      </c>
      <c r="AM118" s="3132"/>
    </row>
    <row r="119" spans="1:39" ht="95.25" customHeight="1">
      <c r="A119" s="3144">
        <v>106</v>
      </c>
      <c r="B119" s="3144">
        <v>29</v>
      </c>
      <c r="C119" s="3126" t="s">
        <v>2258</v>
      </c>
      <c r="D119" s="3126" t="s">
        <v>452</v>
      </c>
      <c r="E119" s="3128"/>
      <c r="F119" s="3128"/>
      <c r="G119" s="3128"/>
      <c r="H119" s="3128"/>
      <c r="I119" s="3128"/>
      <c r="J119" s="3128"/>
      <c r="K119" s="3128"/>
      <c r="L119" s="3128"/>
      <c r="M119" s="3128"/>
      <c r="N119" s="3128"/>
      <c r="O119" s="3128"/>
      <c r="P119" s="3128"/>
      <c r="Q119" s="3128"/>
      <c r="R119" s="3128"/>
      <c r="S119" s="3128"/>
      <c r="T119" s="3128"/>
      <c r="U119" s="3128"/>
      <c r="V119" s="3128"/>
      <c r="W119" s="3128"/>
      <c r="X119" s="3128"/>
      <c r="Y119" s="3128"/>
      <c r="Z119" s="3128"/>
      <c r="AA119" s="3128"/>
      <c r="AB119" s="3128"/>
      <c r="AC119" s="3128"/>
      <c r="AD119" s="3128">
        <v>31</v>
      </c>
      <c r="AE119" s="3128">
        <v>19</v>
      </c>
      <c r="AF119" s="3128"/>
      <c r="AG119" s="3128">
        <v>36</v>
      </c>
      <c r="AH119" s="3128"/>
      <c r="AI119" s="3129">
        <f t="shared" si="9"/>
        <v>86</v>
      </c>
      <c r="AJ119" s="3130">
        <f t="shared" si="10"/>
        <v>58.008712871287116</v>
      </c>
      <c r="AK119" s="3129">
        <f t="shared" si="11"/>
        <v>49.88749306930692</v>
      </c>
      <c r="AL119" s="3146" t="s">
        <v>141</v>
      </c>
      <c r="AM119" s="3132"/>
    </row>
    <row r="120" spans="1:39" ht="95.25" customHeight="1">
      <c r="A120" s="3144">
        <v>107</v>
      </c>
      <c r="B120" s="3125">
        <v>30</v>
      </c>
      <c r="C120" s="3126" t="s">
        <v>2259</v>
      </c>
      <c r="D120" s="3126" t="s">
        <v>452</v>
      </c>
      <c r="E120" s="3128"/>
      <c r="F120" s="3128"/>
      <c r="G120" s="3128"/>
      <c r="H120" s="3128"/>
      <c r="I120" s="3128"/>
      <c r="J120" s="3128"/>
      <c r="K120" s="3128"/>
      <c r="L120" s="3128"/>
      <c r="M120" s="3128"/>
      <c r="N120" s="3128"/>
      <c r="O120" s="3128"/>
      <c r="P120" s="3128"/>
      <c r="Q120" s="3128"/>
      <c r="R120" s="3128"/>
      <c r="S120" s="3128"/>
      <c r="T120" s="3128"/>
      <c r="U120" s="3128"/>
      <c r="V120" s="3128"/>
      <c r="W120" s="3128"/>
      <c r="X120" s="3128"/>
      <c r="Y120" s="3128"/>
      <c r="Z120" s="3128"/>
      <c r="AA120" s="3128"/>
      <c r="AB120" s="3128"/>
      <c r="AC120" s="3128"/>
      <c r="AD120" s="3128">
        <v>31</v>
      </c>
      <c r="AE120" s="3128">
        <v>19</v>
      </c>
      <c r="AF120" s="3128"/>
      <c r="AG120" s="3128">
        <v>36</v>
      </c>
      <c r="AH120" s="3128"/>
      <c r="AI120" s="3129">
        <f t="shared" si="9"/>
        <v>86</v>
      </c>
      <c r="AJ120" s="3130">
        <f t="shared" si="10"/>
        <v>58.008712871287116</v>
      </c>
      <c r="AK120" s="3129">
        <f t="shared" si="11"/>
        <v>49.88749306930692</v>
      </c>
      <c r="AL120" s="3131" t="s">
        <v>141</v>
      </c>
      <c r="AM120" s="3132"/>
    </row>
    <row r="121" spans="1:39" ht="95.25" customHeight="1">
      <c r="A121" s="3144">
        <v>108</v>
      </c>
      <c r="B121" s="3144">
        <v>31</v>
      </c>
      <c r="C121" s="3126" t="s">
        <v>2260</v>
      </c>
      <c r="D121" s="3126" t="s">
        <v>452</v>
      </c>
      <c r="E121" s="3128"/>
      <c r="F121" s="3128"/>
      <c r="G121" s="3128"/>
      <c r="H121" s="3128"/>
      <c r="I121" s="3128"/>
      <c r="J121" s="3128"/>
      <c r="K121" s="3128"/>
      <c r="L121" s="3128"/>
      <c r="M121" s="3128"/>
      <c r="N121" s="3128"/>
      <c r="O121" s="3128"/>
      <c r="P121" s="3128"/>
      <c r="Q121" s="3128"/>
      <c r="R121" s="3128"/>
      <c r="S121" s="3128"/>
      <c r="T121" s="3128"/>
      <c r="U121" s="3128"/>
      <c r="V121" s="3128"/>
      <c r="W121" s="3128"/>
      <c r="X121" s="3128"/>
      <c r="Y121" s="3128"/>
      <c r="Z121" s="3128"/>
      <c r="AA121" s="3128"/>
      <c r="AB121" s="3128"/>
      <c r="AC121" s="3128"/>
      <c r="AD121" s="3128">
        <v>31</v>
      </c>
      <c r="AE121" s="3128">
        <v>19</v>
      </c>
      <c r="AF121" s="3128"/>
      <c r="AG121" s="3128">
        <v>35</v>
      </c>
      <c r="AH121" s="3128"/>
      <c r="AI121" s="3129">
        <f t="shared" si="9"/>
        <v>85</v>
      </c>
      <c r="AJ121" s="3130">
        <f t="shared" si="10"/>
        <v>58.008712871287116</v>
      </c>
      <c r="AK121" s="3129">
        <f t="shared" si="11"/>
        <v>49.307405940594052</v>
      </c>
      <c r="AL121" s="3146" t="s">
        <v>141</v>
      </c>
      <c r="AM121" s="3132"/>
    </row>
    <row r="122" spans="1:39" ht="95.25" customHeight="1">
      <c r="A122" s="3144">
        <v>109</v>
      </c>
      <c r="B122" s="3125">
        <v>32</v>
      </c>
      <c r="C122" s="3126" t="s">
        <v>2261</v>
      </c>
      <c r="D122" s="3126" t="s">
        <v>452</v>
      </c>
      <c r="E122" s="3128"/>
      <c r="F122" s="3128"/>
      <c r="G122" s="3128"/>
      <c r="H122" s="3128"/>
      <c r="I122" s="3128"/>
      <c r="J122" s="3128"/>
      <c r="K122" s="3128"/>
      <c r="L122" s="3128"/>
      <c r="M122" s="3128"/>
      <c r="N122" s="3128"/>
      <c r="O122" s="3128"/>
      <c r="P122" s="3128"/>
      <c r="Q122" s="3128"/>
      <c r="R122" s="3128"/>
      <c r="S122" s="3128"/>
      <c r="T122" s="3128"/>
      <c r="U122" s="3128"/>
      <c r="V122" s="3128"/>
      <c r="W122" s="3128"/>
      <c r="X122" s="3128"/>
      <c r="Y122" s="3128"/>
      <c r="Z122" s="3128"/>
      <c r="AA122" s="3128"/>
      <c r="AB122" s="3128"/>
      <c r="AC122" s="3128"/>
      <c r="AD122" s="3128"/>
      <c r="AE122" s="3128"/>
      <c r="AF122" s="3128"/>
      <c r="AG122" s="3128"/>
      <c r="AH122" s="3128"/>
      <c r="AI122" s="3129">
        <f t="shared" si="9"/>
        <v>0</v>
      </c>
      <c r="AJ122" s="3130">
        <f t="shared" si="10"/>
        <v>58.008712871287116</v>
      </c>
      <c r="AK122" s="3129">
        <f t="shared" si="11"/>
        <v>0</v>
      </c>
      <c r="AL122" s="3131" t="s">
        <v>141</v>
      </c>
      <c r="AM122" s="3132"/>
    </row>
    <row r="123" spans="1:39" ht="95.25" customHeight="1">
      <c r="A123" s="3144">
        <v>110</v>
      </c>
      <c r="B123" s="3144">
        <v>33</v>
      </c>
      <c r="C123" s="3126" t="s">
        <v>1504</v>
      </c>
      <c r="D123" s="3126" t="s">
        <v>452</v>
      </c>
      <c r="E123" s="3128"/>
      <c r="F123" s="3128"/>
      <c r="G123" s="3128"/>
      <c r="H123" s="3128"/>
      <c r="I123" s="3128"/>
      <c r="J123" s="3128"/>
      <c r="K123" s="3128"/>
      <c r="L123" s="3128"/>
      <c r="M123" s="3128"/>
      <c r="N123" s="3128"/>
      <c r="O123" s="3128"/>
      <c r="P123" s="3128"/>
      <c r="Q123" s="3128"/>
      <c r="R123" s="3128"/>
      <c r="S123" s="3128"/>
      <c r="T123" s="3128"/>
      <c r="U123" s="3128"/>
      <c r="V123" s="3128"/>
      <c r="W123" s="3128"/>
      <c r="X123" s="3128"/>
      <c r="Y123" s="3128"/>
      <c r="Z123" s="3128"/>
      <c r="AA123" s="3128"/>
      <c r="AB123" s="3128"/>
      <c r="AC123" s="3128"/>
      <c r="AD123" s="3128">
        <v>60</v>
      </c>
      <c r="AE123" s="3128"/>
      <c r="AF123" s="3128"/>
      <c r="AG123" s="3128">
        <f>122+27</f>
        <v>149</v>
      </c>
      <c r="AH123" s="3128"/>
      <c r="AI123" s="3129">
        <f t="shared" si="9"/>
        <v>209</v>
      </c>
      <c r="AJ123" s="3130">
        <f t="shared" si="10"/>
        <v>58.008712871287116</v>
      </c>
      <c r="AK123" s="3129">
        <f t="shared" si="11"/>
        <v>121.23820990099007</v>
      </c>
      <c r="AL123" s="3146" t="s">
        <v>141</v>
      </c>
      <c r="AM123" s="3132"/>
    </row>
    <row r="124" spans="1:39" ht="95.25" customHeight="1">
      <c r="A124" s="3144">
        <v>111</v>
      </c>
      <c r="B124" s="3125">
        <v>34</v>
      </c>
      <c r="C124" s="3126" t="s">
        <v>2262</v>
      </c>
      <c r="D124" s="3126" t="s">
        <v>452</v>
      </c>
      <c r="E124" s="3128"/>
      <c r="F124" s="3128"/>
      <c r="G124" s="3128"/>
      <c r="H124" s="3128"/>
      <c r="I124" s="3128"/>
      <c r="J124" s="3128"/>
      <c r="K124" s="3128"/>
      <c r="L124" s="3128"/>
      <c r="M124" s="3128"/>
      <c r="N124" s="3128"/>
      <c r="O124" s="3128"/>
      <c r="P124" s="3128"/>
      <c r="Q124" s="3128"/>
      <c r="R124" s="3128"/>
      <c r="S124" s="3128"/>
      <c r="T124" s="3128"/>
      <c r="U124" s="3128"/>
      <c r="V124" s="3128"/>
      <c r="W124" s="3128"/>
      <c r="X124" s="3128"/>
      <c r="Y124" s="3128"/>
      <c r="Z124" s="3128"/>
      <c r="AA124" s="3128"/>
      <c r="AB124" s="3128"/>
      <c r="AC124" s="3128"/>
      <c r="AD124" s="3128">
        <v>36</v>
      </c>
      <c r="AE124" s="3128">
        <v>21</v>
      </c>
      <c r="AF124" s="3128"/>
      <c r="AG124" s="3128">
        <v>26</v>
      </c>
      <c r="AH124" s="3128"/>
      <c r="AI124" s="3129">
        <f t="shared" si="9"/>
        <v>83</v>
      </c>
      <c r="AJ124" s="3130">
        <f t="shared" si="10"/>
        <v>58.008712871287116</v>
      </c>
      <c r="AK124" s="3129">
        <f t="shared" si="11"/>
        <v>48.147231683168307</v>
      </c>
      <c r="AL124" s="3131" t="s">
        <v>141</v>
      </c>
      <c r="AM124" s="3132"/>
    </row>
    <row r="125" spans="1:39" ht="95.25" customHeight="1">
      <c r="A125" s="3144">
        <v>112</v>
      </c>
      <c r="B125" s="3144">
        <v>35</v>
      </c>
      <c r="C125" s="3126" t="s">
        <v>2263</v>
      </c>
      <c r="D125" s="3126" t="s">
        <v>452</v>
      </c>
      <c r="E125" s="3128"/>
      <c r="F125" s="3128"/>
      <c r="G125" s="3128"/>
      <c r="H125" s="3128"/>
      <c r="I125" s="3128"/>
      <c r="J125" s="3128"/>
      <c r="K125" s="3128"/>
      <c r="L125" s="3128"/>
      <c r="M125" s="3128"/>
      <c r="N125" s="3128"/>
      <c r="O125" s="3128"/>
      <c r="P125" s="3128"/>
      <c r="Q125" s="3128"/>
      <c r="R125" s="3128"/>
      <c r="S125" s="3128"/>
      <c r="T125" s="3128"/>
      <c r="U125" s="3128"/>
      <c r="V125" s="3128"/>
      <c r="W125" s="3128"/>
      <c r="X125" s="3128"/>
      <c r="Y125" s="3128"/>
      <c r="Z125" s="3128"/>
      <c r="AA125" s="3128"/>
      <c r="AB125" s="3128"/>
      <c r="AC125" s="3128"/>
      <c r="AD125" s="3128">
        <v>40</v>
      </c>
      <c r="AE125" s="3128">
        <v>21</v>
      </c>
      <c r="AF125" s="3128"/>
      <c r="AG125" s="3128">
        <v>22</v>
      </c>
      <c r="AH125" s="3128"/>
      <c r="AI125" s="3129">
        <f t="shared" si="9"/>
        <v>83</v>
      </c>
      <c r="AJ125" s="3130">
        <f t="shared" si="10"/>
        <v>58.008712871287116</v>
      </c>
      <c r="AK125" s="3129">
        <f t="shared" si="11"/>
        <v>48.147231683168307</v>
      </c>
      <c r="AL125" s="3146" t="s">
        <v>141</v>
      </c>
      <c r="AM125" s="3132"/>
    </row>
    <row r="126" spans="1:39" ht="95.25" customHeight="1">
      <c r="A126" s="3144">
        <v>113</v>
      </c>
      <c r="B126" s="3125">
        <v>36</v>
      </c>
      <c r="C126" s="3126" t="s">
        <v>1491</v>
      </c>
      <c r="D126" s="3126" t="s">
        <v>452</v>
      </c>
      <c r="E126" s="3128"/>
      <c r="F126" s="3128"/>
      <c r="G126" s="3128"/>
      <c r="H126" s="3128"/>
      <c r="I126" s="3128"/>
      <c r="J126" s="3128"/>
      <c r="K126" s="3128"/>
      <c r="L126" s="3128"/>
      <c r="M126" s="3128"/>
      <c r="N126" s="3128"/>
      <c r="O126" s="3128"/>
      <c r="P126" s="3128"/>
      <c r="Q126" s="3128"/>
      <c r="R126" s="3128"/>
      <c r="S126" s="3128"/>
      <c r="T126" s="3128"/>
      <c r="U126" s="3128"/>
      <c r="V126" s="3128"/>
      <c r="W126" s="3128"/>
      <c r="X126" s="3128"/>
      <c r="Y126" s="3128"/>
      <c r="Z126" s="3128"/>
      <c r="AA126" s="3128"/>
      <c r="AB126" s="3128"/>
      <c r="AC126" s="3128"/>
      <c r="AD126" s="3128">
        <v>60</v>
      </c>
      <c r="AE126" s="3128">
        <v>65</v>
      </c>
      <c r="AF126" s="3128"/>
      <c r="AG126" s="3128">
        <f>92+20</f>
        <v>112</v>
      </c>
      <c r="AH126" s="3128"/>
      <c r="AI126" s="3129">
        <f t="shared" si="9"/>
        <v>237</v>
      </c>
      <c r="AJ126" s="3130">
        <f t="shared" si="10"/>
        <v>58.008712871287116</v>
      </c>
      <c r="AK126" s="3129">
        <f t="shared" si="11"/>
        <v>137.48064950495046</v>
      </c>
      <c r="AL126" s="3131" t="s">
        <v>141</v>
      </c>
      <c r="AM126" s="3132"/>
    </row>
    <row r="127" spans="1:39" ht="95.25" customHeight="1">
      <c r="A127" s="3144">
        <v>114</v>
      </c>
      <c r="B127" s="3144">
        <v>37</v>
      </c>
      <c r="C127" s="3126" t="s">
        <v>1492</v>
      </c>
      <c r="D127" s="3126" t="s">
        <v>452</v>
      </c>
      <c r="E127" s="3128"/>
      <c r="F127" s="3128"/>
      <c r="G127" s="3128"/>
      <c r="H127" s="3128"/>
      <c r="I127" s="3128"/>
      <c r="J127" s="3128"/>
      <c r="K127" s="3128"/>
      <c r="L127" s="3128"/>
      <c r="M127" s="3128"/>
      <c r="N127" s="3128"/>
      <c r="O127" s="3128"/>
      <c r="P127" s="3128"/>
      <c r="Q127" s="3128"/>
      <c r="R127" s="3128"/>
      <c r="S127" s="3128"/>
      <c r="T127" s="3128"/>
      <c r="U127" s="3128"/>
      <c r="V127" s="3128"/>
      <c r="W127" s="3128"/>
      <c r="X127" s="3128"/>
      <c r="Y127" s="3128"/>
      <c r="Z127" s="3128"/>
      <c r="AA127" s="3128"/>
      <c r="AB127" s="3128"/>
      <c r="AC127" s="3128"/>
      <c r="AD127" s="3128">
        <v>100</v>
      </c>
      <c r="AE127" s="3128">
        <v>66</v>
      </c>
      <c r="AF127" s="3128"/>
      <c r="AG127" s="3128">
        <f>93+21</f>
        <v>114</v>
      </c>
      <c r="AH127" s="3128"/>
      <c r="AI127" s="3129">
        <f t="shared" si="9"/>
        <v>280</v>
      </c>
      <c r="AJ127" s="3130">
        <f t="shared" si="10"/>
        <v>58.008712871287116</v>
      </c>
      <c r="AK127" s="3129">
        <f t="shared" si="11"/>
        <v>162.42439603960392</v>
      </c>
      <c r="AL127" s="3146" t="s">
        <v>141</v>
      </c>
      <c r="AM127" s="3132"/>
    </row>
    <row r="128" spans="1:39" ht="95.25" customHeight="1">
      <c r="A128" s="3144">
        <v>115</v>
      </c>
      <c r="B128" s="3125">
        <v>38</v>
      </c>
      <c r="C128" s="3126" t="s">
        <v>1712</v>
      </c>
      <c r="D128" s="3126" t="s">
        <v>452</v>
      </c>
      <c r="E128" s="3128"/>
      <c r="F128" s="3128"/>
      <c r="G128" s="3128"/>
      <c r="H128" s="3128"/>
      <c r="I128" s="3128"/>
      <c r="J128" s="3128"/>
      <c r="K128" s="3128"/>
      <c r="L128" s="3128"/>
      <c r="M128" s="3128"/>
      <c r="N128" s="3128"/>
      <c r="O128" s="3128"/>
      <c r="P128" s="3128"/>
      <c r="Q128" s="3128"/>
      <c r="R128" s="3128"/>
      <c r="S128" s="3128"/>
      <c r="T128" s="3128"/>
      <c r="U128" s="3128"/>
      <c r="V128" s="3128"/>
      <c r="W128" s="3128"/>
      <c r="X128" s="3128"/>
      <c r="Y128" s="3128"/>
      <c r="Z128" s="3128"/>
      <c r="AA128" s="3128"/>
      <c r="AB128" s="3128"/>
      <c r="AC128" s="3128"/>
      <c r="AD128" s="3128">
        <v>25</v>
      </c>
      <c r="AE128" s="3128"/>
      <c r="AF128" s="3128"/>
      <c r="AG128" s="3128"/>
      <c r="AH128" s="3128"/>
      <c r="AI128" s="3129">
        <f t="shared" si="9"/>
        <v>25</v>
      </c>
      <c r="AJ128" s="3130">
        <f t="shared" si="10"/>
        <v>58.008712871287116</v>
      </c>
      <c r="AK128" s="3129">
        <f t="shared" si="11"/>
        <v>14.502178217821779</v>
      </c>
      <c r="AL128" s="3131" t="s">
        <v>141</v>
      </c>
      <c r="AM128" s="3132"/>
    </row>
    <row r="129" spans="1:39" ht="95.25" customHeight="1">
      <c r="A129" s="3144">
        <v>116</v>
      </c>
      <c r="B129" s="3144">
        <v>39</v>
      </c>
      <c r="C129" s="3126" t="s">
        <v>1538</v>
      </c>
      <c r="D129" s="3126" t="s">
        <v>452</v>
      </c>
      <c r="E129" s="3128"/>
      <c r="F129" s="3128"/>
      <c r="G129" s="3128"/>
      <c r="H129" s="3128"/>
      <c r="I129" s="3128"/>
      <c r="J129" s="3128"/>
      <c r="K129" s="3128"/>
      <c r="L129" s="3128"/>
      <c r="M129" s="3128"/>
      <c r="N129" s="3128"/>
      <c r="O129" s="3128"/>
      <c r="P129" s="3128"/>
      <c r="Q129" s="3128"/>
      <c r="R129" s="3128"/>
      <c r="S129" s="3128"/>
      <c r="T129" s="3128"/>
      <c r="U129" s="3128"/>
      <c r="V129" s="3128"/>
      <c r="W129" s="3128"/>
      <c r="X129" s="3128"/>
      <c r="Y129" s="3128"/>
      <c r="Z129" s="3128"/>
      <c r="AA129" s="3128"/>
      <c r="AB129" s="3128"/>
      <c r="AC129" s="3128"/>
      <c r="AD129" s="3128">
        <v>41</v>
      </c>
      <c r="AE129" s="3128">
        <v>52</v>
      </c>
      <c r="AF129" s="3128"/>
      <c r="AG129" s="3128">
        <v>75</v>
      </c>
      <c r="AH129" s="3128"/>
      <c r="AI129" s="3129">
        <f t="shared" si="9"/>
        <v>168</v>
      </c>
      <c r="AJ129" s="3130">
        <f t="shared" si="10"/>
        <v>58.008712871287116</v>
      </c>
      <c r="AK129" s="3129">
        <f t="shared" si="11"/>
        <v>97.454637623762352</v>
      </c>
      <c r="AL129" s="3146" t="s">
        <v>141</v>
      </c>
      <c r="AM129" s="3132"/>
    </row>
    <row r="130" spans="1:39" ht="95.25" customHeight="1">
      <c r="A130" s="3144">
        <v>117</v>
      </c>
      <c r="B130" s="3125">
        <v>40</v>
      </c>
      <c r="C130" s="3126" t="s">
        <v>2264</v>
      </c>
      <c r="D130" s="3126" t="s">
        <v>452</v>
      </c>
      <c r="E130" s="3128"/>
      <c r="F130" s="3128"/>
      <c r="G130" s="3128"/>
      <c r="H130" s="3128"/>
      <c r="I130" s="3128"/>
      <c r="J130" s="3128"/>
      <c r="K130" s="3128"/>
      <c r="L130" s="3128"/>
      <c r="M130" s="3128"/>
      <c r="N130" s="3128"/>
      <c r="O130" s="3128"/>
      <c r="P130" s="3128"/>
      <c r="Q130" s="3128"/>
      <c r="R130" s="3128"/>
      <c r="S130" s="3128"/>
      <c r="T130" s="3128"/>
      <c r="U130" s="3128"/>
      <c r="V130" s="3128"/>
      <c r="W130" s="3128"/>
      <c r="X130" s="3128"/>
      <c r="Y130" s="3128"/>
      <c r="Z130" s="3128"/>
      <c r="AA130" s="3128"/>
      <c r="AB130" s="3128"/>
      <c r="AC130" s="3128"/>
      <c r="AD130" s="3128">
        <v>41</v>
      </c>
      <c r="AE130" s="3128">
        <v>68</v>
      </c>
      <c r="AF130" s="3128"/>
      <c r="AG130" s="3128">
        <v>76</v>
      </c>
      <c r="AH130" s="3128"/>
      <c r="AI130" s="3129">
        <f t="shared" si="9"/>
        <v>185</v>
      </c>
      <c r="AJ130" s="3130">
        <f t="shared" si="10"/>
        <v>58.008712871287116</v>
      </c>
      <c r="AK130" s="3129">
        <f t="shared" si="11"/>
        <v>107.31611881188117</v>
      </c>
      <c r="AL130" s="3131" t="s">
        <v>141</v>
      </c>
      <c r="AM130" s="3132"/>
    </row>
    <row r="131" spans="1:39" ht="95.25" customHeight="1">
      <c r="A131" s="3144">
        <v>118</v>
      </c>
      <c r="B131" s="3144">
        <v>41</v>
      </c>
      <c r="C131" s="3126" t="s">
        <v>2265</v>
      </c>
      <c r="D131" s="3126" t="s">
        <v>452</v>
      </c>
      <c r="E131" s="3128"/>
      <c r="F131" s="3128"/>
      <c r="G131" s="3128"/>
      <c r="H131" s="3128"/>
      <c r="I131" s="3128"/>
      <c r="J131" s="3128"/>
      <c r="K131" s="3128"/>
      <c r="L131" s="3128"/>
      <c r="M131" s="3128"/>
      <c r="N131" s="3128"/>
      <c r="O131" s="3128"/>
      <c r="P131" s="3128"/>
      <c r="Q131" s="3128"/>
      <c r="R131" s="3128"/>
      <c r="S131" s="3128"/>
      <c r="T131" s="3128"/>
      <c r="U131" s="3128"/>
      <c r="V131" s="3128"/>
      <c r="W131" s="3128"/>
      <c r="X131" s="3128"/>
      <c r="Y131" s="3128"/>
      <c r="Z131" s="3128"/>
      <c r="AA131" s="3128"/>
      <c r="AB131" s="3128"/>
      <c r="AC131" s="3128"/>
      <c r="AD131" s="3128">
        <v>41</v>
      </c>
      <c r="AE131" s="3128">
        <v>50</v>
      </c>
      <c r="AF131" s="3128"/>
      <c r="AG131" s="3128">
        <v>57</v>
      </c>
      <c r="AH131" s="3128"/>
      <c r="AI131" s="3129">
        <f t="shared" si="9"/>
        <v>148</v>
      </c>
      <c r="AJ131" s="3130">
        <f t="shared" si="10"/>
        <v>58.008712871287116</v>
      </c>
      <c r="AK131" s="3129">
        <f t="shared" si="11"/>
        <v>85.852895049504937</v>
      </c>
      <c r="AL131" s="3146" t="s">
        <v>141</v>
      </c>
      <c r="AM131" s="3132"/>
    </row>
    <row r="132" spans="1:39" ht="95.25" customHeight="1">
      <c r="A132" s="3144">
        <v>119</v>
      </c>
      <c r="B132" s="3125">
        <v>42</v>
      </c>
      <c r="C132" s="3126" t="s">
        <v>2266</v>
      </c>
      <c r="D132" s="3126" t="s">
        <v>452</v>
      </c>
      <c r="E132" s="3128"/>
      <c r="F132" s="3128"/>
      <c r="G132" s="3128"/>
      <c r="H132" s="3128"/>
      <c r="I132" s="3128"/>
      <c r="J132" s="3128"/>
      <c r="K132" s="3128"/>
      <c r="L132" s="3128"/>
      <c r="M132" s="3128"/>
      <c r="N132" s="3128"/>
      <c r="O132" s="3128"/>
      <c r="P132" s="3128"/>
      <c r="Q132" s="3128"/>
      <c r="R132" s="3128"/>
      <c r="S132" s="3128"/>
      <c r="T132" s="3128"/>
      <c r="U132" s="3128"/>
      <c r="V132" s="3128"/>
      <c r="W132" s="3128"/>
      <c r="X132" s="3128"/>
      <c r="Y132" s="3128"/>
      <c r="Z132" s="3128"/>
      <c r="AA132" s="3128"/>
      <c r="AB132" s="3128"/>
      <c r="AC132" s="3128"/>
      <c r="AD132" s="3128">
        <v>41</v>
      </c>
      <c r="AE132" s="3128">
        <v>50</v>
      </c>
      <c r="AF132" s="3128"/>
      <c r="AG132" s="3128">
        <v>58</v>
      </c>
      <c r="AH132" s="3128"/>
      <c r="AI132" s="3129">
        <f t="shared" si="9"/>
        <v>149</v>
      </c>
      <c r="AJ132" s="3130">
        <f t="shared" si="10"/>
        <v>58.008712871287116</v>
      </c>
      <c r="AK132" s="3129">
        <f t="shared" si="11"/>
        <v>86.432982178217799</v>
      </c>
      <c r="AL132" s="3131" t="s">
        <v>141</v>
      </c>
      <c r="AM132" s="3132"/>
    </row>
    <row r="133" spans="1:39" ht="95.25" customHeight="1">
      <c r="A133" s="3144">
        <v>120</v>
      </c>
      <c r="B133" s="3144">
        <v>43</v>
      </c>
      <c r="C133" s="3126" t="s">
        <v>2267</v>
      </c>
      <c r="D133" s="3126" t="s">
        <v>452</v>
      </c>
      <c r="E133" s="3128"/>
      <c r="F133" s="3128"/>
      <c r="G133" s="3128"/>
      <c r="H133" s="3128"/>
      <c r="I133" s="3128"/>
      <c r="J133" s="3128"/>
      <c r="K133" s="3128"/>
      <c r="L133" s="3128"/>
      <c r="M133" s="3128"/>
      <c r="N133" s="3128"/>
      <c r="O133" s="3128"/>
      <c r="P133" s="3128"/>
      <c r="Q133" s="3128"/>
      <c r="R133" s="3128"/>
      <c r="S133" s="3128"/>
      <c r="T133" s="3128"/>
      <c r="U133" s="3128"/>
      <c r="V133" s="3128"/>
      <c r="W133" s="3128"/>
      <c r="X133" s="3128"/>
      <c r="Y133" s="3128"/>
      <c r="Z133" s="3128"/>
      <c r="AA133" s="3128"/>
      <c r="AB133" s="3128"/>
      <c r="AC133" s="3128"/>
      <c r="AD133" s="3128"/>
      <c r="AE133" s="3128"/>
      <c r="AF133" s="3128"/>
      <c r="AG133" s="3128"/>
      <c r="AH133" s="3128"/>
      <c r="AI133" s="3129">
        <f t="shared" si="9"/>
        <v>0</v>
      </c>
      <c r="AJ133" s="3130">
        <f t="shared" si="10"/>
        <v>58.008712871287116</v>
      </c>
      <c r="AK133" s="3129">
        <f t="shared" si="11"/>
        <v>0</v>
      </c>
      <c r="AL133" s="3146" t="s">
        <v>138</v>
      </c>
      <c r="AM133" s="3132"/>
    </row>
    <row r="134" spans="1:39" ht="95.25" customHeight="1">
      <c r="A134" s="3144">
        <v>121</v>
      </c>
      <c r="B134" s="3125">
        <v>44</v>
      </c>
      <c r="C134" s="3126" t="s">
        <v>2268</v>
      </c>
      <c r="D134" s="3126" t="s">
        <v>452</v>
      </c>
      <c r="E134" s="3128"/>
      <c r="F134" s="3128"/>
      <c r="G134" s="3128"/>
      <c r="H134" s="3128"/>
      <c r="I134" s="3128"/>
      <c r="J134" s="3128"/>
      <c r="K134" s="3128"/>
      <c r="L134" s="3128"/>
      <c r="M134" s="3128"/>
      <c r="N134" s="3128"/>
      <c r="O134" s="3128"/>
      <c r="P134" s="3128"/>
      <c r="Q134" s="3128"/>
      <c r="R134" s="3128"/>
      <c r="S134" s="3128"/>
      <c r="T134" s="3128"/>
      <c r="U134" s="3128"/>
      <c r="V134" s="3128"/>
      <c r="W134" s="3128"/>
      <c r="X134" s="3128"/>
      <c r="Y134" s="3128"/>
      <c r="Z134" s="3128"/>
      <c r="AA134" s="3128"/>
      <c r="AB134" s="3128"/>
      <c r="AC134" s="3128"/>
      <c r="AD134" s="3128"/>
      <c r="AE134" s="3128">
        <v>60</v>
      </c>
      <c r="AF134" s="3128"/>
      <c r="AG134" s="3128">
        <v>49</v>
      </c>
      <c r="AH134" s="3128"/>
      <c r="AI134" s="3129">
        <f t="shared" si="9"/>
        <v>109</v>
      </c>
      <c r="AJ134" s="3130">
        <f t="shared" si="10"/>
        <v>58.008712871287116</v>
      </c>
      <c r="AK134" s="3129">
        <f t="shared" si="11"/>
        <v>63.229497029702955</v>
      </c>
      <c r="AL134" s="3131" t="s">
        <v>141</v>
      </c>
      <c r="AM134" s="3132"/>
    </row>
    <row r="135" spans="1:39" ht="95.25" customHeight="1">
      <c r="A135" s="3144">
        <v>122</v>
      </c>
      <c r="B135" s="3144">
        <v>45</v>
      </c>
      <c r="C135" s="3126" t="s">
        <v>2269</v>
      </c>
      <c r="D135" s="3126" t="s">
        <v>452</v>
      </c>
      <c r="E135" s="3128"/>
      <c r="F135" s="3128"/>
      <c r="G135" s="3128"/>
      <c r="H135" s="3128"/>
      <c r="I135" s="3128"/>
      <c r="J135" s="3128"/>
      <c r="K135" s="3128"/>
      <c r="L135" s="3128"/>
      <c r="M135" s="3128"/>
      <c r="N135" s="3128"/>
      <c r="O135" s="3128"/>
      <c r="P135" s="3128"/>
      <c r="Q135" s="3128"/>
      <c r="R135" s="3128"/>
      <c r="S135" s="3128"/>
      <c r="T135" s="3128"/>
      <c r="U135" s="3128"/>
      <c r="V135" s="3128"/>
      <c r="W135" s="3128"/>
      <c r="X135" s="3128"/>
      <c r="Y135" s="3128"/>
      <c r="Z135" s="3128"/>
      <c r="AA135" s="3128"/>
      <c r="AB135" s="3128"/>
      <c r="AC135" s="3128"/>
      <c r="AD135" s="3128"/>
      <c r="AE135" s="3128">
        <v>20</v>
      </c>
      <c r="AF135" s="3128"/>
      <c r="AG135" s="3128">
        <v>25</v>
      </c>
      <c r="AH135" s="3128"/>
      <c r="AI135" s="3129">
        <f t="shared" si="9"/>
        <v>45</v>
      </c>
      <c r="AJ135" s="3130">
        <f t="shared" si="10"/>
        <v>58.008712871287116</v>
      </c>
      <c r="AK135" s="3129">
        <f t="shared" si="11"/>
        <v>26.103920792079201</v>
      </c>
      <c r="AL135" s="3146" t="s">
        <v>141</v>
      </c>
      <c r="AM135" s="3132"/>
    </row>
    <row r="136" spans="1:39" ht="95.25" customHeight="1">
      <c r="A136" s="3144">
        <v>123</v>
      </c>
      <c r="B136" s="3125">
        <v>46</v>
      </c>
      <c r="C136" s="3126" t="s">
        <v>2270</v>
      </c>
      <c r="D136" s="3126" t="s">
        <v>452</v>
      </c>
      <c r="E136" s="3128"/>
      <c r="F136" s="3128"/>
      <c r="G136" s="3128"/>
      <c r="H136" s="3128"/>
      <c r="I136" s="3128"/>
      <c r="J136" s="3128"/>
      <c r="K136" s="3128"/>
      <c r="L136" s="3128"/>
      <c r="M136" s="3128"/>
      <c r="N136" s="3128"/>
      <c r="O136" s="3128"/>
      <c r="P136" s="3128"/>
      <c r="Q136" s="3128"/>
      <c r="R136" s="3128"/>
      <c r="S136" s="3128"/>
      <c r="T136" s="3128"/>
      <c r="U136" s="3128"/>
      <c r="V136" s="3128"/>
      <c r="W136" s="3128"/>
      <c r="X136" s="3128"/>
      <c r="Y136" s="3128"/>
      <c r="Z136" s="3128"/>
      <c r="AA136" s="3128"/>
      <c r="AB136" s="3128"/>
      <c r="AC136" s="3128"/>
      <c r="AD136" s="3128">
        <v>46</v>
      </c>
      <c r="AE136" s="3128">
        <v>46</v>
      </c>
      <c r="AF136" s="3128"/>
      <c r="AG136" s="3128">
        <v>43</v>
      </c>
      <c r="AH136" s="3128"/>
      <c r="AI136" s="3129">
        <f t="shared" si="9"/>
        <v>135</v>
      </c>
      <c r="AJ136" s="3130">
        <f t="shared" si="10"/>
        <v>58.008712871287116</v>
      </c>
      <c r="AK136" s="3129">
        <f t="shared" si="11"/>
        <v>78.31176237623761</v>
      </c>
      <c r="AL136" s="3131" t="s">
        <v>141</v>
      </c>
      <c r="AM136" s="3132"/>
    </row>
    <row r="137" spans="1:39" ht="95.25" customHeight="1">
      <c r="A137" s="3144">
        <v>124</v>
      </c>
      <c r="B137" s="3144">
        <v>47</v>
      </c>
      <c r="C137" s="3126" t="s">
        <v>486</v>
      </c>
      <c r="D137" s="3126" t="s">
        <v>452</v>
      </c>
      <c r="E137" s="3128"/>
      <c r="F137" s="3128"/>
      <c r="G137" s="3128"/>
      <c r="H137" s="3128"/>
      <c r="I137" s="3128"/>
      <c r="J137" s="3128"/>
      <c r="K137" s="3128"/>
      <c r="L137" s="3128"/>
      <c r="M137" s="3128"/>
      <c r="N137" s="3128"/>
      <c r="O137" s="3128"/>
      <c r="P137" s="3128"/>
      <c r="Q137" s="3128"/>
      <c r="R137" s="3128"/>
      <c r="S137" s="3128"/>
      <c r="T137" s="3128"/>
      <c r="U137" s="3128"/>
      <c r="V137" s="3128"/>
      <c r="W137" s="3128"/>
      <c r="X137" s="3128"/>
      <c r="Y137" s="3128"/>
      <c r="Z137" s="3128"/>
      <c r="AA137" s="3128"/>
      <c r="AB137" s="3128"/>
      <c r="AC137" s="3128"/>
      <c r="AD137" s="3128"/>
      <c r="AE137" s="3128">
        <v>35</v>
      </c>
      <c r="AF137" s="3128"/>
      <c r="AG137" s="3128">
        <f>28+22</f>
        <v>50</v>
      </c>
      <c r="AH137" s="3128"/>
      <c r="AI137" s="3129">
        <f t="shared" si="9"/>
        <v>85</v>
      </c>
      <c r="AJ137" s="3130">
        <f t="shared" si="10"/>
        <v>58.008712871287116</v>
      </c>
      <c r="AK137" s="3129">
        <f t="shared" si="11"/>
        <v>49.307405940594052</v>
      </c>
      <c r="AL137" s="3146" t="s">
        <v>141</v>
      </c>
      <c r="AM137" s="3132"/>
    </row>
    <row r="138" spans="1:39" ht="95.25" customHeight="1">
      <c r="A138" s="3144">
        <v>125</v>
      </c>
      <c r="B138" s="3125">
        <v>48</v>
      </c>
      <c r="C138" s="3126" t="s">
        <v>2271</v>
      </c>
      <c r="D138" s="3126" t="s">
        <v>452</v>
      </c>
      <c r="E138" s="3128"/>
      <c r="F138" s="3128"/>
      <c r="G138" s="3128"/>
      <c r="H138" s="3128"/>
      <c r="I138" s="3128"/>
      <c r="J138" s="3128"/>
      <c r="K138" s="3128"/>
      <c r="L138" s="3128"/>
      <c r="M138" s="3128"/>
      <c r="N138" s="3128"/>
      <c r="O138" s="3128"/>
      <c r="P138" s="3128"/>
      <c r="Q138" s="3128"/>
      <c r="R138" s="3128"/>
      <c r="S138" s="3128"/>
      <c r="T138" s="3128"/>
      <c r="U138" s="3128"/>
      <c r="V138" s="3128"/>
      <c r="W138" s="3128"/>
      <c r="X138" s="3128"/>
      <c r="Y138" s="3128"/>
      <c r="Z138" s="3128"/>
      <c r="AA138" s="3128"/>
      <c r="AB138" s="3128"/>
      <c r="AC138" s="3128"/>
      <c r="AD138" s="3128"/>
      <c r="AE138" s="3128"/>
      <c r="AF138" s="3128"/>
      <c r="AG138" s="3128"/>
      <c r="AH138" s="3128"/>
      <c r="AI138" s="3129">
        <f t="shared" si="9"/>
        <v>0</v>
      </c>
      <c r="AJ138" s="3130">
        <f t="shared" si="10"/>
        <v>58.008712871287116</v>
      </c>
      <c r="AK138" s="3129">
        <f t="shared" si="11"/>
        <v>0</v>
      </c>
      <c r="AL138" s="3131" t="s">
        <v>138</v>
      </c>
      <c r="AM138" s="3132"/>
    </row>
    <row r="139" spans="1:39" ht="95.25" customHeight="1">
      <c r="A139" s="3144">
        <v>126</v>
      </c>
      <c r="B139" s="3144">
        <v>49</v>
      </c>
      <c r="C139" s="3126" t="s">
        <v>1229</v>
      </c>
      <c r="D139" s="3126" t="s">
        <v>452</v>
      </c>
      <c r="E139" s="3128"/>
      <c r="F139" s="3128"/>
      <c r="G139" s="3128"/>
      <c r="H139" s="3128"/>
      <c r="I139" s="3128"/>
      <c r="J139" s="3128"/>
      <c r="K139" s="3128"/>
      <c r="L139" s="3128"/>
      <c r="M139" s="3128"/>
      <c r="N139" s="3128"/>
      <c r="O139" s="3128"/>
      <c r="P139" s="3128"/>
      <c r="Q139" s="3128"/>
      <c r="R139" s="3128"/>
      <c r="S139" s="3128"/>
      <c r="T139" s="3128"/>
      <c r="U139" s="3128"/>
      <c r="V139" s="3128"/>
      <c r="W139" s="3128"/>
      <c r="X139" s="3128"/>
      <c r="Y139" s="3128"/>
      <c r="Z139" s="3128"/>
      <c r="AA139" s="3128"/>
      <c r="AB139" s="3128"/>
      <c r="AC139" s="3128"/>
      <c r="AD139" s="3128"/>
      <c r="AE139" s="3128">
        <v>40</v>
      </c>
      <c r="AF139" s="3128"/>
      <c r="AG139" s="3128">
        <f>51+25</f>
        <v>76</v>
      </c>
      <c r="AH139" s="3128"/>
      <c r="AI139" s="3129">
        <f t="shared" si="9"/>
        <v>116</v>
      </c>
      <c r="AJ139" s="3130">
        <f t="shared" si="10"/>
        <v>58.008712871287116</v>
      </c>
      <c r="AK139" s="3129">
        <f t="shared" si="11"/>
        <v>67.290106930693057</v>
      </c>
      <c r="AL139" s="3146" t="s">
        <v>141</v>
      </c>
      <c r="AM139" s="3132"/>
    </row>
    <row r="140" spans="1:39" ht="95.25" customHeight="1">
      <c r="A140" s="3144">
        <v>127</v>
      </c>
      <c r="B140" s="3125">
        <v>50</v>
      </c>
      <c r="C140" s="3126" t="s">
        <v>1507</v>
      </c>
      <c r="D140" s="3126" t="s">
        <v>452</v>
      </c>
      <c r="E140" s="3128"/>
      <c r="F140" s="3128"/>
      <c r="G140" s="3128"/>
      <c r="H140" s="3128"/>
      <c r="I140" s="3128"/>
      <c r="J140" s="3128"/>
      <c r="K140" s="3128"/>
      <c r="L140" s="3128"/>
      <c r="M140" s="3128"/>
      <c r="N140" s="3128"/>
      <c r="O140" s="3128"/>
      <c r="P140" s="3128"/>
      <c r="Q140" s="3128"/>
      <c r="R140" s="3128"/>
      <c r="S140" s="3128"/>
      <c r="T140" s="3128"/>
      <c r="U140" s="3128"/>
      <c r="V140" s="3128"/>
      <c r="W140" s="3128"/>
      <c r="X140" s="3128"/>
      <c r="Y140" s="3128"/>
      <c r="Z140" s="3128"/>
      <c r="AA140" s="3128"/>
      <c r="AB140" s="3128"/>
      <c r="AC140" s="3128"/>
      <c r="AD140" s="3128"/>
      <c r="AE140" s="3128">
        <v>42</v>
      </c>
      <c r="AF140" s="3128"/>
      <c r="AG140" s="3128">
        <v>45</v>
      </c>
      <c r="AH140" s="3128"/>
      <c r="AI140" s="3129">
        <f t="shared" si="9"/>
        <v>87</v>
      </c>
      <c r="AJ140" s="3130">
        <f t="shared" si="10"/>
        <v>58.008712871287116</v>
      </c>
      <c r="AK140" s="3129">
        <f t="shared" si="11"/>
        <v>50.467580198019789</v>
      </c>
      <c r="AL140" s="3131" t="s">
        <v>141</v>
      </c>
      <c r="AM140" s="3132"/>
    </row>
    <row r="141" spans="1:39" ht="95.25" customHeight="1">
      <c r="A141" s="3144">
        <v>128</v>
      </c>
      <c r="B141" s="3144">
        <v>51</v>
      </c>
      <c r="C141" s="3126" t="s">
        <v>1706</v>
      </c>
      <c r="D141" s="3126" t="s">
        <v>452</v>
      </c>
      <c r="E141" s="3128"/>
      <c r="F141" s="3128"/>
      <c r="G141" s="3128"/>
      <c r="H141" s="3128"/>
      <c r="I141" s="3128"/>
      <c r="J141" s="3128"/>
      <c r="K141" s="3128"/>
      <c r="L141" s="3128"/>
      <c r="M141" s="3128"/>
      <c r="N141" s="3128"/>
      <c r="O141" s="3128"/>
      <c r="P141" s="3128"/>
      <c r="Q141" s="3128"/>
      <c r="R141" s="3128"/>
      <c r="S141" s="3128"/>
      <c r="T141" s="3128"/>
      <c r="U141" s="3128"/>
      <c r="V141" s="3128"/>
      <c r="W141" s="3128"/>
      <c r="X141" s="3128"/>
      <c r="Y141" s="3128"/>
      <c r="Z141" s="3128"/>
      <c r="AA141" s="3128"/>
      <c r="AB141" s="3128"/>
      <c r="AC141" s="3128"/>
      <c r="AD141" s="3128"/>
      <c r="AE141" s="3128"/>
      <c r="AF141" s="3128"/>
      <c r="AG141" s="3128"/>
      <c r="AH141" s="3128"/>
      <c r="AI141" s="3129">
        <f t="shared" si="9"/>
        <v>0</v>
      </c>
      <c r="AJ141" s="3130">
        <f t="shared" si="10"/>
        <v>58.008712871287116</v>
      </c>
      <c r="AK141" s="3129">
        <f t="shared" si="11"/>
        <v>0</v>
      </c>
      <c r="AL141" s="3146" t="s">
        <v>141</v>
      </c>
      <c r="AM141" s="3132"/>
    </row>
    <row r="142" spans="1:39" ht="95.25" customHeight="1">
      <c r="A142" s="3144">
        <v>129</v>
      </c>
      <c r="B142" s="3125">
        <v>52</v>
      </c>
      <c r="C142" s="3126" t="s">
        <v>2272</v>
      </c>
      <c r="D142" s="3126" t="s">
        <v>452</v>
      </c>
      <c r="E142" s="3128"/>
      <c r="F142" s="3128"/>
      <c r="G142" s="3128"/>
      <c r="H142" s="3128"/>
      <c r="I142" s="3128"/>
      <c r="J142" s="3128"/>
      <c r="K142" s="3128"/>
      <c r="L142" s="3128"/>
      <c r="M142" s="3128"/>
      <c r="N142" s="3128"/>
      <c r="O142" s="3128"/>
      <c r="P142" s="3128"/>
      <c r="Q142" s="3128"/>
      <c r="R142" s="3128"/>
      <c r="S142" s="3128"/>
      <c r="T142" s="3128"/>
      <c r="U142" s="3128"/>
      <c r="V142" s="3128"/>
      <c r="W142" s="3128"/>
      <c r="X142" s="3128"/>
      <c r="Y142" s="3128"/>
      <c r="Z142" s="3128"/>
      <c r="AA142" s="3128"/>
      <c r="AB142" s="3128"/>
      <c r="AC142" s="3128"/>
      <c r="AD142" s="3128">
        <v>32</v>
      </c>
      <c r="AE142" s="3128">
        <v>32</v>
      </c>
      <c r="AF142" s="3128"/>
      <c r="AG142" s="3128">
        <v>43</v>
      </c>
      <c r="AH142" s="3128"/>
      <c r="AI142" s="3129">
        <f t="shared" si="9"/>
        <v>107</v>
      </c>
      <c r="AJ142" s="3130">
        <f t="shared" si="10"/>
        <v>58.008712871287116</v>
      </c>
      <c r="AK142" s="3129">
        <f t="shared" si="11"/>
        <v>62.069322772277211</v>
      </c>
      <c r="AL142" s="3131" t="s">
        <v>141</v>
      </c>
      <c r="AM142" s="3132"/>
    </row>
    <row r="143" spans="1:39" ht="95.25" customHeight="1">
      <c r="A143" s="3144">
        <v>130</v>
      </c>
      <c r="B143" s="3144">
        <v>53</v>
      </c>
      <c r="C143" s="3126" t="s">
        <v>2273</v>
      </c>
      <c r="D143" s="3126" t="s">
        <v>452</v>
      </c>
      <c r="E143" s="3128"/>
      <c r="F143" s="3128"/>
      <c r="G143" s="3128"/>
      <c r="H143" s="3128"/>
      <c r="I143" s="3128"/>
      <c r="J143" s="3128"/>
      <c r="K143" s="3128"/>
      <c r="L143" s="3128"/>
      <c r="M143" s="3128"/>
      <c r="N143" s="3128"/>
      <c r="O143" s="3128"/>
      <c r="P143" s="3128"/>
      <c r="Q143" s="3128"/>
      <c r="R143" s="3128"/>
      <c r="S143" s="3128"/>
      <c r="T143" s="3128"/>
      <c r="U143" s="3128"/>
      <c r="V143" s="3128"/>
      <c r="W143" s="3128"/>
      <c r="X143" s="3128"/>
      <c r="Y143" s="3128"/>
      <c r="Z143" s="3128"/>
      <c r="AA143" s="3128"/>
      <c r="AB143" s="3128"/>
      <c r="AC143" s="3128"/>
      <c r="AD143" s="3128">
        <v>25</v>
      </c>
      <c r="AE143" s="3128"/>
      <c r="AF143" s="3128"/>
      <c r="AG143" s="3128"/>
      <c r="AH143" s="3128"/>
      <c r="AI143" s="3129">
        <f t="shared" si="9"/>
        <v>25</v>
      </c>
      <c r="AJ143" s="3130">
        <f t="shared" si="10"/>
        <v>58.008712871287116</v>
      </c>
      <c r="AK143" s="3129">
        <f t="shared" si="11"/>
        <v>14.502178217821779</v>
      </c>
      <c r="AL143" s="3146" t="s">
        <v>141</v>
      </c>
      <c r="AM143" s="3132"/>
    </row>
    <row r="144" spans="1:39" ht="95.25" customHeight="1">
      <c r="A144" s="3144">
        <v>131</v>
      </c>
      <c r="B144" s="3125">
        <v>54</v>
      </c>
      <c r="C144" s="3126" t="s">
        <v>2274</v>
      </c>
      <c r="D144" s="3126" t="s">
        <v>452</v>
      </c>
      <c r="E144" s="3128"/>
      <c r="F144" s="3128"/>
      <c r="G144" s="3128"/>
      <c r="H144" s="3128"/>
      <c r="I144" s="3128"/>
      <c r="J144" s="3128"/>
      <c r="K144" s="3128"/>
      <c r="L144" s="3128"/>
      <c r="M144" s="3128"/>
      <c r="N144" s="3128"/>
      <c r="O144" s="3128"/>
      <c r="P144" s="3128"/>
      <c r="Q144" s="3128"/>
      <c r="R144" s="3128"/>
      <c r="S144" s="3128"/>
      <c r="T144" s="3128"/>
      <c r="U144" s="3128"/>
      <c r="V144" s="3128"/>
      <c r="W144" s="3128"/>
      <c r="X144" s="3128"/>
      <c r="Y144" s="3128"/>
      <c r="Z144" s="3128"/>
      <c r="AA144" s="3128"/>
      <c r="AB144" s="3128"/>
      <c r="AC144" s="3128"/>
      <c r="AD144" s="3128">
        <v>26</v>
      </c>
      <c r="AE144" s="3128">
        <v>46</v>
      </c>
      <c r="AF144" s="3128"/>
      <c r="AG144" s="3128">
        <v>24</v>
      </c>
      <c r="AH144" s="3128"/>
      <c r="AI144" s="3129">
        <f t="shared" si="9"/>
        <v>96</v>
      </c>
      <c r="AJ144" s="3130">
        <f t="shared" si="10"/>
        <v>58.008712871287116</v>
      </c>
      <c r="AK144" s="3129">
        <f t="shared" si="11"/>
        <v>55.688364356435628</v>
      </c>
      <c r="AL144" s="3131" t="s">
        <v>141</v>
      </c>
      <c r="AM144" s="3132"/>
    </row>
    <row r="145" spans="1:54" ht="95.25" customHeight="1">
      <c r="A145" s="3144">
        <v>132</v>
      </c>
      <c r="B145" s="3144">
        <v>55</v>
      </c>
      <c r="C145" s="3126" t="s">
        <v>2275</v>
      </c>
      <c r="D145" s="3126" t="s">
        <v>452</v>
      </c>
      <c r="E145" s="3128"/>
      <c r="F145" s="3128"/>
      <c r="G145" s="3128"/>
      <c r="H145" s="3128"/>
      <c r="I145" s="3128"/>
      <c r="J145" s="3128"/>
      <c r="K145" s="3128"/>
      <c r="L145" s="3128"/>
      <c r="M145" s="3128"/>
      <c r="N145" s="3128"/>
      <c r="O145" s="3128"/>
      <c r="P145" s="3128"/>
      <c r="Q145" s="3128"/>
      <c r="R145" s="3128"/>
      <c r="S145" s="3128"/>
      <c r="T145" s="3128"/>
      <c r="U145" s="3128"/>
      <c r="V145" s="3128"/>
      <c r="W145" s="3128"/>
      <c r="X145" s="3128"/>
      <c r="Y145" s="3128"/>
      <c r="Z145" s="3128"/>
      <c r="AA145" s="3128"/>
      <c r="AB145" s="3128"/>
      <c r="AC145" s="3128"/>
      <c r="AD145" s="3128">
        <v>50</v>
      </c>
      <c r="AE145" s="3128">
        <v>48</v>
      </c>
      <c r="AF145" s="3128"/>
      <c r="AG145" s="3128">
        <f>123+26</f>
        <v>149</v>
      </c>
      <c r="AH145" s="3128"/>
      <c r="AI145" s="3129">
        <f t="shared" si="9"/>
        <v>247</v>
      </c>
      <c r="AJ145" s="3130">
        <f t="shared" si="10"/>
        <v>58.008712871287116</v>
      </c>
      <c r="AK145" s="3129">
        <f t="shared" si="11"/>
        <v>143.28152079207916</v>
      </c>
      <c r="AL145" s="3146" t="s">
        <v>141</v>
      </c>
      <c r="AM145" s="3132"/>
    </row>
    <row r="146" spans="1:54" ht="95.25" customHeight="1">
      <c r="A146" s="3144">
        <v>133</v>
      </c>
      <c r="B146" s="3125">
        <v>56</v>
      </c>
      <c r="C146" s="3126" t="s">
        <v>2276</v>
      </c>
      <c r="D146" s="3126" t="s">
        <v>452</v>
      </c>
      <c r="E146" s="3128"/>
      <c r="F146" s="3128"/>
      <c r="G146" s="3128"/>
      <c r="H146" s="3128"/>
      <c r="I146" s="3128"/>
      <c r="J146" s="3128"/>
      <c r="K146" s="3128"/>
      <c r="L146" s="3128"/>
      <c r="M146" s="3128"/>
      <c r="N146" s="3128"/>
      <c r="O146" s="3128"/>
      <c r="P146" s="3128"/>
      <c r="Q146" s="3128"/>
      <c r="R146" s="3128"/>
      <c r="S146" s="3128"/>
      <c r="T146" s="3128"/>
      <c r="U146" s="3128"/>
      <c r="V146" s="3128"/>
      <c r="W146" s="3128"/>
      <c r="X146" s="3128"/>
      <c r="Y146" s="3128"/>
      <c r="Z146" s="3128"/>
      <c r="AA146" s="3128"/>
      <c r="AB146" s="3128"/>
      <c r="AC146" s="3128"/>
      <c r="AD146" s="3128">
        <v>50</v>
      </c>
      <c r="AE146" s="3128">
        <v>62</v>
      </c>
      <c r="AF146" s="3128"/>
      <c r="AG146" s="3128">
        <f>150+25</f>
        <v>175</v>
      </c>
      <c r="AH146" s="3128"/>
      <c r="AI146" s="3129">
        <f t="shared" si="9"/>
        <v>287</v>
      </c>
      <c r="AJ146" s="3130">
        <f t="shared" si="10"/>
        <v>58.008712871287116</v>
      </c>
      <c r="AK146" s="3129">
        <f t="shared" si="11"/>
        <v>166.48500594059402</v>
      </c>
      <c r="AL146" s="3131" t="s">
        <v>141</v>
      </c>
      <c r="AM146" s="3132"/>
    </row>
    <row r="147" spans="1:54" ht="95.25" customHeight="1">
      <c r="A147" s="3144">
        <v>134</v>
      </c>
      <c r="B147" s="3144">
        <v>57</v>
      </c>
      <c r="C147" s="3126" t="s">
        <v>281</v>
      </c>
      <c r="D147" s="3126" t="s">
        <v>452</v>
      </c>
      <c r="E147" s="3128"/>
      <c r="F147" s="3128"/>
      <c r="G147" s="3128"/>
      <c r="H147" s="3128"/>
      <c r="I147" s="3128"/>
      <c r="J147" s="3128"/>
      <c r="K147" s="3128"/>
      <c r="L147" s="3128"/>
      <c r="M147" s="3128"/>
      <c r="N147" s="3128"/>
      <c r="O147" s="3128"/>
      <c r="P147" s="3128"/>
      <c r="Q147" s="3128"/>
      <c r="R147" s="3128"/>
      <c r="S147" s="3128"/>
      <c r="T147" s="3128"/>
      <c r="U147" s="3128"/>
      <c r="V147" s="3128"/>
      <c r="W147" s="3128"/>
      <c r="X147" s="3128"/>
      <c r="Y147" s="3128"/>
      <c r="Z147" s="3128"/>
      <c r="AA147" s="3128"/>
      <c r="AB147" s="3128"/>
      <c r="AC147" s="3128"/>
      <c r="AD147" s="3128"/>
      <c r="AE147" s="3128"/>
      <c r="AF147" s="3128"/>
      <c r="AG147" s="3128"/>
      <c r="AH147" s="3128"/>
      <c r="AI147" s="3129">
        <f t="shared" si="9"/>
        <v>0</v>
      </c>
      <c r="AJ147" s="3130">
        <f t="shared" si="10"/>
        <v>58.008712871287116</v>
      </c>
      <c r="AK147" s="3129">
        <f t="shared" si="11"/>
        <v>0</v>
      </c>
      <c r="AL147" s="3146" t="s">
        <v>141</v>
      </c>
      <c r="AM147" s="3132"/>
    </row>
    <row r="148" spans="1:54" ht="95.25" customHeight="1">
      <c r="A148" s="3144">
        <v>135</v>
      </c>
      <c r="B148" s="3125">
        <v>58</v>
      </c>
      <c r="C148" s="3126" t="s">
        <v>2277</v>
      </c>
      <c r="D148" s="3126" t="s">
        <v>452</v>
      </c>
      <c r="E148" s="3128"/>
      <c r="F148" s="3128"/>
      <c r="G148" s="3128"/>
      <c r="H148" s="3128"/>
      <c r="I148" s="3128"/>
      <c r="J148" s="3128"/>
      <c r="K148" s="3128"/>
      <c r="L148" s="3128"/>
      <c r="M148" s="3128"/>
      <c r="N148" s="3128"/>
      <c r="O148" s="3128"/>
      <c r="P148" s="3128"/>
      <c r="Q148" s="3128"/>
      <c r="R148" s="3128"/>
      <c r="S148" s="3128"/>
      <c r="T148" s="3128"/>
      <c r="U148" s="3128"/>
      <c r="V148" s="3128"/>
      <c r="W148" s="3128"/>
      <c r="X148" s="3128"/>
      <c r="Y148" s="3128"/>
      <c r="Z148" s="3128"/>
      <c r="AA148" s="3128"/>
      <c r="AB148" s="3128"/>
      <c r="AC148" s="3128"/>
      <c r="AD148" s="3128"/>
      <c r="AE148" s="3128"/>
      <c r="AF148" s="3128"/>
      <c r="AG148" s="3128"/>
      <c r="AH148" s="3128"/>
      <c r="AI148" s="3129">
        <f t="shared" si="9"/>
        <v>0</v>
      </c>
      <c r="AJ148" s="3130">
        <f t="shared" si="10"/>
        <v>58.008712871287116</v>
      </c>
      <c r="AK148" s="3129">
        <f t="shared" si="11"/>
        <v>0</v>
      </c>
      <c r="AL148" s="3131" t="s">
        <v>141</v>
      </c>
      <c r="AM148" s="3132"/>
    </row>
    <row r="149" spans="1:54" ht="95.25" customHeight="1">
      <c r="A149" s="3144">
        <v>136</v>
      </c>
      <c r="B149" s="3144">
        <v>59</v>
      </c>
      <c r="C149" s="3126" t="s">
        <v>1698</v>
      </c>
      <c r="D149" s="3126" t="s">
        <v>452</v>
      </c>
      <c r="E149" s="3128"/>
      <c r="F149" s="3128"/>
      <c r="G149" s="3128"/>
      <c r="H149" s="3128"/>
      <c r="I149" s="3128"/>
      <c r="J149" s="3128"/>
      <c r="K149" s="3128"/>
      <c r="L149" s="3128"/>
      <c r="M149" s="3128"/>
      <c r="N149" s="3128"/>
      <c r="O149" s="3128"/>
      <c r="P149" s="3128"/>
      <c r="Q149" s="3128"/>
      <c r="R149" s="3128"/>
      <c r="S149" s="3128"/>
      <c r="T149" s="3128"/>
      <c r="U149" s="3128"/>
      <c r="V149" s="3128"/>
      <c r="W149" s="3128"/>
      <c r="X149" s="3128"/>
      <c r="Y149" s="3128"/>
      <c r="Z149" s="3128"/>
      <c r="AA149" s="3128"/>
      <c r="AB149" s="3128"/>
      <c r="AC149" s="3128"/>
      <c r="AD149" s="3128"/>
      <c r="AE149" s="3128">
        <v>18</v>
      </c>
      <c r="AF149" s="3128"/>
      <c r="AG149" s="3128">
        <v>40</v>
      </c>
      <c r="AH149" s="3128"/>
      <c r="AI149" s="3129">
        <f t="shared" si="9"/>
        <v>58</v>
      </c>
      <c r="AJ149" s="3130">
        <f t="shared" si="10"/>
        <v>58.008712871287116</v>
      </c>
      <c r="AK149" s="3129">
        <f t="shared" si="11"/>
        <v>33.645053465346528</v>
      </c>
      <c r="AL149" s="3146" t="s">
        <v>141</v>
      </c>
      <c r="AM149" s="3132"/>
    </row>
    <row r="150" spans="1:54" ht="95.25" customHeight="1">
      <c r="A150" s="3144">
        <v>137</v>
      </c>
      <c r="B150" s="3125">
        <v>60</v>
      </c>
      <c r="C150" s="3126" t="s">
        <v>2278</v>
      </c>
      <c r="D150" s="3126" t="s">
        <v>452</v>
      </c>
      <c r="E150" s="3128"/>
      <c r="F150" s="3128"/>
      <c r="G150" s="3128"/>
      <c r="H150" s="3128"/>
      <c r="I150" s="3128"/>
      <c r="J150" s="3128"/>
      <c r="K150" s="3128"/>
      <c r="L150" s="3128"/>
      <c r="M150" s="3128"/>
      <c r="N150" s="3128"/>
      <c r="O150" s="3128"/>
      <c r="P150" s="3128"/>
      <c r="Q150" s="3128"/>
      <c r="R150" s="3128"/>
      <c r="S150" s="3128"/>
      <c r="T150" s="3128"/>
      <c r="U150" s="3128"/>
      <c r="V150" s="3128"/>
      <c r="W150" s="3128"/>
      <c r="X150" s="3128"/>
      <c r="Y150" s="3128"/>
      <c r="Z150" s="3128"/>
      <c r="AA150" s="3128"/>
      <c r="AB150" s="3128"/>
      <c r="AC150" s="3128"/>
      <c r="AD150" s="3128">
        <v>33</v>
      </c>
      <c r="AE150" s="3128">
        <v>20</v>
      </c>
      <c r="AF150" s="3128"/>
      <c r="AG150" s="3128">
        <v>26</v>
      </c>
      <c r="AH150" s="3128"/>
      <c r="AI150" s="3129">
        <f t="shared" si="9"/>
        <v>79</v>
      </c>
      <c r="AJ150" s="3130">
        <f t="shared" si="10"/>
        <v>58.008712871287116</v>
      </c>
      <c r="AK150" s="3129">
        <f t="shared" si="11"/>
        <v>45.826883168316819</v>
      </c>
      <c r="AL150" s="3131" t="s">
        <v>141</v>
      </c>
      <c r="AM150" s="3132"/>
    </row>
    <row r="151" spans="1:54" ht="95.25" customHeight="1">
      <c r="A151" s="3144">
        <v>138</v>
      </c>
      <c r="B151" s="3144">
        <v>61</v>
      </c>
      <c r="C151" s="3126" t="s">
        <v>243</v>
      </c>
      <c r="D151" s="3126" t="s">
        <v>452</v>
      </c>
      <c r="E151" s="3128"/>
      <c r="F151" s="3128"/>
      <c r="G151" s="3128"/>
      <c r="H151" s="3128"/>
      <c r="I151" s="3128"/>
      <c r="J151" s="3128"/>
      <c r="K151" s="3128"/>
      <c r="L151" s="3128"/>
      <c r="M151" s="3128"/>
      <c r="N151" s="3128"/>
      <c r="O151" s="3128"/>
      <c r="P151" s="3128"/>
      <c r="Q151" s="3128"/>
      <c r="R151" s="3128"/>
      <c r="S151" s="3128"/>
      <c r="T151" s="3128"/>
      <c r="U151" s="3128"/>
      <c r="V151" s="3128"/>
      <c r="W151" s="3128"/>
      <c r="X151" s="3128"/>
      <c r="Y151" s="3128"/>
      <c r="Z151" s="3128"/>
      <c r="AA151" s="3128"/>
      <c r="AB151" s="3128"/>
      <c r="AC151" s="3128"/>
      <c r="AD151" s="3128"/>
      <c r="AE151" s="3128"/>
      <c r="AF151" s="3128"/>
      <c r="AG151" s="3128"/>
      <c r="AH151" s="3128"/>
      <c r="AI151" s="3129">
        <f t="shared" si="9"/>
        <v>0</v>
      </c>
      <c r="AJ151" s="3130">
        <f t="shared" si="10"/>
        <v>58.008712871287116</v>
      </c>
      <c r="AK151" s="3129">
        <f t="shared" si="11"/>
        <v>0</v>
      </c>
      <c r="AL151" s="3146" t="s">
        <v>141</v>
      </c>
      <c r="AM151" s="3132"/>
    </row>
    <row r="152" spans="1:54" ht="95.25" customHeight="1">
      <c r="A152" s="3144">
        <v>139</v>
      </c>
      <c r="B152" s="3125">
        <v>62</v>
      </c>
      <c r="C152" s="3126" t="s">
        <v>842</v>
      </c>
      <c r="D152" s="3126" t="s">
        <v>452</v>
      </c>
      <c r="E152" s="3128"/>
      <c r="F152" s="3128"/>
      <c r="G152" s="3128"/>
      <c r="H152" s="3128"/>
      <c r="I152" s="3128"/>
      <c r="J152" s="3128"/>
      <c r="K152" s="3128"/>
      <c r="L152" s="3128"/>
      <c r="M152" s="3128"/>
      <c r="N152" s="3128"/>
      <c r="O152" s="3128"/>
      <c r="P152" s="3128"/>
      <c r="Q152" s="3128"/>
      <c r="R152" s="3128"/>
      <c r="S152" s="3128"/>
      <c r="T152" s="3128"/>
      <c r="U152" s="3128"/>
      <c r="V152" s="3128"/>
      <c r="W152" s="3128"/>
      <c r="X152" s="3128"/>
      <c r="Y152" s="3128"/>
      <c r="Z152" s="3128"/>
      <c r="AA152" s="3128"/>
      <c r="AB152" s="3128"/>
      <c r="AC152" s="3128"/>
      <c r="AD152" s="3128"/>
      <c r="AE152" s="3128"/>
      <c r="AF152" s="3128"/>
      <c r="AG152" s="3128"/>
      <c r="AH152" s="3128"/>
      <c r="AI152" s="3129">
        <f t="shared" si="9"/>
        <v>0</v>
      </c>
      <c r="AJ152" s="3130">
        <f t="shared" si="10"/>
        <v>58.008712871287116</v>
      </c>
      <c r="AK152" s="3129">
        <f t="shared" si="11"/>
        <v>0</v>
      </c>
      <c r="AL152" s="3131" t="s">
        <v>141</v>
      </c>
      <c r="AM152" s="3132"/>
    </row>
    <row r="153" spans="1:54" ht="95.25" customHeight="1">
      <c r="A153" s="3118" t="s">
        <v>224</v>
      </c>
      <c r="B153" s="3134" t="s">
        <v>1865</v>
      </c>
      <c r="C153" s="3134"/>
      <c r="D153" s="3134"/>
      <c r="E153" s="3175"/>
      <c r="F153" s="3175"/>
      <c r="G153" s="3175"/>
      <c r="H153" s="3175"/>
      <c r="I153" s="3175"/>
      <c r="J153" s="3175"/>
      <c r="K153" s="3175"/>
      <c r="L153" s="3175"/>
      <c r="M153" s="3175"/>
      <c r="N153" s="3175"/>
      <c r="O153" s="3175"/>
      <c r="P153" s="3175"/>
      <c r="Q153" s="3175"/>
      <c r="R153" s="3175"/>
      <c r="S153" s="3175"/>
      <c r="T153" s="3175"/>
      <c r="U153" s="3175"/>
      <c r="V153" s="3175"/>
      <c r="W153" s="3175"/>
      <c r="X153" s="3175"/>
      <c r="Y153" s="3175"/>
      <c r="Z153" s="3175"/>
      <c r="AA153" s="3175"/>
      <c r="AB153" s="3175"/>
      <c r="AC153" s="3175"/>
      <c r="AD153" s="3175"/>
      <c r="AE153" s="3175">
        <f>+SUBTOTAL(9,AE154:AE177)</f>
        <v>281</v>
      </c>
      <c r="AF153" s="3175">
        <f t="shared" ref="AF153:AH153" si="12">+SUBTOTAL(9,AF154:AF177)</f>
        <v>202</v>
      </c>
      <c r="AG153" s="3175">
        <f t="shared" si="12"/>
        <v>318</v>
      </c>
      <c r="AH153" s="3175">
        <f t="shared" si="12"/>
        <v>67</v>
      </c>
      <c r="AI153" s="3176">
        <f>SUBTOTAL(9,AI154:AI177)</f>
        <v>868</v>
      </c>
      <c r="AJ153" s="3177"/>
      <c r="AK153" s="3176">
        <f>+SUBTOTAL(9,AK154:AK177)</f>
        <v>509.94303065693435</v>
      </c>
      <c r="AL153" s="3148"/>
      <c r="AM153" s="3149"/>
      <c r="AN153" s="3106">
        <v>23856</v>
      </c>
      <c r="AO153" s="2581"/>
      <c r="AR153" s="3294">
        <v>868</v>
      </c>
      <c r="AS153" s="3294">
        <v>509.9430306569343</v>
      </c>
      <c r="AT153" s="3294">
        <f>+AS153/AR153</f>
        <v>0.58749197080291971</v>
      </c>
      <c r="AU153" s="3142">
        <f>+AK153-AS153</f>
        <v>0</v>
      </c>
      <c r="AV153" s="3106">
        <v>0</v>
      </c>
      <c r="AW153" s="3106">
        <v>0</v>
      </c>
      <c r="AX153" s="3106">
        <v>0</v>
      </c>
      <c r="AY153" s="3106">
        <v>0</v>
      </c>
      <c r="AZ153" s="3106">
        <v>0</v>
      </c>
      <c r="BA153" s="3106">
        <v>0</v>
      </c>
      <c r="BB153" s="3106">
        <v>0</v>
      </c>
    </row>
    <row r="154" spans="1:54" ht="95.25" customHeight="1">
      <c r="A154" s="3125">
        <v>140</v>
      </c>
      <c r="B154" s="3125">
        <v>1</v>
      </c>
      <c r="C154" s="3150" t="s">
        <v>2279</v>
      </c>
      <c r="D154" s="3150" t="s">
        <v>452</v>
      </c>
      <c r="E154" s="3128"/>
      <c r="F154" s="3128"/>
      <c r="G154" s="3128"/>
      <c r="H154" s="3128"/>
      <c r="I154" s="3128"/>
      <c r="J154" s="3128"/>
      <c r="K154" s="3128"/>
      <c r="L154" s="3128"/>
      <c r="M154" s="3128"/>
      <c r="N154" s="3128"/>
      <c r="O154" s="3128"/>
      <c r="P154" s="3128"/>
      <c r="Q154" s="3128"/>
      <c r="R154" s="3128"/>
      <c r="S154" s="3128"/>
      <c r="T154" s="3128"/>
      <c r="U154" s="3128"/>
      <c r="V154" s="3128"/>
      <c r="W154" s="3128"/>
      <c r="X154" s="3128"/>
      <c r="Y154" s="3128"/>
      <c r="Z154" s="3128"/>
      <c r="AA154" s="3128"/>
      <c r="AB154" s="3128"/>
      <c r="AC154" s="3128"/>
      <c r="AD154" s="3128"/>
      <c r="AE154" s="3128">
        <v>0</v>
      </c>
      <c r="AF154" s="3128">
        <v>0</v>
      </c>
      <c r="AG154" s="3128">
        <v>0</v>
      </c>
      <c r="AH154" s="3128">
        <v>0</v>
      </c>
      <c r="AI154" s="3129">
        <f>+SUM(E154:AH154)</f>
        <v>0</v>
      </c>
      <c r="AJ154" s="3130">
        <f>+$AT$153*100</f>
        <v>58.749197080291971</v>
      </c>
      <c r="AK154" s="3129">
        <f>+AI154*$AT$153</f>
        <v>0</v>
      </c>
      <c r="AL154" s="3140" t="s">
        <v>138</v>
      </c>
      <c r="AM154" s="3141"/>
      <c r="AN154" s="2581">
        <f>+AN153-AI153</f>
        <v>22988</v>
      </c>
      <c r="AO154" s="2581"/>
      <c r="AT154" s="3142"/>
    </row>
    <row r="155" spans="1:54" ht="95.25" customHeight="1">
      <c r="A155" s="3125">
        <v>141</v>
      </c>
      <c r="B155" s="3125">
        <v>2</v>
      </c>
      <c r="C155" s="3126" t="s">
        <v>1514</v>
      </c>
      <c r="D155" s="3126" t="s">
        <v>452</v>
      </c>
      <c r="E155" s="3128"/>
      <c r="F155" s="3128"/>
      <c r="G155" s="3128"/>
      <c r="H155" s="3128"/>
      <c r="I155" s="3128"/>
      <c r="J155" s="3128"/>
      <c r="K155" s="3128"/>
      <c r="L155" s="3128"/>
      <c r="M155" s="3128"/>
      <c r="N155" s="3128"/>
      <c r="O155" s="3128"/>
      <c r="P155" s="3128"/>
      <c r="Q155" s="3128"/>
      <c r="R155" s="3128"/>
      <c r="S155" s="3128"/>
      <c r="T155" s="3128"/>
      <c r="U155" s="3128"/>
      <c r="V155" s="3128"/>
      <c r="W155" s="3128"/>
      <c r="X155" s="3128"/>
      <c r="Y155" s="3128"/>
      <c r="Z155" s="3128"/>
      <c r="AA155" s="3128"/>
      <c r="AB155" s="3128"/>
      <c r="AC155" s="3128"/>
      <c r="AD155" s="3128"/>
      <c r="AE155" s="3128">
        <v>0</v>
      </c>
      <c r="AF155" s="3128">
        <v>12</v>
      </c>
      <c r="AG155" s="3128">
        <v>0</v>
      </c>
      <c r="AH155" s="3128">
        <v>0</v>
      </c>
      <c r="AI155" s="3129">
        <f t="shared" ref="AI155:AI177" si="13">+SUM(E155:AH155)</f>
        <v>12</v>
      </c>
      <c r="AJ155" s="3130">
        <f t="shared" ref="AJ155:AJ177" si="14">+$AT$153*100</f>
        <v>58.749197080291971</v>
      </c>
      <c r="AK155" s="3129">
        <f t="shared" ref="AK155:AK177" si="15">+AI155*$AT$153</f>
        <v>7.049903649635036</v>
      </c>
      <c r="AL155" s="3140" t="s">
        <v>138</v>
      </c>
      <c r="AM155" s="3132"/>
      <c r="AO155" s="2581"/>
    </row>
    <row r="156" spans="1:54" ht="95.25" customHeight="1">
      <c r="A156" s="3125">
        <v>142</v>
      </c>
      <c r="B156" s="3125">
        <v>3</v>
      </c>
      <c r="C156" s="3126" t="s">
        <v>2280</v>
      </c>
      <c r="D156" s="3126" t="s">
        <v>452</v>
      </c>
      <c r="E156" s="3128"/>
      <c r="F156" s="3128"/>
      <c r="G156" s="3128"/>
      <c r="H156" s="3128"/>
      <c r="I156" s="3128"/>
      <c r="J156" s="3128"/>
      <c r="K156" s="3128"/>
      <c r="L156" s="3128"/>
      <c r="M156" s="3128"/>
      <c r="N156" s="3128"/>
      <c r="O156" s="3128"/>
      <c r="P156" s="3128"/>
      <c r="Q156" s="3128"/>
      <c r="R156" s="3128"/>
      <c r="S156" s="3128"/>
      <c r="T156" s="3128"/>
      <c r="U156" s="3128"/>
      <c r="V156" s="3128"/>
      <c r="W156" s="3128"/>
      <c r="X156" s="3128"/>
      <c r="Y156" s="3128"/>
      <c r="Z156" s="3128"/>
      <c r="AA156" s="3128"/>
      <c r="AB156" s="3128"/>
      <c r="AC156" s="3128"/>
      <c r="AD156" s="3128"/>
      <c r="AE156" s="3128">
        <v>0</v>
      </c>
      <c r="AF156" s="3128">
        <v>0</v>
      </c>
      <c r="AG156" s="3128">
        <v>0</v>
      </c>
      <c r="AH156" s="3128">
        <v>0</v>
      </c>
      <c r="AI156" s="3129">
        <f t="shared" si="13"/>
        <v>0</v>
      </c>
      <c r="AJ156" s="3130">
        <f t="shared" si="14"/>
        <v>58.749197080291971</v>
      </c>
      <c r="AK156" s="3129">
        <f t="shared" si="15"/>
        <v>0</v>
      </c>
      <c r="AL156" s="3140" t="s">
        <v>141</v>
      </c>
      <c r="AM156" s="3132"/>
      <c r="AO156" s="2581"/>
      <c r="AP156" s="3106" t="s">
        <v>141</v>
      </c>
      <c r="AQ156" s="3106">
        <f>+COUNTIF($AL$154:$AL$177,"A")</f>
        <v>20</v>
      </c>
    </row>
    <row r="157" spans="1:54" ht="95.25" customHeight="1">
      <c r="A157" s="3125">
        <v>143</v>
      </c>
      <c r="B157" s="3125">
        <v>4</v>
      </c>
      <c r="C157" s="3126" t="s">
        <v>2281</v>
      </c>
      <c r="D157" s="3126" t="s">
        <v>452</v>
      </c>
      <c r="E157" s="3128"/>
      <c r="F157" s="3128"/>
      <c r="G157" s="3128"/>
      <c r="H157" s="3128"/>
      <c r="I157" s="3128"/>
      <c r="J157" s="3128"/>
      <c r="K157" s="3128"/>
      <c r="L157" s="3128"/>
      <c r="M157" s="3128"/>
      <c r="N157" s="3128"/>
      <c r="O157" s="3128"/>
      <c r="P157" s="3128"/>
      <c r="Q157" s="3128"/>
      <c r="R157" s="3128"/>
      <c r="S157" s="3128"/>
      <c r="T157" s="3128"/>
      <c r="U157" s="3128"/>
      <c r="V157" s="3128"/>
      <c r="W157" s="3128"/>
      <c r="X157" s="3128"/>
      <c r="Y157" s="3128"/>
      <c r="Z157" s="3128"/>
      <c r="AA157" s="3128"/>
      <c r="AB157" s="3128"/>
      <c r="AC157" s="3128"/>
      <c r="AD157" s="3128"/>
      <c r="AE157" s="3128">
        <v>10</v>
      </c>
      <c r="AF157" s="3128">
        <v>0</v>
      </c>
      <c r="AG157" s="3128">
        <v>0</v>
      </c>
      <c r="AH157" s="3128">
        <v>0</v>
      </c>
      <c r="AI157" s="3129">
        <f t="shared" si="13"/>
        <v>10</v>
      </c>
      <c r="AJ157" s="3130">
        <f t="shared" si="14"/>
        <v>58.749197080291971</v>
      </c>
      <c r="AK157" s="3129">
        <f t="shared" si="15"/>
        <v>5.8749197080291973</v>
      </c>
      <c r="AL157" s="3140" t="s">
        <v>141</v>
      </c>
      <c r="AM157" s="3132"/>
      <c r="AO157" s="2581"/>
      <c r="AP157" s="3106" t="s">
        <v>138</v>
      </c>
      <c r="AQ157" s="3106">
        <f>+COUNTIF($AL$154:$AL$177,"B")</f>
        <v>4</v>
      </c>
    </row>
    <row r="158" spans="1:54" ht="95.25" customHeight="1">
      <c r="A158" s="3125">
        <v>144</v>
      </c>
      <c r="B158" s="3125">
        <v>5</v>
      </c>
      <c r="C158" s="3126" t="s">
        <v>2282</v>
      </c>
      <c r="D158" s="3126" t="s">
        <v>452</v>
      </c>
      <c r="E158" s="3128"/>
      <c r="F158" s="3128"/>
      <c r="G158" s="3128"/>
      <c r="H158" s="3128"/>
      <c r="I158" s="3128"/>
      <c r="J158" s="3128"/>
      <c r="K158" s="3128"/>
      <c r="L158" s="3128"/>
      <c r="M158" s="3128"/>
      <c r="N158" s="3128"/>
      <c r="O158" s="3128"/>
      <c r="P158" s="3128"/>
      <c r="Q158" s="3128"/>
      <c r="R158" s="3128"/>
      <c r="S158" s="3128"/>
      <c r="T158" s="3128"/>
      <c r="U158" s="3128"/>
      <c r="V158" s="3128"/>
      <c r="W158" s="3128"/>
      <c r="X158" s="3128"/>
      <c r="Y158" s="3128"/>
      <c r="Z158" s="3128"/>
      <c r="AA158" s="3128"/>
      <c r="AB158" s="3128"/>
      <c r="AC158" s="3128"/>
      <c r="AD158" s="3128"/>
      <c r="AE158" s="3128">
        <v>18</v>
      </c>
      <c r="AF158" s="3128">
        <v>13</v>
      </c>
      <c r="AG158" s="3128">
        <v>0</v>
      </c>
      <c r="AH158" s="3128">
        <v>0</v>
      </c>
      <c r="AI158" s="3129">
        <f t="shared" si="13"/>
        <v>31</v>
      </c>
      <c r="AJ158" s="3130">
        <f t="shared" si="14"/>
        <v>58.749197080291971</v>
      </c>
      <c r="AK158" s="3129">
        <f t="shared" si="15"/>
        <v>18.212251094890512</v>
      </c>
      <c r="AL158" s="3140" t="s">
        <v>141</v>
      </c>
      <c r="AM158" s="3132"/>
      <c r="AO158" s="2581"/>
      <c r="AP158" s="3106" t="s">
        <v>168</v>
      </c>
      <c r="AQ158" s="3106">
        <f>+COUNTIF($AL$154:$AL$177,"C")</f>
        <v>0</v>
      </c>
    </row>
    <row r="159" spans="1:54" ht="95.25" customHeight="1">
      <c r="A159" s="3125">
        <v>145</v>
      </c>
      <c r="B159" s="3125">
        <v>6</v>
      </c>
      <c r="C159" s="3126" t="s">
        <v>2283</v>
      </c>
      <c r="D159" s="3126" t="s">
        <v>452</v>
      </c>
      <c r="E159" s="3128"/>
      <c r="F159" s="3128"/>
      <c r="G159" s="3128"/>
      <c r="H159" s="3128"/>
      <c r="I159" s="3128"/>
      <c r="J159" s="3128"/>
      <c r="K159" s="3128"/>
      <c r="L159" s="3128"/>
      <c r="M159" s="3128"/>
      <c r="N159" s="3128"/>
      <c r="O159" s="3128"/>
      <c r="P159" s="3128"/>
      <c r="Q159" s="3128"/>
      <c r="R159" s="3128"/>
      <c r="S159" s="3128"/>
      <c r="T159" s="3128"/>
      <c r="U159" s="3128"/>
      <c r="V159" s="3128"/>
      <c r="W159" s="3128"/>
      <c r="X159" s="3128"/>
      <c r="Y159" s="3128"/>
      <c r="Z159" s="3128"/>
      <c r="AA159" s="3128"/>
      <c r="AB159" s="3128"/>
      <c r="AC159" s="3128"/>
      <c r="AD159" s="3128"/>
      <c r="AE159" s="3128">
        <v>9</v>
      </c>
      <c r="AF159" s="3128">
        <v>0</v>
      </c>
      <c r="AG159" s="3128">
        <v>0</v>
      </c>
      <c r="AH159" s="3128">
        <v>0</v>
      </c>
      <c r="AI159" s="3129">
        <f t="shared" si="13"/>
        <v>9</v>
      </c>
      <c r="AJ159" s="3130">
        <f t="shared" si="14"/>
        <v>58.749197080291971</v>
      </c>
      <c r="AK159" s="3129">
        <f t="shared" si="15"/>
        <v>5.2874277372262775</v>
      </c>
      <c r="AL159" s="3140" t="s">
        <v>141</v>
      </c>
      <c r="AM159" s="3132"/>
      <c r="AO159" s="2581"/>
    </row>
    <row r="160" spans="1:54" ht="95.25" customHeight="1">
      <c r="A160" s="3125">
        <v>146</v>
      </c>
      <c r="B160" s="3125">
        <v>7</v>
      </c>
      <c r="C160" s="3126" t="s">
        <v>847</v>
      </c>
      <c r="D160" s="3126" t="s">
        <v>452</v>
      </c>
      <c r="E160" s="3128"/>
      <c r="F160" s="3128"/>
      <c r="G160" s="3128"/>
      <c r="H160" s="3128"/>
      <c r="I160" s="3128"/>
      <c r="J160" s="3128"/>
      <c r="K160" s="3128"/>
      <c r="L160" s="3128"/>
      <c r="M160" s="3128"/>
      <c r="N160" s="3128"/>
      <c r="O160" s="3128"/>
      <c r="P160" s="3128"/>
      <c r="Q160" s="3128"/>
      <c r="R160" s="3128"/>
      <c r="S160" s="3128"/>
      <c r="T160" s="3128"/>
      <c r="U160" s="3128"/>
      <c r="V160" s="3128"/>
      <c r="W160" s="3128"/>
      <c r="X160" s="3128"/>
      <c r="Y160" s="3128"/>
      <c r="Z160" s="3128"/>
      <c r="AA160" s="3128"/>
      <c r="AB160" s="3128"/>
      <c r="AC160" s="3128"/>
      <c r="AD160" s="3128"/>
      <c r="AE160" s="3128">
        <v>10</v>
      </c>
      <c r="AF160" s="3128">
        <v>5</v>
      </c>
      <c r="AG160" s="3128">
        <v>0</v>
      </c>
      <c r="AH160" s="3128">
        <v>0</v>
      </c>
      <c r="AI160" s="3129">
        <f t="shared" si="13"/>
        <v>15</v>
      </c>
      <c r="AJ160" s="3130">
        <f t="shared" si="14"/>
        <v>58.749197080291971</v>
      </c>
      <c r="AK160" s="3129">
        <f t="shared" si="15"/>
        <v>8.8123795620437964</v>
      </c>
      <c r="AL160" s="3140" t="s">
        <v>141</v>
      </c>
      <c r="AM160" s="3132"/>
      <c r="AO160" s="2581"/>
    </row>
    <row r="161" spans="1:44" ht="95.25" customHeight="1">
      <c r="A161" s="3125">
        <v>147</v>
      </c>
      <c r="B161" s="3125">
        <v>8</v>
      </c>
      <c r="C161" s="3126" t="s">
        <v>288</v>
      </c>
      <c r="D161" s="3126" t="s">
        <v>452</v>
      </c>
      <c r="E161" s="3128"/>
      <c r="F161" s="3128"/>
      <c r="G161" s="3128"/>
      <c r="H161" s="3128"/>
      <c r="I161" s="3128"/>
      <c r="J161" s="3128"/>
      <c r="K161" s="3128"/>
      <c r="L161" s="3128"/>
      <c r="M161" s="3128"/>
      <c r="N161" s="3128"/>
      <c r="O161" s="3128"/>
      <c r="P161" s="3128"/>
      <c r="Q161" s="3128"/>
      <c r="R161" s="3128"/>
      <c r="S161" s="3128"/>
      <c r="T161" s="3128"/>
      <c r="U161" s="3128"/>
      <c r="V161" s="3128"/>
      <c r="W161" s="3128"/>
      <c r="X161" s="3128"/>
      <c r="Y161" s="3128"/>
      <c r="Z161" s="3128"/>
      <c r="AA161" s="3128"/>
      <c r="AB161" s="3128"/>
      <c r="AC161" s="3128"/>
      <c r="AD161" s="3128"/>
      <c r="AE161" s="3128">
        <v>5</v>
      </c>
      <c r="AF161" s="3128">
        <v>0</v>
      </c>
      <c r="AG161" s="3128">
        <v>0</v>
      </c>
      <c r="AH161" s="3128">
        <v>0</v>
      </c>
      <c r="AI161" s="3129">
        <f t="shared" si="13"/>
        <v>5</v>
      </c>
      <c r="AJ161" s="3130">
        <f t="shared" si="14"/>
        <v>58.749197080291971</v>
      </c>
      <c r="AK161" s="3129">
        <f t="shared" si="15"/>
        <v>2.9374598540145986</v>
      </c>
      <c r="AL161" s="3140" t="s">
        <v>141</v>
      </c>
      <c r="AM161" s="3132"/>
      <c r="AO161" s="2581"/>
    </row>
    <row r="162" spans="1:44" ht="95.25" customHeight="1">
      <c r="A162" s="3125">
        <v>148</v>
      </c>
      <c r="B162" s="3125">
        <v>9</v>
      </c>
      <c r="C162" s="3126" t="s">
        <v>1206</v>
      </c>
      <c r="D162" s="3126" t="s">
        <v>452</v>
      </c>
      <c r="E162" s="3128"/>
      <c r="F162" s="3128"/>
      <c r="G162" s="3128"/>
      <c r="H162" s="3128"/>
      <c r="I162" s="3128"/>
      <c r="J162" s="3128"/>
      <c r="K162" s="3128"/>
      <c r="L162" s="3128"/>
      <c r="M162" s="3128"/>
      <c r="N162" s="3128"/>
      <c r="O162" s="3128"/>
      <c r="P162" s="3128"/>
      <c r="Q162" s="3128"/>
      <c r="R162" s="3128"/>
      <c r="S162" s="3128"/>
      <c r="T162" s="3128"/>
      <c r="U162" s="3128"/>
      <c r="V162" s="3128"/>
      <c r="W162" s="3128"/>
      <c r="X162" s="3128"/>
      <c r="Y162" s="3128"/>
      <c r="Z162" s="3128"/>
      <c r="AA162" s="3128"/>
      <c r="AB162" s="3128"/>
      <c r="AC162" s="3128"/>
      <c r="AD162" s="3128"/>
      <c r="AE162" s="3128">
        <v>32</v>
      </c>
      <c r="AF162" s="3128">
        <v>3</v>
      </c>
      <c r="AG162" s="3128">
        <v>0</v>
      </c>
      <c r="AH162" s="3128">
        <v>20</v>
      </c>
      <c r="AI162" s="3129">
        <f t="shared" si="13"/>
        <v>55</v>
      </c>
      <c r="AJ162" s="3130">
        <f t="shared" si="14"/>
        <v>58.749197080291971</v>
      </c>
      <c r="AK162" s="3129">
        <f t="shared" si="15"/>
        <v>32.312058394160587</v>
      </c>
      <c r="AL162" s="3140" t="s">
        <v>141</v>
      </c>
      <c r="AM162" s="3132"/>
      <c r="AO162" s="2581"/>
    </row>
    <row r="163" spans="1:44" ht="95.25" customHeight="1">
      <c r="A163" s="3125">
        <v>149</v>
      </c>
      <c r="B163" s="3125">
        <v>10</v>
      </c>
      <c r="C163" s="3126" t="s">
        <v>2284</v>
      </c>
      <c r="D163" s="3126" t="s">
        <v>452</v>
      </c>
      <c r="E163" s="3128"/>
      <c r="F163" s="3128"/>
      <c r="G163" s="3128"/>
      <c r="H163" s="3128"/>
      <c r="I163" s="3128"/>
      <c r="J163" s="3128"/>
      <c r="K163" s="3128"/>
      <c r="L163" s="3128"/>
      <c r="M163" s="3128"/>
      <c r="N163" s="3128"/>
      <c r="O163" s="3128"/>
      <c r="P163" s="3128"/>
      <c r="Q163" s="3128"/>
      <c r="R163" s="3128"/>
      <c r="S163" s="3128"/>
      <c r="T163" s="3128"/>
      <c r="U163" s="3128"/>
      <c r="V163" s="3128"/>
      <c r="W163" s="3128"/>
      <c r="X163" s="3128"/>
      <c r="Y163" s="3128"/>
      <c r="Z163" s="3128"/>
      <c r="AA163" s="3128"/>
      <c r="AB163" s="3128"/>
      <c r="AC163" s="3128"/>
      <c r="AD163" s="3128"/>
      <c r="AE163" s="3128">
        <v>5</v>
      </c>
      <c r="AF163" s="3128">
        <v>10</v>
      </c>
      <c r="AG163" s="3128">
        <v>21</v>
      </c>
      <c r="AH163" s="3128">
        <v>0</v>
      </c>
      <c r="AI163" s="3129">
        <f t="shared" si="13"/>
        <v>36</v>
      </c>
      <c r="AJ163" s="3130">
        <f t="shared" si="14"/>
        <v>58.749197080291971</v>
      </c>
      <c r="AK163" s="3129">
        <f t="shared" si="15"/>
        <v>21.14971094890511</v>
      </c>
      <c r="AL163" s="3140" t="s">
        <v>141</v>
      </c>
      <c r="AM163" s="3132"/>
      <c r="AO163" s="2581"/>
    </row>
    <row r="164" spans="1:44" ht="95.25" customHeight="1">
      <c r="A164" s="3125">
        <v>150</v>
      </c>
      <c r="B164" s="3125">
        <v>11</v>
      </c>
      <c r="C164" s="3126" t="s">
        <v>2285</v>
      </c>
      <c r="D164" s="3126" t="s">
        <v>452</v>
      </c>
      <c r="E164" s="3128"/>
      <c r="F164" s="3128"/>
      <c r="G164" s="3128"/>
      <c r="H164" s="3128"/>
      <c r="I164" s="3128"/>
      <c r="J164" s="3128"/>
      <c r="K164" s="3128"/>
      <c r="L164" s="3128"/>
      <c r="M164" s="3128"/>
      <c r="N164" s="3128"/>
      <c r="O164" s="3128"/>
      <c r="P164" s="3128"/>
      <c r="Q164" s="3128"/>
      <c r="R164" s="3128"/>
      <c r="S164" s="3128"/>
      <c r="T164" s="3128"/>
      <c r="U164" s="3128"/>
      <c r="V164" s="3128"/>
      <c r="W164" s="3128"/>
      <c r="X164" s="3128"/>
      <c r="Y164" s="3128"/>
      <c r="Z164" s="3128"/>
      <c r="AA164" s="3128"/>
      <c r="AB164" s="3128"/>
      <c r="AC164" s="3128"/>
      <c r="AD164" s="3128"/>
      <c r="AE164" s="3128">
        <v>23</v>
      </c>
      <c r="AF164" s="3128">
        <v>9</v>
      </c>
      <c r="AG164" s="3128">
        <v>66</v>
      </c>
      <c r="AH164" s="3128">
        <v>0</v>
      </c>
      <c r="AI164" s="3129">
        <f t="shared" si="13"/>
        <v>98</v>
      </c>
      <c r="AJ164" s="3130">
        <f t="shared" si="14"/>
        <v>58.749197080291971</v>
      </c>
      <c r="AK164" s="3129">
        <f t="shared" si="15"/>
        <v>57.574213138686133</v>
      </c>
      <c r="AL164" s="3140" t="s">
        <v>141</v>
      </c>
      <c r="AM164" s="3132"/>
      <c r="AO164" s="2581"/>
    </row>
    <row r="165" spans="1:44" ht="95.25" customHeight="1">
      <c r="A165" s="3125">
        <v>151</v>
      </c>
      <c r="B165" s="3125">
        <v>12</v>
      </c>
      <c r="C165" s="3126" t="s">
        <v>2286</v>
      </c>
      <c r="D165" s="3126" t="s">
        <v>452</v>
      </c>
      <c r="E165" s="3128"/>
      <c r="F165" s="3128"/>
      <c r="G165" s="3128"/>
      <c r="H165" s="3128"/>
      <c r="I165" s="3128"/>
      <c r="J165" s="3128"/>
      <c r="K165" s="3128"/>
      <c r="L165" s="3128"/>
      <c r="M165" s="3128"/>
      <c r="N165" s="3128"/>
      <c r="O165" s="3128"/>
      <c r="P165" s="3128"/>
      <c r="Q165" s="3128"/>
      <c r="R165" s="3128"/>
      <c r="S165" s="3128"/>
      <c r="T165" s="3128"/>
      <c r="U165" s="3128"/>
      <c r="V165" s="3128"/>
      <c r="W165" s="3128"/>
      <c r="X165" s="3128"/>
      <c r="Y165" s="3128"/>
      <c r="Z165" s="3128"/>
      <c r="AA165" s="3128"/>
      <c r="AB165" s="3128"/>
      <c r="AC165" s="3128"/>
      <c r="AD165" s="3128"/>
      <c r="AE165" s="3128">
        <v>43</v>
      </c>
      <c r="AF165" s="3128">
        <v>25</v>
      </c>
      <c r="AG165" s="3128">
        <v>49</v>
      </c>
      <c r="AH165" s="3128">
        <v>0</v>
      </c>
      <c r="AI165" s="3129">
        <f t="shared" si="13"/>
        <v>117</v>
      </c>
      <c r="AJ165" s="3130">
        <f t="shared" si="14"/>
        <v>58.749197080291971</v>
      </c>
      <c r="AK165" s="3129">
        <f t="shared" si="15"/>
        <v>68.736560583941611</v>
      </c>
      <c r="AL165" s="3140" t="s">
        <v>141</v>
      </c>
      <c r="AM165" s="3132"/>
      <c r="AO165" s="2581"/>
    </row>
    <row r="166" spans="1:44" ht="95.25" customHeight="1">
      <c r="A166" s="3125">
        <v>152</v>
      </c>
      <c r="B166" s="3125">
        <v>13</v>
      </c>
      <c r="C166" s="3126" t="s">
        <v>2287</v>
      </c>
      <c r="D166" s="3126" t="s">
        <v>452</v>
      </c>
      <c r="E166" s="3128"/>
      <c r="F166" s="3128"/>
      <c r="G166" s="3128"/>
      <c r="H166" s="3128"/>
      <c r="I166" s="3128"/>
      <c r="J166" s="3128"/>
      <c r="K166" s="3128"/>
      <c r="L166" s="3128"/>
      <c r="M166" s="3128"/>
      <c r="N166" s="3128"/>
      <c r="O166" s="3128"/>
      <c r="P166" s="3128"/>
      <c r="Q166" s="3128"/>
      <c r="R166" s="3128"/>
      <c r="S166" s="3128"/>
      <c r="T166" s="3128"/>
      <c r="U166" s="3128"/>
      <c r="V166" s="3128"/>
      <c r="W166" s="3128"/>
      <c r="X166" s="3128"/>
      <c r="Y166" s="3128"/>
      <c r="Z166" s="3128"/>
      <c r="AA166" s="3128"/>
      <c r="AB166" s="3128"/>
      <c r="AC166" s="3128"/>
      <c r="AD166" s="3128"/>
      <c r="AE166" s="3128">
        <v>0</v>
      </c>
      <c r="AF166" s="3128">
        <v>15</v>
      </c>
      <c r="AG166" s="3128">
        <v>25</v>
      </c>
      <c r="AH166" s="3128">
        <v>11</v>
      </c>
      <c r="AI166" s="3129">
        <f t="shared" si="13"/>
        <v>51</v>
      </c>
      <c r="AJ166" s="3130">
        <f t="shared" si="14"/>
        <v>58.749197080291971</v>
      </c>
      <c r="AK166" s="3129">
        <f t="shared" si="15"/>
        <v>29.962090510948904</v>
      </c>
      <c r="AL166" s="3140" t="s">
        <v>141</v>
      </c>
      <c r="AM166" s="3132"/>
      <c r="AO166" s="2581"/>
    </row>
    <row r="167" spans="1:44" ht="95.25" customHeight="1">
      <c r="A167" s="3125">
        <v>153</v>
      </c>
      <c r="B167" s="3125">
        <v>14</v>
      </c>
      <c r="C167" s="3126" t="s">
        <v>1207</v>
      </c>
      <c r="D167" s="3126" t="s">
        <v>452</v>
      </c>
      <c r="E167" s="3128"/>
      <c r="F167" s="3128"/>
      <c r="G167" s="3128"/>
      <c r="H167" s="3128"/>
      <c r="I167" s="3128"/>
      <c r="J167" s="3128"/>
      <c r="K167" s="3128"/>
      <c r="L167" s="3128"/>
      <c r="M167" s="3128"/>
      <c r="N167" s="3128"/>
      <c r="O167" s="3128"/>
      <c r="P167" s="3128"/>
      <c r="Q167" s="3128"/>
      <c r="R167" s="3128"/>
      <c r="S167" s="3128"/>
      <c r="T167" s="3128"/>
      <c r="U167" s="3128"/>
      <c r="V167" s="3128"/>
      <c r="W167" s="3128"/>
      <c r="X167" s="3128"/>
      <c r="Y167" s="3128"/>
      <c r="Z167" s="3128"/>
      <c r="AA167" s="3128"/>
      <c r="AB167" s="3128"/>
      <c r="AC167" s="3128"/>
      <c r="AD167" s="3128"/>
      <c r="AE167" s="3128">
        <v>2</v>
      </c>
      <c r="AF167" s="3128">
        <v>0</v>
      </c>
      <c r="AG167" s="3128">
        <v>0</v>
      </c>
      <c r="AH167" s="3128">
        <v>0</v>
      </c>
      <c r="AI167" s="3129">
        <f t="shared" si="13"/>
        <v>2</v>
      </c>
      <c r="AJ167" s="3130">
        <f t="shared" si="14"/>
        <v>58.749197080291971</v>
      </c>
      <c r="AK167" s="3129">
        <f t="shared" si="15"/>
        <v>1.1749839416058394</v>
      </c>
      <c r="AL167" s="3140" t="s">
        <v>141</v>
      </c>
      <c r="AM167" s="3132"/>
      <c r="AO167" s="2581"/>
    </row>
    <row r="168" spans="1:44" ht="95.25" customHeight="1">
      <c r="A168" s="3125">
        <v>154</v>
      </c>
      <c r="B168" s="3125">
        <v>15</v>
      </c>
      <c r="C168" s="3126" t="s">
        <v>2288</v>
      </c>
      <c r="D168" s="3126" t="s">
        <v>452</v>
      </c>
      <c r="E168" s="3128"/>
      <c r="F168" s="3128"/>
      <c r="G168" s="3128"/>
      <c r="H168" s="3128"/>
      <c r="I168" s="3128"/>
      <c r="J168" s="3128"/>
      <c r="K168" s="3128"/>
      <c r="L168" s="3128"/>
      <c r="M168" s="3128"/>
      <c r="N168" s="3128"/>
      <c r="O168" s="3128"/>
      <c r="P168" s="3128"/>
      <c r="Q168" s="3128"/>
      <c r="R168" s="3128"/>
      <c r="S168" s="3128"/>
      <c r="T168" s="3128"/>
      <c r="U168" s="3128"/>
      <c r="V168" s="3128"/>
      <c r="W168" s="3128"/>
      <c r="X168" s="3128"/>
      <c r="Y168" s="3128"/>
      <c r="Z168" s="3128"/>
      <c r="AA168" s="3128"/>
      <c r="AB168" s="3128"/>
      <c r="AC168" s="3128"/>
      <c r="AD168" s="3128"/>
      <c r="AE168" s="3128">
        <v>18</v>
      </c>
      <c r="AF168" s="3128">
        <v>0</v>
      </c>
      <c r="AG168" s="3128">
        <v>0</v>
      </c>
      <c r="AH168" s="3128">
        <v>0</v>
      </c>
      <c r="AI168" s="3129">
        <f t="shared" si="13"/>
        <v>18</v>
      </c>
      <c r="AJ168" s="3130">
        <f t="shared" si="14"/>
        <v>58.749197080291971</v>
      </c>
      <c r="AK168" s="3129">
        <f t="shared" si="15"/>
        <v>10.574855474452555</v>
      </c>
      <c r="AL168" s="3140" t="s">
        <v>138</v>
      </c>
      <c r="AM168" s="3132"/>
      <c r="AO168" s="2581"/>
    </row>
    <row r="169" spans="1:44" ht="95.25" customHeight="1">
      <c r="A169" s="3125">
        <v>155</v>
      </c>
      <c r="B169" s="3125">
        <v>16</v>
      </c>
      <c r="C169" s="3126" t="s">
        <v>1511</v>
      </c>
      <c r="D169" s="3126" t="s">
        <v>452</v>
      </c>
      <c r="E169" s="3128"/>
      <c r="F169" s="3128"/>
      <c r="G169" s="3128"/>
      <c r="H169" s="3128"/>
      <c r="I169" s="3128"/>
      <c r="J169" s="3128"/>
      <c r="K169" s="3128"/>
      <c r="L169" s="3128"/>
      <c r="M169" s="3128"/>
      <c r="N169" s="3128"/>
      <c r="O169" s="3128"/>
      <c r="P169" s="3128"/>
      <c r="Q169" s="3128"/>
      <c r="R169" s="3128"/>
      <c r="S169" s="3128"/>
      <c r="T169" s="3128"/>
      <c r="U169" s="3128"/>
      <c r="V169" s="3128"/>
      <c r="W169" s="3128"/>
      <c r="X169" s="3128"/>
      <c r="Y169" s="3128"/>
      <c r="Z169" s="3128"/>
      <c r="AA169" s="3128"/>
      <c r="AB169" s="3128"/>
      <c r="AC169" s="3128"/>
      <c r="AD169" s="3128"/>
      <c r="AE169" s="3128">
        <v>17</v>
      </c>
      <c r="AF169" s="3128">
        <v>34</v>
      </c>
      <c r="AG169" s="3128">
        <v>28</v>
      </c>
      <c r="AH169" s="3128">
        <v>21</v>
      </c>
      <c r="AI169" s="3129">
        <f t="shared" si="13"/>
        <v>100</v>
      </c>
      <c r="AJ169" s="3130">
        <f t="shared" si="14"/>
        <v>58.749197080291971</v>
      </c>
      <c r="AK169" s="3129">
        <f t="shared" si="15"/>
        <v>58.749197080291971</v>
      </c>
      <c r="AL169" s="3140" t="s">
        <v>141</v>
      </c>
      <c r="AM169" s="3132"/>
      <c r="AO169" s="2581"/>
    </row>
    <row r="170" spans="1:44" ht="95.25" customHeight="1">
      <c r="A170" s="3125">
        <v>156</v>
      </c>
      <c r="B170" s="3125">
        <v>17</v>
      </c>
      <c r="C170" s="3126" t="s">
        <v>1513</v>
      </c>
      <c r="D170" s="3126" t="s">
        <v>452</v>
      </c>
      <c r="E170" s="3128"/>
      <c r="F170" s="3128"/>
      <c r="G170" s="3128"/>
      <c r="H170" s="3128"/>
      <c r="I170" s="3128"/>
      <c r="J170" s="3128"/>
      <c r="K170" s="3128"/>
      <c r="L170" s="3128"/>
      <c r="M170" s="3128"/>
      <c r="N170" s="3128"/>
      <c r="O170" s="3128"/>
      <c r="P170" s="3128"/>
      <c r="Q170" s="3128"/>
      <c r="R170" s="3128"/>
      <c r="S170" s="3128"/>
      <c r="T170" s="3128"/>
      <c r="U170" s="3128"/>
      <c r="V170" s="3128"/>
      <c r="W170" s="3128"/>
      <c r="X170" s="3128"/>
      <c r="Y170" s="3128"/>
      <c r="Z170" s="3128"/>
      <c r="AA170" s="3128"/>
      <c r="AB170" s="3128"/>
      <c r="AC170" s="3128"/>
      <c r="AD170" s="3128"/>
      <c r="AE170" s="3128">
        <v>18</v>
      </c>
      <c r="AF170" s="3128">
        <v>11</v>
      </c>
      <c r="AG170" s="3128">
        <v>20</v>
      </c>
      <c r="AH170" s="3128">
        <v>15</v>
      </c>
      <c r="AI170" s="3129">
        <f t="shared" si="13"/>
        <v>64</v>
      </c>
      <c r="AJ170" s="3130">
        <f t="shared" si="14"/>
        <v>58.749197080291971</v>
      </c>
      <c r="AK170" s="3129">
        <f t="shared" si="15"/>
        <v>37.599486131386861</v>
      </c>
      <c r="AL170" s="3140" t="s">
        <v>141</v>
      </c>
      <c r="AM170" s="3132"/>
      <c r="AO170" s="2581"/>
    </row>
    <row r="171" spans="1:44" ht="95.25" customHeight="1">
      <c r="A171" s="3125">
        <v>157</v>
      </c>
      <c r="B171" s="3125">
        <v>18</v>
      </c>
      <c r="C171" s="3126" t="s">
        <v>1268</v>
      </c>
      <c r="D171" s="3126" t="s">
        <v>452</v>
      </c>
      <c r="E171" s="3128"/>
      <c r="F171" s="3128"/>
      <c r="G171" s="3128"/>
      <c r="H171" s="3128"/>
      <c r="I171" s="3128"/>
      <c r="J171" s="3128"/>
      <c r="K171" s="3128"/>
      <c r="L171" s="3128"/>
      <c r="M171" s="3128"/>
      <c r="N171" s="3128"/>
      <c r="O171" s="3128"/>
      <c r="P171" s="3128"/>
      <c r="Q171" s="3128"/>
      <c r="R171" s="3128"/>
      <c r="S171" s="3128"/>
      <c r="T171" s="3128"/>
      <c r="U171" s="3128"/>
      <c r="V171" s="3128"/>
      <c r="W171" s="3128"/>
      <c r="X171" s="3128"/>
      <c r="Y171" s="3128"/>
      <c r="Z171" s="3128"/>
      <c r="AA171" s="3128"/>
      <c r="AB171" s="3128"/>
      <c r="AC171" s="3128"/>
      <c r="AD171" s="3128"/>
      <c r="AE171" s="3128">
        <v>0</v>
      </c>
      <c r="AF171" s="3128">
        <v>0</v>
      </c>
      <c r="AG171" s="3128">
        <v>0</v>
      </c>
      <c r="AH171" s="3128">
        <v>0</v>
      </c>
      <c r="AI171" s="3129">
        <f t="shared" si="13"/>
        <v>0</v>
      </c>
      <c r="AJ171" s="3130">
        <f t="shared" si="14"/>
        <v>58.749197080291971</v>
      </c>
      <c r="AK171" s="3129">
        <f t="shared" si="15"/>
        <v>0</v>
      </c>
      <c r="AL171" s="3140" t="s">
        <v>141</v>
      </c>
      <c r="AM171" s="3132"/>
      <c r="AO171" s="2581"/>
    </row>
    <row r="172" spans="1:44" ht="95.25" customHeight="1">
      <c r="A172" s="3125">
        <v>158</v>
      </c>
      <c r="B172" s="3125">
        <v>19</v>
      </c>
      <c r="C172" s="3126" t="s">
        <v>2289</v>
      </c>
      <c r="D172" s="3126" t="s">
        <v>452</v>
      </c>
      <c r="E172" s="3128"/>
      <c r="F172" s="3128"/>
      <c r="G172" s="3128"/>
      <c r="H172" s="3128"/>
      <c r="I172" s="3128"/>
      <c r="J172" s="3128"/>
      <c r="K172" s="3128"/>
      <c r="L172" s="3128"/>
      <c r="M172" s="3128"/>
      <c r="N172" s="3128"/>
      <c r="O172" s="3128"/>
      <c r="P172" s="3128"/>
      <c r="Q172" s="3128"/>
      <c r="R172" s="3128"/>
      <c r="S172" s="3128"/>
      <c r="T172" s="3128"/>
      <c r="U172" s="3128"/>
      <c r="V172" s="3128"/>
      <c r="W172" s="3128"/>
      <c r="X172" s="3128"/>
      <c r="Y172" s="3128"/>
      <c r="Z172" s="3128"/>
      <c r="AA172" s="3128"/>
      <c r="AB172" s="3128"/>
      <c r="AC172" s="3128"/>
      <c r="AD172" s="3128"/>
      <c r="AE172" s="3128">
        <v>5</v>
      </c>
      <c r="AF172" s="3128">
        <v>8</v>
      </c>
      <c r="AG172" s="3128">
        <v>21</v>
      </c>
      <c r="AH172" s="3128">
        <v>0</v>
      </c>
      <c r="AI172" s="3129">
        <f t="shared" si="13"/>
        <v>34</v>
      </c>
      <c r="AJ172" s="3130">
        <f t="shared" si="14"/>
        <v>58.749197080291971</v>
      </c>
      <c r="AK172" s="3129">
        <f t="shared" si="15"/>
        <v>19.974727007299268</v>
      </c>
      <c r="AL172" s="3140" t="s">
        <v>141</v>
      </c>
      <c r="AM172" s="3132"/>
      <c r="AO172" s="2581"/>
    </row>
    <row r="173" spans="1:44" ht="95.25" customHeight="1">
      <c r="A173" s="3125">
        <v>159</v>
      </c>
      <c r="B173" s="3125">
        <v>20</v>
      </c>
      <c r="C173" s="3126" t="s">
        <v>2290</v>
      </c>
      <c r="D173" s="3126" t="s">
        <v>452</v>
      </c>
      <c r="E173" s="3128"/>
      <c r="F173" s="3128"/>
      <c r="G173" s="3128"/>
      <c r="H173" s="3128"/>
      <c r="I173" s="3128"/>
      <c r="J173" s="3128"/>
      <c r="K173" s="3128"/>
      <c r="L173" s="3128"/>
      <c r="M173" s="3128"/>
      <c r="N173" s="3128"/>
      <c r="O173" s="3128"/>
      <c r="P173" s="3128"/>
      <c r="Q173" s="3128"/>
      <c r="R173" s="3128"/>
      <c r="S173" s="3128"/>
      <c r="T173" s="3128"/>
      <c r="U173" s="3128"/>
      <c r="V173" s="3128"/>
      <c r="W173" s="3128"/>
      <c r="X173" s="3128"/>
      <c r="Y173" s="3128"/>
      <c r="Z173" s="3128"/>
      <c r="AA173" s="3128"/>
      <c r="AB173" s="3128"/>
      <c r="AC173" s="3128"/>
      <c r="AD173" s="3128"/>
      <c r="AE173" s="3128">
        <v>0</v>
      </c>
      <c r="AF173" s="3128">
        <v>0</v>
      </c>
      <c r="AG173" s="3128">
        <v>0</v>
      </c>
      <c r="AH173" s="3128">
        <v>0</v>
      </c>
      <c r="AI173" s="3129">
        <f t="shared" si="13"/>
        <v>0</v>
      </c>
      <c r="AJ173" s="3130">
        <f t="shared" si="14"/>
        <v>58.749197080291971</v>
      </c>
      <c r="AK173" s="3129">
        <f t="shared" si="15"/>
        <v>0</v>
      </c>
      <c r="AL173" s="3140" t="s">
        <v>138</v>
      </c>
      <c r="AM173" s="3132"/>
      <c r="AO173" s="2581"/>
    </row>
    <row r="174" spans="1:44" ht="95.25" customHeight="1">
      <c r="A174" s="3125">
        <v>160</v>
      </c>
      <c r="B174" s="3125">
        <v>21</v>
      </c>
      <c r="C174" s="3126" t="s">
        <v>2291</v>
      </c>
      <c r="D174" s="3126" t="s">
        <v>452</v>
      </c>
      <c r="E174" s="3128"/>
      <c r="F174" s="3128"/>
      <c r="G174" s="3128"/>
      <c r="H174" s="3128"/>
      <c r="I174" s="3128"/>
      <c r="J174" s="3128"/>
      <c r="K174" s="3128"/>
      <c r="L174" s="3128"/>
      <c r="M174" s="3128"/>
      <c r="N174" s="3128"/>
      <c r="O174" s="3128"/>
      <c r="P174" s="3128"/>
      <c r="Q174" s="3128"/>
      <c r="R174" s="3128"/>
      <c r="S174" s="3128"/>
      <c r="T174" s="3128"/>
      <c r="U174" s="3128"/>
      <c r="V174" s="3128"/>
      <c r="W174" s="3128"/>
      <c r="X174" s="3128"/>
      <c r="Y174" s="3128"/>
      <c r="Z174" s="3128"/>
      <c r="AA174" s="3128"/>
      <c r="AB174" s="3128"/>
      <c r="AC174" s="3128"/>
      <c r="AD174" s="3128"/>
      <c r="AE174" s="3128">
        <v>23</v>
      </c>
      <c r="AF174" s="3128">
        <v>28</v>
      </c>
      <c r="AG174" s="3128">
        <v>59</v>
      </c>
      <c r="AH174" s="3128">
        <v>0</v>
      </c>
      <c r="AI174" s="3129">
        <f t="shared" si="13"/>
        <v>110</v>
      </c>
      <c r="AJ174" s="3130">
        <f t="shared" si="14"/>
        <v>58.749197080291971</v>
      </c>
      <c r="AK174" s="3129">
        <f t="shared" si="15"/>
        <v>64.624116788321174</v>
      </c>
      <c r="AL174" s="3140" t="s">
        <v>141</v>
      </c>
      <c r="AM174" s="3132"/>
      <c r="AO174" s="2581"/>
    </row>
    <row r="175" spans="1:44" ht="95.25" customHeight="1">
      <c r="A175" s="3125">
        <v>161</v>
      </c>
      <c r="B175" s="3125">
        <v>22</v>
      </c>
      <c r="C175" s="3126" t="s">
        <v>2292</v>
      </c>
      <c r="D175" s="3126" t="s">
        <v>452</v>
      </c>
      <c r="E175" s="3128"/>
      <c r="F175" s="3128"/>
      <c r="G175" s="3128"/>
      <c r="H175" s="3128"/>
      <c r="I175" s="3128"/>
      <c r="J175" s="3128"/>
      <c r="K175" s="3128"/>
      <c r="L175" s="3128"/>
      <c r="M175" s="3128"/>
      <c r="N175" s="3128"/>
      <c r="O175" s="3128"/>
      <c r="P175" s="3128"/>
      <c r="Q175" s="3128"/>
      <c r="R175" s="3128"/>
      <c r="S175" s="3128"/>
      <c r="T175" s="3128"/>
      <c r="U175" s="3128"/>
      <c r="V175" s="3128"/>
      <c r="W175" s="3128"/>
      <c r="X175" s="3128"/>
      <c r="Y175" s="3128"/>
      <c r="Z175" s="3128"/>
      <c r="AA175" s="3128"/>
      <c r="AB175" s="3128"/>
      <c r="AC175" s="3128"/>
      <c r="AD175" s="3128"/>
      <c r="AE175" s="3128">
        <v>0</v>
      </c>
      <c r="AF175" s="3128">
        <v>9</v>
      </c>
      <c r="AG175" s="3128">
        <v>0</v>
      </c>
      <c r="AH175" s="3128">
        <v>0</v>
      </c>
      <c r="AI175" s="3129">
        <f t="shared" si="13"/>
        <v>9</v>
      </c>
      <c r="AJ175" s="3130">
        <f t="shared" si="14"/>
        <v>58.749197080291971</v>
      </c>
      <c r="AK175" s="3129">
        <f t="shared" si="15"/>
        <v>5.2874277372262775</v>
      </c>
      <c r="AL175" s="3140" t="s">
        <v>141</v>
      </c>
      <c r="AM175" s="3132"/>
      <c r="AO175" s="2581"/>
      <c r="AR175" s="2581"/>
    </row>
    <row r="176" spans="1:44" ht="95.25" customHeight="1">
      <c r="A176" s="3125">
        <v>162</v>
      </c>
      <c r="B176" s="3125">
        <v>23</v>
      </c>
      <c r="C176" s="3126" t="s">
        <v>2293</v>
      </c>
      <c r="D176" s="3126" t="s">
        <v>452</v>
      </c>
      <c r="E176" s="3128"/>
      <c r="F176" s="3128"/>
      <c r="G176" s="3128"/>
      <c r="H176" s="3128"/>
      <c r="I176" s="3128"/>
      <c r="J176" s="3128"/>
      <c r="K176" s="3128"/>
      <c r="L176" s="3128"/>
      <c r="M176" s="3128"/>
      <c r="N176" s="3128"/>
      <c r="O176" s="3128"/>
      <c r="P176" s="3128"/>
      <c r="Q176" s="3128"/>
      <c r="R176" s="3128"/>
      <c r="S176" s="3128"/>
      <c r="T176" s="3128"/>
      <c r="U176" s="3128"/>
      <c r="V176" s="3128"/>
      <c r="W176" s="3128"/>
      <c r="X176" s="3128"/>
      <c r="Y176" s="3128"/>
      <c r="Z176" s="3128"/>
      <c r="AA176" s="3128"/>
      <c r="AB176" s="3128"/>
      <c r="AC176" s="3128"/>
      <c r="AD176" s="3128"/>
      <c r="AE176" s="3128">
        <v>43</v>
      </c>
      <c r="AF176" s="3128">
        <v>20</v>
      </c>
      <c r="AG176" s="3128">
        <v>29</v>
      </c>
      <c r="AH176" s="3128">
        <v>0</v>
      </c>
      <c r="AI176" s="3129">
        <f t="shared" si="13"/>
        <v>92</v>
      </c>
      <c r="AJ176" s="3130">
        <f t="shared" si="14"/>
        <v>58.749197080291971</v>
      </c>
      <c r="AK176" s="3129">
        <f t="shared" si="15"/>
        <v>54.049261313868612</v>
      </c>
      <c r="AL176" s="3140" t="s">
        <v>141</v>
      </c>
      <c r="AM176" s="3132"/>
      <c r="AO176" s="2581"/>
    </row>
    <row r="177" spans="1:48" ht="95.25" customHeight="1">
      <c r="A177" s="3125">
        <v>163</v>
      </c>
      <c r="B177" s="3125">
        <v>24</v>
      </c>
      <c r="C177" s="3126" t="s">
        <v>1253</v>
      </c>
      <c r="D177" s="3126" t="s">
        <v>452</v>
      </c>
      <c r="E177" s="3128"/>
      <c r="F177" s="3128"/>
      <c r="G177" s="3128"/>
      <c r="H177" s="3128"/>
      <c r="I177" s="3128"/>
      <c r="J177" s="3128"/>
      <c r="K177" s="3128"/>
      <c r="L177" s="3128"/>
      <c r="M177" s="3128"/>
      <c r="N177" s="3128"/>
      <c r="O177" s="3128"/>
      <c r="P177" s="3128"/>
      <c r="Q177" s="3128"/>
      <c r="R177" s="3128"/>
      <c r="S177" s="3128"/>
      <c r="T177" s="3128"/>
      <c r="U177" s="3128"/>
      <c r="V177" s="3128"/>
      <c r="W177" s="3128"/>
      <c r="X177" s="3128"/>
      <c r="Y177" s="3128"/>
      <c r="Z177" s="3128"/>
      <c r="AA177" s="3128"/>
      <c r="AB177" s="3128"/>
      <c r="AC177" s="3128"/>
      <c r="AD177" s="3128"/>
      <c r="AE177" s="3128">
        <v>0</v>
      </c>
      <c r="AF177" s="3128">
        <v>0</v>
      </c>
      <c r="AG177" s="3128">
        <v>0</v>
      </c>
      <c r="AH177" s="3128">
        <v>0</v>
      </c>
      <c r="AI177" s="3129">
        <f t="shared" si="13"/>
        <v>0</v>
      </c>
      <c r="AJ177" s="3130">
        <f t="shared" si="14"/>
        <v>58.749197080291971</v>
      </c>
      <c r="AK177" s="3129">
        <f t="shared" si="15"/>
        <v>0</v>
      </c>
      <c r="AL177" s="3140" t="s">
        <v>141</v>
      </c>
      <c r="AM177" s="3132"/>
      <c r="AO177" s="2581"/>
    </row>
    <row r="178" spans="1:48" ht="95.25" customHeight="1">
      <c r="A178" s="3118" t="s">
        <v>1149</v>
      </c>
      <c r="B178" s="3831" t="s">
        <v>453</v>
      </c>
      <c r="C178" s="3831"/>
      <c r="D178" s="3831"/>
      <c r="E178" s="3175">
        <f>+SUBTOTAL(9,E179:E208)</f>
        <v>0</v>
      </c>
      <c r="F178" s="3175">
        <f t="shared" ref="F178:AI178" si="16">+SUBTOTAL(9,F179:F208)</f>
        <v>0</v>
      </c>
      <c r="G178" s="3175">
        <f t="shared" si="16"/>
        <v>0</v>
      </c>
      <c r="H178" s="3175">
        <f t="shared" si="16"/>
        <v>0</v>
      </c>
      <c r="I178" s="3175">
        <f t="shared" si="16"/>
        <v>0</v>
      </c>
      <c r="J178" s="3175">
        <f t="shared" si="16"/>
        <v>0</v>
      </c>
      <c r="K178" s="3175">
        <f t="shared" si="16"/>
        <v>0</v>
      </c>
      <c r="L178" s="3175">
        <f t="shared" si="16"/>
        <v>0</v>
      </c>
      <c r="M178" s="3175">
        <f t="shared" si="16"/>
        <v>0</v>
      </c>
      <c r="N178" s="3175">
        <f t="shared" si="16"/>
        <v>0</v>
      </c>
      <c r="O178" s="3175">
        <f t="shared" si="16"/>
        <v>0</v>
      </c>
      <c r="P178" s="3175">
        <f t="shared" si="16"/>
        <v>0</v>
      </c>
      <c r="Q178" s="3175">
        <f t="shared" si="16"/>
        <v>0</v>
      </c>
      <c r="R178" s="3175">
        <f t="shared" si="16"/>
        <v>0</v>
      </c>
      <c r="S178" s="3175">
        <f t="shared" si="16"/>
        <v>0</v>
      </c>
      <c r="T178" s="3175">
        <f t="shared" si="16"/>
        <v>0</v>
      </c>
      <c r="U178" s="3175">
        <f t="shared" si="16"/>
        <v>0</v>
      </c>
      <c r="V178" s="3175">
        <f t="shared" si="16"/>
        <v>0</v>
      </c>
      <c r="W178" s="3175">
        <f t="shared" si="16"/>
        <v>0</v>
      </c>
      <c r="X178" s="3175">
        <f t="shared" si="16"/>
        <v>0</v>
      </c>
      <c r="Y178" s="3175">
        <f t="shared" si="16"/>
        <v>0</v>
      </c>
      <c r="Z178" s="3175">
        <f t="shared" si="16"/>
        <v>0</v>
      </c>
      <c r="AA178" s="3175">
        <f t="shared" si="16"/>
        <v>0</v>
      </c>
      <c r="AB178" s="3175">
        <f t="shared" si="16"/>
        <v>0</v>
      </c>
      <c r="AC178" s="3175">
        <f t="shared" si="16"/>
        <v>0</v>
      </c>
      <c r="AD178" s="3175">
        <f t="shared" si="16"/>
        <v>987</v>
      </c>
      <c r="AE178" s="3175">
        <f t="shared" si="16"/>
        <v>974</v>
      </c>
      <c r="AF178" s="3175">
        <f t="shared" si="16"/>
        <v>765</v>
      </c>
      <c r="AG178" s="3175">
        <f t="shared" si="16"/>
        <v>516</v>
      </c>
      <c r="AH178" s="3175">
        <f t="shared" si="16"/>
        <v>0</v>
      </c>
      <c r="AI178" s="3175">
        <f t="shared" si="16"/>
        <v>3242</v>
      </c>
      <c r="AJ178" s="3068"/>
      <c r="AK178" s="3122">
        <f>+SUM(AK179:AK208)</f>
        <v>1904.6489693430658</v>
      </c>
      <c r="AL178" s="3121"/>
      <c r="AM178" s="3151"/>
      <c r="AP178" s="3019"/>
      <c r="AQ178" s="3019"/>
      <c r="AR178" s="3296">
        <v>3242</v>
      </c>
      <c r="AS178" s="3296">
        <v>1904.6489693430658</v>
      </c>
      <c r="AT178" s="3296">
        <f>+AS178/AR178</f>
        <v>0.58749197080291971</v>
      </c>
      <c r="AU178" s="3019"/>
      <c r="AV178" s="3024" t="e">
        <f>+AT178/AP178</f>
        <v>#DIV/0!</v>
      </c>
    </row>
    <row r="179" spans="1:48" ht="95.25" customHeight="1">
      <c r="A179" s="3125">
        <v>164</v>
      </c>
      <c r="B179" s="3125">
        <v>1</v>
      </c>
      <c r="C179" s="3127" t="s">
        <v>1216</v>
      </c>
      <c r="D179" s="3152" t="s">
        <v>453</v>
      </c>
      <c r="E179" s="3128"/>
      <c r="F179" s="3128"/>
      <c r="G179" s="3128"/>
      <c r="H179" s="3128"/>
      <c r="I179" s="3128"/>
      <c r="J179" s="3128"/>
      <c r="K179" s="3128"/>
      <c r="L179" s="3128"/>
      <c r="M179" s="3128"/>
      <c r="N179" s="3128"/>
      <c r="O179" s="3128"/>
      <c r="P179" s="3128"/>
      <c r="Q179" s="3128"/>
      <c r="R179" s="3128"/>
      <c r="S179" s="3128"/>
      <c r="T179" s="3128"/>
      <c r="U179" s="3128"/>
      <c r="V179" s="3128"/>
      <c r="W179" s="3128"/>
      <c r="X179" s="3128"/>
      <c r="Y179" s="3128"/>
      <c r="Z179" s="3128"/>
      <c r="AA179" s="3128"/>
      <c r="AB179" s="3128"/>
      <c r="AC179" s="3128"/>
      <c r="AD179" s="3128"/>
      <c r="AE179" s="3128">
        <v>26</v>
      </c>
      <c r="AF179" s="3128"/>
      <c r="AG179" s="3128"/>
      <c r="AH179" s="3128"/>
      <c r="AI179" s="3129">
        <f>+SUM(E179:AH179)</f>
        <v>26</v>
      </c>
      <c r="AJ179" s="3130">
        <f>+$AT$178*100</f>
        <v>58.749197080291971</v>
      </c>
      <c r="AK179" s="3129">
        <f>+AI179*$AT$178</f>
        <v>15.274791240875912</v>
      </c>
      <c r="AL179" s="3152" t="s">
        <v>141</v>
      </c>
      <c r="AM179" s="3153"/>
      <c r="AN179" s="2581"/>
    </row>
    <row r="180" spans="1:48" ht="95.25" customHeight="1">
      <c r="A180" s="3125">
        <v>165</v>
      </c>
      <c r="B180" s="3125">
        <v>2</v>
      </c>
      <c r="C180" s="3127" t="s">
        <v>351</v>
      </c>
      <c r="D180" s="3152" t="s">
        <v>453</v>
      </c>
      <c r="E180" s="3128"/>
      <c r="F180" s="3128"/>
      <c r="G180" s="3128"/>
      <c r="H180" s="3128"/>
      <c r="I180" s="3128"/>
      <c r="J180" s="3128"/>
      <c r="K180" s="3128"/>
      <c r="L180" s="3128"/>
      <c r="M180" s="3128"/>
      <c r="N180" s="3128"/>
      <c r="O180" s="3128"/>
      <c r="P180" s="3128"/>
      <c r="Q180" s="3128"/>
      <c r="R180" s="3128"/>
      <c r="S180" s="3128"/>
      <c r="T180" s="3128"/>
      <c r="U180" s="3128"/>
      <c r="V180" s="3128"/>
      <c r="W180" s="3128"/>
      <c r="X180" s="3128"/>
      <c r="Y180" s="3128"/>
      <c r="Z180" s="3128"/>
      <c r="AA180" s="3128"/>
      <c r="AB180" s="3128"/>
      <c r="AC180" s="3128"/>
      <c r="AD180" s="3128">
        <v>13</v>
      </c>
      <c r="AE180" s="3128"/>
      <c r="AF180" s="3128">
        <v>17</v>
      </c>
      <c r="AG180" s="3128"/>
      <c r="AH180" s="3128"/>
      <c r="AI180" s="3129">
        <f t="shared" ref="AI180:AI208" si="17">+SUM(E180:AH180)</f>
        <v>30</v>
      </c>
      <c r="AJ180" s="3130">
        <f t="shared" ref="AJ180:AJ208" si="18">+$AT$178*100</f>
        <v>58.749197080291971</v>
      </c>
      <c r="AK180" s="3129">
        <f t="shared" ref="AK180:AK208" si="19">+AI180*$AT$178</f>
        <v>17.624759124087593</v>
      </c>
      <c r="AL180" s="3152" t="s">
        <v>138</v>
      </c>
      <c r="AM180" s="3132"/>
      <c r="AT180" s="3154"/>
    </row>
    <row r="181" spans="1:48" ht="95.25" customHeight="1">
      <c r="A181" s="3125">
        <v>166</v>
      </c>
      <c r="B181" s="3125">
        <v>3</v>
      </c>
      <c r="C181" s="3127" t="s">
        <v>334</v>
      </c>
      <c r="D181" s="3152" t="s">
        <v>453</v>
      </c>
      <c r="E181" s="3128"/>
      <c r="F181" s="3128"/>
      <c r="G181" s="3128"/>
      <c r="H181" s="3128"/>
      <c r="I181" s="3128"/>
      <c r="J181" s="3128"/>
      <c r="K181" s="3128"/>
      <c r="L181" s="3128"/>
      <c r="M181" s="3128"/>
      <c r="N181" s="3128"/>
      <c r="O181" s="3128"/>
      <c r="P181" s="3128"/>
      <c r="Q181" s="3128"/>
      <c r="R181" s="3128"/>
      <c r="S181" s="3128"/>
      <c r="T181" s="3128"/>
      <c r="U181" s="3128"/>
      <c r="V181" s="3128"/>
      <c r="W181" s="3128"/>
      <c r="X181" s="3128"/>
      <c r="Y181" s="3128"/>
      <c r="Z181" s="3128"/>
      <c r="AA181" s="3128"/>
      <c r="AB181" s="3128"/>
      <c r="AC181" s="3128"/>
      <c r="AD181" s="3128">
        <v>75</v>
      </c>
      <c r="AE181" s="3128">
        <v>72</v>
      </c>
      <c r="AF181" s="3128">
        <v>83</v>
      </c>
      <c r="AG181" s="3128">
        <v>10</v>
      </c>
      <c r="AH181" s="3128"/>
      <c r="AI181" s="3129">
        <f t="shared" si="17"/>
        <v>240</v>
      </c>
      <c r="AJ181" s="3130">
        <f t="shared" si="18"/>
        <v>58.749197080291971</v>
      </c>
      <c r="AK181" s="3129">
        <f t="shared" si="19"/>
        <v>140.99807299270074</v>
      </c>
      <c r="AL181" s="3152" t="s">
        <v>141</v>
      </c>
      <c r="AM181" s="3132"/>
      <c r="AQ181" s="3106" t="s">
        <v>141</v>
      </c>
      <c r="AR181" s="3106">
        <f>+COUNTIF($AL$179:$AL$208,"A")</f>
        <v>20</v>
      </c>
    </row>
    <row r="182" spans="1:48" ht="95.25" customHeight="1">
      <c r="A182" s="3125">
        <v>167</v>
      </c>
      <c r="B182" s="3125">
        <v>4</v>
      </c>
      <c r="C182" s="3127" t="s">
        <v>1218</v>
      </c>
      <c r="D182" s="3152" t="s">
        <v>453</v>
      </c>
      <c r="E182" s="3128"/>
      <c r="F182" s="3128"/>
      <c r="G182" s="3128"/>
      <c r="H182" s="3128"/>
      <c r="I182" s="3128"/>
      <c r="J182" s="3128"/>
      <c r="K182" s="3128"/>
      <c r="L182" s="3128"/>
      <c r="M182" s="3128"/>
      <c r="N182" s="3128"/>
      <c r="O182" s="3128"/>
      <c r="P182" s="3128"/>
      <c r="Q182" s="3128"/>
      <c r="R182" s="3128"/>
      <c r="S182" s="3128"/>
      <c r="T182" s="3128"/>
      <c r="U182" s="3128"/>
      <c r="V182" s="3128"/>
      <c r="W182" s="3128"/>
      <c r="X182" s="3128"/>
      <c r="Y182" s="3128"/>
      <c r="Z182" s="3128"/>
      <c r="AA182" s="3128"/>
      <c r="AB182" s="3128"/>
      <c r="AC182" s="3128"/>
      <c r="AD182" s="3128">
        <v>44</v>
      </c>
      <c r="AE182" s="3128"/>
      <c r="AF182" s="3128">
        <v>88</v>
      </c>
      <c r="AG182" s="3128">
        <v>8</v>
      </c>
      <c r="AH182" s="3128"/>
      <c r="AI182" s="3129">
        <f t="shared" si="17"/>
        <v>140</v>
      </c>
      <c r="AJ182" s="3130">
        <f t="shared" si="18"/>
        <v>58.749197080291971</v>
      </c>
      <c r="AK182" s="3129">
        <f t="shared" si="19"/>
        <v>82.248875912408764</v>
      </c>
      <c r="AL182" s="3152" t="s">
        <v>141</v>
      </c>
      <c r="AM182" s="3132"/>
      <c r="AQ182" s="3106" t="s">
        <v>138</v>
      </c>
      <c r="AR182" s="3106">
        <f>+COUNTIF($AL$179:$AL$208,"B")</f>
        <v>10</v>
      </c>
    </row>
    <row r="183" spans="1:48" ht="95.25" customHeight="1">
      <c r="A183" s="3125">
        <v>168</v>
      </c>
      <c r="B183" s="3125">
        <v>5</v>
      </c>
      <c r="C183" s="3127" t="s">
        <v>1517</v>
      </c>
      <c r="D183" s="3152" t="s">
        <v>453</v>
      </c>
      <c r="E183" s="3128"/>
      <c r="F183" s="3128"/>
      <c r="G183" s="3128"/>
      <c r="H183" s="3128"/>
      <c r="I183" s="3128"/>
      <c r="J183" s="3128"/>
      <c r="K183" s="3128"/>
      <c r="L183" s="3128"/>
      <c r="M183" s="3128"/>
      <c r="N183" s="3128"/>
      <c r="O183" s="3128"/>
      <c r="P183" s="3128"/>
      <c r="Q183" s="3128"/>
      <c r="R183" s="3128"/>
      <c r="S183" s="3128"/>
      <c r="T183" s="3128"/>
      <c r="U183" s="3128"/>
      <c r="V183" s="3128"/>
      <c r="W183" s="3128"/>
      <c r="X183" s="3128"/>
      <c r="Y183" s="3128"/>
      <c r="Z183" s="3128"/>
      <c r="AA183" s="3128"/>
      <c r="AB183" s="3128"/>
      <c r="AC183" s="3128"/>
      <c r="AD183" s="3128"/>
      <c r="AE183" s="3128"/>
      <c r="AF183" s="3128">
        <v>8</v>
      </c>
      <c r="AG183" s="3128"/>
      <c r="AH183" s="3128"/>
      <c r="AI183" s="3129">
        <f t="shared" si="17"/>
        <v>8</v>
      </c>
      <c r="AJ183" s="3130">
        <f t="shared" si="18"/>
        <v>58.749197080291971</v>
      </c>
      <c r="AK183" s="3129">
        <f t="shared" si="19"/>
        <v>4.6999357664233576</v>
      </c>
      <c r="AL183" s="3152" t="s">
        <v>138</v>
      </c>
      <c r="AM183" s="3132"/>
      <c r="AQ183" s="3106" t="s">
        <v>168</v>
      </c>
      <c r="AR183" s="3106">
        <f>+COUNTIF($AL$179:$AL$208,"C")</f>
        <v>0</v>
      </c>
    </row>
    <row r="184" spans="1:48" ht="95.25" customHeight="1">
      <c r="A184" s="3125">
        <v>169</v>
      </c>
      <c r="B184" s="3125">
        <v>6</v>
      </c>
      <c r="C184" s="3127" t="s">
        <v>1217</v>
      </c>
      <c r="D184" s="3152" t="s">
        <v>453</v>
      </c>
      <c r="E184" s="3128"/>
      <c r="F184" s="3128"/>
      <c r="G184" s="3128"/>
      <c r="H184" s="3128"/>
      <c r="I184" s="3128"/>
      <c r="J184" s="3128"/>
      <c r="K184" s="3128"/>
      <c r="L184" s="3128"/>
      <c r="M184" s="3128"/>
      <c r="N184" s="3128"/>
      <c r="O184" s="3128"/>
      <c r="P184" s="3128"/>
      <c r="Q184" s="3128"/>
      <c r="R184" s="3128"/>
      <c r="S184" s="3128"/>
      <c r="T184" s="3128"/>
      <c r="U184" s="3128"/>
      <c r="V184" s="3128"/>
      <c r="W184" s="3128"/>
      <c r="X184" s="3128"/>
      <c r="Y184" s="3128"/>
      <c r="Z184" s="3128"/>
      <c r="AA184" s="3128"/>
      <c r="AB184" s="3128"/>
      <c r="AC184" s="3128"/>
      <c r="AD184" s="3128">
        <v>9</v>
      </c>
      <c r="AE184" s="3128"/>
      <c r="AF184" s="3128"/>
      <c r="AG184" s="3128"/>
      <c r="AH184" s="3128"/>
      <c r="AI184" s="3129">
        <f t="shared" si="17"/>
        <v>9</v>
      </c>
      <c r="AJ184" s="3130">
        <f t="shared" si="18"/>
        <v>58.749197080291971</v>
      </c>
      <c r="AK184" s="3129">
        <f t="shared" si="19"/>
        <v>5.2874277372262775</v>
      </c>
      <c r="AL184" s="3152" t="s">
        <v>141</v>
      </c>
      <c r="AM184" s="3132"/>
    </row>
    <row r="185" spans="1:48" ht="95.25" customHeight="1">
      <c r="A185" s="3125">
        <v>170</v>
      </c>
      <c r="B185" s="3125">
        <v>7</v>
      </c>
      <c r="C185" s="3127" t="s">
        <v>1545</v>
      </c>
      <c r="D185" s="3152" t="s">
        <v>453</v>
      </c>
      <c r="E185" s="3128"/>
      <c r="F185" s="3128"/>
      <c r="G185" s="3128"/>
      <c r="H185" s="3128"/>
      <c r="I185" s="3128"/>
      <c r="J185" s="3128"/>
      <c r="K185" s="3128"/>
      <c r="L185" s="3128"/>
      <c r="M185" s="3128"/>
      <c r="N185" s="3128"/>
      <c r="O185" s="3128"/>
      <c r="P185" s="3128"/>
      <c r="Q185" s="3128"/>
      <c r="R185" s="3128"/>
      <c r="S185" s="3128"/>
      <c r="T185" s="3128"/>
      <c r="U185" s="3128"/>
      <c r="V185" s="3128"/>
      <c r="W185" s="3128"/>
      <c r="X185" s="3128"/>
      <c r="Y185" s="3128"/>
      <c r="Z185" s="3128"/>
      <c r="AA185" s="3128"/>
      <c r="AB185" s="3128"/>
      <c r="AC185" s="3128"/>
      <c r="AD185" s="3128">
        <v>9</v>
      </c>
      <c r="AE185" s="3128"/>
      <c r="AF185" s="3128"/>
      <c r="AG185" s="3128"/>
      <c r="AH185" s="3128"/>
      <c r="AI185" s="3129">
        <f t="shared" si="17"/>
        <v>9</v>
      </c>
      <c r="AJ185" s="3130">
        <f t="shared" si="18"/>
        <v>58.749197080291971</v>
      </c>
      <c r="AK185" s="3129">
        <f t="shared" si="19"/>
        <v>5.2874277372262775</v>
      </c>
      <c r="AL185" s="3152" t="s">
        <v>138</v>
      </c>
      <c r="AM185" s="3132"/>
    </row>
    <row r="186" spans="1:48" ht="95.25" customHeight="1">
      <c r="A186" s="3125">
        <v>171</v>
      </c>
      <c r="B186" s="3125">
        <v>8</v>
      </c>
      <c r="C186" s="3127" t="s">
        <v>152</v>
      </c>
      <c r="D186" s="3152" t="s">
        <v>453</v>
      </c>
      <c r="E186" s="3128"/>
      <c r="F186" s="3128"/>
      <c r="G186" s="3128"/>
      <c r="H186" s="3128"/>
      <c r="I186" s="3128"/>
      <c r="J186" s="3128"/>
      <c r="K186" s="3128"/>
      <c r="L186" s="3128"/>
      <c r="M186" s="3128"/>
      <c r="N186" s="3128"/>
      <c r="O186" s="3128"/>
      <c r="P186" s="3128"/>
      <c r="Q186" s="3128"/>
      <c r="R186" s="3128"/>
      <c r="S186" s="3128"/>
      <c r="T186" s="3128"/>
      <c r="U186" s="3128"/>
      <c r="V186" s="3128"/>
      <c r="W186" s="3128"/>
      <c r="X186" s="3128"/>
      <c r="Y186" s="3128"/>
      <c r="Z186" s="3128"/>
      <c r="AA186" s="3128"/>
      <c r="AB186" s="3128"/>
      <c r="AC186" s="3128"/>
      <c r="AD186" s="3128"/>
      <c r="AE186" s="3128">
        <v>36</v>
      </c>
      <c r="AF186" s="3128"/>
      <c r="AG186" s="3128"/>
      <c r="AH186" s="3128"/>
      <c r="AI186" s="3129">
        <f t="shared" si="17"/>
        <v>36</v>
      </c>
      <c r="AJ186" s="3130">
        <f t="shared" si="18"/>
        <v>58.749197080291971</v>
      </c>
      <c r="AK186" s="3129">
        <f t="shared" si="19"/>
        <v>21.14971094890511</v>
      </c>
      <c r="AL186" s="3152" t="s">
        <v>138</v>
      </c>
      <c r="AM186" s="3132"/>
    </row>
    <row r="187" spans="1:48" ht="95.25" customHeight="1">
      <c r="A187" s="3125">
        <v>172</v>
      </c>
      <c r="B187" s="3125">
        <v>9</v>
      </c>
      <c r="C187" s="3127" t="s">
        <v>571</v>
      </c>
      <c r="D187" s="3152" t="s">
        <v>453</v>
      </c>
      <c r="E187" s="3128"/>
      <c r="F187" s="3128"/>
      <c r="G187" s="3128"/>
      <c r="H187" s="3128"/>
      <c r="I187" s="3128"/>
      <c r="J187" s="3128"/>
      <c r="K187" s="3128"/>
      <c r="L187" s="3128"/>
      <c r="M187" s="3128"/>
      <c r="N187" s="3128"/>
      <c r="O187" s="3128"/>
      <c r="P187" s="3128"/>
      <c r="Q187" s="3128"/>
      <c r="R187" s="3128"/>
      <c r="S187" s="3128"/>
      <c r="T187" s="3128"/>
      <c r="U187" s="3128"/>
      <c r="V187" s="3128"/>
      <c r="W187" s="3128"/>
      <c r="X187" s="3128"/>
      <c r="Y187" s="3128"/>
      <c r="Z187" s="3128"/>
      <c r="AA187" s="3128"/>
      <c r="AB187" s="3128"/>
      <c r="AC187" s="3128"/>
      <c r="AD187" s="3128"/>
      <c r="AE187" s="3128">
        <v>109</v>
      </c>
      <c r="AF187" s="3128"/>
      <c r="AG187" s="3128"/>
      <c r="AH187" s="3128"/>
      <c r="AI187" s="3129">
        <f t="shared" si="17"/>
        <v>109</v>
      </c>
      <c r="AJ187" s="3130">
        <f t="shared" si="18"/>
        <v>58.749197080291971</v>
      </c>
      <c r="AK187" s="3129">
        <f t="shared" si="19"/>
        <v>64.036624817518245</v>
      </c>
      <c r="AL187" s="3152" t="s">
        <v>141</v>
      </c>
      <c r="AM187" s="3132"/>
    </row>
    <row r="188" spans="1:48" ht="95.25" customHeight="1">
      <c r="A188" s="3125">
        <v>173</v>
      </c>
      <c r="B188" s="3125">
        <v>10</v>
      </c>
      <c r="C188" s="3127" t="s">
        <v>1219</v>
      </c>
      <c r="D188" s="3152" t="s">
        <v>453</v>
      </c>
      <c r="E188" s="3128"/>
      <c r="F188" s="3128"/>
      <c r="G188" s="3128"/>
      <c r="H188" s="3128"/>
      <c r="I188" s="3128"/>
      <c r="J188" s="3128"/>
      <c r="K188" s="3128"/>
      <c r="L188" s="3128"/>
      <c r="M188" s="3128"/>
      <c r="N188" s="3128"/>
      <c r="O188" s="3128"/>
      <c r="P188" s="3128"/>
      <c r="Q188" s="3128"/>
      <c r="R188" s="3128"/>
      <c r="S188" s="3128"/>
      <c r="T188" s="3128"/>
      <c r="U188" s="3128"/>
      <c r="V188" s="3128"/>
      <c r="W188" s="3128"/>
      <c r="X188" s="3128"/>
      <c r="Y188" s="3128"/>
      <c r="Z188" s="3128"/>
      <c r="AA188" s="3128"/>
      <c r="AB188" s="3128"/>
      <c r="AC188" s="3128"/>
      <c r="AD188" s="3128">
        <v>63</v>
      </c>
      <c r="AE188" s="3128"/>
      <c r="AF188" s="3128"/>
      <c r="AG188" s="3128"/>
      <c r="AH188" s="3128"/>
      <c r="AI188" s="3129">
        <f t="shared" si="17"/>
        <v>63</v>
      </c>
      <c r="AJ188" s="3130">
        <f t="shared" si="18"/>
        <v>58.749197080291971</v>
      </c>
      <c r="AK188" s="3129">
        <f t="shared" si="19"/>
        <v>37.011994160583939</v>
      </c>
      <c r="AL188" s="3152" t="s">
        <v>141</v>
      </c>
      <c r="AM188" s="3132"/>
    </row>
    <row r="189" spans="1:48" ht="95.25" customHeight="1">
      <c r="A189" s="3125">
        <v>174</v>
      </c>
      <c r="B189" s="3125">
        <v>11</v>
      </c>
      <c r="C189" s="3127" t="s">
        <v>853</v>
      </c>
      <c r="D189" s="3152" t="s">
        <v>453</v>
      </c>
      <c r="E189" s="3128"/>
      <c r="F189" s="3128"/>
      <c r="G189" s="3128"/>
      <c r="H189" s="3128"/>
      <c r="I189" s="3128"/>
      <c r="J189" s="3128"/>
      <c r="K189" s="3128"/>
      <c r="L189" s="3128"/>
      <c r="M189" s="3128"/>
      <c r="N189" s="3128"/>
      <c r="O189" s="3128"/>
      <c r="P189" s="3128"/>
      <c r="Q189" s="3128"/>
      <c r="R189" s="3128"/>
      <c r="S189" s="3128"/>
      <c r="T189" s="3128"/>
      <c r="U189" s="3128"/>
      <c r="V189" s="3128"/>
      <c r="W189" s="3128"/>
      <c r="X189" s="3128"/>
      <c r="Y189" s="3128"/>
      <c r="Z189" s="3128"/>
      <c r="AA189" s="3128"/>
      <c r="AB189" s="3128"/>
      <c r="AC189" s="3128"/>
      <c r="AD189" s="3128"/>
      <c r="AE189" s="3128">
        <v>33</v>
      </c>
      <c r="AF189" s="3128"/>
      <c r="AG189" s="3128"/>
      <c r="AH189" s="3128"/>
      <c r="AI189" s="3129">
        <f t="shared" si="17"/>
        <v>33</v>
      </c>
      <c r="AJ189" s="3130">
        <f t="shared" si="18"/>
        <v>58.749197080291971</v>
      </c>
      <c r="AK189" s="3129">
        <f t="shared" si="19"/>
        <v>19.387235036496349</v>
      </c>
      <c r="AL189" s="3152" t="s">
        <v>138</v>
      </c>
      <c r="AM189" s="3132"/>
    </row>
    <row r="190" spans="1:48" ht="95.25" customHeight="1">
      <c r="A190" s="3125">
        <v>175</v>
      </c>
      <c r="B190" s="3125">
        <v>12</v>
      </c>
      <c r="C190" s="3127" t="s">
        <v>1220</v>
      </c>
      <c r="D190" s="3152" t="s">
        <v>453</v>
      </c>
      <c r="E190" s="3128"/>
      <c r="F190" s="3128"/>
      <c r="G190" s="3128"/>
      <c r="H190" s="3128"/>
      <c r="I190" s="3128"/>
      <c r="J190" s="3128"/>
      <c r="K190" s="3128"/>
      <c r="L190" s="3128"/>
      <c r="M190" s="3128"/>
      <c r="N190" s="3128"/>
      <c r="O190" s="3128"/>
      <c r="P190" s="3128"/>
      <c r="Q190" s="3128"/>
      <c r="R190" s="3128"/>
      <c r="S190" s="3128"/>
      <c r="T190" s="3128"/>
      <c r="U190" s="3128"/>
      <c r="V190" s="3128"/>
      <c r="W190" s="3128"/>
      <c r="X190" s="3128"/>
      <c r="Y190" s="3128"/>
      <c r="Z190" s="3128"/>
      <c r="AA190" s="3128"/>
      <c r="AB190" s="3128"/>
      <c r="AC190" s="3128"/>
      <c r="AD190" s="3128">
        <v>47</v>
      </c>
      <c r="AE190" s="3128">
        <v>52</v>
      </c>
      <c r="AF190" s="3128">
        <v>10</v>
      </c>
      <c r="AG190" s="3128"/>
      <c r="AH190" s="3128"/>
      <c r="AI190" s="3129">
        <f t="shared" si="17"/>
        <v>109</v>
      </c>
      <c r="AJ190" s="3130">
        <f t="shared" si="18"/>
        <v>58.749197080291971</v>
      </c>
      <c r="AK190" s="3129">
        <f t="shared" si="19"/>
        <v>64.036624817518245</v>
      </c>
      <c r="AL190" s="3152" t="s">
        <v>141</v>
      </c>
      <c r="AM190" s="3132"/>
    </row>
    <row r="191" spans="1:48" ht="95.25" customHeight="1">
      <c r="A191" s="3125">
        <v>176</v>
      </c>
      <c r="B191" s="3125">
        <v>13</v>
      </c>
      <c r="C191" s="3127" t="s">
        <v>1221</v>
      </c>
      <c r="D191" s="3152" t="s">
        <v>453</v>
      </c>
      <c r="E191" s="3128"/>
      <c r="F191" s="3128"/>
      <c r="G191" s="3128"/>
      <c r="H191" s="3128"/>
      <c r="I191" s="3128"/>
      <c r="J191" s="3128"/>
      <c r="K191" s="3128"/>
      <c r="L191" s="3128"/>
      <c r="M191" s="3128"/>
      <c r="N191" s="3128"/>
      <c r="O191" s="3128"/>
      <c r="P191" s="3128"/>
      <c r="Q191" s="3128"/>
      <c r="R191" s="3128"/>
      <c r="S191" s="3128"/>
      <c r="T191" s="3128"/>
      <c r="U191" s="3128"/>
      <c r="V191" s="3128"/>
      <c r="W191" s="3128"/>
      <c r="X191" s="3128"/>
      <c r="Y191" s="3128"/>
      <c r="Z191" s="3128"/>
      <c r="AA191" s="3128"/>
      <c r="AB191" s="3128"/>
      <c r="AC191" s="3128"/>
      <c r="AD191" s="3128">
        <v>45</v>
      </c>
      <c r="AE191" s="3128"/>
      <c r="AF191" s="3128">
        <v>29</v>
      </c>
      <c r="AG191" s="3128"/>
      <c r="AH191" s="3128"/>
      <c r="AI191" s="3129">
        <f t="shared" si="17"/>
        <v>74</v>
      </c>
      <c r="AJ191" s="3130">
        <f t="shared" si="18"/>
        <v>58.749197080291971</v>
      </c>
      <c r="AK191" s="3129">
        <f t="shared" si="19"/>
        <v>43.474405839416058</v>
      </c>
      <c r="AL191" s="3152" t="s">
        <v>141</v>
      </c>
      <c r="AM191" s="3132"/>
    </row>
    <row r="192" spans="1:48" ht="95.25" customHeight="1">
      <c r="A192" s="3125">
        <v>177</v>
      </c>
      <c r="B192" s="3125">
        <v>14</v>
      </c>
      <c r="C192" s="3127" t="s">
        <v>1222</v>
      </c>
      <c r="D192" s="3152" t="s">
        <v>453</v>
      </c>
      <c r="E192" s="3128"/>
      <c r="F192" s="3128"/>
      <c r="G192" s="3128"/>
      <c r="H192" s="3128"/>
      <c r="I192" s="3128"/>
      <c r="J192" s="3128"/>
      <c r="K192" s="3128"/>
      <c r="L192" s="3128"/>
      <c r="M192" s="3128"/>
      <c r="N192" s="3128"/>
      <c r="O192" s="3128"/>
      <c r="P192" s="3128"/>
      <c r="Q192" s="3128"/>
      <c r="R192" s="3128"/>
      <c r="S192" s="3128"/>
      <c r="T192" s="3128"/>
      <c r="U192" s="3128"/>
      <c r="V192" s="3128"/>
      <c r="W192" s="3128"/>
      <c r="X192" s="3128"/>
      <c r="Y192" s="3128"/>
      <c r="Z192" s="3128"/>
      <c r="AA192" s="3128"/>
      <c r="AB192" s="3128"/>
      <c r="AC192" s="3128"/>
      <c r="AD192" s="3128"/>
      <c r="AE192" s="3128">
        <v>39</v>
      </c>
      <c r="AF192" s="3128"/>
      <c r="AG192" s="3128"/>
      <c r="AH192" s="3128"/>
      <c r="AI192" s="3129">
        <f t="shared" si="17"/>
        <v>39</v>
      </c>
      <c r="AJ192" s="3130">
        <f t="shared" si="18"/>
        <v>58.749197080291971</v>
      </c>
      <c r="AK192" s="3129">
        <f t="shared" si="19"/>
        <v>22.91218686131387</v>
      </c>
      <c r="AL192" s="3152" t="s">
        <v>138</v>
      </c>
      <c r="AM192" s="3132"/>
    </row>
    <row r="193" spans="1:39" ht="95.25" customHeight="1">
      <c r="A193" s="3125">
        <v>178</v>
      </c>
      <c r="B193" s="3125">
        <v>15</v>
      </c>
      <c r="C193" s="3127" t="s">
        <v>1223</v>
      </c>
      <c r="D193" s="3152" t="s">
        <v>453</v>
      </c>
      <c r="E193" s="3128"/>
      <c r="F193" s="3128"/>
      <c r="G193" s="3128"/>
      <c r="H193" s="3128"/>
      <c r="I193" s="3128"/>
      <c r="J193" s="3128"/>
      <c r="K193" s="3128"/>
      <c r="L193" s="3128"/>
      <c r="M193" s="3128"/>
      <c r="N193" s="3128"/>
      <c r="O193" s="3128"/>
      <c r="P193" s="3128"/>
      <c r="Q193" s="3128"/>
      <c r="R193" s="3128"/>
      <c r="S193" s="3128"/>
      <c r="T193" s="3128"/>
      <c r="U193" s="3128"/>
      <c r="V193" s="3128"/>
      <c r="W193" s="3128"/>
      <c r="X193" s="3128"/>
      <c r="Y193" s="3128"/>
      <c r="Z193" s="3128"/>
      <c r="AA193" s="3128"/>
      <c r="AB193" s="3128"/>
      <c r="AC193" s="3128"/>
      <c r="AD193" s="3128">
        <v>24</v>
      </c>
      <c r="AE193" s="3128">
        <v>26</v>
      </c>
      <c r="AF193" s="3128"/>
      <c r="AG193" s="3128"/>
      <c r="AH193" s="3128"/>
      <c r="AI193" s="3129">
        <f t="shared" si="17"/>
        <v>50</v>
      </c>
      <c r="AJ193" s="3130">
        <f t="shared" si="18"/>
        <v>58.749197080291971</v>
      </c>
      <c r="AK193" s="3129">
        <f t="shared" si="19"/>
        <v>29.374598540145985</v>
      </c>
      <c r="AL193" s="3152" t="s">
        <v>141</v>
      </c>
      <c r="AM193" s="3132"/>
    </row>
    <row r="194" spans="1:39" ht="95.25" customHeight="1">
      <c r="A194" s="3125">
        <v>179</v>
      </c>
      <c r="B194" s="3125">
        <v>16</v>
      </c>
      <c r="C194" s="3127" t="s">
        <v>1224</v>
      </c>
      <c r="D194" s="3152" t="s">
        <v>453</v>
      </c>
      <c r="E194" s="3128"/>
      <c r="F194" s="3128"/>
      <c r="G194" s="3128"/>
      <c r="H194" s="3128"/>
      <c r="I194" s="3128"/>
      <c r="J194" s="3128"/>
      <c r="K194" s="3128"/>
      <c r="L194" s="3128"/>
      <c r="M194" s="3128"/>
      <c r="N194" s="3128"/>
      <c r="O194" s="3128"/>
      <c r="P194" s="3128"/>
      <c r="Q194" s="3128"/>
      <c r="R194" s="3128"/>
      <c r="S194" s="3128"/>
      <c r="T194" s="3128"/>
      <c r="U194" s="3128"/>
      <c r="V194" s="3128"/>
      <c r="W194" s="3128"/>
      <c r="X194" s="3128"/>
      <c r="Y194" s="3128"/>
      <c r="Z194" s="3128"/>
      <c r="AA194" s="3128"/>
      <c r="AB194" s="3128"/>
      <c r="AC194" s="3128"/>
      <c r="AD194" s="3128">
        <v>22</v>
      </c>
      <c r="AE194" s="3128">
        <v>62</v>
      </c>
      <c r="AF194" s="3128"/>
      <c r="AG194" s="3128"/>
      <c r="AH194" s="3128"/>
      <c r="AI194" s="3129">
        <f t="shared" si="17"/>
        <v>84</v>
      </c>
      <c r="AJ194" s="3130">
        <f t="shared" si="18"/>
        <v>58.749197080291971</v>
      </c>
      <c r="AK194" s="3129">
        <f t="shared" si="19"/>
        <v>49.349325547445254</v>
      </c>
      <c r="AL194" s="3152" t="s">
        <v>141</v>
      </c>
      <c r="AM194" s="3132"/>
    </row>
    <row r="195" spans="1:39" ht="95.25" customHeight="1">
      <c r="A195" s="3125">
        <v>180</v>
      </c>
      <c r="B195" s="3125">
        <v>17</v>
      </c>
      <c r="C195" s="3127" t="s">
        <v>1546</v>
      </c>
      <c r="D195" s="3152" t="s">
        <v>453</v>
      </c>
      <c r="E195" s="3128"/>
      <c r="F195" s="3128"/>
      <c r="G195" s="3128"/>
      <c r="H195" s="3128"/>
      <c r="I195" s="3128"/>
      <c r="J195" s="3128"/>
      <c r="K195" s="3128"/>
      <c r="L195" s="3128"/>
      <c r="M195" s="3128"/>
      <c r="N195" s="3128"/>
      <c r="O195" s="3128"/>
      <c r="P195" s="3128"/>
      <c r="Q195" s="3128"/>
      <c r="R195" s="3128"/>
      <c r="S195" s="3128"/>
      <c r="T195" s="3128"/>
      <c r="U195" s="3128"/>
      <c r="V195" s="3128"/>
      <c r="W195" s="3128"/>
      <c r="X195" s="3128"/>
      <c r="Y195" s="3128"/>
      <c r="Z195" s="3128"/>
      <c r="AA195" s="3128"/>
      <c r="AB195" s="3128"/>
      <c r="AC195" s="3128"/>
      <c r="AD195" s="3128">
        <v>31</v>
      </c>
      <c r="AE195" s="3128">
        <v>42</v>
      </c>
      <c r="AF195" s="3128">
        <v>7</v>
      </c>
      <c r="AG195" s="3128">
        <v>23</v>
      </c>
      <c r="AH195" s="3128"/>
      <c r="AI195" s="3129">
        <f t="shared" si="17"/>
        <v>103</v>
      </c>
      <c r="AJ195" s="3130">
        <f t="shared" si="18"/>
        <v>58.749197080291971</v>
      </c>
      <c r="AK195" s="3129">
        <f t="shared" si="19"/>
        <v>60.511672992700731</v>
      </c>
      <c r="AL195" s="3152" t="s">
        <v>138</v>
      </c>
      <c r="AM195" s="3132"/>
    </row>
    <row r="196" spans="1:39" ht="95.25" customHeight="1">
      <c r="A196" s="3125">
        <v>181</v>
      </c>
      <c r="B196" s="3125">
        <v>18</v>
      </c>
      <c r="C196" s="3127" t="s">
        <v>1226</v>
      </c>
      <c r="D196" s="3152" t="s">
        <v>453</v>
      </c>
      <c r="E196" s="3128"/>
      <c r="F196" s="3128"/>
      <c r="G196" s="3128"/>
      <c r="H196" s="3128"/>
      <c r="I196" s="3128"/>
      <c r="J196" s="3128"/>
      <c r="K196" s="3128"/>
      <c r="L196" s="3128"/>
      <c r="M196" s="3128"/>
      <c r="N196" s="3128"/>
      <c r="O196" s="3128"/>
      <c r="P196" s="3128"/>
      <c r="Q196" s="3128"/>
      <c r="R196" s="3128"/>
      <c r="S196" s="3128"/>
      <c r="T196" s="3128"/>
      <c r="U196" s="3128"/>
      <c r="V196" s="3128"/>
      <c r="W196" s="3128"/>
      <c r="X196" s="3128"/>
      <c r="Y196" s="3128"/>
      <c r="Z196" s="3128"/>
      <c r="AA196" s="3128"/>
      <c r="AB196" s="3128"/>
      <c r="AC196" s="3128"/>
      <c r="AD196" s="3128"/>
      <c r="AE196" s="3128">
        <v>13</v>
      </c>
      <c r="AF196" s="3128">
        <v>16</v>
      </c>
      <c r="AG196" s="3128">
        <v>8</v>
      </c>
      <c r="AH196" s="3128"/>
      <c r="AI196" s="3129">
        <f t="shared" si="17"/>
        <v>37</v>
      </c>
      <c r="AJ196" s="3130">
        <f t="shared" si="18"/>
        <v>58.749197080291971</v>
      </c>
      <c r="AK196" s="3129">
        <f t="shared" si="19"/>
        <v>21.737202919708029</v>
      </c>
      <c r="AL196" s="3152" t="s">
        <v>141</v>
      </c>
      <c r="AM196" s="3132"/>
    </row>
    <row r="197" spans="1:39" ht="95.25" customHeight="1">
      <c r="A197" s="3125">
        <v>182</v>
      </c>
      <c r="B197" s="3125">
        <v>19</v>
      </c>
      <c r="C197" s="3127" t="s">
        <v>861</v>
      </c>
      <c r="D197" s="3152" t="s">
        <v>453</v>
      </c>
      <c r="E197" s="3128"/>
      <c r="F197" s="3128"/>
      <c r="G197" s="3128"/>
      <c r="H197" s="3128"/>
      <c r="I197" s="3128"/>
      <c r="J197" s="3128"/>
      <c r="K197" s="3128"/>
      <c r="L197" s="3128"/>
      <c r="M197" s="3128"/>
      <c r="N197" s="3128"/>
      <c r="O197" s="3128"/>
      <c r="P197" s="3128"/>
      <c r="Q197" s="3128"/>
      <c r="R197" s="3128"/>
      <c r="S197" s="3128"/>
      <c r="T197" s="3128"/>
      <c r="U197" s="3128"/>
      <c r="V197" s="3128"/>
      <c r="W197" s="3128"/>
      <c r="X197" s="3128"/>
      <c r="Y197" s="3128"/>
      <c r="Z197" s="3128"/>
      <c r="AA197" s="3128"/>
      <c r="AB197" s="3128"/>
      <c r="AC197" s="3128"/>
      <c r="AD197" s="3128"/>
      <c r="AE197" s="3128">
        <v>34</v>
      </c>
      <c r="AF197" s="3128"/>
      <c r="AG197" s="3128"/>
      <c r="AH197" s="3128"/>
      <c r="AI197" s="3129">
        <f t="shared" si="17"/>
        <v>34</v>
      </c>
      <c r="AJ197" s="3130">
        <f t="shared" si="18"/>
        <v>58.749197080291971</v>
      </c>
      <c r="AK197" s="3129">
        <f t="shared" si="19"/>
        <v>19.974727007299268</v>
      </c>
      <c r="AL197" s="3152" t="s">
        <v>141</v>
      </c>
      <c r="AM197" s="3132"/>
    </row>
    <row r="198" spans="1:39" ht="95.25" customHeight="1">
      <c r="A198" s="3125">
        <v>183</v>
      </c>
      <c r="B198" s="3125">
        <v>20</v>
      </c>
      <c r="C198" s="3127" t="s">
        <v>486</v>
      </c>
      <c r="D198" s="3152" t="s">
        <v>453</v>
      </c>
      <c r="E198" s="3128"/>
      <c r="F198" s="3128"/>
      <c r="G198" s="3128"/>
      <c r="H198" s="3128"/>
      <c r="I198" s="3128"/>
      <c r="J198" s="3128"/>
      <c r="K198" s="3128"/>
      <c r="L198" s="3128"/>
      <c r="M198" s="3128"/>
      <c r="N198" s="3128"/>
      <c r="O198" s="3128"/>
      <c r="P198" s="3128"/>
      <c r="Q198" s="3128"/>
      <c r="R198" s="3128"/>
      <c r="S198" s="3128"/>
      <c r="T198" s="3128"/>
      <c r="U198" s="3128"/>
      <c r="V198" s="3128"/>
      <c r="W198" s="3128"/>
      <c r="X198" s="3128"/>
      <c r="Y198" s="3128"/>
      <c r="Z198" s="3128"/>
      <c r="AA198" s="3128"/>
      <c r="AB198" s="3128"/>
      <c r="AC198" s="3128"/>
      <c r="AD198" s="3128">
        <v>45</v>
      </c>
      <c r="AE198" s="3128"/>
      <c r="AF198" s="3128">
        <v>13</v>
      </c>
      <c r="AG198" s="3128">
        <v>15</v>
      </c>
      <c r="AH198" s="3128"/>
      <c r="AI198" s="3129">
        <f t="shared" si="17"/>
        <v>73</v>
      </c>
      <c r="AJ198" s="3130">
        <f t="shared" si="18"/>
        <v>58.749197080291971</v>
      </c>
      <c r="AK198" s="3129">
        <f t="shared" si="19"/>
        <v>42.886913868613135</v>
      </c>
      <c r="AL198" s="3152" t="s">
        <v>141</v>
      </c>
      <c r="AM198" s="3132"/>
    </row>
    <row r="199" spans="1:39" ht="95.25" customHeight="1">
      <c r="A199" s="3125">
        <v>184</v>
      </c>
      <c r="B199" s="3125">
        <v>21</v>
      </c>
      <c r="C199" s="3127" t="s">
        <v>836</v>
      </c>
      <c r="D199" s="3152" t="s">
        <v>453</v>
      </c>
      <c r="E199" s="3128"/>
      <c r="F199" s="3128"/>
      <c r="G199" s="3128"/>
      <c r="H199" s="3128"/>
      <c r="I199" s="3128"/>
      <c r="J199" s="3128"/>
      <c r="K199" s="3128"/>
      <c r="L199" s="3128"/>
      <c r="M199" s="3128"/>
      <c r="N199" s="3128"/>
      <c r="O199" s="3128"/>
      <c r="P199" s="3128"/>
      <c r="Q199" s="3128"/>
      <c r="R199" s="3128"/>
      <c r="S199" s="3128"/>
      <c r="T199" s="3128"/>
      <c r="U199" s="3128"/>
      <c r="V199" s="3128"/>
      <c r="W199" s="3128"/>
      <c r="X199" s="3128"/>
      <c r="Y199" s="3128"/>
      <c r="Z199" s="3128"/>
      <c r="AA199" s="3128"/>
      <c r="AB199" s="3128"/>
      <c r="AC199" s="3128"/>
      <c r="AD199" s="3128"/>
      <c r="AE199" s="3128">
        <v>25</v>
      </c>
      <c r="AF199" s="3128"/>
      <c r="AG199" s="3128"/>
      <c r="AH199" s="3128"/>
      <c r="AI199" s="3129">
        <f t="shared" si="17"/>
        <v>25</v>
      </c>
      <c r="AJ199" s="3130">
        <f t="shared" si="18"/>
        <v>58.749197080291971</v>
      </c>
      <c r="AK199" s="3129">
        <f t="shared" si="19"/>
        <v>14.687299270072993</v>
      </c>
      <c r="AL199" s="3152" t="s">
        <v>138</v>
      </c>
      <c r="AM199" s="3132"/>
    </row>
    <row r="200" spans="1:39" ht="95.25" customHeight="1">
      <c r="A200" s="3125">
        <v>185</v>
      </c>
      <c r="B200" s="3125">
        <v>22</v>
      </c>
      <c r="C200" s="3127" t="s">
        <v>1227</v>
      </c>
      <c r="D200" s="3152" t="s">
        <v>453</v>
      </c>
      <c r="E200" s="3128"/>
      <c r="F200" s="3128"/>
      <c r="G200" s="3128"/>
      <c r="H200" s="3128"/>
      <c r="I200" s="3128"/>
      <c r="J200" s="3128"/>
      <c r="K200" s="3128"/>
      <c r="L200" s="3128"/>
      <c r="M200" s="3128"/>
      <c r="N200" s="3128"/>
      <c r="O200" s="3128"/>
      <c r="P200" s="3128"/>
      <c r="Q200" s="3128"/>
      <c r="R200" s="3128"/>
      <c r="S200" s="3128"/>
      <c r="T200" s="3128"/>
      <c r="U200" s="3128"/>
      <c r="V200" s="3128"/>
      <c r="W200" s="3128"/>
      <c r="X200" s="3128"/>
      <c r="Y200" s="3128"/>
      <c r="Z200" s="3128"/>
      <c r="AA200" s="3128"/>
      <c r="AB200" s="3128"/>
      <c r="AC200" s="3128"/>
      <c r="AD200" s="3128">
        <v>32</v>
      </c>
      <c r="AE200" s="3128">
        <v>63</v>
      </c>
      <c r="AF200" s="3128"/>
      <c r="AG200" s="3128"/>
      <c r="AH200" s="3128"/>
      <c r="AI200" s="3129">
        <f t="shared" si="17"/>
        <v>95</v>
      </c>
      <c r="AJ200" s="3130">
        <f t="shared" si="18"/>
        <v>58.749197080291971</v>
      </c>
      <c r="AK200" s="3129">
        <f t="shared" si="19"/>
        <v>55.811737226277373</v>
      </c>
      <c r="AL200" s="3152" t="s">
        <v>141</v>
      </c>
      <c r="AM200" s="3132"/>
    </row>
    <row r="201" spans="1:39" ht="95.25" customHeight="1">
      <c r="A201" s="3125">
        <v>186</v>
      </c>
      <c r="B201" s="3125">
        <v>23</v>
      </c>
      <c r="C201" s="3127" t="s">
        <v>1228</v>
      </c>
      <c r="D201" s="3152" t="s">
        <v>453</v>
      </c>
      <c r="E201" s="3128"/>
      <c r="F201" s="3128"/>
      <c r="G201" s="3128"/>
      <c r="H201" s="3128"/>
      <c r="I201" s="3128"/>
      <c r="J201" s="3128"/>
      <c r="K201" s="3128"/>
      <c r="L201" s="3128"/>
      <c r="M201" s="3128"/>
      <c r="N201" s="3128"/>
      <c r="O201" s="3128"/>
      <c r="P201" s="3128"/>
      <c r="Q201" s="3128"/>
      <c r="R201" s="3128"/>
      <c r="S201" s="3128"/>
      <c r="T201" s="3128"/>
      <c r="U201" s="3128"/>
      <c r="V201" s="3128"/>
      <c r="W201" s="3128"/>
      <c r="X201" s="3128"/>
      <c r="Y201" s="3128"/>
      <c r="Z201" s="3128"/>
      <c r="AA201" s="3128"/>
      <c r="AB201" s="3128"/>
      <c r="AC201" s="3128"/>
      <c r="AD201" s="3128">
        <v>50</v>
      </c>
      <c r="AE201" s="3128"/>
      <c r="AF201" s="3128">
        <v>26</v>
      </c>
      <c r="AG201" s="3128"/>
      <c r="AH201" s="3128"/>
      <c r="AI201" s="3129">
        <f t="shared" si="17"/>
        <v>76</v>
      </c>
      <c r="AJ201" s="3130">
        <f t="shared" si="18"/>
        <v>58.749197080291971</v>
      </c>
      <c r="AK201" s="3129">
        <f t="shared" si="19"/>
        <v>44.649389781021895</v>
      </c>
      <c r="AL201" s="3152" t="s">
        <v>141</v>
      </c>
      <c r="AM201" s="3132"/>
    </row>
    <row r="202" spans="1:39" ht="95.25" customHeight="1">
      <c r="A202" s="3125">
        <v>187</v>
      </c>
      <c r="B202" s="3125">
        <v>24</v>
      </c>
      <c r="C202" s="3127" t="s">
        <v>1229</v>
      </c>
      <c r="D202" s="3152" t="s">
        <v>453</v>
      </c>
      <c r="E202" s="3128"/>
      <c r="F202" s="3128"/>
      <c r="G202" s="3128"/>
      <c r="H202" s="3128"/>
      <c r="I202" s="3128"/>
      <c r="J202" s="3128"/>
      <c r="K202" s="3128"/>
      <c r="L202" s="3128"/>
      <c r="M202" s="3128"/>
      <c r="N202" s="3128"/>
      <c r="O202" s="3128"/>
      <c r="P202" s="3128"/>
      <c r="Q202" s="3128"/>
      <c r="R202" s="3128"/>
      <c r="S202" s="3128"/>
      <c r="T202" s="3128"/>
      <c r="U202" s="3128"/>
      <c r="V202" s="3128"/>
      <c r="W202" s="3128"/>
      <c r="X202" s="3128"/>
      <c r="Y202" s="3128"/>
      <c r="Z202" s="3128"/>
      <c r="AA202" s="3128"/>
      <c r="AB202" s="3128"/>
      <c r="AC202" s="3128"/>
      <c r="AD202" s="3128"/>
      <c r="AE202" s="3128">
        <v>28</v>
      </c>
      <c r="AF202" s="3128"/>
      <c r="AG202" s="3128"/>
      <c r="AH202" s="3128"/>
      <c r="AI202" s="3129">
        <f t="shared" si="17"/>
        <v>28</v>
      </c>
      <c r="AJ202" s="3130">
        <f t="shared" si="18"/>
        <v>58.749197080291971</v>
      </c>
      <c r="AK202" s="3129">
        <f t="shared" si="19"/>
        <v>16.449775182481751</v>
      </c>
      <c r="AL202" s="3152" t="s">
        <v>141</v>
      </c>
      <c r="AM202" s="3132"/>
    </row>
    <row r="203" spans="1:39" ht="95.25" customHeight="1">
      <c r="A203" s="3125">
        <v>188</v>
      </c>
      <c r="B203" s="3125">
        <v>25</v>
      </c>
      <c r="C203" s="3127" t="s">
        <v>1518</v>
      </c>
      <c r="D203" s="3152" t="s">
        <v>453</v>
      </c>
      <c r="E203" s="3128"/>
      <c r="F203" s="3128"/>
      <c r="G203" s="3128"/>
      <c r="H203" s="3128"/>
      <c r="I203" s="3128"/>
      <c r="J203" s="3128"/>
      <c r="K203" s="3128"/>
      <c r="L203" s="3128"/>
      <c r="M203" s="3128"/>
      <c r="N203" s="3128"/>
      <c r="O203" s="3128"/>
      <c r="P203" s="3128"/>
      <c r="Q203" s="3128"/>
      <c r="R203" s="3128"/>
      <c r="S203" s="3128"/>
      <c r="T203" s="3128"/>
      <c r="U203" s="3128"/>
      <c r="V203" s="3128"/>
      <c r="W203" s="3128"/>
      <c r="X203" s="3128"/>
      <c r="Y203" s="3128"/>
      <c r="Z203" s="3128"/>
      <c r="AA203" s="3128"/>
      <c r="AB203" s="3128"/>
      <c r="AC203" s="3128"/>
      <c r="AD203" s="3128">
        <v>70</v>
      </c>
      <c r="AE203" s="3128">
        <v>34</v>
      </c>
      <c r="AF203" s="3128">
        <v>21</v>
      </c>
      <c r="AG203" s="3128">
        <v>25</v>
      </c>
      <c r="AH203" s="3128"/>
      <c r="AI203" s="3129">
        <f t="shared" si="17"/>
        <v>150</v>
      </c>
      <c r="AJ203" s="3130">
        <f t="shared" si="18"/>
        <v>58.749197080291971</v>
      </c>
      <c r="AK203" s="3129">
        <f t="shared" si="19"/>
        <v>88.12379562043796</v>
      </c>
      <c r="AL203" s="3152" t="s">
        <v>141</v>
      </c>
      <c r="AM203" s="3132"/>
    </row>
    <row r="204" spans="1:39" ht="95.25" customHeight="1">
      <c r="A204" s="3125">
        <v>189</v>
      </c>
      <c r="B204" s="3125">
        <v>26</v>
      </c>
      <c r="C204" s="3127" t="s">
        <v>1519</v>
      </c>
      <c r="D204" s="3152" t="s">
        <v>453</v>
      </c>
      <c r="E204" s="3128"/>
      <c r="F204" s="3128"/>
      <c r="G204" s="3128"/>
      <c r="H204" s="3128"/>
      <c r="I204" s="3128"/>
      <c r="J204" s="3128"/>
      <c r="K204" s="3128"/>
      <c r="L204" s="3128"/>
      <c r="M204" s="3128"/>
      <c r="N204" s="3128"/>
      <c r="O204" s="3128"/>
      <c r="P204" s="3128"/>
      <c r="Q204" s="3128"/>
      <c r="R204" s="3128"/>
      <c r="S204" s="3128"/>
      <c r="T204" s="3128"/>
      <c r="U204" s="3128"/>
      <c r="V204" s="3128"/>
      <c r="W204" s="3128"/>
      <c r="X204" s="3128"/>
      <c r="Y204" s="3128"/>
      <c r="Z204" s="3128"/>
      <c r="AA204" s="3128"/>
      <c r="AB204" s="3128"/>
      <c r="AC204" s="3128"/>
      <c r="AD204" s="3128">
        <v>46</v>
      </c>
      <c r="AE204" s="3128">
        <v>25</v>
      </c>
      <c r="AF204" s="3128">
        <v>36</v>
      </c>
      <c r="AG204" s="3128">
        <v>44</v>
      </c>
      <c r="AH204" s="3128"/>
      <c r="AI204" s="3129">
        <f t="shared" si="17"/>
        <v>151</v>
      </c>
      <c r="AJ204" s="3130">
        <f t="shared" si="18"/>
        <v>58.749197080291971</v>
      </c>
      <c r="AK204" s="3129">
        <f t="shared" si="19"/>
        <v>88.711287591240875</v>
      </c>
      <c r="AL204" s="3152" t="s">
        <v>141</v>
      </c>
      <c r="AM204" s="3132"/>
    </row>
    <row r="205" spans="1:39" ht="95.25" customHeight="1">
      <c r="A205" s="3125">
        <v>190</v>
      </c>
      <c r="B205" s="3125">
        <v>27</v>
      </c>
      <c r="C205" s="3127" t="s">
        <v>1520</v>
      </c>
      <c r="D205" s="3152" t="s">
        <v>453</v>
      </c>
      <c r="E205" s="3128"/>
      <c r="F205" s="3128"/>
      <c r="G205" s="3128"/>
      <c r="H205" s="3128"/>
      <c r="I205" s="3128"/>
      <c r="J205" s="3128"/>
      <c r="K205" s="3128"/>
      <c r="L205" s="3128"/>
      <c r="M205" s="3128"/>
      <c r="N205" s="3128"/>
      <c r="O205" s="3128"/>
      <c r="P205" s="3128"/>
      <c r="Q205" s="3128"/>
      <c r="R205" s="3128"/>
      <c r="S205" s="3128"/>
      <c r="T205" s="3128"/>
      <c r="U205" s="3128"/>
      <c r="V205" s="3128"/>
      <c r="W205" s="3128"/>
      <c r="X205" s="3128"/>
      <c r="Y205" s="3128"/>
      <c r="Z205" s="3128"/>
      <c r="AA205" s="3128"/>
      <c r="AB205" s="3128"/>
      <c r="AC205" s="3128"/>
      <c r="AD205" s="3128">
        <v>82</v>
      </c>
      <c r="AE205" s="3128">
        <v>61</v>
      </c>
      <c r="AF205" s="3128">
        <v>42</v>
      </c>
      <c r="AG205" s="3128">
        <v>65</v>
      </c>
      <c r="AH205" s="3128"/>
      <c r="AI205" s="3129">
        <f t="shared" si="17"/>
        <v>250</v>
      </c>
      <c r="AJ205" s="3130">
        <f t="shared" si="18"/>
        <v>58.749197080291971</v>
      </c>
      <c r="AK205" s="3129">
        <f t="shared" si="19"/>
        <v>146.87299270072992</v>
      </c>
      <c r="AL205" s="3152" t="s">
        <v>138</v>
      </c>
      <c r="AM205" s="3132"/>
    </row>
    <row r="206" spans="1:39" ht="95.25" customHeight="1">
      <c r="A206" s="3125">
        <v>191</v>
      </c>
      <c r="B206" s="3125">
        <v>28</v>
      </c>
      <c r="C206" s="3127" t="s">
        <v>1521</v>
      </c>
      <c r="D206" s="3152" t="s">
        <v>453</v>
      </c>
      <c r="E206" s="3128"/>
      <c r="F206" s="3128"/>
      <c r="G206" s="3128"/>
      <c r="H206" s="3128"/>
      <c r="I206" s="3128"/>
      <c r="J206" s="3128"/>
      <c r="K206" s="3128"/>
      <c r="L206" s="3128"/>
      <c r="M206" s="3128"/>
      <c r="N206" s="3128"/>
      <c r="O206" s="3128"/>
      <c r="P206" s="3128"/>
      <c r="Q206" s="3128"/>
      <c r="R206" s="3128"/>
      <c r="S206" s="3128"/>
      <c r="T206" s="3128"/>
      <c r="U206" s="3128"/>
      <c r="V206" s="3128"/>
      <c r="W206" s="3128"/>
      <c r="X206" s="3128"/>
      <c r="Y206" s="3128"/>
      <c r="Z206" s="3128"/>
      <c r="AA206" s="3128"/>
      <c r="AB206" s="3128"/>
      <c r="AC206" s="3128"/>
      <c r="AD206" s="3128">
        <v>24</v>
      </c>
      <c r="AE206" s="3128">
        <v>122</v>
      </c>
      <c r="AF206" s="3128">
        <v>77</v>
      </c>
      <c r="AG206" s="3128">
        <v>72</v>
      </c>
      <c r="AH206" s="3128"/>
      <c r="AI206" s="3129">
        <f t="shared" si="17"/>
        <v>295</v>
      </c>
      <c r="AJ206" s="3130">
        <f t="shared" si="18"/>
        <v>58.749197080291971</v>
      </c>
      <c r="AK206" s="3129">
        <f t="shared" si="19"/>
        <v>173.31013138686131</v>
      </c>
      <c r="AL206" s="3152" t="s">
        <v>138</v>
      </c>
      <c r="AM206" s="3132"/>
    </row>
    <row r="207" spans="1:39" ht="95.25" customHeight="1">
      <c r="A207" s="3125">
        <v>192</v>
      </c>
      <c r="B207" s="3125">
        <v>29</v>
      </c>
      <c r="C207" s="3127" t="s">
        <v>1522</v>
      </c>
      <c r="D207" s="3152" t="s">
        <v>453</v>
      </c>
      <c r="E207" s="3128"/>
      <c r="F207" s="3128"/>
      <c r="G207" s="3128"/>
      <c r="H207" s="3128"/>
      <c r="I207" s="3128"/>
      <c r="J207" s="3128"/>
      <c r="K207" s="3128"/>
      <c r="L207" s="3128"/>
      <c r="M207" s="3128"/>
      <c r="N207" s="3128"/>
      <c r="O207" s="3128"/>
      <c r="P207" s="3128"/>
      <c r="Q207" s="3128"/>
      <c r="R207" s="3128"/>
      <c r="S207" s="3128"/>
      <c r="T207" s="3128"/>
      <c r="U207" s="3128"/>
      <c r="V207" s="3128"/>
      <c r="W207" s="3128"/>
      <c r="X207" s="3128"/>
      <c r="Y207" s="3128"/>
      <c r="Z207" s="3128"/>
      <c r="AA207" s="3128"/>
      <c r="AB207" s="3128"/>
      <c r="AC207" s="3128"/>
      <c r="AD207" s="3128">
        <v>120</v>
      </c>
      <c r="AE207" s="3128">
        <v>72</v>
      </c>
      <c r="AF207" s="3128">
        <v>136</v>
      </c>
      <c r="AG207" s="3128">
        <v>75</v>
      </c>
      <c r="AH207" s="3128"/>
      <c r="AI207" s="3129">
        <f t="shared" si="17"/>
        <v>403</v>
      </c>
      <c r="AJ207" s="3130">
        <f t="shared" si="18"/>
        <v>58.749197080291971</v>
      </c>
      <c r="AK207" s="3129">
        <f t="shared" si="19"/>
        <v>236.75926423357663</v>
      </c>
      <c r="AL207" s="3152" t="s">
        <v>141</v>
      </c>
      <c r="AM207" s="3132"/>
    </row>
    <row r="208" spans="1:39" ht="95.25" customHeight="1">
      <c r="A208" s="3125">
        <v>193</v>
      </c>
      <c r="B208" s="3125">
        <v>30</v>
      </c>
      <c r="C208" s="3127" t="s">
        <v>1230</v>
      </c>
      <c r="D208" s="3152" t="s">
        <v>453</v>
      </c>
      <c r="E208" s="3128"/>
      <c r="F208" s="3128"/>
      <c r="G208" s="3128"/>
      <c r="H208" s="3128"/>
      <c r="I208" s="3128"/>
      <c r="J208" s="3128"/>
      <c r="K208" s="3128"/>
      <c r="L208" s="3128"/>
      <c r="M208" s="3128"/>
      <c r="N208" s="3128"/>
      <c r="O208" s="3128"/>
      <c r="P208" s="3128"/>
      <c r="Q208" s="3128"/>
      <c r="R208" s="3128"/>
      <c r="S208" s="3128"/>
      <c r="T208" s="3128"/>
      <c r="U208" s="3128"/>
      <c r="V208" s="3128"/>
      <c r="W208" s="3128"/>
      <c r="X208" s="3128"/>
      <c r="Y208" s="3128"/>
      <c r="Z208" s="3128"/>
      <c r="AA208" s="3128"/>
      <c r="AB208" s="3128"/>
      <c r="AC208" s="3128"/>
      <c r="AD208" s="3128">
        <v>136</v>
      </c>
      <c r="AE208" s="3128"/>
      <c r="AF208" s="3128">
        <v>156</v>
      </c>
      <c r="AG208" s="3128">
        <v>171</v>
      </c>
      <c r="AH208" s="3128"/>
      <c r="AI208" s="3129">
        <f t="shared" si="17"/>
        <v>463</v>
      </c>
      <c r="AJ208" s="3130">
        <f t="shared" si="18"/>
        <v>58.749197080291971</v>
      </c>
      <c r="AK208" s="3129">
        <f t="shared" si="19"/>
        <v>272.00878248175184</v>
      </c>
      <c r="AL208" s="3152" t="s">
        <v>141</v>
      </c>
      <c r="AM208" s="3132"/>
    </row>
    <row r="209" spans="1:46" ht="95.25" customHeight="1">
      <c r="A209" s="3845" t="s">
        <v>61</v>
      </c>
      <c r="B209" s="3845"/>
      <c r="C209" s="3845"/>
      <c r="D209" s="3845"/>
      <c r="E209" s="3175">
        <f t="shared" ref="E209:AI209" si="20">+E11+E46+E90+E153+E178</f>
        <v>0</v>
      </c>
      <c r="F209" s="3175">
        <f t="shared" si="20"/>
        <v>0</v>
      </c>
      <c r="G209" s="3175">
        <f t="shared" si="20"/>
        <v>0</v>
      </c>
      <c r="H209" s="3175">
        <f t="shared" si="20"/>
        <v>0</v>
      </c>
      <c r="I209" s="3175">
        <f t="shared" si="20"/>
        <v>0</v>
      </c>
      <c r="J209" s="3175">
        <f t="shared" si="20"/>
        <v>0</v>
      </c>
      <c r="K209" s="3175">
        <f t="shared" si="20"/>
        <v>0</v>
      </c>
      <c r="L209" s="3175">
        <f t="shared" si="20"/>
        <v>0</v>
      </c>
      <c r="M209" s="3175">
        <f t="shared" si="20"/>
        <v>0</v>
      </c>
      <c r="N209" s="3175">
        <f t="shared" si="20"/>
        <v>0</v>
      </c>
      <c r="O209" s="3175">
        <f t="shared" si="20"/>
        <v>0</v>
      </c>
      <c r="P209" s="3175">
        <f t="shared" si="20"/>
        <v>0</v>
      </c>
      <c r="Q209" s="3175">
        <f t="shared" si="20"/>
        <v>0</v>
      </c>
      <c r="R209" s="3175">
        <f t="shared" si="20"/>
        <v>0</v>
      </c>
      <c r="S209" s="3175">
        <f t="shared" si="20"/>
        <v>0</v>
      </c>
      <c r="T209" s="3175">
        <f t="shared" si="20"/>
        <v>0</v>
      </c>
      <c r="U209" s="3175">
        <f t="shared" si="20"/>
        <v>0</v>
      </c>
      <c r="V209" s="3175">
        <f t="shared" si="20"/>
        <v>0</v>
      </c>
      <c r="W209" s="3175">
        <f t="shared" si="20"/>
        <v>0</v>
      </c>
      <c r="X209" s="3175">
        <f t="shared" si="20"/>
        <v>0</v>
      </c>
      <c r="Y209" s="3175">
        <f t="shared" si="20"/>
        <v>0</v>
      </c>
      <c r="Z209" s="3175">
        <f t="shared" si="20"/>
        <v>0</v>
      </c>
      <c r="AA209" s="3175">
        <f t="shared" si="20"/>
        <v>0</v>
      </c>
      <c r="AB209" s="3175">
        <f t="shared" si="20"/>
        <v>0</v>
      </c>
      <c r="AC209" s="3175">
        <f t="shared" si="20"/>
        <v>0</v>
      </c>
      <c r="AD209" s="3175">
        <f t="shared" si="20"/>
        <v>4308</v>
      </c>
      <c r="AE209" s="3175">
        <f t="shared" si="20"/>
        <v>4449</v>
      </c>
      <c r="AF209" s="3175">
        <f t="shared" si="20"/>
        <v>3744</v>
      </c>
      <c r="AG209" s="3175">
        <f t="shared" si="20"/>
        <v>4946</v>
      </c>
      <c r="AH209" s="3175">
        <f t="shared" si="20"/>
        <v>67</v>
      </c>
      <c r="AI209" s="3122">
        <f t="shared" si="20"/>
        <v>17514</v>
      </c>
      <c r="AJ209" s="3068"/>
      <c r="AK209" s="3122">
        <f>+AK11+AK46+AK90+AK153+AK178</f>
        <v>10146.535999999996</v>
      </c>
      <c r="AL209" s="3121"/>
      <c r="AM209" s="3151"/>
      <c r="AO209" s="2581"/>
      <c r="AR209" s="3297">
        <f>+AR178+AR153+AR90+AR46+AR11</f>
        <v>17514</v>
      </c>
      <c r="AS209" s="3297">
        <f>+AS178+AS153+AS90+AS46+AS11</f>
        <v>10146.536</v>
      </c>
      <c r="AT209" s="3297">
        <f>+AT178+AT153+AT90+AT46+AT11</f>
        <v>2.8990800974171891</v>
      </c>
    </row>
    <row r="210" spans="1:46">
      <c r="B210" s="3105"/>
      <c r="C210" s="3105"/>
      <c r="D210" s="3105"/>
      <c r="E210" s="3155"/>
      <c r="F210" s="3155"/>
      <c r="G210" s="3155"/>
      <c r="H210" s="3155"/>
      <c r="I210" s="3155"/>
      <c r="J210" s="3155"/>
      <c r="K210" s="3155"/>
      <c r="L210" s="3155"/>
      <c r="M210" s="3155"/>
      <c r="N210" s="3155"/>
      <c r="O210" s="3155"/>
      <c r="P210" s="3155"/>
      <c r="Q210" s="3155"/>
      <c r="R210" s="3155"/>
      <c r="S210" s="3155"/>
      <c r="T210" s="3155"/>
      <c r="U210" s="3155"/>
      <c r="V210" s="3155"/>
      <c r="W210" s="3155"/>
      <c r="X210" s="3155"/>
      <c r="Y210" s="3155"/>
      <c r="Z210" s="3155"/>
      <c r="AA210" s="3155"/>
      <c r="AB210" s="3155"/>
      <c r="AC210" s="3156"/>
      <c r="AD210" s="3155"/>
      <c r="AE210" s="3155"/>
      <c r="AF210" s="3155"/>
      <c r="AG210" s="3155"/>
      <c r="AH210" s="3155"/>
      <c r="AI210" s="3157"/>
      <c r="AJ210" s="3157"/>
      <c r="AK210" s="3158"/>
      <c r="AL210" s="3158"/>
      <c r="AM210" s="3159"/>
    </row>
    <row r="211" spans="1:46" ht="45.75" customHeight="1">
      <c r="B211" s="3105"/>
      <c r="C211" s="3105"/>
      <c r="D211" s="3832" t="s">
        <v>0</v>
      </c>
      <c r="E211" s="3833"/>
      <c r="F211" s="3834"/>
      <c r="G211" s="3835" t="s">
        <v>1866</v>
      </c>
      <c r="H211" s="3836"/>
      <c r="I211" s="3836"/>
      <c r="J211" s="3836"/>
      <c r="K211" s="3836"/>
      <c r="L211" s="3836"/>
      <c r="M211" s="3837"/>
      <c r="N211" s="3835" t="s">
        <v>1867</v>
      </c>
      <c r="O211" s="3836"/>
      <c r="P211" s="3836"/>
      <c r="Q211" s="3836"/>
      <c r="R211" s="3836"/>
      <c r="S211" s="3836"/>
      <c r="T211" s="3836"/>
      <c r="U211" s="3837"/>
      <c r="V211" s="3835" t="s">
        <v>1868</v>
      </c>
      <c r="W211" s="3836"/>
      <c r="X211" s="3836"/>
      <c r="Y211" s="3836"/>
      <c r="Z211" s="3836"/>
      <c r="AA211" s="3836"/>
      <c r="AB211" s="3837"/>
      <c r="AC211" s="3875" t="s">
        <v>1902</v>
      </c>
      <c r="AD211" s="3875"/>
      <c r="AE211" s="3875"/>
      <c r="AF211" s="3875"/>
      <c r="AG211" s="3878" t="s">
        <v>2295</v>
      </c>
      <c r="AH211" s="3879"/>
      <c r="AI211" s="3879"/>
      <c r="AJ211" s="3880"/>
      <c r="AK211" s="3866" t="s">
        <v>1311</v>
      </c>
      <c r="AL211" s="3867"/>
      <c r="AM211" s="3868"/>
      <c r="AS211" s="3106">
        <v>247989.55499999999</v>
      </c>
    </row>
    <row r="212" spans="1:46" ht="45.75" customHeight="1">
      <c r="B212" s="3105"/>
      <c r="C212" s="3105"/>
      <c r="D212" s="3832" t="s">
        <v>140</v>
      </c>
      <c r="E212" s="3833"/>
      <c r="F212" s="3834"/>
      <c r="G212" s="3877" t="s">
        <v>1870</v>
      </c>
      <c r="H212" s="3877"/>
      <c r="I212" s="3877"/>
      <c r="J212" s="3877"/>
      <c r="K212" s="3877"/>
      <c r="L212" s="3877"/>
      <c r="M212" s="3877"/>
      <c r="N212" s="3877"/>
      <c r="O212" s="3877"/>
      <c r="P212" s="3877"/>
      <c r="Q212" s="3877"/>
      <c r="R212" s="3877"/>
      <c r="S212" s="3877"/>
      <c r="T212" s="3877"/>
      <c r="U212" s="3877"/>
      <c r="V212" s="3861">
        <f>+SUM(V213:AB216)</f>
        <v>17514</v>
      </c>
      <c r="W212" s="3861"/>
      <c r="X212" s="3861"/>
      <c r="Y212" s="3861"/>
      <c r="Z212" s="3861"/>
      <c r="AA212" s="3861"/>
      <c r="AB212" s="3861"/>
      <c r="AC212" s="3869">
        <f>+SUM(AC213:AF215)</f>
        <v>10146.536000000006</v>
      </c>
      <c r="AD212" s="3869"/>
      <c r="AE212" s="3869"/>
      <c r="AF212" s="3869"/>
      <c r="AG212" s="3881">
        <f>+SUM(AG213:AJ214)</f>
        <v>100.00000000000001</v>
      </c>
      <c r="AH212" s="3882"/>
      <c r="AI212" s="3882"/>
      <c r="AJ212" s="3883"/>
      <c r="AK212" s="3866"/>
      <c r="AL212" s="3867"/>
      <c r="AM212" s="3868"/>
      <c r="AO212" s="2581"/>
    </row>
    <row r="213" spans="1:46" ht="45.75" customHeight="1">
      <c r="B213" s="3105"/>
      <c r="C213" s="3105"/>
      <c r="D213" s="3851">
        <v>1</v>
      </c>
      <c r="E213" s="3852"/>
      <c r="F213" s="3853"/>
      <c r="G213" s="3854">
        <f>+COUNTIF($AL$11:$AL$208,"A")</f>
        <v>177</v>
      </c>
      <c r="H213" s="3855"/>
      <c r="I213" s="3855"/>
      <c r="J213" s="3855"/>
      <c r="K213" s="3855"/>
      <c r="L213" s="3855"/>
      <c r="M213" s="3856"/>
      <c r="N213" s="3862" t="s">
        <v>141</v>
      </c>
      <c r="O213" s="3863"/>
      <c r="P213" s="3863"/>
      <c r="Q213" s="3863"/>
      <c r="R213" s="3863"/>
      <c r="S213" s="3863"/>
      <c r="T213" s="3863"/>
      <c r="U213" s="3864"/>
      <c r="V213" s="3854">
        <f>+SUMIF($AL$12:$AL$208,N213,$AI$12:$AI$208)</f>
        <v>16656</v>
      </c>
      <c r="W213" s="3855"/>
      <c r="X213" s="3855"/>
      <c r="Y213" s="3855"/>
      <c r="Z213" s="3855"/>
      <c r="AA213" s="3855"/>
      <c r="AB213" s="3856"/>
      <c r="AC213" s="3876">
        <f>+SUMIF($AL$12:$AL$208,N213,AK12:$AK$208)</f>
        <v>9642.4678890511004</v>
      </c>
      <c r="AD213" s="3876"/>
      <c r="AE213" s="3876"/>
      <c r="AF213" s="3876"/>
      <c r="AG213" s="3884">
        <f>+AC213/AC218*100</f>
        <v>95.032116271514695</v>
      </c>
      <c r="AH213" s="3885"/>
      <c r="AI213" s="3885"/>
      <c r="AJ213" s="3886"/>
      <c r="AK213" s="3866"/>
      <c r="AL213" s="3867"/>
      <c r="AM213" s="3868"/>
      <c r="AS213" s="2581">
        <f>+AS209-AS211</f>
        <v>-237843.019</v>
      </c>
    </row>
    <row r="214" spans="1:46" ht="45.75" customHeight="1">
      <c r="B214" s="3105"/>
      <c r="C214" s="3105"/>
      <c r="D214" s="3851">
        <v>2</v>
      </c>
      <c r="E214" s="3852"/>
      <c r="F214" s="3853"/>
      <c r="G214" s="3854">
        <f>+COUNTIF($AL$11:$AL$208,"B")</f>
        <v>16</v>
      </c>
      <c r="H214" s="3855"/>
      <c r="I214" s="3855"/>
      <c r="J214" s="3855"/>
      <c r="K214" s="3855"/>
      <c r="L214" s="3855"/>
      <c r="M214" s="3856"/>
      <c r="N214" s="3862" t="s">
        <v>138</v>
      </c>
      <c r="O214" s="3863"/>
      <c r="P214" s="3863"/>
      <c r="Q214" s="3863"/>
      <c r="R214" s="3863"/>
      <c r="S214" s="3863"/>
      <c r="T214" s="3863"/>
      <c r="U214" s="3864"/>
      <c r="V214" s="3854">
        <f>+SUMIF($AL$12:$AL$208,N214,$AI$12:$AI$208)</f>
        <v>858</v>
      </c>
      <c r="W214" s="3855"/>
      <c r="X214" s="3855"/>
      <c r="Y214" s="3855"/>
      <c r="Z214" s="3855"/>
      <c r="AA214" s="3855"/>
      <c r="AB214" s="3856"/>
      <c r="AC214" s="3876">
        <f>+SUMIF($AL$12:$AL$208,N214,AK12:$AK$208)</f>
        <v>504.06811094890514</v>
      </c>
      <c r="AD214" s="3876"/>
      <c r="AE214" s="3876"/>
      <c r="AF214" s="3876"/>
      <c r="AG214" s="3881">
        <f>+AC214/AC218*100</f>
        <v>4.9678837284853161</v>
      </c>
      <c r="AH214" s="3882"/>
      <c r="AI214" s="3882"/>
      <c r="AJ214" s="3883"/>
      <c r="AK214" s="3866"/>
      <c r="AL214" s="3867"/>
      <c r="AM214" s="3868"/>
      <c r="AR214" s="2581"/>
    </row>
    <row r="215" spans="1:46" ht="45.75" customHeight="1">
      <c r="B215" s="3105"/>
      <c r="C215" s="3105"/>
      <c r="D215" s="3851">
        <v>3</v>
      </c>
      <c r="E215" s="3852"/>
      <c r="F215" s="3853"/>
      <c r="G215" s="3854">
        <v>0</v>
      </c>
      <c r="H215" s="3855"/>
      <c r="I215" s="3855"/>
      <c r="J215" s="3855"/>
      <c r="K215" s="3855"/>
      <c r="L215" s="3855"/>
      <c r="M215" s="3856"/>
      <c r="N215" s="3862" t="s">
        <v>168</v>
      </c>
      <c r="O215" s="3863"/>
      <c r="P215" s="3863"/>
      <c r="Q215" s="3863"/>
      <c r="R215" s="3863"/>
      <c r="S215" s="3863"/>
      <c r="T215" s="3863"/>
      <c r="U215" s="3864"/>
      <c r="V215" s="3854">
        <v>0</v>
      </c>
      <c r="W215" s="3855"/>
      <c r="X215" s="3855"/>
      <c r="Y215" s="3855"/>
      <c r="Z215" s="3855"/>
      <c r="AA215" s="3855"/>
      <c r="AB215" s="3856"/>
      <c r="AC215" s="3876">
        <v>0</v>
      </c>
      <c r="AD215" s="3876"/>
      <c r="AE215" s="3876"/>
      <c r="AF215" s="3876"/>
      <c r="AG215" s="3884"/>
      <c r="AH215" s="3885"/>
      <c r="AI215" s="3885"/>
      <c r="AJ215" s="3886"/>
      <c r="AK215" s="3866"/>
      <c r="AL215" s="3867"/>
      <c r="AM215" s="3868"/>
    </row>
    <row r="216" spans="1:46" ht="45.75" hidden="1" customHeight="1">
      <c r="B216" s="3105"/>
      <c r="C216" s="3105"/>
      <c r="D216" s="3851">
        <v>4</v>
      </c>
      <c r="E216" s="3852"/>
      <c r="F216" s="3853"/>
      <c r="G216" s="3854">
        <f>+COUNTIF($AL$11:$AL$208,"D")</f>
        <v>0</v>
      </c>
      <c r="H216" s="3855"/>
      <c r="I216" s="3855"/>
      <c r="J216" s="3855"/>
      <c r="K216" s="3855"/>
      <c r="L216" s="3855"/>
      <c r="M216" s="3856"/>
      <c r="N216" s="3862" t="s">
        <v>224</v>
      </c>
      <c r="O216" s="3863"/>
      <c r="P216" s="3863"/>
      <c r="Q216" s="3863"/>
      <c r="R216" s="3863"/>
      <c r="S216" s="3863"/>
      <c r="T216" s="3863"/>
      <c r="U216" s="3864"/>
      <c r="V216" s="3854">
        <f>+SUMIF($AL$12:$AL$208,N216,$AI$12:$AI$208)</f>
        <v>0</v>
      </c>
      <c r="W216" s="3855"/>
      <c r="X216" s="3855"/>
      <c r="Y216" s="3855"/>
      <c r="Z216" s="3855"/>
      <c r="AA216" s="3855"/>
      <c r="AB216" s="3856"/>
      <c r="AC216" s="3869">
        <f>+SUMIF($AL$12:$AL$208,"D",$AK$12:$AK$208)</f>
        <v>0</v>
      </c>
      <c r="AD216" s="3869"/>
      <c r="AE216" s="3869"/>
      <c r="AF216" s="3869"/>
      <c r="AG216" s="3606"/>
      <c r="AH216" s="3606"/>
      <c r="AI216" s="3870"/>
      <c r="AJ216" s="3871"/>
      <c r="AK216" s="3866"/>
      <c r="AL216" s="3867"/>
      <c r="AM216" s="3868"/>
    </row>
    <row r="217" spans="1:46" ht="45.75" hidden="1" customHeight="1">
      <c r="B217" s="3105"/>
      <c r="C217" s="3105"/>
      <c r="D217" s="3851">
        <v>1</v>
      </c>
      <c r="E217" s="3852"/>
      <c r="F217" s="3853"/>
      <c r="G217" s="3835"/>
      <c r="H217" s="3836"/>
      <c r="I217" s="3836"/>
      <c r="J217" s="3836"/>
      <c r="K217" s="3836"/>
      <c r="L217" s="3836"/>
      <c r="M217" s="3837"/>
      <c r="N217" s="3862" t="s">
        <v>138</v>
      </c>
      <c r="O217" s="3863"/>
      <c r="P217" s="3863"/>
      <c r="Q217" s="3863"/>
      <c r="R217" s="3863"/>
      <c r="S217" s="3863"/>
      <c r="T217" s="3863"/>
      <c r="U217" s="3864"/>
      <c r="V217" s="3858"/>
      <c r="W217" s="3859"/>
      <c r="X217" s="3859"/>
      <c r="Y217" s="3859"/>
      <c r="Z217" s="3859"/>
      <c r="AA217" s="3859"/>
      <c r="AB217" s="3860"/>
      <c r="AC217" s="3869"/>
      <c r="AD217" s="3869"/>
      <c r="AE217" s="3869"/>
      <c r="AF217" s="3869"/>
      <c r="AG217" s="3606"/>
      <c r="AH217" s="3606"/>
      <c r="AI217" s="3560"/>
      <c r="AJ217" s="3491"/>
      <c r="AK217" s="3866"/>
      <c r="AL217" s="3867"/>
      <c r="AM217" s="3868"/>
    </row>
    <row r="218" spans="1:46" ht="45.75" customHeight="1">
      <c r="B218" s="3105"/>
      <c r="C218" s="3105"/>
      <c r="D218" s="3832" t="s">
        <v>434</v>
      </c>
      <c r="E218" s="3833"/>
      <c r="F218" s="3834"/>
      <c r="G218" s="3858">
        <f>+SUM(G213:M216)</f>
        <v>193</v>
      </c>
      <c r="H218" s="3859"/>
      <c r="I218" s="3859"/>
      <c r="J218" s="3859"/>
      <c r="K218" s="3859"/>
      <c r="L218" s="3859"/>
      <c r="M218" s="3860"/>
      <c r="N218" s="3835"/>
      <c r="O218" s="3836"/>
      <c r="P218" s="3836"/>
      <c r="Q218" s="3836"/>
      <c r="R218" s="3836"/>
      <c r="S218" s="3836"/>
      <c r="T218" s="3836"/>
      <c r="U218" s="3837"/>
      <c r="V218" s="3858">
        <f>+V212</f>
        <v>17514</v>
      </c>
      <c r="W218" s="3859"/>
      <c r="X218" s="3859"/>
      <c r="Y218" s="3859"/>
      <c r="Z218" s="3859"/>
      <c r="AA218" s="3859"/>
      <c r="AB218" s="3860"/>
      <c r="AC218" s="3869">
        <f>+AC212</f>
        <v>10146.536000000006</v>
      </c>
      <c r="AD218" s="3869"/>
      <c r="AE218" s="3869"/>
      <c r="AF218" s="3869"/>
      <c r="AG218" s="3881">
        <f>+AG212</f>
        <v>100.00000000000001</v>
      </c>
      <c r="AH218" s="3882"/>
      <c r="AI218" s="3882"/>
      <c r="AJ218" s="3883"/>
      <c r="AK218" s="3866"/>
      <c r="AL218" s="3867"/>
      <c r="AM218" s="3868"/>
    </row>
    <row r="219" spans="1:46" s="3111" customFormat="1" ht="48.75" customHeight="1">
      <c r="A219" s="3117"/>
      <c r="B219" s="3160"/>
      <c r="C219" s="3160"/>
      <c r="D219" s="3160"/>
      <c r="E219" s="3161"/>
      <c r="F219" s="3161"/>
      <c r="G219" s="3161"/>
      <c r="H219" s="3161"/>
      <c r="I219" s="3161"/>
      <c r="J219" s="3161"/>
      <c r="K219" s="3161"/>
      <c r="L219" s="3161"/>
      <c r="M219" s="3161"/>
      <c r="N219" s="3161"/>
      <c r="O219" s="3161"/>
      <c r="P219" s="3161"/>
      <c r="Q219" s="3161"/>
      <c r="R219" s="3161"/>
      <c r="S219" s="3161"/>
      <c r="T219" s="3161"/>
      <c r="U219" s="3161"/>
      <c r="V219" s="3161"/>
      <c r="W219" s="3161"/>
      <c r="X219" s="3161"/>
      <c r="Y219" s="3161"/>
      <c r="Z219" s="3161"/>
      <c r="AA219" s="3161"/>
      <c r="AB219" s="3161"/>
      <c r="AD219" s="3162"/>
      <c r="AE219" s="3162"/>
      <c r="AF219" s="3162"/>
      <c r="AG219" s="3162"/>
      <c r="AH219" s="3162"/>
      <c r="AI219" s="3865" t="s">
        <v>2157</v>
      </c>
      <c r="AJ219" s="3865"/>
      <c r="AK219" s="3865"/>
      <c r="AL219" s="3865"/>
      <c r="AM219" s="3865"/>
    </row>
    <row r="220" spans="1:46" s="3518" customFormat="1" ht="71.25" customHeight="1">
      <c r="A220" s="3838" t="s">
        <v>84</v>
      </c>
      <c r="B220" s="3838"/>
      <c r="C220" s="3838"/>
      <c r="D220" s="3838"/>
      <c r="E220" s="3838"/>
      <c r="F220" s="3838"/>
      <c r="G220" s="3857" t="s">
        <v>2134</v>
      </c>
      <c r="H220" s="3857"/>
      <c r="I220" s="3857"/>
      <c r="J220" s="3857"/>
      <c r="K220" s="3857"/>
      <c r="L220" s="3857"/>
      <c r="M220" s="3838" t="s">
        <v>1873</v>
      </c>
      <c r="N220" s="3838"/>
      <c r="O220" s="3838"/>
      <c r="P220" s="3838"/>
      <c r="Q220" s="3838"/>
      <c r="R220" s="3838" t="s">
        <v>20</v>
      </c>
      <c r="S220" s="3838"/>
      <c r="T220" s="3838"/>
      <c r="U220" s="3838"/>
      <c r="V220" s="3838"/>
      <c r="W220" s="3838"/>
      <c r="X220" s="3838" t="s">
        <v>1874</v>
      </c>
      <c r="Y220" s="3838"/>
      <c r="Z220" s="3838"/>
      <c r="AA220" s="3838"/>
      <c r="AB220" s="3838"/>
      <c r="AC220" s="3838"/>
      <c r="AD220" s="3838"/>
      <c r="AE220" s="3873" t="s">
        <v>1875</v>
      </c>
      <c r="AF220" s="3873"/>
      <c r="AG220" s="3584"/>
      <c r="AH220" s="3584"/>
      <c r="AI220" s="3838" t="s">
        <v>1876</v>
      </c>
      <c r="AJ220" s="3838"/>
      <c r="AK220" s="3838"/>
      <c r="AL220" s="3838"/>
      <c r="AM220" s="3838"/>
    </row>
    <row r="221" spans="1:46">
      <c r="B221" s="3117"/>
      <c r="C221" s="3111"/>
      <c r="D221" s="3111"/>
      <c r="E221" s="3111"/>
      <c r="F221" s="3111"/>
      <c r="G221" s="3111"/>
      <c r="H221" s="3111"/>
      <c r="I221" s="3111"/>
      <c r="J221" s="3111"/>
      <c r="K221" s="3111"/>
      <c r="L221" s="3111"/>
      <c r="M221" s="3111"/>
      <c r="N221" s="3111"/>
      <c r="O221" s="3111"/>
      <c r="P221" s="3111"/>
      <c r="Q221" s="3111"/>
      <c r="R221" s="3111"/>
      <c r="S221" s="3111"/>
      <c r="T221" s="3111"/>
      <c r="U221" s="3111"/>
      <c r="V221" s="3111"/>
      <c r="W221" s="3111"/>
      <c r="X221" s="3111"/>
      <c r="Y221" s="3111"/>
      <c r="Z221" s="3111"/>
      <c r="AA221" s="3111"/>
      <c r="AB221" s="3111"/>
      <c r="AC221" s="3115"/>
      <c r="AD221" s="3111"/>
      <c r="AE221" s="3111"/>
      <c r="AF221" s="3111"/>
      <c r="AG221" s="3111"/>
      <c r="AH221" s="3111"/>
      <c r="AI221" s="3116"/>
      <c r="AJ221" s="3116"/>
      <c r="AK221" s="3117"/>
      <c r="AL221" s="3110"/>
      <c r="AM221" s="3111"/>
    </row>
    <row r="222" spans="1:46">
      <c r="B222" s="3117"/>
      <c r="C222" s="3111"/>
      <c r="D222" s="3111"/>
      <c r="E222" s="3111"/>
      <c r="F222" s="3111"/>
      <c r="G222" s="3111"/>
      <c r="H222" s="3111"/>
      <c r="I222" s="3111"/>
      <c r="J222" s="3111"/>
      <c r="K222" s="3111"/>
      <c r="L222" s="3111"/>
      <c r="M222" s="3111"/>
      <c r="N222" s="3111"/>
      <c r="O222" s="3111"/>
      <c r="P222" s="3111"/>
      <c r="Q222" s="3111"/>
      <c r="R222" s="3111"/>
      <c r="S222" s="3111"/>
      <c r="T222" s="3111"/>
      <c r="U222" s="3111"/>
      <c r="V222" s="3111"/>
      <c r="W222" s="3111"/>
      <c r="X222" s="3111"/>
      <c r="Y222" s="3111"/>
      <c r="Z222" s="3111"/>
      <c r="AA222" s="3111"/>
      <c r="AB222" s="3111"/>
      <c r="AC222" s="3115"/>
      <c r="AD222" s="3111"/>
      <c r="AE222" s="3111"/>
      <c r="AF222" s="3111"/>
      <c r="AG222" s="3111"/>
      <c r="AH222" s="3111"/>
      <c r="AI222" s="3116"/>
      <c r="AJ222" s="3116"/>
      <c r="AK222" s="3117"/>
      <c r="AL222" s="3110"/>
      <c r="AM222" s="3111"/>
    </row>
    <row r="223" spans="1:46">
      <c r="A223" s="3106"/>
      <c r="B223" s="3117"/>
      <c r="C223" s="3111"/>
      <c r="D223" s="3111"/>
      <c r="E223" s="3111"/>
      <c r="F223" s="3111"/>
      <c r="G223" s="3111"/>
      <c r="H223" s="3111"/>
      <c r="I223" s="3111"/>
      <c r="J223" s="3111"/>
      <c r="K223" s="3111"/>
      <c r="L223" s="3111"/>
      <c r="M223" s="3111"/>
      <c r="N223" s="3111"/>
      <c r="O223" s="3111"/>
      <c r="P223" s="3111"/>
      <c r="Q223" s="3111"/>
      <c r="R223" s="3111"/>
      <c r="S223" s="3111"/>
      <c r="T223" s="3111"/>
      <c r="U223" s="3111"/>
      <c r="V223" s="3111"/>
      <c r="W223" s="3111"/>
      <c r="X223" s="3111"/>
      <c r="Y223" s="3111"/>
      <c r="Z223" s="3111"/>
      <c r="AA223" s="3111"/>
      <c r="AB223" s="3111"/>
      <c r="AC223" s="3115"/>
      <c r="AD223" s="3111"/>
      <c r="AE223" s="3165"/>
      <c r="AF223" s="3111"/>
      <c r="AG223" s="3111"/>
      <c r="AH223" s="3111"/>
      <c r="AI223" s="3116"/>
      <c r="AJ223" s="3116"/>
      <c r="AK223" s="3117"/>
      <c r="AL223" s="3166"/>
      <c r="AM223" s="3111"/>
    </row>
    <row r="224" spans="1:46">
      <c r="A224" s="3106"/>
      <c r="B224" s="3117"/>
      <c r="C224" s="3111"/>
      <c r="D224" s="3111"/>
      <c r="E224" s="3111"/>
      <c r="F224" s="3111"/>
      <c r="G224" s="3111"/>
      <c r="H224" s="3111"/>
      <c r="I224" s="3111"/>
      <c r="J224" s="3111"/>
      <c r="K224" s="3111"/>
      <c r="L224" s="3111"/>
      <c r="M224" s="3111"/>
      <c r="N224" s="3111"/>
      <c r="O224" s="3111"/>
      <c r="P224" s="3111"/>
      <c r="Q224" s="3111"/>
      <c r="R224" s="3111"/>
      <c r="S224" s="3111"/>
      <c r="T224" s="3111"/>
      <c r="U224" s="3111"/>
      <c r="V224" s="3111"/>
      <c r="W224" s="3111"/>
      <c r="X224" s="3111"/>
      <c r="Y224" s="3111"/>
      <c r="Z224" s="3111"/>
      <c r="AA224" s="3874"/>
      <c r="AB224" s="3874"/>
      <c r="AC224" s="3874"/>
      <c r="AD224" s="3111"/>
      <c r="AE224" s="3111"/>
      <c r="AF224" s="3111"/>
      <c r="AG224" s="3111"/>
      <c r="AH224" s="3111"/>
      <c r="AI224" s="3116"/>
      <c r="AJ224" s="3116"/>
      <c r="AK224" s="3117"/>
      <c r="AL224" s="3167"/>
      <c r="AM224" s="3111"/>
    </row>
    <row r="225" spans="1:39">
      <c r="A225" s="3106"/>
      <c r="B225" s="3117"/>
      <c r="C225" s="3111"/>
      <c r="D225" s="3111"/>
      <c r="E225" s="3111"/>
      <c r="F225" s="3111"/>
      <c r="G225" s="3111"/>
      <c r="H225" s="3111"/>
      <c r="I225" s="3111"/>
      <c r="J225" s="3111"/>
      <c r="K225" s="3111"/>
      <c r="L225" s="3111"/>
      <c r="M225" s="3111"/>
      <c r="N225" s="3111"/>
      <c r="O225" s="3111"/>
      <c r="P225" s="3111"/>
      <c r="Q225" s="3111"/>
      <c r="R225" s="3111"/>
      <c r="S225" s="3111"/>
      <c r="T225" s="3111"/>
      <c r="U225" s="3111"/>
      <c r="V225" s="3111"/>
      <c r="W225" s="3111"/>
      <c r="X225" s="3111"/>
      <c r="Y225" s="3111"/>
      <c r="Z225" s="3111"/>
      <c r="AA225" s="3111"/>
      <c r="AB225" s="3111"/>
      <c r="AC225" s="3115"/>
      <c r="AD225" s="3111"/>
      <c r="AE225" s="3111"/>
      <c r="AF225" s="3111"/>
      <c r="AG225" s="3111"/>
      <c r="AH225" s="3111"/>
      <c r="AI225" s="3116"/>
      <c r="AJ225" s="3116"/>
      <c r="AK225" s="3117"/>
      <c r="AL225" s="3110"/>
      <c r="AM225" s="3111"/>
    </row>
    <row r="226" spans="1:39">
      <c r="A226" s="3106"/>
      <c r="B226" s="3117"/>
      <c r="C226" s="3111"/>
      <c r="D226" s="3111"/>
      <c r="E226" s="3111"/>
      <c r="F226" s="3111"/>
      <c r="G226" s="3111"/>
      <c r="H226" s="3111"/>
      <c r="I226" s="3111"/>
      <c r="J226" s="3111"/>
      <c r="K226" s="3111"/>
      <c r="L226" s="3111"/>
      <c r="M226" s="3111"/>
      <c r="N226" s="3111"/>
      <c r="O226" s="3111"/>
      <c r="P226" s="3111"/>
      <c r="Q226" s="3111"/>
      <c r="R226" s="3111"/>
      <c r="S226" s="3111"/>
      <c r="T226" s="3111"/>
      <c r="U226" s="3111"/>
      <c r="V226" s="3111"/>
      <c r="W226" s="3111"/>
      <c r="X226" s="3111"/>
      <c r="Y226" s="3111"/>
      <c r="Z226" s="3111"/>
      <c r="AA226" s="3111"/>
      <c r="AB226" s="3111"/>
      <c r="AC226" s="3115"/>
      <c r="AD226" s="3111"/>
      <c r="AE226" s="3111"/>
      <c r="AF226" s="3111"/>
      <c r="AG226" s="3111"/>
      <c r="AH226" s="3111"/>
      <c r="AI226" s="3169"/>
      <c r="AJ226" s="3169"/>
      <c r="AK226" s="3117"/>
      <c r="AL226" s="3170"/>
      <c r="AM226" s="3111"/>
    </row>
    <row r="227" spans="1:39">
      <c r="A227" s="3106"/>
      <c r="B227" s="3117"/>
      <c r="C227" s="3111"/>
      <c r="D227" s="3111"/>
      <c r="E227" s="3111"/>
      <c r="F227" s="3111"/>
      <c r="G227" s="3111"/>
      <c r="H227" s="3111"/>
      <c r="I227" s="3111"/>
      <c r="J227" s="3111"/>
      <c r="K227" s="3111"/>
      <c r="L227" s="3111"/>
      <c r="M227" s="3111"/>
      <c r="N227" s="3111"/>
      <c r="O227" s="3111"/>
      <c r="P227" s="3111"/>
      <c r="Q227" s="3111"/>
      <c r="R227" s="3111"/>
      <c r="S227" s="3111"/>
      <c r="T227" s="3111"/>
      <c r="U227" s="3111"/>
      <c r="V227" s="3111"/>
      <c r="W227" s="3111"/>
      <c r="X227" s="3111"/>
      <c r="Y227" s="3111"/>
      <c r="Z227" s="3111"/>
      <c r="AA227" s="3111"/>
      <c r="AB227" s="3111"/>
      <c r="AC227" s="3115"/>
      <c r="AD227" s="3111"/>
      <c r="AE227" s="3111"/>
      <c r="AF227" s="3111"/>
      <c r="AG227" s="3111"/>
      <c r="AH227" s="3111"/>
      <c r="AI227" s="3116"/>
      <c r="AJ227" s="3116"/>
      <c r="AK227" s="3172"/>
      <c r="AL227" s="3110"/>
      <c r="AM227" s="3111"/>
    </row>
    <row r="228" spans="1:39">
      <c r="A228" s="3106"/>
      <c r="B228" s="3117"/>
      <c r="C228" s="3111"/>
      <c r="D228" s="3111"/>
      <c r="E228" s="3607"/>
      <c r="F228" s="3607"/>
      <c r="G228" s="3607"/>
      <c r="H228" s="3607"/>
      <c r="I228" s="3607"/>
      <c r="J228" s="3607"/>
      <c r="K228" s="3607"/>
      <c r="L228" s="3607"/>
      <c r="M228" s="3607"/>
      <c r="N228" s="3607"/>
      <c r="O228" s="3607"/>
      <c r="P228" s="3607"/>
      <c r="Q228" s="3607"/>
      <c r="R228" s="3607"/>
      <c r="S228" s="3607"/>
      <c r="T228" s="3607"/>
      <c r="U228" s="3607"/>
      <c r="V228" s="3607"/>
      <c r="W228" s="3607"/>
      <c r="X228" s="3607"/>
      <c r="Y228" s="3607"/>
      <c r="Z228" s="3607"/>
      <c r="AA228" s="3607"/>
      <c r="AB228" s="3607"/>
      <c r="AC228" s="3607"/>
      <c r="AD228" s="3607"/>
      <c r="AE228" s="3607"/>
      <c r="AF228" s="3607"/>
      <c r="AG228" s="3607"/>
      <c r="AH228" s="3607"/>
      <c r="AI228" s="3872"/>
      <c r="AJ228" s="3872"/>
      <c r="AK228" s="3872"/>
      <c r="AL228" s="3872"/>
      <c r="AM228" s="3872"/>
    </row>
    <row r="229" spans="1:39">
      <c r="A229" s="3106"/>
      <c r="B229" s="3117"/>
      <c r="C229" s="3111"/>
      <c r="D229" s="3111"/>
      <c r="E229" s="3111"/>
      <c r="F229" s="3111"/>
      <c r="G229" s="3111"/>
      <c r="H229" s="3173"/>
      <c r="I229" s="3173"/>
      <c r="J229" s="3173"/>
      <c r="K229" s="3173"/>
      <c r="L229" s="3173"/>
      <c r="M229" s="3173"/>
      <c r="N229" s="3111"/>
      <c r="O229" s="3111"/>
      <c r="P229" s="3111"/>
      <c r="Q229" s="3111"/>
      <c r="R229" s="3111"/>
      <c r="S229" s="3111"/>
      <c r="T229" s="3111"/>
      <c r="U229" s="3111"/>
      <c r="V229" s="3111"/>
      <c r="W229" s="3111"/>
      <c r="X229" s="3111"/>
      <c r="Y229" s="3111"/>
      <c r="Z229" s="3111"/>
      <c r="AA229" s="3111"/>
      <c r="AB229" s="3111"/>
      <c r="AC229" s="3115"/>
      <c r="AD229" s="3111"/>
      <c r="AE229" s="3111"/>
      <c r="AF229" s="3111"/>
      <c r="AG229" s="3111"/>
      <c r="AH229" s="3111"/>
      <c r="AI229" s="3116"/>
      <c r="AJ229" s="3116"/>
      <c r="AK229" s="3117"/>
      <c r="AL229" s="3110"/>
      <c r="AM229" s="3111"/>
    </row>
    <row r="230" spans="1:39">
      <c r="A230" s="3106"/>
    </row>
  </sheetData>
  <autoFilter ref="A10:BD209"/>
  <mergeCells count="84">
    <mergeCell ref="AG215:AJ215"/>
    <mergeCell ref="AG218:AJ218"/>
    <mergeCell ref="AK212:AM212"/>
    <mergeCell ref="AK213:AM213"/>
    <mergeCell ref="AK214:AM214"/>
    <mergeCell ref="AK211:AM211"/>
    <mergeCell ref="AG211:AJ211"/>
    <mergeCell ref="AG212:AJ212"/>
    <mergeCell ref="AG213:AJ213"/>
    <mergeCell ref="AG214:AJ214"/>
    <mergeCell ref="A7:AM7"/>
    <mergeCell ref="D217:F217"/>
    <mergeCell ref="G217:M217"/>
    <mergeCell ref="N217:U217"/>
    <mergeCell ref="AC216:AF216"/>
    <mergeCell ref="AC217:AF217"/>
    <mergeCell ref="A9:A10"/>
    <mergeCell ref="A209:D209"/>
    <mergeCell ref="AC211:AF211"/>
    <mergeCell ref="AC212:AF212"/>
    <mergeCell ref="AC213:AF213"/>
    <mergeCell ref="AC214:AF214"/>
    <mergeCell ref="AC215:AF215"/>
    <mergeCell ref="D212:F212"/>
    <mergeCell ref="G212:M212"/>
    <mergeCell ref="N212:U212"/>
    <mergeCell ref="AI228:AM228"/>
    <mergeCell ref="X220:AD220"/>
    <mergeCell ref="AE220:AF220"/>
    <mergeCell ref="AI220:AM220"/>
    <mergeCell ref="AA224:AC224"/>
    <mergeCell ref="AI219:AM219"/>
    <mergeCell ref="AK218:AM218"/>
    <mergeCell ref="AC218:AF218"/>
    <mergeCell ref="N214:U214"/>
    <mergeCell ref="V214:AB214"/>
    <mergeCell ref="AK217:AM217"/>
    <mergeCell ref="N215:U215"/>
    <mergeCell ref="V215:AB215"/>
    <mergeCell ref="N216:U216"/>
    <mergeCell ref="V216:AB216"/>
    <mergeCell ref="AK215:AM215"/>
    <mergeCell ref="AK216:AM216"/>
    <mergeCell ref="AI216:AJ216"/>
    <mergeCell ref="N218:U218"/>
    <mergeCell ref="V218:AB218"/>
    <mergeCell ref="V217:AB217"/>
    <mergeCell ref="V212:AB212"/>
    <mergeCell ref="D213:F213"/>
    <mergeCell ref="G213:M213"/>
    <mergeCell ref="N213:U213"/>
    <mergeCell ref="V213:AB213"/>
    <mergeCell ref="D214:F214"/>
    <mergeCell ref="G214:M214"/>
    <mergeCell ref="A220:F220"/>
    <mergeCell ref="M220:Q220"/>
    <mergeCell ref="G220:L220"/>
    <mergeCell ref="D215:F215"/>
    <mergeCell ref="G215:M215"/>
    <mergeCell ref="D216:F216"/>
    <mergeCell ref="G216:M216"/>
    <mergeCell ref="D218:F218"/>
    <mergeCell ref="G218:M218"/>
    <mergeCell ref="R220:W220"/>
    <mergeCell ref="B90:D90"/>
    <mergeCell ref="B1:AM1"/>
    <mergeCell ref="B2:AM2"/>
    <mergeCell ref="B3:AM3"/>
    <mergeCell ref="B4:G4"/>
    <mergeCell ref="B5:G5"/>
    <mergeCell ref="AK9:AK10"/>
    <mergeCell ref="AL9:AL10"/>
    <mergeCell ref="AM9:AM10"/>
    <mergeCell ref="B9:B10"/>
    <mergeCell ref="C9:C10"/>
    <mergeCell ref="D9:D10"/>
    <mergeCell ref="E9:AF9"/>
    <mergeCell ref="AJ9:AJ10"/>
    <mergeCell ref="AI9:AI10"/>
    <mergeCell ref="B178:D178"/>
    <mergeCell ref="D211:F211"/>
    <mergeCell ref="G211:M211"/>
    <mergeCell ref="N211:U211"/>
    <mergeCell ref="V211:AB211"/>
  </mergeCells>
  <pageMargins left="0.23622047244094491" right="0.23622047244094491" top="0.47244094488188981" bottom="0.55118110236220474" header="0.31496062992125984" footer="0.31496062992125984"/>
  <pageSetup paperSize="9" scale="26" orientation="landscape" r:id="rId1"/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33"/>
  <sheetViews>
    <sheetView zoomScale="57" zoomScaleNormal="57" workbookViewId="0">
      <selection activeCell="AF11" sqref="AF11:AG13"/>
    </sheetView>
  </sheetViews>
  <sheetFormatPr defaultColWidth="10.28515625" defaultRowHeight="23.25"/>
  <cols>
    <col min="1" max="1" width="9.7109375" style="3106" customWidth="1"/>
    <col min="2" max="2" width="20.140625" style="3106" customWidth="1"/>
    <col min="3" max="3" width="9.140625" style="3106" customWidth="1"/>
    <col min="4" max="23" width="7.5703125" style="3106" customWidth="1"/>
    <col min="24" max="24" width="9.42578125" style="3106" bestFit="1" customWidth="1"/>
    <col min="25" max="26" width="7.28515625" style="3106" customWidth="1"/>
    <col min="27" max="27" width="4.7109375" style="3106" customWidth="1"/>
    <col min="28" max="29" width="7.28515625" style="3106" customWidth="1"/>
    <col min="30" max="30" width="10.140625" style="3106" bestFit="1" customWidth="1"/>
    <col min="31" max="31" width="12.42578125" style="3174" customWidth="1"/>
    <col min="32" max="32" width="15.140625" style="3174" customWidth="1"/>
    <col min="33" max="33" width="20.42578125" style="3106" customWidth="1"/>
    <col min="34" max="34" width="11.7109375" style="3106" bestFit="1" customWidth="1"/>
    <col min="35" max="16384" width="10.28515625" style="3106"/>
  </cols>
  <sheetData>
    <row r="1" spans="1:41">
      <c r="A1" s="3840" t="s">
        <v>23</v>
      </c>
      <c r="B1" s="3840"/>
      <c r="C1" s="3840"/>
      <c r="D1" s="3840"/>
      <c r="E1" s="3840"/>
      <c r="F1" s="3840"/>
      <c r="G1" s="3840"/>
      <c r="H1" s="3840"/>
      <c r="I1" s="3840"/>
      <c r="J1" s="3840"/>
      <c r="K1" s="3840"/>
      <c r="L1" s="3840"/>
      <c r="M1" s="3840"/>
      <c r="N1" s="3840"/>
      <c r="O1" s="3840"/>
      <c r="P1" s="3840"/>
      <c r="Q1" s="3840"/>
      <c r="R1" s="3840"/>
      <c r="S1" s="3840"/>
      <c r="T1" s="3840"/>
      <c r="U1" s="3840"/>
      <c r="V1" s="3840"/>
      <c r="W1" s="3840"/>
      <c r="X1" s="3840"/>
      <c r="Y1" s="3840"/>
      <c r="Z1" s="3840"/>
      <c r="AA1" s="3840"/>
      <c r="AB1" s="3840"/>
      <c r="AC1" s="3840"/>
      <c r="AD1" s="3840"/>
      <c r="AE1" s="3840"/>
      <c r="AF1" s="3840"/>
      <c r="AG1" s="3840"/>
      <c r="AH1" s="3840"/>
    </row>
    <row r="2" spans="1:41">
      <c r="A2" s="3840" t="s">
        <v>45</v>
      </c>
      <c r="B2" s="3840"/>
      <c r="C2" s="3840"/>
      <c r="D2" s="3840"/>
      <c r="E2" s="3840"/>
      <c r="F2" s="3840"/>
      <c r="G2" s="3840"/>
      <c r="H2" s="3840"/>
      <c r="I2" s="3840"/>
      <c r="J2" s="3840"/>
      <c r="K2" s="3840"/>
      <c r="L2" s="3840"/>
      <c r="M2" s="3840"/>
      <c r="N2" s="3840"/>
      <c r="O2" s="3840"/>
      <c r="P2" s="3840"/>
      <c r="Q2" s="3840"/>
      <c r="R2" s="3840"/>
      <c r="S2" s="3840"/>
      <c r="T2" s="3840"/>
      <c r="U2" s="3840"/>
      <c r="V2" s="3840"/>
      <c r="W2" s="3840"/>
      <c r="X2" s="3840"/>
      <c r="Y2" s="3840"/>
      <c r="Z2" s="3840"/>
      <c r="AA2" s="3840"/>
      <c r="AB2" s="3840"/>
      <c r="AC2" s="3840"/>
      <c r="AD2" s="3840"/>
      <c r="AE2" s="3840"/>
      <c r="AF2" s="3840"/>
      <c r="AG2" s="3840"/>
      <c r="AH2" s="3840"/>
    </row>
    <row r="3" spans="1:41">
      <c r="A3" s="3841" t="s">
        <v>1580</v>
      </c>
      <c r="B3" s="3841"/>
      <c r="C3" s="3841"/>
      <c r="D3" s="3841"/>
      <c r="E3" s="3841"/>
      <c r="F3" s="3841"/>
      <c r="G3" s="3841"/>
      <c r="H3" s="3841"/>
      <c r="I3" s="3841"/>
      <c r="J3" s="3841"/>
      <c r="K3" s="3841"/>
      <c r="L3" s="3841"/>
      <c r="M3" s="3841"/>
      <c r="N3" s="3841"/>
      <c r="O3" s="3841"/>
      <c r="P3" s="3841"/>
      <c r="Q3" s="3841"/>
      <c r="R3" s="3841"/>
      <c r="S3" s="3841"/>
      <c r="T3" s="3841"/>
      <c r="U3" s="3841"/>
      <c r="V3" s="3841"/>
      <c r="W3" s="3841"/>
      <c r="X3" s="3841"/>
      <c r="Y3" s="3841"/>
      <c r="Z3" s="3841"/>
      <c r="AA3" s="3841"/>
      <c r="AB3" s="3841"/>
      <c r="AC3" s="3841"/>
      <c r="AD3" s="3841"/>
      <c r="AE3" s="3841"/>
      <c r="AF3" s="3841"/>
      <c r="AG3" s="3841"/>
      <c r="AH3" s="3841"/>
    </row>
    <row r="4" spans="1:41">
      <c r="A4" s="3842" t="s">
        <v>1855</v>
      </c>
      <c r="B4" s="3842"/>
      <c r="C4" s="3842"/>
      <c r="D4" s="3842"/>
      <c r="E4" s="3842"/>
      <c r="F4" s="3842"/>
      <c r="G4" s="3842"/>
      <c r="H4" s="3842"/>
      <c r="I4" s="3842"/>
      <c r="J4" s="3107"/>
      <c r="K4" s="3107"/>
      <c r="L4" s="3107"/>
      <c r="M4" s="3107"/>
      <c r="N4" s="3107"/>
      <c r="O4" s="3107"/>
      <c r="P4" s="3107"/>
      <c r="Q4" s="3107"/>
      <c r="R4" s="3107"/>
      <c r="S4" s="3107"/>
      <c r="T4" s="3107"/>
      <c r="U4" s="3107"/>
      <c r="V4" s="3107"/>
      <c r="W4" s="3479"/>
      <c r="X4" s="3479"/>
      <c r="Y4" s="3479"/>
      <c r="Z4" s="3479"/>
      <c r="AA4" s="3479"/>
      <c r="AB4" s="3479"/>
      <c r="AC4" s="3479"/>
      <c r="AD4" s="3479"/>
      <c r="AE4" s="3109"/>
      <c r="AF4" s="3109"/>
      <c r="AG4" s="3479"/>
      <c r="AH4" s="3111"/>
    </row>
    <row r="5" spans="1:41">
      <c r="A5" s="3840" t="s">
        <v>90</v>
      </c>
      <c r="B5" s="3840"/>
      <c r="C5" s="3840"/>
      <c r="D5" s="3840"/>
      <c r="E5" s="3840"/>
      <c r="F5" s="3840"/>
      <c r="G5" s="3840"/>
      <c r="H5" s="3840"/>
      <c r="I5" s="3840"/>
      <c r="J5" s="3107"/>
      <c r="K5" s="3107"/>
      <c r="L5" s="3107"/>
      <c r="M5" s="3107"/>
      <c r="N5" s="3107"/>
      <c r="O5" s="3107"/>
      <c r="P5" s="3107"/>
      <c r="Q5" s="3107"/>
      <c r="R5" s="3107"/>
      <c r="S5" s="3107"/>
      <c r="T5" s="3107"/>
      <c r="U5" s="3107"/>
      <c r="V5" s="3107"/>
      <c r="W5" s="3479"/>
      <c r="X5" s="3479"/>
      <c r="Y5" s="3479"/>
      <c r="Z5" s="3479"/>
      <c r="AA5" s="3479"/>
      <c r="AB5" s="3479"/>
      <c r="AC5" s="3479"/>
      <c r="AD5" s="3479"/>
      <c r="AE5" s="3109"/>
      <c r="AF5" s="3109"/>
      <c r="AG5" s="3479"/>
      <c r="AH5" s="3111"/>
    </row>
    <row r="6" spans="1:41">
      <c r="A6" s="3112"/>
      <c r="B6" s="3107"/>
      <c r="C6" s="3107"/>
      <c r="D6" s="3107"/>
      <c r="E6" s="3107"/>
      <c r="F6" s="3107"/>
      <c r="G6" s="3107"/>
      <c r="H6" s="3113"/>
      <c r="I6" s="3107"/>
      <c r="J6" s="3107"/>
      <c r="K6" s="3107"/>
      <c r="L6" s="3107"/>
      <c r="M6" s="3107"/>
      <c r="N6" s="3107"/>
      <c r="O6" s="3113"/>
      <c r="P6" s="3107"/>
      <c r="Q6" s="3107"/>
      <c r="R6" s="3107"/>
      <c r="S6" s="3107"/>
      <c r="T6" s="3107"/>
      <c r="U6" s="3107"/>
      <c r="V6" s="3113"/>
      <c r="W6" s="3107"/>
      <c r="X6" s="3107"/>
      <c r="Y6" s="3107"/>
      <c r="Z6" s="3107"/>
      <c r="AA6" s="3113"/>
      <c r="AB6" s="3107"/>
      <c r="AC6" s="3113"/>
      <c r="AD6" s="3107"/>
      <c r="AE6" s="3114"/>
      <c r="AF6" s="3114"/>
      <c r="AG6" s="3477"/>
      <c r="AH6" s="3111"/>
    </row>
    <row r="7" spans="1:41">
      <c r="A7" s="3840" t="s">
        <v>2136</v>
      </c>
      <c r="B7" s="3840"/>
      <c r="C7" s="3840"/>
      <c r="D7" s="3840"/>
      <c r="E7" s="3840"/>
      <c r="F7" s="3840"/>
      <c r="G7" s="3840"/>
      <c r="H7" s="3840"/>
      <c r="I7" s="3840"/>
      <c r="J7" s="3840"/>
      <c r="K7" s="3840"/>
      <c r="L7" s="3840"/>
      <c r="M7" s="3840"/>
      <c r="N7" s="3840"/>
      <c r="O7" s="3840"/>
      <c r="P7" s="3840"/>
      <c r="Q7" s="3840"/>
      <c r="R7" s="3840"/>
      <c r="S7" s="3840"/>
      <c r="T7" s="3840"/>
      <c r="U7" s="3840"/>
      <c r="V7" s="3840"/>
      <c r="W7" s="3840"/>
      <c r="X7" s="3840"/>
      <c r="Y7" s="3840"/>
      <c r="Z7" s="3840"/>
      <c r="AA7" s="3840"/>
      <c r="AB7" s="3840"/>
      <c r="AC7" s="3840"/>
      <c r="AD7" s="3840"/>
      <c r="AE7" s="3840"/>
      <c r="AF7" s="3840"/>
      <c r="AG7" s="3840"/>
      <c r="AH7" s="3840"/>
      <c r="AI7" s="3107"/>
      <c r="AJ7" s="3107"/>
      <c r="AK7" s="3107"/>
    </row>
    <row r="8" spans="1:41">
      <c r="A8" s="3104"/>
      <c r="B8" s="3111"/>
      <c r="C8" s="3111"/>
      <c r="D8" s="3111"/>
      <c r="E8" s="3111"/>
      <c r="F8" s="3111"/>
      <c r="G8" s="3111"/>
      <c r="H8" s="3111"/>
      <c r="I8" s="3111"/>
      <c r="J8" s="3111"/>
      <c r="K8" s="3111"/>
      <c r="L8" s="3111"/>
      <c r="M8" s="3111"/>
      <c r="N8" s="3111"/>
      <c r="O8" s="3111"/>
      <c r="P8" s="3111"/>
      <c r="Q8" s="3111"/>
      <c r="R8" s="3111"/>
      <c r="S8" s="3111"/>
      <c r="T8" s="3111"/>
      <c r="U8" s="3111"/>
      <c r="V8" s="3111"/>
      <c r="W8" s="3111"/>
      <c r="X8" s="3111"/>
      <c r="Y8" s="3111"/>
      <c r="Z8" s="3111"/>
      <c r="AA8" s="3115"/>
      <c r="AB8" s="3111"/>
      <c r="AC8" s="3111"/>
      <c r="AD8" s="3111"/>
      <c r="AE8" s="3116"/>
      <c r="AF8" s="3116"/>
      <c r="AG8" s="3117"/>
      <c r="AH8" s="3111"/>
    </row>
    <row r="9" spans="1:41" ht="57.75" customHeight="1">
      <c r="A9" s="3831" t="s">
        <v>932</v>
      </c>
      <c r="B9" s="3831" t="s">
        <v>1982</v>
      </c>
      <c r="C9" s="3846" t="s">
        <v>2135</v>
      </c>
      <c r="D9" s="3847"/>
      <c r="E9" s="3847"/>
      <c r="F9" s="3847"/>
      <c r="G9" s="3847"/>
      <c r="H9" s="3847"/>
      <c r="I9" s="3847"/>
      <c r="J9" s="3847"/>
      <c r="K9" s="3847"/>
      <c r="L9" s="3847"/>
      <c r="M9" s="3847"/>
      <c r="N9" s="3847"/>
      <c r="O9" s="3847"/>
      <c r="P9" s="3847"/>
      <c r="Q9" s="3847"/>
      <c r="R9" s="3847"/>
      <c r="S9" s="3847"/>
      <c r="T9" s="3847"/>
      <c r="U9" s="3847"/>
      <c r="V9" s="3847"/>
      <c r="W9" s="3847"/>
      <c r="X9" s="3847"/>
      <c r="Y9" s="3847"/>
      <c r="Z9" s="3847"/>
      <c r="AA9" s="3847"/>
      <c r="AB9" s="3847"/>
      <c r="AC9" s="3847"/>
      <c r="AD9" s="3847"/>
      <c r="AE9" s="3850" t="s">
        <v>2057</v>
      </c>
      <c r="AF9" s="3848" t="s">
        <v>2132</v>
      </c>
      <c r="AG9" s="3843" t="s">
        <v>2131</v>
      </c>
      <c r="AH9" s="3844" t="s">
        <v>2061</v>
      </c>
    </row>
    <row r="10" spans="1:41" ht="72" customHeight="1">
      <c r="A10" s="3831"/>
      <c r="B10" s="3831"/>
      <c r="C10" s="3476">
        <v>1</v>
      </c>
      <c r="D10" s="3476">
        <v>2</v>
      </c>
      <c r="E10" s="3476">
        <v>3</v>
      </c>
      <c r="F10" s="3119">
        <v>4</v>
      </c>
      <c r="G10" s="3476">
        <v>5</v>
      </c>
      <c r="H10" s="3476">
        <v>6</v>
      </c>
      <c r="I10" s="3476">
        <v>7</v>
      </c>
      <c r="J10" s="3476">
        <v>8</v>
      </c>
      <c r="K10" s="3476">
        <v>9</v>
      </c>
      <c r="L10" s="3476">
        <v>10</v>
      </c>
      <c r="M10" s="3119">
        <v>11</v>
      </c>
      <c r="N10" s="3476">
        <v>12</v>
      </c>
      <c r="O10" s="3476">
        <v>13</v>
      </c>
      <c r="P10" s="3476">
        <v>14</v>
      </c>
      <c r="Q10" s="3476">
        <v>15</v>
      </c>
      <c r="R10" s="3476">
        <v>16</v>
      </c>
      <c r="S10" s="3476">
        <v>17</v>
      </c>
      <c r="T10" s="3119">
        <v>18</v>
      </c>
      <c r="U10" s="3476">
        <v>19</v>
      </c>
      <c r="V10" s="3476">
        <v>20</v>
      </c>
      <c r="W10" s="3476">
        <v>21</v>
      </c>
      <c r="X10" s="3476">
        <v>22</v>
      </c>
      <c r="Y10" s="3476">
        <v>23</v>
      </c>
      <c r="Z10" s="3476">
        <v>24</v>
      </c>
      <c r="AA10" s="3119">
        <v>25</v>
      </c>
      <c r="AB10" s="3476">
        <v>26</v>
      </c>
      <c r="AC10" s="3476">
        <v>27</v>
      </c>
      <c r="AD10" s="3604" t="s">
        <v>2121</v>
      </c>
      <c r="AE10" s="3850"/>
      <c r="AF10" s="3849"/>
      <c r="AG10" s="3843"/>
      <c r="AH10" s="3845"/>
      <c r="AM10" s="3298"/>
      <c r="AN10" s="3298"/>
      <c r="AO10" s="3298"/>
    </row>
    <row r="11" spans="1:41" ht="72" customHeight="1">
      <c r="A11" s="3125">
        <v>1</v>
      </c>
      <c r="B11" s="3600" t="s">
        <v>1883</v>
      </c>
      <c r="C11" s="3562"/>
      <c r="D11" s="3562"/>
      <c r="E11" s="3562"/>
      <c r="F11" s="3119"/>
      <c r="G11" s="3562"/>
      <c r="H11" s="3562"/>
      <c r="I11" s="3562"/>
      <c r="J11" s="3562"/>
      <c r="K11" s="3562"/>
      <c r="L11" s="3562"/>
      <c r="M11" s="3119"/>
      <c r="N11" s="3562"/>
      <c r="O11" s="3562"/>
      <c r="P11" s="3562"/>
      <c r="Q11" s="3562"/>
      <c r="R11" s="3562"/>
      <c r="S11" s="3562"/>
      <c r="T11" s="3119"/>
      <c r="U11" s="3562"/>
      <c r="V11" s="3562"/>
      <c r="W11" s="3562"/>
      <c r="X11" s="3562"/>
      <c r="Y11" s="3562"/>
      <c r="Z11" s="3562"/>
      <c r="AA11" s="3119"/>
      <c r="AB11" s="3562"/>
      <c r="AC11" s="3562"/>
      <c r="AD11" s="3125"/>
      <c r="AE11" s="3602">
        <f>+SUM(C11:AD11)</f>
        <v>0</v>
      </c>
      <c r="AF11" s="3603"/>
      <c r="AG11" s="3602"/>
      <c r="AH11" s="3561"/>
      <c r="AM11" s="3298"/>
      <c r="AN11" s="3298"/>
      <c r="AO11" s="3298"/>
    </row>
    <row r="12" spans="1:41" ht="72" customHeight="1">
      <c r="A12" s="3125">
        <v>2</v>
      </c>
      <c r="B12" s="3600" t="s">
        <v>1865</v>
      </c>
      <c r="C12" s="3562"/>
      <c r="D12" s="3562"/>
      <c r="E12" s="3562"/>
      <c r="F12" s="3119"/>
      <c r="G12" s="3562"/>
      <c r="H12" s="3562"/>
      <c r="I12" s="3562"/>
      <c r="J12" s="3562"/>
      <c r="K12" s="3562"/>
      <c r="L12" s="3562"/>
      <c r="M12" s="3119"/>
      <c r="N12" s="3562"/>
      <c r="O12" s="3562"/>
      <c r="P12" s="3562"/>
      <c r="Q12" s="3562"/>
      <c r="R12" s="3562"/>
      <c r="S12" s="3562"/>
      <c r="T12" s="3119"/>
      <c r="U12" s="3562"/>
      <c r="V12" s="3562"/>
      <c r="W12" s="3562"/>
      <c r="X12" s="3562"/>
      <c r="Y12" s="3562"/>
      <c r="Z12" s="3562"/>
      <c r="AA12" s="3119"/>
      <c r="AB12" s="3562"/>
      <c r="AC12" s="3562"/>
      <c r="AD12" s="3125"/>
      <c r="AE12" s="3602">
        <f>+SUM(C12:AD12)</f>
        <v>0</v>
      </c>
      <c r="AF12" s="3603"/>
      <c r="AG12" s="3602"/>
      <c r="AH12" s="3561"/>
      <c r="AM12" s="3298"/>
      <c r="AN12" s="3298"/>
      <c r="AO12" s="3298"/>
    </row>
    <row r="13" spans="1:41" ht="72" customHeight="1">
      <c r="A13" s="3125">
        <v>3</v>
      </c>
      <c r="B13" s="3601" t="s">
        <v>453</v>
      </c>
      <c r="C13" s="3128"/>
      <c r="D13" s="3128"/>
      <c r="E13" s="3128"/>
      <c r="F13" s="3128"/>
      <c r="G13" s="3128"/>
      <c r="H13" s="3128"/>
      <c r="I13" s="3128"/>
      <c r="J13" s="3128"/>
      <c r="K13" s="3128"/>
      <c r="L13" s="3128"/>
      <c r="M13" s="3128"/>
      <c r="N13" s="3128"/>
      <c r="O13" s="3128"/>
      <c r="P13" s="3128"/>
      <c r="Q13" s="3128"/>
      <c r="R13" s="3128"/>
      <c r="S13" s="3128"/>
      <c r="T13" s="3128"/>
      <c r="U13" s="3128"/>
      <c r="V13" s="3128"/>
      <c r="W13" s="3128"/>
      <c r="X13" s="3129"/>
      <c r="Y13" s="3128"/>
      <c r="Z13" s="3128"/>
      <c r="AA13" s="3128"/>
      <c r="AB13" s="3128"/>
      <c r="AC13" s="3128"/>
      <c r="AD13" s="3128"/>
      <c r="AE13" s="3129">
        <f>+SUM(C13:AD13)</f>
        <v>0</v>
      </c>
      <c r="AF13" s="3130"/>
      <c r="AG13" s="3006"/>
      <c r="AH13" s="3153"/>
    </row>
    <row r="14" spans="1:41" ht="72" customHeight="1">
      <c r="A14" s="3832" t="s">
        <v>61</v>
      </c>
      <c r="B14" s="3834"/>
      <c r="C14" s="3175">
        <f t="shared" ref="C14:AD14" si="0">SUM(C13:C13)</f>
        <v>0</v>
      </c>
      <c r="D14" s="3175">
        <f t="shared" si="0"/>
        <v>0</v>
      </c>
      <c r="E14" s="3175">
        <f t="shared" si="0"/>
        <v>0</v>
      </c>
      <c r="F14" s="3175">
        <f t="shared" si="0"/>
        <v>0</v>
      </c>
      <c r="G14" s="3175">
        <f t="shared" si="0"/>
        <v>0</v>
      </c>
      <c r="H14" s="3175">
        <f t="shared" si="0"/>
        <v>0</v>
      </c>
      <c r="I14" s="3175">
        <f t="shared" si="0"/>
        <v>0</v>
      </c>
      <c r="J14" s="3175">
        <f t="shared" si="0"/>
        <v>0</v>
      </c>
      <c r="K14" s="3175">
        <f t="shared" si="0"/>
        <v>0</v>
      </c>
      <c r="L14" s="3175">
        <f t="shared" si="0"/>
        <v>0</v>
      </c>
      <c r="M14" s="3175">
        <f t="shared" si="0"/>
        <v>0</v>
      </c>
      <c r="N14" s="3175">
        <f t="shared" si="0"/>
        <v>0</v>
      </c>
      <c r="O14" s="3175">
        <f t="shared" si="0"/>
        <v>0</v>
      </c>
      <c r="P14" s="3175">
        <f t="shared" si="0"/>
        <v>0</v>
      </c>
      <c r="Q14" s="3175">
        <f t="shared" si="0"/>
        <v>0</v>
      </c>
      <c r="R14" s="3175">
        <f t="shared" si="0"/>
        <v>0</v>
      </c>
      <c r="S14" s="3175">
        <f t="shared" si="0"/>
        <v>0</v>
      </c>
      <c r="T14" s="3175">
        <f t="shared" si="0"/>
        <v>0</v>
      </c>
      <c r="U14" s="3175">
        <f t="shared" si="0"/>
        <v>0</v>
      </c>
      <c r="V14" s="3175">
        <f t="shared" si="0"/>
        <v>0</v>
      </c>
      <c r="W14" s="3175">
        <f t="shared" si="0"/>
        <v>0</v>
      </c>
      <c r="X14" s="3175">
        <f t="shared" si="0"/>
        <v>0</v>
      </c>
      <c r="Y14" s="3175">
        <f t="shared" si="0"/>
        <v>0</v>
      </c>
      <c r="Z14" s="3175">
        <f t="shared" si="0"/>
        <v>0</v>
      </c>
      <c r="AA14" s="3175">
        <f t="shared" si="0"/>
        <v>0</v>
      </c>
      <c r="AB14" s="3175">
        <f t="shared" si="0"/>
        <v>0</v>
      </c>
      <c r="AC14" s="3175">
        <f t="shared" si="0"/>
        <v>0</v>
      </c>
      <c r="AD14" s="3175">
        <f t="shared" si="0"/>
        <v>0</v>
      </c>
      <c r="AE14" s="3175">
        <f>SUM(AE11:AE13)</f>
        <v>0</v>
      </c>
      <c r="AF14" s="3175"/>
      <c r="AG14" s="3175">
        <f>SUM(AG11:AG13)</f>
        <v>0</v>
      </c>
      <c r="AH14" s="3151"/>
      <c r="AM14" s="3297"/>
      <c r="AN14" s="3297"/>
      <c r="AO14" s="3297"/>
    </row>
    <row r="15" spans="1:41" s="3111" customFormat="1">
      <c r="A15" s="3160"/>
      <c r="B15" s="3160"/>
      <c r="C15" s="3161"/>
      <c r="D15" s="3161"/>
      <c r="E15" s="3161"/>
      <c r="F15" s="3161"/>
      <c r="G15" s="3161"/>
      <c r="H15" s="3161"/>
      <c r="I15" s="3161"/>
      <c r="J15" s="3161"/>
      <c r="K15" s="3161"/>
      <c r="L15" s="3161"/>
      <c r="M15" s="3161"/>
      <c r="N15" s="3161"/>
      <c r="O15" s="3161"/>
      <c r="P15" s="3161"/>
      <c r="Q15" s="3161"/>
      <c r="R15" s="3161"/>
      <c r="S15" s="3161"/>
      <c r="T15" s="3161"/>
      <c r="U15" s="3161"/>
      <c r="V15" s="3161"/>
      <c r="W15" s="3161"/>
      <c r="X15" s="3161"/>
      <c r="Y15" s="3161"/>
      <c r="Z15" s="3161"/>
      <c r="AB15" s="3162"/>
      <c r="AC15" s="3889" t="s">
        <v>2133</v>
      </c>
      <c r="AD15" s="3889"/>
      <c r="AE15" s="3889"/>
      <c r="AF15" s="3889"/>
      <c r="AG15" s="3889"/>
      <c r="AH15" s="3889"/>
    </row>
    <row r="16" spans="1:41" s="3164" customFormat="1">
      <c r="A16" s="3887" t="s">
        <v>84</v>
      </c>
      <c r="B16" s="3887"/>
      <c r="C16" s="3887"/>
      <c r="D16" s="3888" t="s">
        <v>241</v>
      </c>
      <c r="E16" s="3888"/>
      <c r="F16" s="3888"/>
      <c r="G16" s="3888"/>
      <c r="H16" s="3888"/>
      <c r="I16" s="3888"/>
      <c r="J16" s="3887" t="s">
        <v>1873</v>
      </c>
      <c r="K16" s="3887"/>
      <c r="L16" s="3887"/>
      <c r="M16" s="3887"/>
      <c r="N16" s="3887"/>
      <c r="O16" s="3887"/>
      <c r="P16" s="3887" t="s">
        <v>20</v>
      </c>
      <c r="Q16" s="3887"/>
      <c r="R16" s="3887"/>
      <c r="S16" s="3887"/>
      <c r="T16" s="3887"/>
      <c r="U16" s="3887" t="s">
        <v>1874</v>
      </c>
      <c r="V16" s="3887"/>
      <c r="W16" s="3887"/>
      <c r="X16" s="3887"/>
      <c r="Y16" s="3887"/>
      <c r="Z16" s="3890" t="s">
        <v>1875</v>
      </c>
      <c r="AA16" s="3890"/>
      <c r="AB16" s="3890"/>
      <c r="AC16" s="3890"/>
      <c r="AD16" s="3890"/>
      <c r="AE16" s="3887" t="s">
        <v>21</v>
      </c>
      <c r="AF16" s="3887"/>
      <c r="AG16" s="3887"/>
      <c r="AH16" s="3887"/>
    </row>
    <row r="17" spans="1:34">
      <c r="A17" s="3117"/>
      <c r="B17" s="3111"/>
      <c r="C17" s="3111"/>
      <c r="D17" s="3111"/>
      <c r="E17" s="3111"/>
      <c r="F17" s="3111"/>
      <c r="G17" s="3111"/>
      <c r="H17" s="3111"/>
      <c r="I17" s="3111"/>
      <c r="J17" s="3111"/>
      <c r="K17" s="3111"/>
      <c r="L17" s="3111"/>
      <c r="M17" s="3111"/>
      <c r="N17" s="3111"/>
      <c r="O17" s="3111"/>
      <c r="P17" s="3111"/>
      <c r="Q17" s="3111"/>
      <c r="R17" s="3111"/>
      <c r="S17" s="3111"/>
      <c r="T17" s="3111"/>
      <c r="U17" s="3111"/>
      <c r="V17" s="3111"/>
      <c r="W17" s="3111"/>
      <c r="X17" s="3111"/>
      <c r="Y17" s="3111"/>
      <c r="Z17" s="3111"/>
      <c r="AA17" s="3115"/>
      <c r="AB17" s="3111"/>
      <c r="AC17" s="3111"/>
      <c r="AD17" s="3111"/>
      <c r="AE17" s="3116"/>
      <c r="AF17" s="3116"/>
      <c r="AG17" s="3117"/>
      <c r="AH17" s="3111"/>
    </row>
    <row r="18" spans="1:34">
      <c r="A18" s="3117"/>
      <c r="B18" s="3111"/>
      <c r="C18" s="3111"/>
      <c r="D18" s="3111"/>
      <c r="E18" s="3111"/>
      <c r="F18" s="3111"/>
      <c r="G18" s="3111"/>
      <c r="H18" s="3111"/>
      <c r="I18" s="3111"/>
      <c r="J18" s="3111"/>
      <c r="K18" s="3111"/>
      <c r="L18" s="3111"/>
      <c r="M18" s="3111"/>
      <c r="N18" s="3111"/>
      <c r="O18" s="3111"/>
      <c r="P18" s="3111"/>
      <c r="Q18" s="3111"/>
      <c r="R18" s="3111"/>
      <c r="S18" s="3111"/>
      <c r="T18" s="3111"/>
      <c r="U18" s="3111"/>
      <c r="V18" s="3111"/>
      <c r="W18" s="3111"/>
      <c r="X18" s="3111"/>
      <c r="Y18" s="3111"/>
      <c r="Z18" s="3111"/>
      <c r="AA18" s="3115"/>
      <c r="AB18" s="3111"/>
      <c r="AC18" s="3111"/>
      <c r="AD18" s="3111"/>
      <c r="AE18" s="3116"/>
      <c r="AF18" s="3116"/>
      <c r="AG18" s="3117"/>
      <c r="AH18" s="3111"/>
    </row>
    <row r="19" spans="1:34">
      <c r="A19" s="3117"/>
      <c r="B19" s="3111"/>
      <c r="C19" s="3111"/>
      <c r="D19" s="3111"/>
      <c r="E19" s="3111"/>
      <c r="F19" s="3111"/>
      <c r="G19" s="3111"/>
      <c r="H19" s="3111"/>
      <c r="I19" s="3111"/>
      <c r="J19" s="3111"/>
      <c r="K19" s="3111"/>
      <c r="L19" s="3111"/>
      <c r="M19" s="3111"/>
      <c r="N19" s="3111"/>
      <c r="O19" s="3111"/>
      <c r="P19" s="3111"/>
      <c r="Q19" s="3111"/>
      <c r="R19" s="3111"/>
      <c r="S19" s="3111"/>
      <c r="T19" s="3111"/>
      <c r="U19" s="3111"/>
      <c r="V19" s="3111"/>
      <c r="W19" s="3111"/>
      <c r="X19" s="3111"/>
      <c r="Y19" s="3111"/>
      <c r="Z19" s="3111"/>
      <c r="AA19" s="3115"/>
      <c r="AB19" s="3111"/>
      <c r="AC19" s="3165"/>
      <c r="AD19" s="3111"/>
      <c r="AE19" s="3116"/>
      <c r="AF19" s="3116"/>
      <c r="AG19" s="3117"/>
      <c r="AH19" s="3111"/>
    </row>
    <row r="20" spans="1:34">
      <c r="A20" s="3117"/>
      <c r="B20" s="3111"/>
      <c r="C20" s="3111"/>
      <c r="D20" s="3111"/>
      <c r="E20" s="3111"/>
      <c r="F20" s="3111"/>
      <c r="G20" s="3111"/>
      <c r="H20" s="3111"/>
      <c r="I20" s="3111"/>
      <c r="J20" s="3111"/>
      <c r="K20" s="3111"/>
      <c r="L20" s="3111"/>
      <c r="M20" s="3111"/>
      <c r="N20" s="3111"/>
      <c r="O20" s="3111"/>
      <c r="P20" s="3111"/>
      <c r="Q20" s="3111"/>
      <c r="R20" s="3111"/>
      <c r="S20" s="3111"/>
      <c r="T20" s="3111"/>
      <c r="U20" s="3111"/>
      <c r="V20" s="3111"/>
      <c r="W20" s="3111"/>
      <c r="X20" s="3111"/>
      <c r="Y20" s="3874"/>
      <c r="Z20" s="3874"/>
      <c r="AA20" s="3874"/>
      <c r="AB20" s="3111"/>
      <c r="AC20" s="3111"/>
      <c r="AD20" s="3111"/>
      <c r="AE20" s="3116"/>
      <c r="AF20" s="3116"/>
      <c r="AG20" s="3117"/>
      <c r="AH20" s="3111"/>
    </row>
    <row r="21" spans="1:34">
      <c r="A21" s="3117"/>
      <c r="B21" s="3111"/>
      <c r="C21" s="3111"/>
      <c r="D21" s="3111"/>
      <c r="E21" s="3111"/>
      <c r="F21" s="3111"/>
      <c r="G21" s="3111"/>
      <c r="H21" s="3111"/>
      <c r="I21" s="3111"/>
      <c r="J21" s="3111"/>
      <c r="K21" s="3111"/>
      <c r="L21" s="3111"/>
      <c r="M21" s="3111"/>
      <c r="N21" s="3111"/>
      <c r="O21" s="3111"/>
      <c r="P21" s="3111"/>
      <c r="Q21" s="3111"/>
      <c r="R21" s="3111"/>
      <c r="S21" s="3111"/>
      <c r="T21" s="3111"/>
      <c r="U21" s="3111"/>
      <c r="V21" s="3111"/>
      <c r="W21" s="3111"/>
      <c r="X21" s="3111"/>
      <c r="Y21" s="3111"/>
      <c r="Z21" s="3111"/>
      <c r="AA21" s="3115"/>
      <c r="AB21" s="3111"/>
      <c r="AC21" s="3111"/>
      <c r="AD21" s="3111"/>
      <c r="AE21" s="3116"/>
      <c r="AF21" s="3116"/>
      <c r="AG21" s="3117"/>
      <c r="AH21" s="3111"/>
    </row>
    <row r="22" spans="1:34">
      <c r="A22" s="3117"/>
      <c r="B22" s="3111"/>
      <c r="C22" s="3111"/>
      <c r="D22" s="3111"/>
      <c r="E22" s="3111"/>
      <c r="F22" s="3111"/>
      <c r="G22" s="3111"/>
      <c r="H22" s="3111"/>
      <c r="I22" s="3111"/>
      <c r="J22" s="3111"/>
      <c r="K22" s="3111"/>
      <c r="L22" s="3111"/>
      <c r="M22" s="3111"/>
      <c r="N22" s="3111"/>
      <c r="O22" s="3111"/>
      <c r="P22" s="3111"/>
      <c r="Q22" s="3111"/>
      <c r="R22" s="3111"/>
      <c r="S22" s="3111"/>
      <c r="T22" s="3111"/>
      <c r="U22" s="3111"/>
      <c r="V22" s="3111"/>
      <c r="W22" s="3111"/>
      <c r="X22" s="3111"/>
      <c r="Y22" s="3111"/>
      <c r="Z22" s="3111"/>
      <c r="AA22" s="3115"/>
      <c r="AB22" s="3111"/>
      <c r="AC22" s="3111"/>
      <c r="AD22" s="3111"/>
      <c r="AE22" s="3169"/>
      <c r="AF22" s="3169"/>
      <c r="AG22" s="3117"/>
      <c r="AH22" s="3111"/>
    </row>
    <row r="23" spans="1:34">
      <c r="A23" s="3117"/>
      <c r="B23" s="3111"/>
      <c r="C23" s="3111"/>
      <c r="D23" s="3111"/>
      <c r="E23" s="3111"/>
      <c r="F23" s="3111"/>
      <c r="G23" s="3111"/>
      <c r="H23" s="3111"/>
      <c r="I23" s="3111"/>
      <c r="J23" s="3111"/>
      <c r="K23" s="3111"/>
      <c r="L23" s="3111"/>
      <c r="M23" s="3111"/>
      <c r="N23" s="3111"/>
      <c r="O23" s="3111"/>
      <c r="P23" s="3111"/>
      <c r="Q23" s="3111"/>
      <c r="R23" s="3111"/>
      <c r="S23" s="3111"/>
      <c r="T23" s="3111"/>
      <c r="U23" s="3111"/>
      <c r="V23" s="3111"/>
      <c r="W23" s="3111"/>
      <c r="X23" s="3111"/>
      <c r="Y23" s="3111"/>
      <c r="Z23" s="3111"/>
      <c r="AA23" s="3115"/>
      <c r="AB23" s="3111"/>
      <c r="AC23" s="3111"/>
      <c r="AD23" s="3111"/>
      <c r="AE23" s="3116"/>
      <c r="AF23" s="3116"/>
      <c r="AG23" s="3172"/>
      <c r="AH23" s="3111"/>
    </row>
    <row r="24" spans="1:34">
      <c r="A24" s="3117"/>
      <c r="B24" s="3111"/>
      <c r="C24" s="3111"/>
      <c r="D24" s="3111"/>
      <c r="E24" s="3111"/>
      <c r="F24" s="3872"/>
      <c r="G24" s="3872"/>
      <c r="H24" s="3872"/>
      <c r="I24" s="3872"/>
      <c r="J24" s="3872"/>
      <c r="K24" s="3872"/>
      <c r="L24" s="3173"/>
      <c r="M24" s="3173"/>
      <c r="N24" s="3872"/>
      <c r="O24" s="3872"/>
      <c r="P24" s="3872"/>
      <c r="Q24" s="3872"/>
      <c r="R24" s="3872"/>
      <c r="S24" s="3872"/>
      <c r="T24" s="3872"/>
      <c r="U24" s="3872"/>
      <c r="V24" s="3872"/>
      <c r="W24" s="3872"/>
      <c r="X24" s="3872"/>
      <c r="Y24" s="3872"/>
      <c r="Z24" s="3872"/>
      <c r="AA24" s="3872"/>
      <c r="AB24" s="3872"/>
      <c r="AC24" s="3872"/>
      <c r="AD24" s="3563"/>
      <c r="AE24" s="3872"/>
      <c r="AF24" s="3872"/>
      <c r="AG24" s="3872"/>
      <c r="AH24" s="3872"/>
    </row>
    <row r="25" spans="1:34">
      <c r="A25" s="3117"/>
      <c r="B25" s="3111"/>
      <c r="C25" s="3111"/>
      <c r="D25" s="3111"/>
      <c r="E25" s="3111"/>
      <c r="F25" s="3111"/>
      <c r="G25" s="3111"/>
      <c r="H25" s="3111"/>
      <c r="I25" s="3111"/>
      <c r="J25" s="3111"/>
      <c r="K25" s="3111"/>
      <c r="L25" s="3111"/>
      <c r="M25" s="3111"/>
      <c r="N25" s="3111"/>
      <c r="O25" s="3111"/>
      <c r="P25" s="3111"/>
      <c r="Q25" s="3111"/>
      <c r="R25" s="3111"/>
      <c r="S25" s="3111"/>
      <c r="T25" s="3111"/>
      <c r="U25" s="3111"/>
      <c r="V25" s="3111"/>
      <c r="W25" s="3111"/>
      <c r="X25" s="3111"/>
      <c r="Y25" s="3111"/>
      <c r="Z25" s="3111"/>
      <c r="AA25" s="3115"/>
      <c r="AB25" s="3111"/>
      <c r="AC25" s="3111"/>
      <c r="AD25" s="3111"/>
      <c r="AE25" s="3116"/>
      <c r="AF25" s="3116"/>
      <c r="AG25" s="3117"/>
      <c r="AH25" s="3111"/>
    </row>
    <row r="28" spans="1:34">
      <c r="AE28" s="3106"/>
      <c r="AF28" s="3106"/>
    </row>
    <row r="29" spans="1:34">
      <c r="AE29" s="3106"/>
      <c r="AF29" s="3106"/>
    </row>
    <row r="30" spans="1:34">
      <c r="AE30" s="3106"/>
      <c r="AF30" s="3106"/>
    </row>
    <row r="31" spans="1:34">
      <c r="AE31" s="3106"/>
      <c r="AF31" s="3106"/>
    </row>
    <row r="32" spans="1:34">
      <c r="AE32" s="3106"/>
      <c r="AF32" s="3106"/>
    </row>
    <row r="33" spans="31:32">
      <c r="AE33" s="3106"/>
      <c r="AF33" s="3106"/>
    </row>
  </sheetData>
  <mergeCells count="27">
    <mergeCell ref="J16:O16"/>
    <mergeCell ref="A16:C16"/>
    <mergeCell ref="D16:I16"/>
    <mergeCell ref="AC15:AH15"/>
    <mergeCell ref="AE16:AH16"/>
    <mergeCell ref="Z16:AD16"/>
    <mergeCell ref="U16:Y16"/>
    <mergeCell ref="P16:T16"/>
    <mergeCell ref="AE24:AH24"/>
    <mergeCell ref="Y20:AA20"/>
    <mergeCell ref="F24:K24"/>
    <mergeCell ref="N24:T24"/>
    <mergeCell ref="U24:AC24"/>
    <mergeCell ref="A14:B14"/>
    <mergeCell ref="AG9:AG10"/>
    <mergeCell ref="AH9:AH10"/>
    <mergeCell ref="A9:A10"/>
    <mergeCell ref="B9:B10"/>
    <mergeCell ref="C9:AD9"/>
    <mergeCell ref="AE9:AE10"/>
    <mergeCell ref="AF9:AF10"/>
    <mergeCell ref="A7:AH7"/>
    <mergeCell ref="A1:AH1"/>
    <mergeCell ref="A2:AH2"/>
    <mergeCell ref="A3:AH3"/>
    <mergeCell ref="A5:I5"/>
    <mergeCell ref="A4:I4"/>
  </mergeCells>
  <pageMargins left="0.27559055118110237" right="0.19685039370078741" top="0.74803149606299213" bottom="0.74803149606299213" header="0.31496062992125984" footer="0.31496062992125984"/>
  <pageSetup paperSize="9" scale="4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81"/>
  <sheetViews>
    <sheetView topLeftCell="H1" zoomScale="53" zoomScaleNormal="53" workbookViewId="0">
      <pane ySplit="10" topLeftCell="A67" activePane="bottomLeft" state="frozen"/>
      <selection pane="bottomLeft" activeCell="AB71" sqref="AB71:AE71"/>
    </sheetView>
  </sheetViews>
  <sheetFormatPr defaultColWidth="7" defaultRowHeight="23.25"/>
  <cols>
    <col min="1" max="1" width="8.42578125" style="3104" customWidth="1"/>
    <col min="2" max="2" width="7" style="3106"/>
    <col min="3" max="3" width="29.28515625" style="3106" customWidth="1"/>
    <col min="4" max="4" width="14" style="3106" customWidth="1"/>
    <col min="5" max="34" width="8.85546875" style="3106" customWidth="1"/>
    <col min="35" max="35" width="16.140625" style="3174" customWidth="1"/>
    <col min="36" max="36" width="20.28515625" style="3106" customWidth="1"/>
    <col min="37" max="40" width="7" style="3106"/>
    <col min="41" max="41" width="27" style="3106" customWidth="1"/>
    <col min="42" max="42" width="25.7109375" style="3106" customWidth="1"/>
    <col min="43" max="43" width="28.42578125" style="3106" customWidth="1"/>
    <col min="44" max="44" width="29.5703125" style="3106" customWidth="1"/>
    <col min="45" max="16384" width="7" style="3106"/>
  </cols>
  <sheetData>
    <row r="1" spans="1:43">
      <c r="B1" s="3840" t="s">
        <v>23</v>
      </c>
      <c r="C1" s="3840"/>
      <c r="D1" s="3840"/>
      <c r="E1" s="3840"/>
      <c r="F1" s="3840"/>
      <c r="G1" s="3840"/>
      <c r="H1" s="3840"/>
      <c r="I1" s="3840"/>
      <c r="J1" s="3840"/>
      <c r="K1" s="3840"/>
      <c r="L1" s="3840"/>
      <c r="M1" s="3840"/>
      <c r="N1" s="3840"/>
      <c r="O1" s="3840"/>
      <c r="P1" s="3840"/>
      <c r="Q1" s="3840"/>
      <c r="R1" s="3840"/>
      <c r="S1" s="3840"/>
      <c r="T1" s="3840"/>
      <c r="U1" s="3840"/>
      <c r="V1" s="3840"/>
      <c r="W1" s="3840"/>
      <c r="X1" s="3840"/>
      <c r="Y1" s="3840"/>
      <c r="Z1" s="3840"/>
      <c r="AA1" s="3840"/>
      <c r="AB1" s="3840"/>
      <c r="AC1" s="3840"/>
      <c r="AD1" s="3840"/>
      <c r="AE1" s="3840"/>
      <c r="AF1" s="3840"/>
      <c r="AG1" s="3840"/>
      <c r="AH1" s="3840"/>
      <c r="AI1" s="3840"/>
      <c r="AJ1" s="3840"/>
    </row>
    <row r="2" spans="1:43">
      <c r="B2" s="3840" t="s">
        <v>45</v>
      </c>
      <c r="C2" s="3840"/>
      <c r="D2" s="3840"/>
      <c r="E2" s="3840"/>
      <c r="F2" s="3840"/>
      <c r="G2" s="3840"/>
      <c r="H2" s="3840"/>
      <c r="I2" s="3840"/>
      <c r="J2" s="3840"/>
      <c r="K2" s="3840"/>
      <c r="L2" s="3840"/>
      <c r="M2" s="3840"/>
      <c r="N2" s="3840"/>
      <c r="O2" s="3840"/>
      <c r="P2" s="3840"/>
      <c r="Q2" s="3840"/>
      <c r="R2" s="3840"/>
      <c r="S2" s="3840"/>
      <c r="T2" s="3840"/>
      <c r="U2" s="3840"/>
      <c r="V2" s="3840"/>
      <c r="W2" s="3840"/>
      <c r="X2" s="3840"/>
      <c r="Y2" s="3840"/>
      <c r="Z2" s="3840"/>
      <c r="AA2" s="3840"/>
      <c r="AB2" s="3840"/>
      <c r="AC2" s="3840"/>
      <c r="AD2" s="3840"/>
      <c r="AE2" s="3840"/>
      <c r="AF2" s="3840"/>
      <c r="AG2" s="3840"/>
      <c r="AH2" s="3840"/>
      <c r="AI2" s="3840"/>
      <c r="AJ2" s="3840"/>
    </row>
    <row r="3" spans="1:43">
      <c r="B3" s="3841" t="s">
        <v>1580</v>
      </c>
      <c r="C3" s="3841"/>
      <c r="D3" s="3841"/>
      <c r="E3" s="3841"/>
      <c r="F3" s="3841"/>
      <c r="G3" s="3841"/>
      <c r="H3" s="3841"/>
      <c r="I3" s="3841"/>
      <c r="J3" s="3841"/>
      <c r="K3" s="3841"/>
      <c r="L3" s="3841"/>
      <c r="M3" s="3841"/>
      <c r="N3" s="3841"/>
      <c r="O3" s="3841"/>
      <c r="P3" s="3841"/>
      <c r="Q3" s="3841"/>
      <c r="R3" s="3841"/>
      <c r="S3" s="3841"/>
      <c r="T3" s="3841"/>
      <c r="U3" s="3841"/>
      <c r="V3" s="3841"/>
      <c r="W3" s="3841"/>
      <c r="X3" s="3841"/>
      <c r="Y3" s="3841"/>
      <c r="Z3" s="3841"/>
      <c r="AA3" s="3841"/>
      <c r="AB3" s="3841"/>
      <c r="AC3" s="3841"/>
      <c r="AD3" s="3841"/>
      <c r="AE3" s="3841"/>
      <c r="AF3" s="3841"/>
      <c r="AG3" s="3841"/>
      <c r="AH3" s="3841"/>
      <c r="AI3" s="3841"/>
      <c r="AJ3" s="3841"/>
    </row>
    <row r="4" spans="1:43">
      <c r="B4" s="3842" t="s">
        <v>1855</v>
      </c>
      <c r="C4" s="3842"/>
      <c r="D4" s="3842"/>
      <c r="E4" s="3842"/>
      <c r="F4" s="3842"/>
      <c r="G4" s="3842"/>
      <c r="H4" s="3107"/>
      <c r="I4" s="3107"/>
      <c r="J4" s="3107"/>
      <c r="K4" s="3107"/>
      <c r="L4" s="3107"/>
      <c r="M4" s="3107"/>
      <c r="N4" s="3107"/>
      <c r="O4" s="3107"/>
      <c r="P4" s="3107"/>
      <c r="Q4" s="3107"/>
      <c r="R4" s="3107"/>
      <c r="S4" s="3107"/>
      <c r="T4" s="3107"/>
      <c r="U4" s="3107"/>
      <c r="V4" s="3107"/>
      <c r="W4" s="3107"/>
      <c r="X4" s="3107"/>
      <c r="Y4" s="3479"/>
      <c r="Z4" s="3479"/>
      <c r="AA4" s="3479"/>
      <c r="AB4" s="3479"/>
      <c r="AC4" s="3479"/>
      <c r="AD4" s="3479"/>
      <c r="AE4" s="3479"/>
      <c r="AF4" s="3479"/>
      <c r="AG4" s="3479"/>
      <c r="AH4" s="3479"/>
      <c r="AI4" s="3109"/>
      <c r="AJ4" s="3111"/>
    </row>
    <row r="5" spans="1:43">
      <c r="B5" s="3840" t="s">
        <v>90</v>
      </c>
      <c r="C5" s="3840"/>
      <c r="D5" s="3840"/>
      <c r="E5" s="3840"/>
      <c r="F5" s="3840"/>
      <c r="G5" s="3840"/>
      <c r="H5" s="3107"/>
      <c r="I5" s="3107"/>
      <c r="J5" s="3107"/>
      <c r="K5" s="3107"/>
      <c r="L5" s="3107"/>
      <c r="M5" s="3107"/>
      <c r="N5" s="3107"/>
      <c r="O5" s="3107"/>
      <c r="P5" s="3107"/>
      <c r="Q5" s="3107"/>
      <c r="R5" s="3107"/>
      <c r="S5" s="3107"/>
      <c r="T5" s="3107"/>
      <c r="U5" s="3107"/>
      <c r="V5" s="3107"/>
      <c r="W5" s="3107"/>
      <c r="X5" s="3107"/>
      <c r="Y5" s="3479"/>
      <c r="Z5" s="3479"/>
      <c r="AA5" s="3479"/>
      <c r="AB5" s="3479"/>
      <c r="AC5" s="3479"/>
      <c r="AD5" s="3479"/>
      <c r="AE5" s="3479"/>
      <c r="AF5" s="3479"/>
      <c r="AG5" s="3479"/>
      <c r="AH5" s="3479"/>
      <c r="AI5" s="3109"/>
      <c r="AJ5" s="3111"/>
    </row>
    <row r="6" spans="1:43">
      <c r="B6" s="3112"/>
      <c r="C6" s="3107"/>
      <c r="D6" s="3107"/>
      <c r="E6" s="3107"/>
      <c r="F6" s="3107"/>
      <c r="G6" s="3107"/>
      <c r="H6" s="3107"/>
      <c r="I6" s="3107"/>
      <c r="J6" s="3113"/>
      <c r="K6" s="3107"/>
      <c r="L6" s="3107"/>
      <c r="M6" s="3107"/>
      <c r="N6" s="3107"/>
      <c r="O6" s="3107"/>
      <c r="P6" s="3107"/>
      <c r="Q6" s="3113"/>
      <c r="R6" s="3107"/>
      <c r="S6" s="3107"/>
      <c r="T6" s="3107"/>
      <c r="U6" s="3107"/>
      <c r="V6" s="3107"/>
      <c r="W6" s="3107"/>
      <c r="X6" s="3113"/>
      <c r="Y6" s="3107"/>
      <c r="Z6" s="3107"/>
      <c r="AA6" s="3107"/>
      <c r="AB6" s="3107"/>
      <c r="AC6" s="3113"/>
      <c r="AD6" s="3107"/>
      <c r="AE6" s="3113"/>
      <c r="AF6" s="3107"/>
      <c r="AG6" s="3107"/>
      <c r="AH6" s="3107"/>
      <c r="AI6" s="3114"/>
      <c r="AJ6" s="3111"/>
    </row>
    <row r="7" spans="1:43">
      <c r="A7" s="3840" t="s">
        <v>2294</v>
      </c>
      <c r="B7" s="3840"/>
      <c r="C7" s="3840"/>
      <c r="D7" s="3840"/>
      <c r="E7" s="3840"/>
      <c r="F7" s="3840"/>
      <c r="G7" s="3840"/>
      <c r="H7" s="3840"/>
      <c r="I7" s="3840"/>
      <c r="J7" s="3840"/>
      <c r="K7" s="3840"/>
      <c r="L7" s="3840"/>
      <c r="M7" s="3840"/>
      <c r="N7" s="3840"/>
      <c r="O7" s="3840"/>
      <c r="P7" s="3840"/>
      <c r="Q7" s="3840"/>
      <c r="R7" s="3840"/>
      <c r="S7" s="3840"/>
      <c r="T7" s="3840"/>
      <c r="U7" s="3840"/>
      <c r="V7" s="3840"/>
      <c r="W7" s="3840"/>
      <c r="X7" s="3840"/>
      <c r="Y7" s="3840"/>
      <c r="Z7" s="3840"/>
      <c r="AA7" s="3840"/>
      <c r="AB7" s="3840"/>
      <c r="AC7" s="3840"/>
      <c r="AD7" s="3840"/>
      <c r="AE7" s="3840"/>
      <c r="AF7" s="3840"/>
      <c r="AG7" s="3840"/>
      <c r="AH7" s="3840"/>
      <c r="AI7" s="3840"/>
      <c r="AJ7" s="3840"/>
    </row>
    <row r="8" spans="1:43">
      <c r="B8" s="3104"/>
      <c r="C8" s="3111"/>
      <c r="D8" s="3111"/>
      <c r="E8" s="3111"/>
      <c r="F8" s="3111"/>
      <c r="G8" s="3111"/>
      <c r="H8" s="3111"/>
      <c r="I8" s="3111"/>
      <c r="J8" s="3111"/>
      <c r="K8" s="3111"/>
      <c r="L8" s="3111"/>
      <c r="M8" s="3111"/>
      <c r="N8" s="3111"/>
      <c r="O8" s="3111"/>
      <c r="P8" s="3111"/>
      <c r="Q8" s="3111"/>
      <c r="R8" s="3111"/>
      <c r="S8" s="3111"/>
      <c r="T8" s="3111"/>
      <c r="U8" s="3111"/>
      <c r="V8" s="3111"/>
      <c r="W8" s="3111"/>
      <c r="X8" s="3111"/>
      <c r="Y8" s="3111"/>
      <c r="Z8" s="3111"/>
      <c r="AA8" s="3111"/>
      <c r="AB8" s="3111"/>
      <c r="AC8" s="3115"/>
      <c r="AD8" s="3111"/>
      <c r="AE8" s="3111"/>
      <c r="AF8" s="3111"/>
      <c r="AG8" s="3111"/>
      <c r="AH8" s="3111"/>
      <c r="AI8" s="3116"/>
      <c r="AJ8" s="3111"/>
    </row>
    <row r="9" spans="1:43" ht="15.75" customHeight="1">
      <c r="A9" s="3892" t="s">
        <v>932</v>
      </c>
      <c r="B9" s="3893"/>
      <c r="C9" s="3831" t="s">
        <v>1</v>
      </c>
      <c r="D9" s="3843" t="s">
        <v>3</v>
      </c>
      <c r="E9" s="3846" t="s">
        <v>1857</v>
      </c>
      <c r="F9" s="3847"/>
      <c r="G9" s="3847"/>
      <c r="H9" s="3847"/>
      <c r="I9" s="3847"/>
      <c r="J9" s="3847"/>
      <c r="K9" s="3847"/>
      <c r="L9" s="3847"/>
      <c r="M9" s="3847"/>
      <c r="N9" s="3847"/>
      <c r="O9" s="3847"/>
      <c r="P9" s="3847"/>
      <c r="Q9" s="3847"/>
      <c r="R9" s="3847"/>
      <c r="S9" s="3847"/>
      <c r="T9" s="3847"/>
      <c r="U9" s="3847"/>
      <c r="V9" s="3847"/>
      <c r="W9" s="3847"/>
      <c r="X9" s="3847"/>
      <c r="Y9" s="3847"/>
      <c r="Z9" s="3847"/>
      <c r="AA9" s="3847"/>
      <c r="AB9" s="3847"/>
      <c r="AC9" s="3847"/>
      <c r="AD9" s="3847"/>
      <c r="AE9" s="3847"/>
      <c r="AF9" s="3847"/>
      <c r="AG9" s="3847"/>
      <c r="AH9" s="3847"/>
      <c r="AI9" s="3850" t="s">
        <v>2052</v>
      </c>
      <c r="AJ9" s="3844" t="s">
        <v>1861</v>
      </c>
    </row>
    <row r="10" spans="1:43" ht="42" customHeight="1">
      <c r="A10" s="3894"/>
      <c r="B10" s="3895"/>
      <c r="C10" s="3831"/>
      <c r="D10" s="3831"/>
      <c r="E10" s="3476">
        <v>1</v>
      </c>
      <c r="F10" s="3476">
        <v>2</v>
      </c>
      <c r="G10" s="3476">
        <v>3</v>
      </c>
      <c r="H10" s="3119">
        <v>4</v>
      </c>
      <c r="I10" s="3476">
        <v>5</v>
      </c>
      <c r="J10" s="3476">
        <v>6</v>
      </c>
      <c r="K10" s="3476">
        <v>7</v>
      </c>
      <c r="L10" s="3476">
        <v>8</v>
      </c>
      <c r="M10" s="3476">
        <v>9</v>
      </c>
      <c r="N10" s="3476">
        <v>10</v>
      </c>
      <c r="O10" s="3119">
        <v>11</v>
      </c>
      <c r="P10" s="3476">
        <v>12</v>
      </c>
      <c r="Q10" s="3476">
        <v>13</v>
      </c>
      <c r="R10" s="3476">
        <v>14</v>
      </c>
      <c r="S10" s="3476">
        <v>15</v>
      </c>
      <c r="T10" s="3476">
        <v>16</v>
      </c>
      <c r="U10" s="3476">
        <v>17</v>
      </c>
      <c r="V10" s="3119">
        <v>18</v>
      </c>
      <c r="W10" s="3476">
        <v>19</v>
      </c>
      <c r="X10" s="3476">
        <v>20</v>
      </c>
      <c r="Y10" s="3476">
        <v>21</v>
      </c>
      <c r="Z10" s="3476">
        <v>22</v>
      </c>
      <c r="AA10" s="3476">
        <v>23</v>
      </c>
      <c r="AB10" s="3476">
        <v>24</v>
      </c>
      <c r="AC10" s="3119">
        <v>25</v>
      </c>
      <c r="AD10" s="3476">
        <v>26</v>
      </c>
      <c r="AE10" s="3476">
        <v>27</v>
      </c>
      <c r="AF10" s="3476">
        <v>28</v>
      </c>
      <c r="AG10" s="3476">
        <v>29</v>
      </c>
      <c r="AH10" s="3476">
        <v>30</v>
      </c>
      <c r="AI10" s="3850"/>
      <c r="AJ10" s="3845"/>
      <c r="AO10" s="3298" t="s">
        <v>1970</v>
      </c>
      <c r="AP10" s="3298" t="s">
        <v>1934</v>
      </c>
      <c r="AQ10" s="3298" t="s">
        <v>819</v>
      </c>
    </row>
    <row r="11" spans="1:43" ht="30.75" customHeight="1">
      <c r="A11" s="3476" t="s">
        <v>141</v>
      </c>
      <c r="B11" s="3120" t="s">
        <v>1862</v>
      </c>
      <c r="C11" s="3120"/>
      <c r="D11" s="3120"/>
      <c r="E11" s="3175">
        <f t="shared" ref="E11:AH11" si="0">SUM(E12:E45)</f>
        <v>0</v>
      </c>
      <c r="F11" s="3175">
        <f t="shared" si="0"/>
        <v>0</v>
      </c>
      <c r="G11" s="3175">
        <f t="shared" si="0"/>
        <v>0</v>
      </c>
      <c r="H11" s="3175">
        <f t="shared" si="0"/>
        <v>0</v>
      </c>
      <c r="I11" s="3175">
        <f t="shared" si="0"/>
        <v>0</v>
      </c>
      <c r="J11" s="3175">
        <f t="shared" si="0"/>
        <v>0</v>
      </c>
      <c r="K11" s="3175">
        <f t="shared" si="0"/>
        <v>0</v>
      </c>
      <c r="L11" s="3175">
        <f t="shared" si="0"/>
        <v>0</v>
      </c>
      <c r="M11" s="3175">
        <f t="shared" si="0"/>
        <v>0</v>
      </c>
      <c r="N11" s="3175">
        <f t="shared" si="0"/>
        <v>0</v>
      </c>
      <c r="O11" s="3175">
        <f t="shared" si="0"/>
        <v>0</v>
      </c>
      <c r="P11" s="3175">
        <f t="shared" si="0"/>
        <v>0</v>
      </c>
      <c r="Q11" s="3175">
        <f t="shared" si="0"/>
        <v>0</v>
      </c>
      <c r="R11" s="3175">
        <f t="shared" si="0"/>
        <v>0</v>
      </c>
      <c r="S11" s="3175">
        <f t="shared" si="0"/>
        <v>0</v>
      </c>
      <c r="T11" s="3175">
        <f t="shared" si="0"/>
        <v>0</v>
      </c>
      <c r="U11" s="3175">
        <f t="shared" si="0"/>
        <v>0</v>
      </c>
      <c r="V11" s="3175">
        <f t="shared" si="0"/>
        <v>0</v>
      </c>
      <c r="W11" s="3175">
        <f t="shared" si="0"/>
        <v>0</v>
      </c>
      <c r="X11" s="3175">
        <f t="shared" si="0"/>
        <v>0</v>
      </c>
      <c r="Y11" s="3175">
        <f t="shared" si="0"/>
        <v>0</v>
      </c>
      <c r="Z11" s="3175">
        <f t="shared" si="0"/>
        <v>0</v>
      </c>
      <c r="AA11" s="3175">
        <f t="shared" si="0"/>
        <v>0</v>
      </c>
      <c r="AB11" s="3175">
        <f t="shared" si="0"/>
        <v>0</v>
      </c>
      <c r="AC11" s="3175">
        <f t="shared" si="0"/>
        <v>0</v>
      </c>
      <c r="AD11" s="3175">
        <f t="shared" si="0"/>
        <v>0</v>
      </c>
      <c r="AE11" s="3175">
        <f t="shared" si="0"/>
        <v>235</v>
      </c>
      <c r="AF11" s="3175">
        <f t="shared" si="0"/>
        <v>0</v>
      </c>
      <c r="AG11" s="3175">
        <f t="shared" si="0"/>
        <v>0</v>
      </c>
      <c r="AH11" s="3175">
        <f t="shared" si="0"/>
        <v>0</v>
      </c>
      <c r="AI11" s="3122">
        <f>SUM(AI12:AI45)</f>
        <v>235</v>
      </c>
      <c r="AJ11" s="3124"/>
      <c r="AO11" s="3294">
        <v>93698</v>
      </c>
      <c r="AP11" s="3295">
        <v>39822.699999999997</v>
      </c>
      <c r="AQ11" s="3294">
        <f>+AP11/AO11</f>
        <v>0.42501120621571431</v>
      </c>
    </row>
    <row r="12" spans="1:43" ht="41.25" customHeight="1">
      <c r="A12" s="3125">
        <v>1</v>
      </c>
      <c r="B12" s="3126">
        <v>1</v>
      </c>
      <c r="C12" s="3126" t="s">
        <v>1557</v>
      </c>
      <c r="D12" s="3127" t="s">
        <v>451</v>
      </c>
      <c r="E12" s="3128"/>
      <c r="F12" s="3128"/>
      <c r="G12" s="3128"/>
      <c r="H12" s="3128"/>
      <c r="I12" s="3128"/>
      <c r="J12" s="3128"/>
      <c r="K12" s="3128"/>
      <c r="L12" s="3128"/>
      <c r="M12" s="3128"/>
      <c r="N12" s="3128"/>
      <c r="O12" s="3128"/>
      <c r="P12" s="3128"/>
      <c r="Q12" s="3128"/>
      <c r="R12" s="3128"/>
      <c r="S12" s="3128"/>
      <c r="T12" s="3128"/>
      <c r="U12" s="3128"/>
      <c r="V12" s="3128"/>
      <c r="W12" s="3128"/>
      <c r="X12" s="3128"/>
      <c r="Y12" s="3128"/>
      <c r="Z12" s="3128"/>
      <c r="AA12" s="3128"/>
      <c r="AB12" s="3128"/>
      <c r="AC12" s="3128"/>
      <c r="AD12" s="3128"/>
      <c r="AE12" s="3128"/>
      <c r="AF12" s="3128"/>
      <c r="AG12" s="3128"/>
      <c r="AH12" s="3128"/>
      <c r="AI12" s="3129">
        <f t="shared" ref="AI12:AI45" si="1">+SUM(E12:AH12)</f>
        <v>0</v>
      </c>
      <c r="AJ12" s="3132"/>
      <c r="AP12" s="3019" t="e">
        <f>+#REF!-AP11</f>
        <v>#REF!</v>
      </c>
    </row>
    <row r="13" spans="1:43" ht="41.25" customHeight="1">
      <c r="A13" s="3125">
        <v>2</v>
      </c>
      <c r="B13" s="3126">
        <v>2</v>
      </c>
      <c r="C13" s="3126" t="s">
        <v>2169</v>
      </c>
      <c r="D13" s="3127" t="s">
        <v>451</v>
      </c>
      <c r="E13" s="3128"/>
      <c r="F13" s="3128"/>
      <c r="G13" s="3128"/>
      <c r="H13" s="3128"/>
      <c r="I13" s="3128"/>
      <c r="J13" s="3128"/>
      <c r="K13" s="3128"/>
      <c r="L13" s="3128"/>
      <c r="M13" s="3128"/>
      <c r="N13" s="3128"/>
      <c r="O13" s="3128"/>
      <c r="P13" s="3128"/>
      <c r="Q13" s="3128"/>
      <c r="R13" s="3128"/>
      <c r="S13" s="3128"/>
      <c r="T13" s="3128"/>
      <c r="U13" s="3128"/>
      <c r="V13" s="3128"/>
      <c r="W13" s="3128"/>
      <c r="X13" s="3128"/>
      <c r="Y13" s="3128"/>
      <c r="Z13" s="3128"/>
      <c r="AA13" s="3128"/>
      <c r="AB13" s="3128"/>
      <c r="AC13" s="3128"/>
      <c r="AD13" s="3128"/>
      <c r="AE13" s="3128">
        <v>8</v>
      </c>
      <c r="AF13" s="3128"/>
      <c r="AG13" s="3128"/>
      <c r="AH13" s="3128"/>
      <c r="AI13" s="3129">
        <f t="shared" si="1"/>
        <v>8</v>
      </c>
      <c r="AJ13" s="3132"/>
    </row>
    <row r="14" spans="1:43" ht="41.25" customHeight="1">
      <c r="A14" s="3125">
        <v>3</v>
      </c>
      <c r="B14" s="3126">
        <v>3</v>
      </c>
      <c r="C14" s="3126" t="s">
        <v>2170</v>
      </c>
      <c r="D14" s="3127" t="s">
        <v>451</v>
      </c>
      <c r="E14" s="3128"/>
      <c r="F14" s="3128"/>
      <c r="G14" s="3128"/>
      <c r="H14" s="3128"/>
      <c r="I14" s="3128"/>
      <c r="J14" s="3128"/>
      <c r="K14" s="3128"/>
      <c r="L14" s="3128"/>
      <c r="M14" s="3128"/>
      <c r="N14" s="3128"/>
      <c r="O14" s="3128"/>
      <c r="P14" s="3128"/>
      <c r="Q14" s="3128"/>
      <c r="R14" s="3128"/>
      <c r="S14" s="3128"/>
      <c r="T14" s="3128"/>
      <c r="U14" s="3128"/>
      <c r="V14" s="3128"/>
      <c r="W14" s="3128"/>
      <c r="X14" s="3128"/>
      <c r="Y14" s="3128"/>
      <c r="Z14" s="3128"/>
      <c r="AA14" s="3128"/>
      <c r="AB14" s="3128"/>
      <c r="AC14" s="3128"/>
      <c r="AD14" s="3128"/>
      <c r="AE14" s="3128">
        <v>6</v>
      </c>
      <c r="AF14" s="3128"/>
      <c r="AG14" s="3128"/>
      <c r="AH14" s="3128"/>
      <c r="AI14" s="3129">
        <f t="shared" si="1"/>
        <v>6</v>
      </c>
      <c r="AJ14" s="3132"/>
    </row>
    <row r="15" spans="1:43" ht="41.25" customHeight="1">
      <c r="A15" s="3125">
        <v>4</v>
      </c>
      <c r="B15" s="3126">
        <v>4</v>
      </c>
      <c r="C15" s="3126" t="s">
        <v>2171</v>
      </c>
      <c r="D15" s="3127" t="s">
        <v>451</v>
      </c>
      <c r="E15" s="3129"/>
      <c r="F15" s="3129"/>
      <c r="G15" s="3129"/>
      <c r="H15" s="3128"/>
      <c r="I15" s="3128"/>
      <c r="J15" s="3128"/>
      <c r="K15" s="3128"/>
      <c r="L15" s="3128"/>
      <c r="M15" s="3128"/>
      <c r="N15" s="3128"/>
      <c r="O15" s="3128"/>
      <c r="P15" s="3128"/>
      <c r="Q15" s="3128"/>
      <c r="R15" s="3128"/>
      <c r="S15" s="3128"/>
      <c r="T15" s="3128"/>
      <c r="U15" s="3128"/>
      <c r="V15" s="3128"/>
      <c r="W15" s="3128"/>
      <c r="X15" s="3128"/>
      <c r="Y15" s="3128"/>
      <c r="Z15" s="3128"/>
      <c r="AA15" s="3128"/>
      <c r="AB15" s="3128"/>
      <c r="AC15" s="3128"/>
      <c r="AD15" s="3128"/>
      <c r="AE15" s="3128">
        <v>5</v>
      </c>
      <c r="AF15" s="3128"/>
      <c r="AG15" s="3128"/>
      <c r="AH15" s="3128"/>
      <c r="AI15" s="3129">
        <f t="shared" si="1"/>
        <v>5</v>
      </c>
      <c r="AJ15" s="3132"/>
    </row>
    <row r="16" spans="1:43" ht="41.25" customHeight="1">
      <c r="A16" s="3125">
        <v>5</v>
      </c>
      <c r="B16" s="3126">
        <v>5</v>
      </c>
      <c r="C16" s="3126" t="s">
        <v>2172</v>
      </c>
      <c r="D16" s="3127" t="s">
        <v>451</v>
      </c>
      <c r="E16" s="3129"/>
      <c r="F16" s="3130"/>
      <c r="G16" s="3129"/>
      <c r="H16" s="3128"/>
      <c r="I16" s="3128"/>
      <c r="J16" s="3128"/>
      <c r="K16" s="3128"/>
      <c r="L16" s="3128"/>
      <c r="M16" s="3128"/>
      <c r="N16" s="3128"/>
      <c r="O16" s="3128"/>
      <c r="P16" s="3128"/>
      <c r="Q16" s="3128"/>
      <c r="R16" s="3128"/>
      <c r="S16" s="3128"/>
      <c r="T16" s="3128"/>
      <c r="U16" s="3128"/>
      <c r="V16" s="3128"/>
      <c r="W16" s="3128"/>
      <c r="X16" s="3128"/>
      <c r="Y16" s="3128"/>
      <c r="Z16" s="3128"/>
      <c r="AA16" s="3128"/>
      <c r="AB16" s="3128"/>
      <c r="AC16" s="3128"/>
      <c r="AD16" s="3128"/>
      <c r="AE16" s="3128">
        <v>4</v>
      </c>
      <c r="AF16" s="3128"/>
      <c r="AG16" s="3128"/>
      <c r="AH16" s="3128"/>
      <c r="AI16" s="3129">
        <f t="shared" si="1"/>
        <v>4</v>
      </c>
      <c r="AJ16" s="3132"/>
      <c r="AM16" s="2581"/>
    </row>
    <row r="17" spans="1:41" ht="41.25" customHeight="1">
      <c r="A17" s="3125">
        <v>6</v>
      </c>
      <c r="B17" s="3126">
        <v>6</v>
      </c>
      <c r="C17" s="3126" t="s">
        <v>1528</v>
      </c>
      <c r="D17" s="3127" t="s">
        <v>451</v>
      </c>
      <c r="E17" s="3128"/>
      <c r="F17" s="3128"/>
      <c r="G17" s="3128"/>
      <c r="H17" s="3128"/>
      <c r="I17" s="3128"/>
      <c r="J17" s="3128"/>
      <c r="K17" s="3128"/>
      <c r="L17" s="3128"/>
      <c r="M17" s="3128"/>
      <c r="N17" s="3128"/>
      <c r="O17" s="3128"/>
      <c r="P17" s="3128"/>
      <c r="Q17" s="3128"/>
      <c r="R17" s="3128"/>
      <c r="S17" s="3128"/>
      <c r="T17" s="3128"/>
      <c r="U17" s="3128"/>
      <c r="V17" s="3128"/>
      <c r="W17" s="3128"/>
      <c r="X17" s="3128"/>
      <c r="Y17" s="3128"/>
      <c r="Z17" s="3128"/>
      <c r="AA17" s="3128"/>
      <c r="AB17" s="3128"/>
      <c r="AC17" s="3128"/>
      <c r="AD17" s="3128"/>
      <c r="AE17" s="3128">
        <v>16</v>
      </c>
      <c r="AF17" s="3128"/>
      <c r="AG17" s="3128"/>
      <c r="AH17" s="3128"/>
      <c r="AI17" s="3129">
        <f t="shared" si="1"/>
        <v>16</v>
      </c>
      <c r="AJ17" s="3132"/>
    </row>
    <row r="18" spans="1:41" ht="41.25" customHeight="1">
      <c r="A18" s="3125">
        <v>7</v>
      </c>
      <c r="B18" s="3126">
        <v>7</v>
      </c>
      <c r="C18" s="3126" t="s">
        <v>2173</v>
      </c>
      <c r="D18" s="3127" t="s">
        <v>451</v>
      </c>
      <c r="E18" s="3128"/>
      <c r="F18" s="3128"/>
      <c r="G18" s="3128"/>
      <c r="H18" s="3128"/>
      <c r="I18" s="3128"/>
      <c r="J18" s="3128"/>
      <c r="K18" s="3128"/>
      <c r="L18" s="3128"/>
      <c r="M18" s="3128"/>
      <c r="N18" s="3128"/>
      <c r="O18" s="3128"/>
      <c r="P18" s="3128"/>
      <c r="Q18" s="3128"/>
      <c r="R18" s="3128"/>
      <c r="S18" s="3128"/>
      <c r="T18" s="3128"/>
      <c r="U18" s="3128"/>
      <c r="V18" s="3128"/>
      <c r="W18" s="3128"/>
      <c r="X18" s="3128"/>
      <c r="Y18" s="3128"/>
      <c r="Z18" s="3128"/>
      <c r="AA18" s="3128"/>
      <c r="AB18" s="3128"/>
      <c r="AC18" s="3128"/>
      <c r="AD18" s="3128"/>
      <c r="AE18" s="3128">
        <v>15</v>
      </c>
      <c r="AF18" s="3128"/>
      <c r="AG18" s="3128"/>
      <c r="AH18" s="3128"/>
      <c r="AI18" s="3129">
        <f t="shared" si="1"/>
        <v>15</v>
      </c>
      <c r="AJ18" s="3132"/>
    </row>
    <row r="19" spans="1:41" ht="41.25" customHeight="1">
      <c r="A19" s="3125">
        <v>8</v>
      </c>
      <c r="B19" s="3126">
        <v>8</v>
      </c>
      <c r="C19" s="3126" t="s">
        <v>2174</v>
      </c>
      <c r="D19" s="3127" t="s">
        <v>451</v>
      </c>
      <c r="E19" s="3128"/>
      <c r="F19" s="3128"/>
      <c r="G19" s="3128"/>
      <c r="H19" s="3128"/>
      <c r="I19" s="3128"/>
      <c r="J19" s="3128"/>
      <c r="K19" s="3128"/>
      <c r="L19" s="3128"/>
      <c r="M19" s="3128"/>
      <c r="N19" s="3128"/>
      <c r="O19" s="3128"/>
      <c r="P19" s="3128"/>
      <c r="Q19" s="3128"/>
      <c r="R19" s="3128"/>
      <c r="S19" s="3128"/>
      <c r="T19" s="3128"/>
      <c r="U19" s="3128"/>
      <c r="V19" s="3128"/>
      <c r="W19" s="3128"/>
      <c r="X19" s="3128"/>
      <c r="Y19" s="3128"/>
      <c r="Z19" s="3128"/>
      <c r="AA19" s="3128"/>
      <c r="AB19" s="3128"/>
      <c r="AC19" s="3128"/>
      <c r="AD19" s="3128"/>
      <c r="AE19" s="3128">
        <v>8</v>
      </c>
      <c r="AF19" s="3128"/>
      <c r="AG19" s="3128"/>
      <c r="AH19" s="3128"/>
      <c r="AI19" s="3129">
        <f t="shared" si="1"/>
        <v>8</v>
      </c>
      <c r="AJ19" s="3132"/>
    </row>
    <row r="20" spans="1:41" ht="41.25" customHeight="1">
      <c r="A20" s="3125">
        <v>9</v>
      </c>
      <c r="B20" s="3126">
        <v>9</v>
      </c>
      <c r="C20" s="3126" t="s">
        <v>2175</v>
      </c>
      <c r="D20" s="3127" t="s">
        <v>451</v>
      </c>
      <c r="E20" s="3128"/>
      <c r="F20" s="3128"/>
      <c r="G20" s="3128"/>
      <c r="H20" s="3128"/>
      <c r="I20" s="3128"/>
      <c r="J20" s="3128"/>
      <c r="K20" s="3128"/>
      <c r="L20" s="3128"/>
      <c r="M20" s="3128"/>
      <c r="N20" s="3128"/>
      <c r="O20" s="3128"/>
      <c r="P20" s="3128"/>
      <c r="Q20" s="3128"/>
      <c r="R20" s="3128"/>
      <c r="S20" s="3128"/>
      <c r="T20" s="3128"/>
      <c r="U20" s="3128"/>
      <c r="V20" s="3128"/>
      <c r="W20" s="3128"/>
      <c r="X20" s="3128"/>
      <c r="Y20" s="3128"/>
      <c r="Z20" s="3128"/>
      <c r="AA20" s="3128"/>
      <c r="AB20" s="3128"/>
      <c r="AC20" s="3128"/>
      <c r="AD20" s="3128"/>
      <c r="AE20" s="3128">
        <v>9</v>
      </c>
      <c r="AF20" s="3128"/>
      <c r="AG20" s="3128"/>
      <c r="AH20" s="3128"/>
      <c r="AI20" s="3129">
        <f t="shared" si="1"/>
        <v>9</v>
      </c>
      <c r="AJ20" s="3132"/>
    </row>
    <row r="21" spans="1:41" ht="41.25" customHeight="1">
      <c r="A21" s="3125">
        <v>10</v>
      </c>
      <c r="B21" s="3126">
        <v>10</v>
      </c>
      <c r="C21" s="3126" t="s">
        <v>2176</v>
      </c>
      <c r="D21" s="3127" t="s">
        <v>451</v>
      </c>
      <c r="E21" s="3128"/>
      <c r="F21" s="3128"/>
      <c r="G21" s="3128"/>
      <c r="H21" s="3128"/>
      <c r="I21" s="3128"/>
      <c r="J21" s="3128"/>
      <c r="K21" s="3128"/>
      <c r="L21" s="3128"/>
      <c r="M21" s="3128"/>
      <c r="N21" s="3128"/>
      <c r="O21" s="3128"/>
      <c r="P21" s="3128"/>
      <c r="Q21" s="3128"/>
      <c r="R21" s="3128"/>
      <c r="S21" s="3128"/>
      <c r="T21" s="3128"/>
      <c r="U21" s="3128"/>
      <c r="V21" s="3128"/>
      <c r="W21" s="3128"/>
      <c r="X21" s="3128"/>
      <c r="Y21" s="3128"/>
      <c r="Z21" s="3128"/>
      <c r="AA21" s="3128"/>
      <c r="AB21" s="3128"/>
      <c r="AC21" s="3128"/>
      <c r="AD21" s="3128"/>
      <c r="AE21" s="3128">
        <v>3</v>
      </c>
      <c r="AF21" s="3128"/>
      <c r="AG21" s="3128"/>
      <c r="AH21" s="3128"/>
      <c r="AI21" s="3129">
        <f t="shared" si="1"/>
        <v>3</v>
      </c>
      <c r="AJ21" s="3132"/>
    </row>
    <row r="22" spans="1:41" ht="41.25" customHeight="1">
      <c r="A22" s="3125">
        <v>11</v>
      </c>
      <c r="B22" s="3126">
        <v>11</v>
      </c>
      <c r="C22" s="3126" t="s">
        <v>2177</v>
      </c>
      <c r="D22" s="3127" t="s">
        <v>451</v>
      </c>
      <c r="E22" s="3128"/>
      <c r="F22" s="3128"/>
      <c r="G22" s="3128"/>
      <c r="H22" s="3128"/>
      <c r="I22" s="3128"/>
      <c r="J22" s="3128"/>
      <c r="K22" s="3128"/>
      <c r="L22" s="3128"/>
      <c r="M22" s="3128"/>
      <c r="N22" s="3128"/>
      <c r="O22" s="3128"/>
      <c r="P22" s="3128"/>
      <c r="Q22" s="3128"/>
      <c r="R22" s="3128"/>
      <c r="S22" s="3128"/>
      <c r="T22" s="3128"/>
      <c r="U22" s="3128"/>
      <c r="V22" s="3128"/>
      <c r="W22" s="3128"/>
      <c r="X22" s="3128"/>
      <c r="Y22" s="3128"/>
      <c r="Z22" s="3128"/>
      <c r="AA22" s="3128"/>
      <c r="AB22" s="3128"/>
      <c r="AC22" s="3128"/>
      <c r="AD22" s="3128"/>
      <c r="AE22" s="3128">
        <v>10</v>
      </c>
      <c r="AF22" s="3128"/>
      <c r="AG22" s="3128"/>
      <c r="AH22" s="3128"/>
      <c r="AI22" s="3129">
        <f t="shared" si="1"/>
        <v>10</v>
      </c>
      <c r="AJ22" s="3132"/>
      <c r="AO22" s="2581"/>
    </row>
    <row r="23" spans="1:41" ht="41.25" customHeight="1">
      <c r="A23" s="3125">
        <v>12</v>
      </c>
      <c r="B23" s="3126">
        <v>12</v>
      </c>
      <c r="C23" s="3126" t="s">
        <v>2178</v>
      </c>
      <c r="D23" s="3127" t="s">
        <v>451</v>
      </c>
      <c r="E23" s="3128"/>
      <c r="F23" s="3128"/>
      <c r="G23" s="3128"/>
      <c r="H23" s="3128"/>
      <c r="I23" s="3128"/>
      <c r="J23" s="3128"/>
      <c r="K23" s="3128"/>
      <c r="L23" s="3128"/>
      <c r="M23" s="3128"/>
      <c r="N23" s="3128"/>
      <c r="O23" s="3128"/>
      <c r="P23" s="3128"/>
      <c r="Q23" s="3128"/>
      <c r="R23" s="3128"/>
      <c r="S23" s="3128"/>
      <c r="T23" s="3128"/>
      <c r="U23" s="3128"/>
      <c r="V23" s="3128"/>
      <c r="W23" s="3128"/>
      <c r="X23" s="3128"/>
      <c r="Y23" s="3128"/>
      <c r="Z23" s="3128"/>
      <c r="AA23" s="3128"/>
      <c r="AB23" s="3128"/>
      <c r="AC23" s="3128"/>
      <c r="AD23" s="3128"/>
      <c r="AE23" s="3128">
        <v>6</v>
      </c>
      <c r="AF23" s="3128"/>
      <c r="AG23" s="3128"/>
      <c r="AH23" s="3128"/>
      <c r="AI23" s="3129">
        <f t="shared" si="1"/>
        <v>6</v>
      </c>
      <c r="AJ23" s="3132"/>
    </row>
    <row r="24" spans="1:41" ht="41.25" customHeight="1">
      <c r="A24" s="3125">
        <v>13</v>
      </c>
      <c r="B24" s="3126">
        <v>13</v>
      </c>
      <c r="C24" s="3126" t="s">
        <v>2179</v>
      </c>
      <c r="D24" s="3127" t="s">
        <v>451</v>
      </c>
      <c r="E24" s="3128"/>
      <c r="F24" s="3128"/>
      <c r="G24" s="3128"/>
      <c r="H24" s="3128"/>
      <c r="I24" s="3128"/>
      <c r="J24" s="3128"/>
      <c r="K24" s="3128"/>
      <c r="L24" s="3128"/>
      <c r="M24" s="3128"/>
      <c r="N24" s="3128"/>
      <c r="O24" s="3128"/>
      <c r="P24" s="3128"/>
      <c r="Q24" s="3128"/>
      <c r="R24" s="3128"/>
      <c r="S24" s="3128"/>
      <c r="T24" s="3128"/>
      <c r="U24" s="3128"/>
      <c r="V24" s="3128"/>
      <c r="W24" s="3128"/>
      <c r="X24" s="3128"/>
      <c r="Y24" s="3128"/>
      <c r="Z24" s="3128"/>
      <c r="AA24" s="3128"/>
      <c r="AB24" s="3128"/>
      <c r="AC24" s="3128"/>
      <c r="AD24" s="3128"/>
      <c r="AE24" s="3128">
        <v>5</v>
      </c>
      <c r="AF24" s="3128"/>
      <c r="AG24" s="3128"/>
      <c r="AH24" s="3128"/>
      <c r="AI24" s="3129">
        <f t="shared" si="1"/>
        <v>5</v>
      </c>
      <c r="AJ24" s="3132"/>
    </row>
    <row r="25" spans="1:41" ht="41.25" customHeight="1">
      <c r="A25" s="3125">
        <v>14</v>
      </c>
      <c r="B25" s="3126">
        <v>14</v>
      </c>
      <c r="C25" s="3126" t="s">
        <v>1301</v>
      </c>
      <c r="D25" s="3127" t="s">
        <v>451</v>
      </c>
      <c r="E25" s="3128"/>
      <c r="F25" s="3128"/>
      <c r="G25" s="3128"/>
      <c r="H25" s="3128"/>
      <c r="I25" s="3128"/>
      <c r="J25" s="3128"/>
      <c r="K25" s="3128"/>
      <c r="L25" s="3128"/>
      <c r="M25" s="3128"/>
      <c r="N25" s="3128"/>
      <c r="O25" s="3128"/>
      <c r="P25" s="3128"/>
      <c r="Q25" s="3128"/>
      <c r="R25" s="3128"/>
      <c r="S25" s="3128"/>
      <c r="T25" s="3128"/>
      <c r="U25" s="3128"/>
      <c r="V25" s="3128"/>
      <c r="W25" s="3128"/>
      <c r="X25" s="3128"/>
      <c r="Y25" s="3128"/>
      <c r="Z25" s="3128"/>
      <c r="AA25" s="3128"/>
      <c r="AB25" s="3128"/>
      <c r="AC25" s="3128"/>
      <c r="AD25" s="3128"/>
      <c r="AE25" s="3128">
        <v>4</v>
      </c>
      <c r="AF25" s="3128"/>
      <c r="AG25" s="3128"/>
      <c r="AH25" s="3128"/>
      <c r="AI25" s="3129">
        <f t="shared" si="1"/>
        <v>4</v>
      </c>
      <c r="AJ25" s="3132"/>
    </row>
    <row r="26" spans="1:41" ht="41.25" customHeight="1">
      <c r="A26" s="3125">
        <v>15</v>
      </c>
      <c r="B26" s="3126">
        <v>15</v>
      </c>
      <c r="C26" s="3126" t="s">
        <v>2180</v>
      </c>
      <c r="D26" s="3127" t="s">
        <v>451</v>
      </c>
      <c r="E26" s="3128"/>
      <c r="F26" s="3128"/>
      <c r="G26" s="3128"/>
      <c r="H26" s="3128"/>
      <c r="I26" s="3128"/>
      <c r="J26" s="3128"/>
      <c r="K26" s="3128"/>
      <c r="L26" s="3128"/>
      <c r="M26" s="3128"/>
      <c r="N26" s="3128"/>
      <c r="O26" s="3128"/>
      <c r="P26" s="3128"/>
      <c r="Q26" s="3128"/>
      <c r="R26" s="3128"/>
      <c r="S26" s="3128"/>
      <c r="T26" s="3128"/>
      <c r="U26" s="3128"/>
      <c r="V26" s="3128"/>
      <c r="W26" s="3128"/>
      <c r="X26" s="3128"/>
      <c r="Y26" s="3128"/>
      <c r="Z26" s="3128"/>
      <c r="AA26" s="3128"/>
      <c r="AB26" s="3128"/>
      <c r="AC26" s="3128"/>
      <c r="AD26" s="3128"/>
      <c r="AE26" s="3128">
        <v>5</v>
      </c>
      <c r="AF26" s="3128"/>
      <c r="AG26" s="3128"/>
      <c r="AH26" s="3128"/>
      <c r="AI26" s="3129">
        <f t="shared" si="1"/>
        <v>5</v>
      </c>
      <c r="AJ26" s="3132"/>
    </row>
    <row r="27" spans="1:41" ht="41.25" customHeight="1">
      <c r="A27" s="3125">
        <v>16</v>
      </c>
      <c r="B27" s="3126">
        <v>16</v>
      </c>
      <c r="C27" s="2546" t="s">
        <v>1677</v>
      </c>
      <c r="D27" s="3127" t="s">
        <v>451</v>
      </c>
      <c r="E27" s="3128"/>
      <c r="F27" s="3128"/>
      <c r="G27" s="3128"/>
      <c r="H27" s="3128"/>
      <c r="I27" s="3128"/>
      <c r="J27" s="3128"/>
      <c r="K27" s="3128"/>
      <c r="L27" s="3128"/>
      <c r="M27" s="3128"/>
      <c r="N27" s="3128"/>
      <c r="O27" s="3128"/>
      <c r="P27" s="3128"/>
      <c r="Q27" s="3128"/>
      <c r="R27" s="3128"/>
      <c r="S27" s="3128"/>
      <c r="T27" s="3128"/>
      <c r="U27" s="3128"/>
      <c r="V27" s="3128"/>
      <c r="W27" s="3128"/>
      <c r="X27" s="3128"/>
      <c r="Y27" s="3128"/>
      <c r="Z27" s="3128"/>
      <c r="AA27" s="3128"/>
      <c r="AB27" s="3128"/>
      <c r="AC27" s="3128"/>
      <c r="AD27" s="3128"/>
      <c r="AE27" s="3128">
        <v>18</v>
      </c>
      <c r="AF27" s="3128"/>
      <c r="AG27" s="3128"/>
      <c r="AH27" s="3128"/>
      <c r="AI27" s="3129">
        <f t="shared" si="1"/>
        <v>18</v>
      </c>
      <c r="AJ27" s="3132"/>
    </row>
    <row r="28" spans="1:41" ht="41.25" customHeight="1">
      <c r="A28" s="3125">
        <v>17</v>
      </c>
      <c r="B28" s="3126">
        <v>17</v>
      </c>
      <c r="C28" s="3126" t="s">
        <v>289</v>
      </c>
      <c r="D28" s="3127" t="s">
        <v>451</v>
      </c>
      <c r="E28" s="3128"/>
      <c r="F28" s="3128"/>
      <c r="G28" s="3128"/>
      <c r="H28" s="3128"/>
      <c r="I28" s="3128"/>
      <c r="J28" s="3128"/>
      <c r="K28" s="3128"/>
      <c r="L28" s="3128"/>
      <c r="M28" s="3128"/>
      <c r="N28" s="3128"/>
      <c r="O28" s="3128"/>
      <c r="P28" s="3128"/>
      <c r="Q28" s="3128"/>
      <c r="R28" s="3128"/>
      <c r="S28" s="3128"/>
      <c r="T28" s="3128"/>
      <c r="U28" s="3128"/>
      <c r="V28" s="3128"/>
      <c r="W28" s="3128"/>
      <c r="X28" s="3128"/>
      <c r="Y28" s="3128"/>
      <c r="Z28" s="3128"/>
      <c r="AA28" s="3128"/>
      <c r="AB28" s="3128"/>
      <c r="AC28" s="3128"/>
      <c r="AD28" s="3128"/>
      <c r="AE28" s="3128">
        <v>6</v>
      </c>
      <c r="AF28" s="3128"/>
      <c r="AG28" s="3128"/>
      <c r="AH28" s="3128"/>
      <c r="AI28" s="3129">
        <f t="shared" si="1"/>
        <v>6</v>
      </c>
      <c r="AJ28" s="3132"/>
    </row>
    <row r="29" spans="1:41" ht="41.25" customHeight="1">
      <c r="A29" s="3125">
        <v>18</v>
      </c>
      <c r="B29" s="3126">
        <v>18</v>
      </c>
      <c r="C29" s="3126" t="s">
        <v>2181</v>
      </c>
      <c r="D29" s="3127" t="s">
        <v>451</v>
      </c>
      <c r="E29" s="3128"/>
      <c r="F29" s="3128"/>
      <c r="G29" s="3128"/>
      <c r="H29" s="3128"/>
      <c r="I29" s="3128"/>
      <c r="J29" s="3128"/>
      <c r="K29" s="3128"/>
      <c r="L29" s="3128"/>
      <c r="M29" s="3128"/>
      <c r="N29" s="3128"/>
      <c r="O29" s="3128"/>
      <c r="P29" s="3128"/>
      <c r="Q29" s="3128"/>
      <c r="R29" s="3128"/>
      <c r="S29" s="3128"/>
      <c r="T29" s="3128"/>
      <c r="U29" s="3128"/>
      <c r="V29" s="3128"/>
      <c r="W29" s="3128"/>
      <c r="X29" s="3128"/>
      <c r="Y29" s="3128"/>
      <c r="Z29" s="3128"/>
      <c r="AA29" s="3128"/>
      <c r="AB29" s="3128"/>
      <c r="AC29" s="3128"/>
      <c r="AD29" s="3128"/>
      <c r="AE29" s="3128">
        <v>7</v>
      </c>
      <c r="AF29" s="3128"/>
      <c r="AG29" s="3128"/>
      <c r="AH29" s="3128"/>
      <c r="AI29" s="3129">
        <f t="shared" si="1"/>
        <v>7</v>
      </c>
      <c r="AJ29" s="3132"/>
    </row>
    <row r="30" spans="1:41" ht="41.25" customHeight="1">
      <c r="A30" s="3125">
        <v>19</v>
      </c>
      <c r="B30" s="3126">
        <v>19</v>
      </c>
      <c r="C30" s="3126" t="s">
        <v>2182</v>
      </c>
      <c r="D30" s="3127" t="s">
        <v>451</v>
      </c>
      <c r="E30" s="3128"/>
      <c r="F30" s="3128"/>
      <c r="G30" s="3128"/>
      <c r="H30" s="3128"/>
      <c r="I30" s="3128"/>
      <c r="J30" s="3128"/>
      <c r="K30" s="3128"/>
      <c r="L30" s="3128"/>
      <c r="M30" s="3128"/>
      <c r="N30" s="3128"/>
      <c r="O30" s="3128"/>
      <c r="P30" s="3128"/>
      <c r="Q30" s="3128"/>
      <c r="R30" s="3128"/>
      <c r="S30" s="3128"/>
      <c r="T30" s="3128"/>
      <c r="U30" s="3128"/>
      <c r="V30" s="3128"/>
      <c r="W30" s="3128"/>
      <c r="X30" s="3128"/>
      <c r="Y30" s="3128"/>
      <c r="Z30" s="3128"/>
      <c r="AA30" s="3128"/>
      <c r="AB30" s="3128"/>
      <c r="AC30" s="3128"/>
      <c r="AD30" s="3128"/>
      <c r="AE30" s="3128">
        <v>9</v>
      </c>
      <c r="AF30" s="3128"/>
      <c r="AG30" s="3128"/>
      <c r="AH30" s="3128"/>
      <c r="AI30" s="3129">
        <f t="shared" si="1"/>
        <v>9</v>
      </c>
      <c r="AJ30" s="3132"/>
    </row>
    <row r="31" spans="1:41" ht="41.25" customHeight="1">
      <c r="A31" s="3125">
        <v>20</v>
      </c>
      <c r="B31" s="3126">
        <v>20</v>
      </c>
      <c r="C31" s="3126" t="s">
        <v>2183</v>
      </c>
      <c r="D31" s="3127" t="s">
        <v>451</v>
      </c>
      <c r="E31" s="3128"/>
      <c r="F31" s="3128"/>
      <c r="G31" s="3128"/>
      <c r="H31" s="3128"/>
      <c r="I31" s="3128"/>
      <c r="J31" s="3128"/>
      <c r="K31" s="3128"/>
      <c r="L31" s="3128"/>
      <c r="M31" s="3128"/>
      <c r="N31" s="3128"/>
      <c r="O31" s="3128"/>
      <c r="P31" s="3128"/>
      <c r="Q31" s="3128"/>
      <c r="R31" s="3128"/>
      <c r="S31" s="3128"/>
      <c r="T31" s="3128"/>
      <c r="U31" s="3128"/>
      <c r="V31" s="3128"/>
      <c r="W31" s="3128"/>
      <c r="X31" s="3128"/>
      <c r="Y31" s="3128"/>
      <c r="Z31" s="3128"/>
      <c r="AA31" s="3128"/>
      <c r="AB31" s="3128"/>
      <c r="AC31" s="3128"/>
      <c r="AD31" s="3128"/>
      <c r="AE31" s="3128">
        <v>12</v>
      </c>
      <c r="AF31" s="3128"/>
      <c r="AG31" s="3128"/>
      <c r="AH31" s="3128"/>
      <c r="AI31" s="3129">
        <f t="shared" si="1"/>
        <v>12</v>
      </c>
      <c r="AJ31" s="3132"/>
    </row>
    <row r="32" spans="1:41" ht="41.25" customHeight="1">
      <c r="A32" s="3125">
        <v>21</v>
      </c>
      <c r="B32" s="3126">
        <v>21</v>
      </c>
      <c r="C32" s="3126" t="s">
        <v>1236</v>
      </c>
      <c r="D32" s="3127" t="s">
        <v>451</v>
      </c>
      <c r="E32" s="3128"/>
      <c r="F32" s="3128"/>
      <c r="G32" s="3128"/>
      <c r="H32" s="3128"/>
      <c r="I32" s="3128"/>
      <c r="J32" s="3128"/>
      <c r="K32" s="3128"/>
      <c r="L32" s="3128"/>
      <c r="M32" s="3128"/>
      <c r="N32" s="3128"/>
      <c r="O32" s="3128"/>
      <c r="P32" s="3128"/>
      <c r="Q32" s="3128"/>
      <c r="R32" s="3128"/>
      <c r="S32" s="3128"/>
      <c r="T32" s="3128"/>
      <c r="U32" s="3128"/>
      <c r="V32" s="3128"/>
      <c r="W32" s="3128"/>
      <c r="X32" s="3128"/>
      <c r="Y32" s="3128"/>
      <c r="Z32" s="3128"/>
      <c r="AA32" s="3128"/>
      <c r="AB32" s="3128"/>
      <c r="AC32" s="3128"/>
      <c r="AD32" s="3128"/>
      <c r="AE32" s="3128">
        <v>4</v>
      </c>
      <c r="AF32" s="3128"/>
      <c r="AG32" s="3128"/>
      <c r="AH32" s="3128"/>
      <c r="AI32" s="3129">
        <f t="shared" si="1"/>
        <v>4</v>
      </c>
      <c r="AJ32" s="3132"/>
    </row>
    <row r="33" spans="1:53" ht="41.25" customHeight="1">
      <c r="A33" s="3125">
        <v>22</v>
      </c>
      <c r="B33" s="3126">
        <v>22</v>
      </c>
      <c r="C33" s="3126" t="s">
        <v>2184</v>
      </c>
      <c r="D33" s="3127" t="s">
        <v>451</v>
      </c>
      <c r="E33" s="3128"/>
      <c r="F33" s="3128"/>
      <c r="G33" s="3128"/>
      <c r="H33" s="3128"/>
      <c r="I33" s="3128"/>
      <c r="J33" s="3128"/>
      <c r="K33" s="3128"/>
      <c r="L33" s="3128"/>
      <c r="M33" s="3128"/>
      <c r="N33" s="3128"/>
      <c r="O33" s="3128"/>
      <c r="P33" s="3128"/>
      <c r="Q33" s="3128"/>
      <c r="R33" s="3128"/>
      <c r="S33" s="3128"/>
      <c r="T33" s="3128"/>
      <c r="U33" s="3128"/>
      <c r="V33" s="3128"/>
      <c r="W33" s="3128"/>
      <c r="X33" s="3128"/>
      <c r="Y33" s="3128"/>
      <c r="Z33" s="3128"/>
      <c r="AA33" s="3128"/>
      <c r="AB33" s="3128"/>
      <c r="AC33" s="3128"/>
      <c r="AD33" s="3128"/>
      <c r="AE33" s="3128">
        <v>10</v>
      </c>
      <c r="AF33" s="3128"/>
      <c r="AG33" s="3128"/>
      <c r="AH33" s="3128"/>
      <c r="AI33" s="3129">
        <f t="shared" si="1"/>
        <v>10</v>
      </c>
      <c r="AJ33" s="3132"/>
    </row>
    <row r="34" spans="1:53" ht="41.25" customHeight="1">
      <c r="A34" s="3125">
        <v>23</v>
      </c>
      <c r="B34" s="3126">
        <v>23</v>
      </c>
      <c r="C34" s="3126" t="s">
        <v>2185</v>
      </c>
      <c r="D34" s="3127" t="s">
        <v>451</v>
      </c>
      <c r="E34" s="3128"/>
      <c r="F34" s="3128"/>
      <c r="G34" s="3128"/>
      <c r="H34" s="3128"/>
      <c r="I34" s="3128"/>
      <c r="J34" s="3128"/>
      <c r="K34" s="3128"/>
      <c r="L34" s="3128"/>
      <c r="M34" s="3128"/>
      <c r="N34" s="3128"/>
      <c r="O34" s="3128"/>
      <c r="P34" s="3128"/>
      <c r="Q34" s="3128"/>
      <c r="R34" s="3128"/>
      <c r="S34" s="3128"/>
      <c r="T34" s="3128"/>
      <c r="U34" s="3128"/>
      <c r="V34" s="3128"/>
      <c r="W34" s="3128"/>
      <c r="X34" s="3128"/>
      <c r="Y34" s="3128"/>
      <c r="Z34" s="3128"/>
      <c r="AA34" s="3128"/>
      <c r="AB34" s="3128"/>
      <c r="AC34" s="3128"/>
      <c r="AD34" s="3128"/>
      <c r="AE34" s="3128">
        <v>4</v>
      </c>
      <c r="AF34" s="3128"/>
      <c r="AG34" s="3128"/>
      <c r="AH34" s="3128"/>
      <c r="AI34" s="3129">
        <f t="shared" si="1"/>
        <v>4</v>
      </c>
      <c r="AJ34" s="3132"/>
    </row>
    <row r="35" spans="1:53" ht="41.25" customHeight="1">
      <c r="A35" s="3125">
        <v>24</v>
      </c>
      <c r="B35" s="3126">
        <v>24</v>
      </c>
      <c r="C35" s="3126" t="s">
        <v>2186</v>
      </c>
      <c r="D35" s="3127" t="s">
        <v>451</v>
      </c>
      <c r="E35" s="3128"/>
      <c r="F35" s="3128"/>
      <c r="G35" s="3128"/>
      <c r="H35" s="3128"/>
      <c r="I35" s="3128"/>
      <c r="J35" s="3128"/>
      <c r="K35" s="3128"/>
      <c r="L35" s="3128"/>
      <c r="M35" s="3128"/>
      <c r="N35" s="3128"/>
      <c r="O35" s="3128"/>
      <c r="P35" s="3128"/>
      <c r="Q35" s="3128"/>
      <c r="R35" s="3128"/>
      <c r="S35" s="3128"/>
      <c r="T35" s="3128"/>
      <c r="U35" s="3128"/>
      <c r="V35" s="3128"/>
      <c r="W35" s="3128"/>
      <c r="X35" s="3128"/>
      <c r="Y35" s="3128"/>
      <c r="Z35" s="3128"/>
      <c r="AA35" s="3128"/>
      <c r="AB35" s="3128"/>
      <c r="AC35" s="3128"/>
      <c r="AD35" s="3128"/>
      <c r="AE35" s="3128">
        <v>9</v>
      </c>
      <c r="AF35" s="3128"/>
      <c r="AG35" s="3128"/>
      <c r="AH35" s="3128"/>
      <c r="AI35" s="3129">
        <f t="shared" si="1"/>
        <v>9</v>
      </c>
      <c r="AJ35" s="3132"/>
    </row>
    <row r="36" spans="1:53" ht="41.25" customHeight="1">
      <c r="A36" s="3125">
        <v>25</v>
      </c>
      <c r="B36" s="3126">
        <v>25</v>
      </c>
      <c r="C36" s="3126" t="s">
        <v>2187</v>
      </c>
      <c r="D36" s="3127" t="s">
        <v>451</v>
      </c>
      <c r="E36" s="3128"/>
      <c r="F36" s="3128"/>
      <c r="G36" s="3128"/>
      <c r="H36" s="3128"/>
      <c r="I36" s="3128"/>
      <c r="J36" s="3128"/>
      <c r="K36" s="3128"/>
      <c r="L36" s="3128"/>
      <c r="M36" s="3128"/>
      <c r="N36" s="3128"/>
      <c r="O36" s="3128"/>
      <c r="P36" s="3128"/>
      <c r="Q36" s="3128"/>
      <c r="R36" s="3128"/>
      <c r="S36" s="3128"/>
      <c r="T36" s="3128"/>
      <c r="U36" s="3128"/>
      <c r="V36" s="3128"/>
      <c r="W36" s="3128"/>
      <c r="X36" s="3128"/>
      <c r="Y36" s="3128"/>
      <c r="Z36" s="3128"/>
      <c r="AA36" s="3128"/>
      <c r="AB36" s="3128"/>
      <c r="AC36" s="3128"/>
      <c r="AD36" s="3128"/>
      <c r="AE36" s="3128">
        <v>8</v>
      </c>
      <c r="AF36" s="3128"/>
      <c r="AG36" s="3128"/>
      <c r="AH36" s="3128"/>
      <c r="AI36" s="3129">
        <f t="shared" si="1"/>
        <v>8</v>
      </c>
      <c r="AJ36" s="3132"/>
    </row>
    <row r="37" spans="1:53" ht="41.25" customHeight="1">
      <c r="A37" s="3125">
        <v>26</v>
      </c>
      <c r="B37" s="3126">
        <v>26</v>
      </c>
      <c r="C37" s="3126" t="s">
        <v>1525</v>
      </c>
      <c r="D37" s="3127" t="s">
        <v>451</v>
      </c>
      <c r="E37" s="3128"/>
      <c r="F37" s="3128"/>
      <c r="G37" s="3128"/>
      <c r="H37" s="3128"/>
      <c r="I37" s="3128"/>
      <c r="J37" s="3128"/>
      <c r="K37" s="3128"/>
      <c r="L37" s="3128"/>
      <c r="M37" s="3128"/>
      <c r="N37" s="3128"/>
      <c r="O37" s="3128"/>
      <c r="P37" s="3128"/>
      <c r="Q37" s="3128"/>
      <c r="R37" s="3128"/>
      <c r="S37" s="3128"/>
      <c r="T37" s="3128"/>
      <c r="U37" s="3128"/>
      <c r="V37" s="3128"/>
      <c r="W37" s="3128"/>
      <c r="X37" s="3128"/>
      <c r="Y37" s="3128"/>
      <c r="Z37" s="3128"/>
      <c r="AA37" s="3128"/>
      <c r="AB37" s="3128"/>
      <c r="AC37" s="3128"/>
      <c r="AD37" s="3128"/>
      <c r="AE37" s="3128">
        <v>4</v>
      </c>
      <c r="AF37" s="3128"/>
      <c r="AG37" s="3128"/>
      <c r="AH37" s="3128"/>
      <c r="AI37" s="3129">
        <f t="shared" si="1"/>
        <v>4</v>
      </c>
      <c r="AJ37" s="3132"/>
    </row>
    <row r="38" spans="1:53" ht="41.25" customHeight="1">
      <c r="A38" s="3125">
        <v>27</v>
      </c>
      <c r="B38" s="3126">
        <v>27</v>
      </c>
      <c r="C38" s="3126" t="s">
        <v>2188</v>
      </c>
      <c r="D38" s="3127" t="s">
        <v>451</v>
      </c>
      <c r="E38" s="3128"/>
      <c r="F38" s="3128"/>
      <c r="G38" s="3128"/>
      <c r="H38" s="3128"/>
      <c r="I38" s="3128"/>
      <c r="J38" s="3128"/>
      <c r="K38" s="3128"/>
      <c r="L38" s="3128"/>
      <c r="M38" s="3128"/>
      <c r="N38" s="3128"/>
      <c r="O38" s="3128"/>
      <c r="P38" s="3128"/>
      <c r="Q38" s="3128"/>
      <c r="R38" s="3128"/>
      <c r="S38" s="3128"/>
      <c r="T38" s="3128"/>
      <c r="U38" s="3128"/>
      <c r="V38" s="3128"/>
      <c r="W38" s="3128"/>
      <c r="X38" s="3128"/>
      <c r="Y38" s="3128"/>
      <c r="Z38" s="3128"/>
      <c r="AA38" s="3128"/>
      <c r="AB38" s="3128"/>
      <c r="AC38" s="3128"/>
      <c r="AD38" s="3128"/>
      <c r="AE38" s="3128">
        <v>4</v>
      </c>
      <c r="AF38" s="3128"/>
      <c r="AG38" s="3128"/>
      <c r="AH38" s="3128"/>
      <c r="AI38" s="3129">
        <f t="shared" si="1"/>
        <v>4</v>
      </c>
      <c r="AJ38" s="3132"/>
    </row>
    <row r="39" spans="1:53" ht="41.25" customHeight="1">
      <c r="A39" s="3125">
        <v>28</v>
      </c>
      <c r="B39" s="3126">
        <v>28</v>
      </c>
      <c r="C39" s="3126" t="s">
        <v>2189</v>
      </c>
      <c r="D39" s="3127" t="s">
        <v>451</v>
      </c>
      <c r="E39" s="3128"/>
      <c r="F39" s="3128"/>
      <c r="G39" s="3128"/>
      <c r="H39" s="3128"/>
      <c r="I39" s="3128"/>
      <c r="J39" s="3128"/>
      <c r="K39" s="3128"/>
      <c r="L39" s="3128"/>
      <c r="M39" s="3128"/>
      <c r="N39" s="3128"/>
      <c r="O39" s="3128"/>
      <c r="P39" s="3128"/>
      <c r="Q39" s="3128"/>
      <c r="R39" s="3128"/>
      <c r="S39" s="3128"/>
      <c r="T39" s="3128"/>
      <c r="U39" s="3128"/>
      <c r="V39" s="3128"/>
      <c r="W39" s="3128"/>
      <c r="X39" s="3128"/>
      <c r="Y39" s="3128"/>
      <c r="Z39" s="3128"/>
      <c r="AA39" s="3128"/>
      <c r="AB39" s="3128"/>
      <c r="AC39" s="3128"/>
      <c r="AD39" s="3128"/>
      <c r="AE39" s="3128">
        <v>6</v>
      </c>
      <c r="AF39" s="3128"/>
      <c r="AG39" s="3128"/>
      <c r="AH39" s="3128"/>
      <c r="AI39" s="3129">
        <f t="shared" si="1"/>
        <v>6</v>
      </c>
      <c r="AJ39" s="3132"/>
    </row>
    <row r="40" spans="1:53" ht="41.25" customHeight="1">
      <c r="A40" s="3125">
        <v>29</v>
      </c>
      <c r="B40" s="3126">
        <v>29</v>
      </c>
      <c r="C40" s="3126" t="s">
        <v>1507</v>
      </c>
      <c r="D40" s="3127" t="s">
        <v>451</v>
      </c>
      <c r="E40" s="3128"/>
      <c r="F40" s="3128"/>
      <c r="G40" s="3128"/>
      <c r="H40" s="3128"/>
      <c r="I40" s="3128"/>
      <c r="J40" s="3128"/>
      <c r="K40" s="3128"/>
      <c r="L40" s="3128"/>
      <c r="M40" s="3128"/>
      <c r="N40" s="3128"/>
      <c r="O40" s="3128"/>
      <c r="P40" s="3128"/>
      <c r="Q40" s="3128"/>
      <c r="R40" s="3128"/>
      <c r="S40" s="3128"/>
      <c r="T40" s="3128"/>
      <c r="U40" s="3128"/>
      <c r="V40" s="3128"/>
      <c r="W40" s="3128"/>
      <c r="X40" s="3128"/>
      <c r="Y40" s="3128"/>
      <c r="Z40" s="3128"/>
      <c r="AA40" s="3128"/>
      <c r="AB40" s="3128"/>
      <c r="AC40" s="3128"/>
      <c r="AD40" s="3128"/>
      <c r="AE40" s="3128">
        <v>9</v>
      </c>
      <c r="AF40" s="3128"/>
      <c r="AG40" s="3128"/>
      <c r="AH40" s="3128"/>
      <c r="AI40" s="3129">
        <f t="shared" si="1"/>
        <v>9</v>
      </c>
      <c r="AJ40" s="3132"/>
    </row>
    <row r="41" spans="1:53" ht="41.25" customHeight="1">
      <c r="A41" s="3125">
        <v>30</v>
      </c>
      <c r="B41" s="3126">
        <v>30</v>
      </c>
      <c r="C41" s="3126" t="s">
        <v>2190</v>
      </c>
      <c r="D41" s="3127" t="s">
        <v>451</v>
      </c>
      <c r="E41" s="3128"/>
      <c r="F41" s="3128"/>
      <c r="G41" s="3128"/>
      <c r="H41" s="3128"/>
      <c r="I41" s="3128"/>
      <c r="J41" s="3128"/>
      <c r="K41" s="3128"/>
      <c r="L41" s="3128"/>
      <c r="M41" s="3128"/>
      <c r="N41" s="3128"/>
      <c r="O41" s="3128"/>
      <c r="P41" s="3128"/>
      <c r="Q41" s="3128"/>
      <c r="R41" s="3128"/>
      <c r="S41" s="3128"/>
      <c r="T41" s="3128"/>
      <c r="U41" s="3128"/>
      <c r="V41" s="3128"/>
      <c r="W41" s="3128"/>
      <c r="X41" s="3128"/>
      <c r="Y41" s="3128"/>
      <c r="Z41" s="3128"/>
      <c r="AA41" s="3128"/>
      <c r="AB41" s="3128"/>
      <c r="AC41" s="3128"/>
      <c r="AD41" s="3128"/>
      <c r="AE41" s="3128">
        <v>7</v>
      </c>
      <c r="AF41" s="3128"/>
      <c r="AG41" s="3128"/>
      <c r="AH41" s="3128"/>
      <c r="AI41" s="3129">
        <f t="shared" si="1"/>
        <v>7</v>
      </c>
      <c r="AJ41" s="3132"/>
    </row>
    <row r="42" spans="1:53" ht="41.25" customHeight="1">
      <c r="A42" s="3125">
        <v>31</v>
      </c>
      <c r="B42" s="3126">
        <v>31</v>
      </c>
      <c r="C42" s="3126" t="s">
        <v>2191</v>
      </c>
      <c r="D42" s="3127" t="s">
        <v>451</v>
      </c>
      <c r="E42" s="3128"/>
      <c r="F42" s="3128"/>
      <c r="G42" s="3128"/>
      <c r="H42" s="3128"/>
      <c r="I42" s="3128"/>
      <c r="J42" s="3128"/>
      <c r="K42" s="3128"/>
      <c r="L42" s="3128"/>
      <c r="M42" s="3128"/>
      <c r="N42" s="3128"/>
      <c r="O42" s="3128"/>
      <c r="P42" s="3128"/>
      <c r="Q42" s="3128"/>
      <c r="R42" s="3128"/>
      <c r="S42" s="3128"/>
      <c r="T42" s="3128"/>
      <c r="U42" s="3128"/>
      <c r="V42" s="3128"/>
      <c r="W42" s="3128"/>
      <c r="X42" s="3128"/>
      <c r="Y42" s="3128"/>
      <c r="Z42" s="3128"/>
      <c r="AA42" s="3128"/>
      <c r="AB42" s="3128"/>
      <c r="AC42" s="3128"/>
      <c r="AD42" s="3128"/>
      <c r="AE42" s="3128">
        <v>7</v>
      </c>
      <c r="AF42" s="3128"/>
      <c r="AG42" s="3128"/>
      <c r="AH42" s="3128"/>
      <c r="AI42" s="3129">
        <f t="shared" si="1"/>
        <v>7</v>
      </c>
      <c r="AJ42" s="3132"/>
    </row>
    <row r="43" spans="1:53" ht="41.25" customHeight="1">
      <c r="A43" s="3125">
        <v>32</v>
      </c>
      <c r="B43" s="3126">
        <v>32</v>
      </c>
      <c r="C43" s="3126" t="s">
        <v>1923</v>
      </c>
      <c r="D43" s="3127" t="s">
        <v>451</v>
      </c>
      <c r="E43" s="3128"/>
      <c r="F43" s="3128"/>
      <c r="G43" s="3128"/>
      <c r="H43" s="3128"/>
      <c r="I43" s="3128"/>
      <c r="J43" s="3128"/>
      <c r="K43" s="3128"/>
      <c r="L43" s="3128"/>
      <c r="M43" s="3128"/>
      <c r="N43" s="3128"/>
      <c r="O43" s="3128"/>
      <c r="P43" s="3128"/>
      <c r="Q43" s="3128"/>
      <c r="R43" s="3128"/>
      <c r="S43" s="3128"/>
      <c r="T43" s="3128"/>
      <c r="U43" s="3128"/>
      <c r="V43" s="3128"/>
      <c r="W43" s="3128"/>
      <c r="X43" s="3128"/>
      <c r="Y43" s="3128"/>
      <c r="Z43" s="3128"/>
      <c r="AA43" s="3128"/>
      <c r="AB43" s="3128"/>
      <c r="AC43" s="3128"/>
      <c r="AD43" s="3128"/>
      <c r="AE43" s="3128"/>
      <c r="AF43" s="3128"/>
      <c r="AG43" s="3128"/>
      <c r="AH43" s="3128"/>
      <c r="AI43" s="3129">
        <f t="shared" si="1"/>
        <v>0</v>
      </c>
      <c r="AJ43" s="3132"/>
    </row>
    <row r="44" spans="1:53" ht="41.25" customHeight="1">
      <c r="A44" s="3125">
        <v>33</v>
      </c>
      <c r="B44" s="3126">
        <v>33</v>
      </c>
      <c r="C44" s="3126" t="s">
        <v>2192</v>
      </c>
      <c r="D44" s="3127" t="s">
        <v>451</v>
      </c>
      <c r="E44" s="3128"/>
      <c r="F44" s="3128"/>
      <c r="G44" s="3128"/>
      <c r="H44" s="3128"/>
      <c r="I44" s="3128"/>
      <c r="J44" s="3128"/>
      <c r="K44" s="3128"/>
      <c r="L44" s="3128"/>
      <c r="M44" s="3128"/>
      <c r="N44" s="3128"/>
      <c r="O44" s="3128"/>
      <c r="P44" s="3128"/>
      <c r="Q44" s="3128"/>
      <c r="R44" s="3128"/>
      <c r="S44" s="3128"/>
      <c r="T44" s="3128"/>
      <c r="U44" s="3128"/>
      <c r="V44" s="3128"/>
      <c r="W44" s="3128"/>
      <c r="X44" s="3128"/>
      <c r="Y44" s="3128"/>
      <c r="Z44" s="3128"/>
      <c r="AA44" s="3128"/>
      <c r="AB44" s="3128"/>
      <c r="AC44" s="3128"/>
      <c r="AD44" s="3128"/>
      <c r="AE44" s="3128">
        <v>3</v>
      </c>
      <c r="AF44" s="3128"/>
      <c r="AG44" s="3128"/>
      <c r="AH44" s="3128"/>
      <c r="AI44" s="3129">
        <f t="shared" si="1"/>
        <v>3</v>
      </c>
      <c r="AJ44" s="3132"/>
    </row>
    <row r="45" spans="1:53" ht="41.25" customHeight="1">
      <c r="A45" s="3125">
        <v>34</v>
      </c>
      <c r="B45" s="3126">
        <v>34</v>
      </c>
      <c r="C45" s="2546" t="s">
        <v>2193</v>
      </c>
      <c r="D45" s="3127" t="s">
        <v>451</v>
      </c>
      <c r="E45" s="3128"/>
      <c r="F45" s="3128"/>
      <c r="G45" s="3128"/>
      <c r="H45" s="3128"/>
      <c r="I45" s="3128"/>
      <c r="J45" s="3128"/>
      <c r="K45" s="3128"/>
      <c r="L45" s="3128"/>
      <c r="M45" s="3128"/>
      <c r="N45" s="3128"/>
      <c r="O45" s="3128"/>
      <c r="P45" s="3128"/>
      <c r="Q45" s="3128"/>
      <c r="R45" s="3128"/>
      <c r="S45" s="3128"/>
      <c r="T45" s="3128"/>
      <c r="U45" s="3128"/>
      <c r="V45" s="3128"/>
      <c r="W45" s="3128"/>
      <c r="X45" s="3128"/>
      <c r="Y45" s="3128"/>
      <c r="Z45" s="3128"/>
      <c r="AA45" s="3128"/>
      <c r="AB45" s="3128"/>
      <c r="AC45" s="3128"/>
      <c r="AD45" s="3128"/>
      <c r="AE45" s="3128">
        <v>4</v>
      </c>
      <c r="AF45" s="3128"/>
      <c r="AG45" s="3128"/>
      <c r="AH45" s="3128"/>
      <c r="AI45" s="3129">
        <f t="shared" si="1"/>
        <v>4</v>
      </c>
      <c r="AJ45" s="3132"/>
    </row>
    <row r="46" spans="1:53" ht="41.25" customHeight="1">
      <c r="A46" s="3478" t="s">
        <v>168</v>
      </c>
      <c r="B46" s="3839" t="s">
        <v>1862</v>
      </c>
      <c r="C46" s="3839"/>
      <c r="D46" s="3839"/>
      <c r="E46" s="3175">
        <f t="shared" ref="E46:AI46" si="2">SUM(E47:E61)</f>
        <v>0</v>
      </c>
      <c r="F46" s="3175">
        <f t="shared" si="2"/>
        <v>0</v>
      </c>
      <c r="G46" s="3175">
        <f t="shared" si="2"/>
        <v>0</v>
      </c>
      <c r="H46" s="3175">
        <f t="shared" si="2"/>
        <v>0</v>
      </c>
      <c r="I46" s="3175">
        <f t="shared" si="2"/>
        <v>0</v>
      </c>
      <c r="J46" s="3175">
        <f t="shared" si="2"/>
        <v>0</v>
      </c>
      <c r="K46" s="3175">
        <f t="shared" si="2"/>
        <v>0</v>
      </c>
      <c r="L46" s="3175">
        <f t="shared" si="2"/>
        <v>0</v>
      </c>
      <c r="M46" s="3175">
        <f t="shared" si="2"/>
        <v>0</v>
      </c>
      <c r="N46" s="3175">
        <f t="shared" si="2"/>
        <v>0</v>
      </c>
      <c r="O46" s="3175">
        <f t="shared" si="2"/>
        <v>0</v>
      </c>
      <c r="P46" s="3175">
        <f t="shared" si="2"/>
        <v>0</v>
      </c>
      <c r="Q46" s="3175">
        <f t="shared" si="2"/>
        <v>0</v>
      </c>
      <c r="R46" s="3175">
        <f t="shared" si="2"/>
        <v>0</v>
      </c>
      <c r="S46" s="3175">
        <f t="shared" si="2"/>
        <v>0</v>
      </c>
      <c r="T46" s="3175">
        <f t="shared" si="2"/>
        <v>0</v>
      </c>
      <c r="U46" s="3175">
        <f t="shared" si="2"/>
        <v>0</v>
      </c>
      <c r="V46" s="3175">
        <f t="shared" si="2"/>
        <v>0</v>
      </c>
      <c r="W46" s="3175">
        <f t="shared" si="2"/>
        <v>0</v>
      </c>
      <c r="X46" s="3175">
        <f t="shared" si="2"/>
        <v>0</v>
      </c>
      <c r="Y46" s="3175">
        <f t="shared" si="2"/>
        <v>0</v>
      </c>
      <c r="Z46" s="3175">
        <f t="shared" si="2"/>
        <v>0</v>
      </c>
      <c r="AA46" s="3175">
        <f t="shared" si="2"/>
        <v>0</v>
      </c>
      <c r="AB46" s="3175">
        <f t="shared" si="2"/>
        <v>0</v>
      </c>
      <c r="AC46" s="3175">
        <f t="shared" si="2"/>
        <v>0</v>
      </c>
      <c r="AD46" s="3175">
        <f t="shared" si="2"/>
        <v>0</v>
      </c>
      <c r="AE46" s="3175">
        <f t="shared" si="2"/>
        <v>0</v>
      </c>
      <c r="AF46" s="3175">
        <f t="shared" si="2"/>
        <v>145</v>
      </c>
      <c r="AG46" s="3175">
        <f t="shared" si="2"/>
        <v>0</v>
      </c>
      <c r="AH46" s="3175">
        <f t="shared" si="2"/>
        <v>0</v>
      </c>
      <c r="AI46" s="3176">
        <f t="shared" si="2"/>
        <v>145</v>
      </c>
      <c r="AJ46" s="3143"/>
      <c r="AO46" s="3294">
        <v>229163</v>
      </c>
      <c r="AP46" s="3294">
        <v>100576.27576837727</v>
      </c>
      <c r="AQ46" s="3294">
        <f>+AP46/AO46</f>
        <v>0.43888531642707274</v>
      </c>
      <c r="BA46" s="3106">
        <v>42.747144208419094</v>
      </c>
    </row>
    <row r="47" spans="1:53" ht="41.25" customHeight="1">
      <c r="A47" s="3144">
        <v>35</v>
      </c>
      <c r="B47" s="3144">
        <v>1</v>
      </c>
      <c r="C47" s="3126" t="s">
        <v>2195</v>
      </c>
      <c r="D47" s="3145" t="s">
        <v>451</v>
      </c>
      <c r="E47" s="3128"/>
      <c r="F47" s="3128"/>
      <c r="G47" s="3128"/>
      <c r="H47" s="3128"/>
      <c r="I47" s="3128"/>
      <c r="J47" s="3128"/>
      <c r="K47" s="3128"/>
      <c r="L47" s="3128"/>
      <c r="M47" s="3128"/>
      <c r="N47" s="3128"/>
      <c r="O47" s="3128"/>
      <c r="P47" s="3128"/>
      <c r="Q47" s="3128"/>
      <c r="R47" s="3128"/>
      <c r="S47" s="3128"/>
      <c r="T47" s="3128"/>
      <c r="U47" s="3128"/>
      <c r="V47" s="3128"/>
      <c r="W47" s="3128"/>
      <c r="X47" s="3128"/>
      <c r="Y47" s="3128"/>
      <c r="Z47" s="3128"/>
      <c r="AA47" s="3128"/>
      <c r="AB47" s="3128"/>
      <c r="AC47" s="3128"/>
      <c r="AD47" s="3128"/>
      <c r="AE47" s="3128"/>
      <c r="AF47" s="3128">
        <v>5</v>
      </c>
      <c r="AG47" s="3128"/>
      <c r="AH47" s="3128"/>
      <c r="AI47" s="3129">
        <f t="shared" ref="AI47:AI61" si="3">+SUM(E47:AH47)</f>
        <v>5</v>
      </c>
      <c r="AJ47" s="3147"/>
      <c r="AQ47" s="3142"/>
    </row>
    <row r="48" spans="1:53" ht="41.25" customHeight="1">
      <c r="A48" s="3125">
        <v>36</v>
      </c>
      <c r="B48" s="3125">
        <v>2</v>
      </c>
      <c r="C48" s="3126" t="s">
        <v>2196</v>
      </c>
      <c r="D48" s="3145" t="s">
        <v>451</v>
      </c>
      <c r="E48" s="3128"/>
      <c r="F48" s="3128"/>
      <c r="G48" s="3128"/>
      <c r="H48" s="3128"/>
      <c r="I48" s="3128"/>
      <c r="J48" s="3128"/>
      <c r="K48" s="3128"/>
      <c r="L48" s="3128"/>
      <c r="M48" s="3128"/>
      <c r="N48" s="3128"/>
      <c r="O48" s="3128"/>
      <c r="P48" s="3128"/>
      <c r="Q48" s="3128"/>
      <c r="R48" s="3128"/>
      <c r="S48" s="3128"/>
      <c r="T48" s="3128"/>
      <c r="U48" s="3128"/>
      <c r="V48" s="3128"/>
      <c r="W48" s="3128"/>
      <c r="X48" s="3128"/>
      <c r="Y48" s="3128"/>
      <c r="Z48" s="3128"/>
      <c r="AA48" s="3128"/>
      <c r="AB48" s="3128"/>
      <c r="AC48" s="3128"/>
      <c r="AD48" s="3128"/>
      <c r="AE48" s="3128"/>
      <c r="AF48" s="3128">
        <v>7</v>
      </c>
      <c r="AG48" s="3128"/>
      <c r="AH48" s="3128"/>
      <c r="AI48" s="3129">
        <f t="shared" si="3"/>
        <v>7</v>
      </c>
      <c r="AJ48" s="3132"/>
    </row>
    <row r="49" spans="1:51" ht="41.25" customHeight="1">
      <c r="A49" s="3144">
        <v>37</v>
      </c>
      <c r="B49" s="3144">
        <v>3</v>
      </c>
      <c r="C49" s="3126" t="s">
        <v>2197</v>
      </c>
      <c r="D49" s="3145" t="s">
        <v>451</v>
      </c>
      <c r="E49" s="3128"/>
      <c r="F49" s="3128"/>
      <c r="G49" s="3128"/>
      <c r="H49" s="3128"/>
      <c r="I49" s="3128"/>
      <c r="J49" s="3128"/>
      <c r="K49" s="3128"/>
      <c r="L49" s="3128"/>
      <c r="M49" s="3128"/>
      <c r="N49" s="3128"/>
      <c r="O49" s="3128"/>
      <c r="P49" s="3128"/>
      <c r="Q49" s="3128"/>
      <c r="R49" s="3128"/>
      <c r="S49" s="3128"/>
      <c r="T49" s="3128"/>
      <c r="U49" s="3128"/>
      <c r="V49" s="3128"/>
      <c r="W49" s="3128"/>
      <c r="X49" s="3128"/>
      <c r="Y49" s="3128"/>
      <c r="Z49" s="3128"/>
      <c r="AA49" s="3128"/>
      <c r="AB49" s="3128"/>
      <c r="AC49" s="3128"/>
      <c r="AD49" s="3128"/>
      <c r="AE49" s="3128"/>
      <c r="AF49" s="3128">
        <v>9</v>
      </c>
      <c r="AG49" s="3128"/>
      <c r="AH49" s="3128"/>
      <c r="AI49" s="3129">
        <f t="shared" si="3"/>
        <v>9</v>
      </c>
      <c r="AJ49" s="3132"/>
    </row>
    <row r="50" spans="1:51" ht="41.25" customHeight="1">
      <c r="A50" s="3125">
        <v>38</v>
      </c>
      <c r="B50" s="3144">
        <v>5</v>
      </c>
      <c r="C50" s="3126" t="s">
        <v>2198</v>
      </c>
      <c r="D50" s="3145" t="s">
        <v>451</v>
      </c>
      <c r="E50" s="3128"/>
      <c r="F50" s="3128"/>
      <c r="G50" s="3128"/>
      <c r="H50" s="3128"/>
      <c r="I50" s="3128"/>
      <c r="J50" s="3128"/>
      <c r="K50" s="3128"/>
      <c r="L50" s="3128"/>
      <c r="M50" s="3128"/>
      <c r="N50" s="3128"/>
      <c r="O50" s="3128"/>
      <c r="P50" s="3128"/>
      <c r="Q50" s="3128"/>
      <c r="R50" s="3128"/>
      <c r="S50" s="3128"/>
      <c r="T50" s="3128"/>
      <c r="U50" s="3128"/>
      <c r="V50" s="3128"/>
      <c r="W50" s="3128"/>
      <c r="X50" s="3128"/>
      <c r="Y50" s="3128"/>
      <c r="Z50" s="3128"/>
      <c r="AA50" s="3128"/>
      <c r="AB50" s="3128"/>
      <c r="AC50" s="3128"/>
      <c r="AD50" s="3128"/>
      <c r="AE50" s="3128"/>
      <c r="AF50" s="3128">
        <v>10</v>
      </c>
      <c r="AG50" s="3128"/>
      <c r="AH50" s="3128"/>
      <c r="AI50" s="3129">
        <f t="shared" si="3"/>
        <v>10</v>
      </c>
      <c r="AJ50" s="3132"/>
    </row>
    <row r="51" spans="1:51" ht="41.25" customHeight="1">
      <c r="A51" s="3144">
        <v>39</v>
      </c>
      <c r="B51" s="3125">
        <v>6</v>
      </c>
      <c r="C51" s="3126" t="s">
        <v>2199</v>
      </c>
      <c r="D51" s="3145" t="s">
        <v>451</v>
      </c>
      <c r="E51" s="3128"/>
      <c r="F51" s="3128"/>
      <c r="G51" s="3128"/>
      <c r="H51" s="3128"/>
      <c r="I51" s="3128"/>
      <c r="J51" s="3128"/>
      <c r="K51" s="3128"/>
      <c r="L51" s="3128"/>
      <c r="M51" s="3128"/>
      <c r="N51" s="3128"/>
      <c r="O51" s="3128"/>
      <c r="P51" s="3128"/>
      <c r="Q51" s="3128"/>
      <c r="R51" s="3128"/>
      <c r="S51" s="3128"/>
      <c r="T51" s="3128"/>
      <c r="U51" s="3128"/>
      <c r="V51" s="3128"/>
      <c r="W51" s="3128"/>
      <c r="X51" s="3128"/>
      <c r="Y51" s="3128"/>
      <c r="Z51" s="3128"/>
      <c r="AA51" s="3128"/>
      <c r="AB51" s="3128"/>
      <c r="AC51" s="3128"/>
      <c r="AD51" s="3128"/>
      <c r="AE51" s="3128"/>
      <c r="AF51" s="3128">
        <v>15</v>
      </c>
      <c r="AG51" s="3128"/>
      <c r="AH51" s="3128"/>
      <c r="AI51" s="3129">
        <f t="shared" si="3"/>
        <v>15</v>
      </c>
      <c r="AJ51" s="3132"/>
    </row>
    <row r="52" spans="1:51" ht="41.25" customHeight="1">
      <c r="A52" s="3125">
        <v>40</v>
      </c>
      <c r="B52" s="3144">
        <v>7</v>
      </c>
      <c r="C52" s="3126" t="s">
        <v>2200</v>
      </c>
      <c r="D52" s="3145" t="s">
        <v>451</v>
      </c>
      <c r="E52" s="3128"/>
      <c r="F52" s="3128"/>
      <c r="G52" s="3128"/>
      <c r="H52" s="3128"/>
      <c r="I52" s="3128"/>
      <c r="J52" s="3128"/>
      <c r="K52" s="3128"/>
      <c r="L52" s="3128"/>
      <c r="M52" s="3128"/>
      <c r="N52" s="3128"/>
      <c r="O52" s="3128"/>
      <c r="P52" s="3128"/>
      <c r="Q52" s="3128"/>
      <c r="R52" s="3128"/>
      <c r="S52" s="3128"/>
      <c r="T52" s="3128"/>
      <c r="U52" s="3128"/>
      <c r="V52" s="3128"/>
      <c r="W52" s="3128"/>
      <c r="X52" s="3128"/>
      <c r="Y52" s="3128"/>
      <c r="Z52" s="3128"/>
      <c r="AA52" s="3128"/>
      <c r="AB52" s="3128"/>
      <c r="AC52" s="3128"/>
      <c r="AD52" s="3128"/>
      <c r="AE52" s="3128"/>
      <c r="AF52" s="3128">
        <v>13</v>
      </c>
      <c r="AG52" s="3128"/>
      <c r="AH52" s="3128"/>
      <c r="AI52" s="3129">
        <f t="shared" si="3"/>
        <v>13</v>
      </c>
      <c r="AJ52" s="3132"/>
    </row>
    <row r="53" spans="1:51" ht="41.25" customHeight="1">
      <c r="A53" s="3144">
        <v>41</v>
      </c>
      <c r="B53" s="3125">
        <v>8</v>
      </c>
      <c r="C53" s="3126" t="s">
        <v>2201</v>
      </c>
      <c r="D53" s="3145" t="s">
        <v>451</v>
      </c>
      <c r="E53" s="3128"/>
      <c r="F53" s="3128"/>
      <c r="G53" s="3128"/>
      <c r="H53" s="3128"/>
      <c r="I53" s="3128"/>
      <c r="J53" s="3128"/>
      <c r="K53" s="3128"/>
      <c r="L53" s="3128"/>
      <c r="M53" s="3128"/>
      <c r="N53" s="3128"/>
      <c r="O53" s="3128"/>
      <c r="P53" s="3128"/>
      <c r="Q53" s="3128"/>
      <c r="R53" s="3128"/>
      <c r="S53" s="3128"/>
      <c r="T53" s="3128"/>
      <c r="U53" s="3128"/>
      <c r="V53" s="3128"/>
      <c r="W53" s="3128"/>
      <c r="X53" s="3128"/>
      <c r="Y53" s="3128"/>
      <c r="Z53" s="3128"/>
      <c r="AA53" s="3128"/>
      <c r="AB53" s="3128"/>
      <c r="AC53" s="3128"/>
      <c r="AD53" s="3128"/>
      <c r="AE53" s="3128"/>
      <c r="AF53" s="3128">
        <v>7</v>
      </c>
      <c r="AG53" s="3128"/>
      <c r="AH53" s="3128"/>
      <c r="AI53" s="3129">
        <f t="shared" si="3"/>
        <v>7</v>
      </c>
      <c r="AJ53" s="3132"/>
    </row>
    <row r="54" spans="1:51" ht="41.25" customHeight="1">
      <c r="A54" s="3125">
        <v>42</v>
      </c>
      <c r="B54" s="3144">
        <v>9</v>
      </c>
      <c r="C54" s="3126" t="s">
        <v>2202</v>
      </c>
      <c r="D54" s="3145" t="s">
        <v>451</v>
      </c>
      <c r="E54" s="3128"/>
      <c r="F54" s="3128"/>
      <c r="G54" s="3128"/>
      <c r="H54" s="3128"/>
      <c r="I54" s="3128"/>
      <c r="J54" s="3128"/>
      <c r="K54" s="3128"/>
      <c r="L54" s="3128"/>
      <c r="M54" s="3128"/>
      <c r="N54" s="3128"/>
      <c r="O54" s="3128"/>
      <c r="P54" s="3128"/>
      <c r="Q54" s="3128"/>
      <c r="R54" s="3128"/>
      <c r="S54" s="3128"/>
      <c r="T54" s="3128"/>
      <c r="U54" s="3128"/>
      <c r="V54" s="3128"/>
      <c r="W54" s="3128"/>
      <c r="X54" s="3128"/>
      <c r="Y54" s="3128"/>
      <c r="Z54" s="3128"/>
      <c r="AA54" s="3128"/>
      <c r="AB54" s="3128"/>
      <c r="AC54" s="3128"/>
      <c r="AD54" s="3128"/>
      <c r="AE54" s="3128"/>
      <c r="AF54" s="3128">
        <v>9</v>
      </c>
      <c r="AG54" s="3128"/>
      <c r="AH54" s="3128"/>
      <c r="AI54" s="3129">
        <f t="shared" si="3"/>
        <v>9</v>
      </c>
      <c r="AJ54" s="3132"/>
    </row>
    <row r="55" spans="1:51" ht="41.25" customHeight="1">
      <c r="A55" s="3144">
        <v>43</v>
      </c>
      <c r="B55" s="3125">
        <v>10</v>
      </c>
      <c r="C55" s="3126" t="s">
        <v>2203</v>
      </c>
      <c r="D55" s="3145" t="s">
        <v>451</v>
      </c>
      <c r="E55" s="3128"/>
      <c r="F55" s="3128"/>
      <c r="G55" s="3128"/>
      <c r="H55" s="3128"/>
      <c r="I55" s="3128"/>
      <c r="J55" s="3128"/>
      <c r="K55" s="3128"/>
      <c r="L55" s="3128"/>
      <c r="M55" s="3128"/>
      <c r="N55" s="3128"/>
      <c r="O55" s="3128"/>
      <c r="P55" s="3128"/>
      <c r="Q55" s="3128"/>
      <c r="R55" s="3128"/>
      <c r="S55" s="3128"/>
      <c r="T55" s="3128"/>
      <c r="U55" s="3128"/>
      <c r="V55" s="3128"/>
      <c r="W55" s="3128"/>
      <c r="X55" s="3128"/>
      <c r="Y55" s="3128"/>
      <c r="Z55" s="3128"/>
      <c r="AA55" s="3128"/>
      <c r="AB55" s="3128"/>
      <c r="AC55" s="3128"/>
      <c r="AD55" s="3128"/>
      <c r="AE55" s="3128"/>
      <c r="AF55" s="3128">
        <v>10</v>
      </c>
      <c r="AG55" s="3128"/>
      <c r="AH55" s="3128"/>
      <c r="AI55" s="3129">
        <f t="shared" si="3"/>
        <v>10</v>
      </c>
      <c r="AJ55" s="3132"/>
    </row>
    <row r="56" spans="1:51" ht="41.25" customHeight="1">
      <c r="A56" s="3125">
        <v>44</v>
      </c>
      <c r="B56" s="3144">
        <v>11</v>
      </c>
      <c r="C56" s="3126" t="s">
        <v>2204</v>
      </c>
      <c r="D56" s="3145" t="s">
        <v>451</v>
      </c>
      <c r="E56" s="3128"/>
      <c r="F56" s="3128"/>
      <c r="G56" s="3128"/>
      <c r="H56" s="3128"/>
      <c r="I56" s="3128"/>
      <c r="J56" s="3128"/>
      <c r="K56" s="3128"/>
      <c r="L56" s="3128"/>
      <c r="M56" s="3128"/>
      <c r="N56" s="3128"/>
      <c r="O56" s="3128"/>
      <c r="P56" s="3128"/>
      <c r="Q56" s="3128"/>
      <c r="R56" s="3128"/>
      <c r="S56" s="3128"/>
      <c r="T56" s="3128"/>
      <c r="U56" s="3128"/>
      <c r="V56" s="3128"/>
      <c r="W56" s="3128"/>
      <c r="X56" s="3128"/>
      <c r="Y56" s="3128"/>
      <c r="Z56" s="3128"/>
      <c r="AA56" s="3128"/>
      <c r="AB56" s="3128"/>
      <c r="AC56" s="3128"/>
      <c r="AD56" s="3128"/>
      <c r="AE56" s="3128"/>
      <c r="AF56" s="3128">
        <v>11</v>
      </c>
      <c r="AG56" s="3128"/>
      <c r="AH56" s="3128"/>
      <c r="AI56" s="3129">
        <f t="shared" si="3"/>
        <v>11</v>
      </c>
      <c r="AJ56" s="3132"/>
    </row>
    <row r="57" spans="1:51" ht="41.25" customHeight="1">
      <c r="A57" s="3144">
        <v>45</v>
      </c>
      <c r="B57" s="3125">
        <v>12</v>
      </c>
      <c r="C57" s="3126" t="s">
        <v>2205</v>
      </c>
      <c r="D57" s="3145" t="s">
        <v>451</v>
      </c>
      <c r="E57" s="3128"/>
      <c r="F57" s="3128"/>
      <c r="G57" s="3128"/>
      <c r="H57" s="3128"/>
      <c r="I57" s="3128"/>
      <c r="J57" s="3128"/>
      <c r="K57" s="3128"/>
      <c r="L57" s="3128"/>
      <c r="M57" s="3128"/>
      <c r="N57" s="3128"/>
      <c r="O57" s="3128"/>
      <c r="P57" s="3128"/>
      <c r="Q57" s="3128"/>
      <c r="R57" s="3128"/>
      <c r="S57" s="3128"/>
      <c r="T57" s="3128"/>
      <c r="U57" s="3128"/>
      <c r="V57" s="3128"/>
      <c r="W57" s="3128"/>
      <c r="X57" s="3128"/>
      <c r="Y57" s="3128"/>
      <c r="Z57" s="3128"/>
      <c r="AA57" s="3128"/>
      <c r="AB57" s="3128"/>
      <c r="AC57" s="3128"/>
      <c r="AD57" s="3128"/>
      <c r="AE57" s="3128"/>
      <c r="AF57" s="3128">
        <v>14</v>
      </c>
      <c r="AG57" s="3128"/>
      <c r="AH57" s="3128"/>
      <c r="AI57" s="3129">
        <f t="shared" si="3"/>
        <v>14</v>
      </c>
      <c r="AJ57" s="3132"/>
    </row>
    <row r="58" spans="1:51" ht="41.25" customHeight="1">
      <c r="A58" s="3125">
        <v>46</v>
      </c>
      <c r="B58" s="3144">
        <v>13</v>
      </c>
      <c r="C58" s="3126" t="s">
        <v>2206</v>
      </c>
      <c r="D58" s="3126" t="s">
        <v>451</v>
      </c>
      <c r="E58" s="3128"/>
      <c r="F58" s="3128"/>
      <c r="G58" s="3128"/>
      <c r="H58" s="3128"/>
      <c r="I58" s="3128"/>
      <c r="J58" s="3128"/>
      <c r="K58" s="3128"/>
      <c r="L58" s="3128"/>
      <c r="M58" s="3128"/>
      <c r="N58" s="3128"/>
      <c r="O58" s="3128"/>
      <c r="P58" s="3128"/>
      <c r="Q58" s="3128"/>
      <c r="R58" s="3128"/>
      <c r="S58" s="3128"/>
      <c r="T58" s="3128"/>
      <c r="U58" s="3128"/>
      <c r="V58" s="3128"/>
      <c r="W58" s="3128"/>
      <c r="X58" s="3128"/>
      <c r="Y58" s="3128"/>
      <c r="Z58" s="3128"/>
      <c r="AA58" s="3128"/>
      <c r="AB58" s="3128"/>
      <c r="AC58" s="3128"/>
      <c r="AD58" s="3128"/>
      <c r="AE58" s="3128"/>
      <c r="AF58" s="3128">
        <v>13</v>
      </c>
      <c r="AG58" s="3128"/>
      <c r="AH58" s="3128"/>
      <c r="AI58" s="3129">
        <f t="shared" si="3"/>
        <v>13</v>
      </c>
      <c r="AJ58" s="3132"/>
    </row>
    <row r="59" spans="1:51" ht="41.25" customHeight="1">
      <c r="A59" s="3144">
        <v>47</v>
      </c>
      <c r="B59" s="3125">
        <v>14</v>
      </c>
      <c r="C59" s="3126" t="s">
        <v>2207</v>
      </c>
      <c r="D59" s="3126" t="s">
        <v>451</v>
      </c>
      <c r="E59" s="3128"/>
      <c r="F59" s="3128"/>
      <c r="G59" s="3128"/>
      <c r="H59" s="3128"/>
      <c r="I59" s="3128"/>
      <c r="J59" s="3128"/>
      <c r="K59" s="3128"/>
      <c r="L59" s="3128"/>
      <c r="M59" s="3128"/>
      <c r="N59" s="3128"/>
      <c r="O59" s="3128"/>
      <c r="P59" s="3128"/>
      <c r="Q59" s="3128"/>
      <c r="R59" s="3128"/>
      <c r="S59" s="3128"/>
      <c r="T59" s="3128"/>
      <c r="U59" s="3128"/>
      <c r="V59" s="3128"/>
      <c r="W59" s="3128"/>
      <c r="X59" s="3128"/>
      <c r="Y59" s="3128"/>
      <c r="Z59" s="3128"/>
      <c r="AA59" s="3128"/>
      <c r="AB59" s="3128"/>
      <c r="AC59" s="3128"/>
      <c r="AD59" s="3128"/>
      <c r="AE59" s="3128"/>
      <c r="AF59" s="3128">
        <v>7</v>
      </c>
      <c r="AG59" s="3128"/>
      <c r="AH59" s="3128"/>
      <c r="AI59" s="3129">
        <f t="shared" si="3"/>
        <v>7</v>
      </c>
      <c r="AJ59" s="3132"/>
    </row>
    <row r="60" spans="1:51" ht="41.25" customHeight="1">
      <c r="A60" s="3125">
        <v>48</v>
      </c>
      <c r="B60" s="3144">
        <v>15</v>
      </c>
      <c r="C60" s="3126" t="s">
        <v>2208</v>
      </c>
      <c r="D60" s="3126" t="s">
        <v>451</v>
      </c>
      <c r="E60" s="3128"/>
      <c r="F60" s="3128"/>
      <c r="G60" s="3128"/>
      <c r="H60" s="3128"/>
      <c r="I60" s="3128"/>
      <c r="J60" s="3128"/>
      <c r="K60" s="3128"/>
      <c r="L60" s="3128"/>
      <c r="M60" s="3128"/>
      <c r="N60" s="3128"/>
      <c r="O60" s="3128"/>
      <c r="P60" s="3128"/>
      <c r="Q60" s="3128"/>
      <c r="R60" s="3128"/>
      <c r="S60" s="3128"/>
      <c r="T60" s="3128"/>
      <c r="U60" s="3128"/>
      <c r="V60" s="3128"/>
      <c r="W60" s="3128"/>
      <c r="X60" s="3128"/>
      <c r="Y60" s="3128"/>
      <c r="Z60" s="3128"/>
      <c r="AA60" s="3128"/>
      <c r="AB60" s="3128"/>
      <c r="AC60" s="3128"/>
      <c r="AD60" s="3128"/>
      <c r="AE60" s="3128"/>
      <c r="AF60" s="3128">
        <v>8</v>
      </c>
      <c r="AG60" s="3128"/>
      <c r="AH60" s="3128"/>
      <c r="AI60" s="3129">
        <f t="shared" si="3"/>
        <v>8</v>
      </c>
      <c r="AJ60" s="3132"/>
    </row>
    <row r="61" spans="1:51" ht="41.25" customHeight="1">
      <c r="A61" s="3144">
        <v>49</v>
      </c>
      <c r="B61" s="3125">
        <v>16</v>
      </c>
      <c r="C61" s="3126" t="s">
        <v>2209</v>
      </c>
      <c r="D61" s="3126" t="s">
        <v>451</v>
      </c>
      <c r="E61" s="3128"/>
      <c r="F61" s="3128"/>
      <c r="G61" s="3128"/>
      <c r="H61" s="3128"/>
      <c r="I61" s="3128"/>
      <c r="J61" s="3128"/>
      <c r="K61" s="3128"/>
      <c r="L61" s="3128"/>
      <c r="M61" s="3128"/>
      <c r="N61" s="3128"/>
      <c r="O61" s="3128"/>
      <c r="P61" s="3128"/>
      <c r="Q61" s="3128"/>
      <c r="R61" s="3128"/>
      <c r="S61" s="3128"/>
      <c r="T61" s="3128"/>
      <c r="U61" s="3128"/>
      <c r="V61" s="3128"/>
      <c r="W61" s="3128"/>
      <c r="X61" s="3128"/>
      <c r="Y61" s="3128"/>
      <c r="Z61" s="3128"/>
      <c r="AA61" s="3128"/>
      <c r="AB61" s="3128"/>
      <c r="AC61" s="3128"/>
      <c r="AD61" s="3128"/>
      <c r="AE61" s="3128"/>
      <c r="AF61" s="3128">
        <v>7</v>
      </c>
      <c r="AG61" s="3128"/>
      <c r="AH61" s="3128"/>
      <c r="AI61" s="3129">
        <f t="shared" si="3"/>
        <v>7</v>
      </c>
      <c r="AJ61" s="3132"/>
    </row>
    <row r="62" spans="1:51" ht="41.25" customHeight="1">
      <c r="A62" s="3476" t="s">
        <v>224</v>
      </c>
      <c r="B62" s="3134" t="s">
        <v>453</v>
      </c>
      <c r="C62" s="3134"/>
      <c r="D62" s="3134"/>
      <c r="E62" s="3175">
        <f t="shared" ref="E62:AI62" si="4">SUBTOTAL(9,E63:E67)</f>
        <v>0</v>
      </c>
      <c r="F62" s="3175">
        <f t="shared" si="4"/>
        <v>0</v>
      </c>
      <c r="G62" s="3175">
        <f t="shared" si="4"/>
        <v>0</v>
      </c>
      <c r="H62" s="3175">
        <f t="shared" si="4"/>
        <v>0</v>
      </c>
      <c r="I62" s="3175">
        <f t="shared" si="4"/>
        <v>0</v>
      </c>
      <c r="J62" s="3175">
        <f t="shared" si="4"/>
        <v>0</v>
      </c>
      <c r="K62" s="3175">
        <f t="shared" si="4"/>
        <v>0</v>
      </c>
      <c r="L62" s="3175">
        <f t="shared" si="4"/>
        <v>0</v>
      </c>
      <c r="M62" s="3175">
        <f t="shared" si="4"/>
        <v>0</v>
      </c>
      <c r="N62" s="3175">
        <f t="shared" si="4"/>
        <v>0</v>
      </c>
      <c r="O62" s="3175">
        <f t="shared" si="4"/>
        <v>0</v>
      </c>
      <c r="P62" s="3175">
        <f t="shared" si="4"/>
        <v>0</v>
      </c>
      <c r="Q62" s="3175">
        <f t="shared" si="4"/>
        <v>0</v>
      </c>
      <c r="R62" s="3175">
        <f t="shared" si="4"/>
        <v>0</v>
      </c>
      <c r="S62" s="3175">
        <f t="shared" si="4"/>
        <v>0</v>
      </c>
      <c r="T62" s="3175">
        <f t="shared" si="4"/>
        <v>0</v>
      </c>
      <c r="U62" s="3175">
        <f t="shared" si="4"/>
        <v>0</v>
      </c>
      <c r="V62" s="3175">
        <f t="shared" si="4"/>
        <v>0</v>
      </c>
      <c r="W62" s="3175">
        <f t="shared" si="4"/>
        <v>0</v>
      </c>
      <c r="X62" s="3175">
        <f t="shared" si="4"/>
        <v>0</v>
      </c>
      <c r="Y62" s="3175">
        <f t="shared" si="4"/>
        <v>0</v>
      </c>
      <c r="Z62" s="3175">
        <f t="shared" si="4"/>
        <v>0</v>
      </c>
      <c r="AA62" s="3175">
        <f t="shared" si="4"/>
        <v>0</v>
      </c>
      <c r="AB62" s="3175">
        <f t="shared" si="4"/>
        <v>0</v>
      </c>
      <c r="AC62" s="3175">
        <f t="shared" si="4"/>
        <v>0</v>
      </c>
      <c r="AD62" s="3175">
        <f t="shared" si="4"/>
        <v>0</v>
      </c>
      <c r="AE62" s="3175">
        <f t="shared" si="4"/>
        <v>0</v>
      </c>
      <c r="AF62" s="3175">
        <f t="shared" si="4"/>
        <v>0</v>
      </c>
      <c r="AG62" s="3175">
        <f t="shared" si="4"/>
        <v>19</v>
      </c>
      <c r="AH62" s="3175">
        <f t="shared" si="4"/>
        <v>0</v>
      </c>
      <c r="AI62" s="3176">
        <f t="shared" si="4"/>
        <v>19</v>
      </c>
      <c r="AJ62" s="3149"/>
      <c r="AO62" s="3294">
        <v>55350</v>
      </c>
      <c r="AP62" s="3294">
        <v>24397.144243146919</v>
      </c>
      <c r="AQ62" s="3294">
        <f>+AP62/AO62</f>
        <v>0.44077948045432552</v>
      </c>
      <c r="AR62" s="3142" t="e">
        <f>+#REF!-AP62</f>
        <v>#REF!</v>
      </c>
      <c r="AS62" s="3106">
        <v>0</v>
      </c>
      <c r="AT62" s="3106">
        <v>0</v>
      </c>
      <c r="AU62" s="3106">
        <v>0</v>
      </c>
      <c r="AV62" s="3106">
        <v>0</v>
      </c>
      <c r="AW62" s="3106">
        <v>0</v>
      </c>
      <c r="AX62" s="3106">
        <v>0</v>
      </c>
      <c r="AY62" s="3106">
        <v>0</v>
      </c>
    </row>
    <row r="63" spans="1:51" ht="41.25" customHeight="1">
      <c r="A63" s="3125">
        <v>83</v>
      </c>
      <c r="B63" s="3125">
        <v>1</v>
      </c>
      <c r="C63" s="3150" t="s">
        <v>2279</v>
      </c>
      <c r="D63" s="3150" t="s">
        <v>453</v>
      </c>
      <c r="E63" s="3128"/>
      <c r="F63" s="3128"/>
      <c r="G63" s="3128"/>
      <c r="H63" s="3128"/>
      <c r="I63" s="3128"/>
      <c r="J63" s="3128"/>
      <c r="K63" s="3128"/>
      <c r="L63" s="3128"/>
      <c r="M63" s="3128"/>
      <c r="N63" s="3128"/>
      <c r="O63" s="3128"/>
      <c r="P63" s="3128"/>
      <c r="Q63" s="3128"/>
      <c r="R63" s="3128"/>
      <c r="S63" s="3128"/>
      <c r="T63" s="3128"/>
      <c r="U63" s="3128"/>
      <c r="V63" s="3128"/>
      <c r="W63" s="3128"/>
      <c r="X63" s="3128"/>
      <c r="Y63" s="3128"/>
      <c r="Z63" s="3128"/>
      <c r="AA63" s="3128"/>
      <c r="AB63" s="3128"/>
      <c r="AC63" s="3128"/>
      <c r="AD63" s="3128"/>
      <c r="AE63" s="3128"/>
      <c r="AF63" s="3128"/>
      <c r="AG63" s="3128">
        <v>1</v>
      </c>
      <c r="AH63" s="3128"/>
      <c r="AI63" s="3129">
        <f>+SUM(E63:AH63)</f>
        <v>1</v>
      </c>
      <c r="AJ63" s="3141"/>
      <c r="AL63" s="2581"/>
      <c r="AQ63" s="3142"/>
    </row>
    <row r="64" spans="1:51" ht="41.25" customHeight="1">
      <c r="A64" s="3125">
        <v>84</v>
      </c>
      <c r="B64" s="3125">
        <v>2</v>
      </c>
      <c r="C64" s="3126" t="s">
        <v>1514</v>
      </c>
      <c r="D64" s="3126" t="s">
        <v>453</v>
      </c>
      <c r="E64" s="3128"/>
      <c r="F64" s="3128"/>
      <c r="G64" s="3128"/>
      <c r="H64" s="3128"/>
      <c r="I64" s="3128"/>
      <c r="J64" s="3517"/>
      <c r="K64" s="3128"/>
      <c r="L64" s="3128"/>
      <c r="M64" s="3128"/>
      <c r="N64" s="3128"/>
      <c r="O64" s="3128"/>
      <c r="P64" s="3128"/>
      <c r="Q64" s="3128"/>
      <c r="R64" s="3128"/>
      <c r="S64" s="3128"/>
      <c r="T64" s="3128"/>
      <c r="U64" s="3128"/>
      <c r="V64" s="3128"/>
      <c r="W64" s="3128"/>
      <c r="X64" s="3128"/>
      <c r="Y64" s="3128"/>
      <c r="Z64" s="3128"/>
      <c r="AA64" s="3128"/>
      <c r="AB64" s="3128"/>
      <c r="AC64" s="3128"/>
      <c r="AD64" s="3128"/>
      <c r="AE64" s="3128"/>
      <c r="AF64" s="3128"/>
      <c r="AG64" s="3128">
        <v>2</v>
      </c>
      <c r="AH64" s="3128"/>
      <c r="AI64" s="3129">
        <f t="shared" ref="AI64:AI67" si="5">+SUM(E64:AH64)</f>
        <v>2</v>
      </c>
      <c r="AJ64" s="3132"/>
      <c r="AL64" s="2581"/>
    </row>
    <row r="65" spans="1:43" ht="41.25" customHeight="1">
      <c r="A65" s="3125">
        <v>85</v>
      </c>
      <c r="B65" s="3125">
        <v>3</v>
      </c>
      <c r="C65" s="3126" t="s">
        <v>2280</v>
      </c>
      <c r="D65" s="3150" t="s">
        <v>453</v>
      </c>
      <c r="E65" s="3128"/>
      <c r="F65" s="3128"/>
      <c r="G65" s="3128"/>
      <c r="H65" s="3128"/>
      <c r="I65" s="3128"/>
      <c r="J65" s="3517"/>
      <c r="K65" s="3128"/>
      <c r="L65" s="3128"/>
      <c r="M65" s="3128"/>
      <c r="N65" s="3128"/>
      <c r="O65" s="3128"/>
      <c r="P65" s="3128"/>
      <c r="Q65" s="3128"/>
      <c r="R65" s="3128"/>
      <c r="S65" s="3128"/>
      <c r="T65" s="3128"/>
      <c r="U65" s="3128"/>
      <c r="V65" s="3128"/>
      <c r="W65" s="3128"/>
      <c r="X65" s="3128"/>
      <c r="Y65" s="3128"/>
      <c r="Z65" s="3128"/>
      <c r="AA65" s="3128"/>
      <c r="AB65" s="3128"/>
      <c r="AC65" s="3128"/>
      <c r="AD65" s="3128"/>
      <c r="AE65" s="3128"/>
      <c r="AF65" s="3128"/>
      <c r="AG65" s="3128">
        <v>4</v>
      </c>
      <c r="AH65" s="3128"/>
      <c r="AI65" s="3129">
        <f t="shared" si="5"/>
        <v>4</v>
      </c>
      <c r="AJ65" s="3132"/>
      <c r="AL65" s="2581"/>
    </row>
    <row r="66" spans="1:43" ht="41.25" customHeight="1">
      <c r="A66" s="3125">
        <v>86</v>
      </c>
      <c r="B66" s="3125">
        <v>4</v>
      </c>
      <c r="C66" s="3126" t="s">
        <v>2281</v>
      </c>
      <c r="D66" s="3126" t="s">
        <v>453</v>
      </c>
      <c r="E66" s="3128"/>
      <c r="F66" s="3128"/>
      <c r="G66" s="3128"/>
      <c r="H66" s="3128"/>
      <c r="I66" s="3128"/>
      <c r="J66" s="3517"/>
      <c r="K66" s="3128"/>
      <c r="L66" s="3128"/>
      <c r="M66" s="3128"/>
      <c r="N66" s="3128"/>
      <c r="O66" s="3128"/>
      <c r="P66" s="3128"/>
      <c r="Q66" s="3128"/>
      <c r="R66" s="3128"/>
      <c r="S66" s="3128"/>
      <c r="T66" s="3128"/>
      <c r="U66" s="3128"/>
      <c r="V66" s="3128"/>
      <c r="W66" s="3128"/>
      <c r="X66" s="3128"/>
      <c r="Y66" s="3128"/>
      <c r="Z66" s="3128"/>
      <c r="AA66" s="3128"/>
      <c r="AB66" s="3128"/>
      <c r="AC66" s="3128"/>
      <c r="AD66" s="3128"/>
      <c r="AE66" s="3128"/>
      <c r="AF66" s="3128"/>
      <c r="AG66" s="3128">
        <v>7</v>
      </c>
      <c r="AH66" s="3128"/>
      <c r="AI66" s="3129">
        <f t="shared" si="5"/>
        <v>7</v>
      </c>
      <c r="AJ66" s="3132"/>
      <c r="AL66" s="2581"/>
    </row>
    <row r="67" spans="1:43" ht="41.25" customHeight="1">
      <c r="A67" s="3125">
        <v>87</v>
      </c>
      <c r="B67" s="3125">
        <v>5</v>
      </c>
      <c r="C67" s="3126" t="s">
        <v>2282</v>
      </c>
      <c r="D67" s="3150" t="s">
        <v>453</v>
      </c>
      <c r="E67" s="3128"/>
      <c r="F67" s="3128"/>
      <c r="G67" s="3128"/>
      <c r="H67" s="3128"/>
      <c r="I67" s="3128"/>
      <c r="J67" s="3517"/>
      <c r="K67" s="3128"/>
      <c r="L67" s="3128"/>
      <c r="M67" s="3128"/>
      <c r="N67" s="3128"/>
      <c r="O67" s="3128"/>
      <c r="P67" s="3128"/>
      <c r="Q67" s="3128"/>
      <c r="R67" s="3128"/>
      <c r="S67" s="3128"/>
      <c r="T67" s="3128"/>
      <c r="U67" s="3128"/>
      <c r="V67" s="3128"/>
      <c r="W67" s="3128"/>
      <c r="X67" s="3128"/>
      <c r="Y67" s="3128"/>
      <c r="Z67" s="3128"/>
      <c r="AA67" s="3128"/>
      <c r="AB67" s="3128"/>
      <c r="AC67" s="3128"/>
      <c r="AD67" s="3128"/>
      <c r="AE67" s="3128"/>
      <c r="AF67" s="3128"/>
      <c r="AG67" s="3128">
        <v>5</v>
      </c>
      <c r="AH67" s="3128"/>
      <c r="AI67" s="3129">
        <f t="shared" si="5"/>
        <v>5</v>
      </c>
      <c r="AJ67" s="3132"/>
      <c r="AL67" s="2581"/>
    </row>
    <row r="68" spans="1:43" ht="41.25" customHeight="1">
      <c r="A68" s="3845" t="s">
        <v>61</v>
      </c>
      <c r="B68" s="3845"/>
      <c r="C68" s="3845"/>
      <c r="D68" s="3845"/>
      <c r="E68" s="3175">
        <f t="shared" ref="E68:AI68" si="6">+E11+E46+E62</f>
        <v>0</v>
      </c>
      <c r="F68" s="3175">
        <f t="shared" si="6"/>
        <v>0</v>
      </c>
      <c r="G68" s="3175">
        <f t="shared" si="6"/>
        <v>0</v>
      </c>
      <c r="H68" s="3175">
        <f t="shared" si="6"/>
        <v>0</v>
      </c>
      <c r="I68" s="3175">
        <f t="shared" si="6"/>
        <v>0</v>
      </c>
      <c r="J68" s="3175">
        <f t="shared" si="6"/>
        <v>0</v>
      </c>
      <c r="K68" s="3175">
        <f t="shared" si="6"/>
        <v>0</v>
      </c>
      <c r="L68" s="3175">
        <f t="shared" si="6"/>
        <v>0</v>
      </c>
      <c r="M68" s="3175">
        <f t="shared" si="6"/>
        <v>0</v>
      </c>
      <c r="N68" s="3175">
        <f t="shared" si="6"/>
        <v>0</v>
      </c>
      <c r="O68" s="3175">
        <f t="shared" si="6"/>
        <v>0</v>
      </c>
      <c r="P68" s="3175">
        <f t="shared" si="6"/>
        <v>0</v>
      </c>
      <c r="Q68" s="3175">
        <f t="shared" si="6"/>
        <v>0</v>
      </c>
      <c r="R68" s="3175">
        <f t="shared" si="6"/>
        <v>0</v>
      </c>
      <c r="S68" s="3175">
        <f t="shared" si="6"/>
        <v>0</v>
      </c>
      <c r="T68" s="3175">
        <f t="shared" si="6"/>
        <v>0</v>
      </c>
      <c r="U68" s="3175">
        <f t="shared" si="6"/>
        <v>0</v>
      </c>
      <c r="V68" s="3175">
        <f t="shared" si="6"/>
        <v>0</v>
      </c>
      <c r="W68" s="3175">
        <f t="shared" si="6"/>
        <v>0</v>
      </c>
      <c r="X68" s="3175">
        <f t="shared" si="6"/>
        <v>0</v>
      </c>
      <c r="Y68" s="3175">
        <f t="shared" si="6"/>
        <v>0</v>
      </c>
      <c r="Z68" s="3175">
        <f t="shared" si="6"/>
        <v>0</v>
      </c>
      <c r="AA68" s="3175">
        <f t="shared" si="6"/>
        <v>0</v>
      </c>
      <c r="AB68" s="3175">
        <f t="shared" si="6"/>
        <v>0</v>
      </c>
      <c r="AC68" s="3175">
        <f t="shared" si="6"/>
        <v>0</v>
      </c>
      <c r="AD68" s="3175">
        <f t="shared" si="6"/>
        <v>0</v>
      </c>
      <c r="AE68" s="3175">
        <f t="shared" si="6"/>
        <v>235</v>
      </c>
      <c r="AF68" s="3175">
        <f t="shared" si="6"/>
        <v>145</v>
      </c>
      <c r="AG68" s="3175">
        <f t="shared" si="6"/>
        <v>19</v>
      </c>
      <c r="AH68" s="3175">
        <f t="shared" si="6"/>
        <v>0</v>
      </c>
      <c r="AI68" s="3175">
        <f t="shared" si="6"/>
        <v>399</v>
      </c>
      <c r="AJ68" s="3151"/>
      <c r="AO68" s="3297" t="e">
        <f>+#REF!+AO62+AO46+#REF!+AO11</f>
        <v>#REF!</v>
      </c>
      <c r="AP68" s="3297" t="e">
        <f>+#REF!+AP62+AP46+#REF!+AP11</f>
        <v>#REF!</v>
      </c>
      <c r="AQ68" s="3297" t="e">
        <f>+AP68/AO68</f>
        <v>#REF!</v>
      </c>
    </row>
    <row r="69" spans="1:43" ht="20.25" customHeight="1">
      <c r="B69" s="3105"/>
      <c r="C69" s="3105"/>
      <c r="D69" s="3105"/>
      <c r="E69" s="3155"/>
      <c r="F69" s="3155"/>
      <c r="G69" s="3155"/>
      <c r="H69" s="3155"/>
      <c r="I69" s="3155"/>
      <c r="J69" s="3155"/>
      <c r="K69" s="3155"/>
      <c r="L69" s="3155"/>
      <c r="M69" s="3155"/>
      <c r="N69" s="3155"/>
      <c r="O69" s="3155"/>
      <c r="P69" s="3155"/>
      <c r="Q69" s="3155"/>
      <c r="R69" s="3155"/>
      <c r="S69" s="3155"/>
      <c r="T69" s="3155"/>
      <c r="U69" s="3155"/>
      <c r="V69" s="3155"/>
      <c r="W69" s="3155"/>
      <c r="X69" s="3155"/>
      <c r="Y69" s="3155"/>
      <c r="Z69" s="3155"/>
      <c r="AA69" s="3155"/>
      <c r="AB69" s="3155"/>
      <c r="AC69" s="3156"/>
      <c r="AD69" s="3155"/>
      <c r="AE69" s="3155"/>
      <c r="AF69" s="3155"/>
      <c r="AG69" s="3155"/>
      <c r="AH69" s="3155"/>
      <c r="AI69" s="3157"/>
      <c r="AJ69" s="3159"/>
    </row>
    <row r="70" spans="1:43" s="3111" customFormat="1">
      <c r="A70" s="3117"/>
      <c r="B70" s="3160"/>
      <c r="C70" s="3160"/>
      <c r="D70" s="3160"/>
      <c r="E70" s="3161"/>
      <c r="F70" s="3161"/>
      <c r="G70" s="3161"/>
      <c r="H70" s="3161"/>
      <c r="I70" s="3161"/>
      <c r="J70" s="3161"/>
      <c r="K70" s="3161"/>
      <c r="L70" s="3161"/>
      <c r="M70" s="3161"/>
      <c r="N70" s="3161"/>
      <c r="O70" s="3161"/>
      <c r="P70" s="3161"/>
      <c r="Q70" s="3161"/>
      <c r="R70" s="3161"/>
      <c r="S70" s="3161"/>
      <c r="T70" s="3161"/>
      <c r="U70" s="3161"/>
      <c r="V70" s="3161"/>
      <c r="W70" s="3161"/>
      <c r="X70" s="3161"/>
      <c r="Y70" s="3161"/>
      <c r="Z70" s="3161"/>
      <c r="AA70" s="3161"/>
      <c r="AB70" s="3161"/>
      <c r="AC70" s="3488"/>
      <c r="AD70" s="3489"/>
      <c r="AE70" s="3891" t="s">
        <v>2157</v>
      </c>
      <c r="AF70" s="3891"/>
      <c r="AG70" s="3891"/>
      <c r="AH70" s="3891"/>
      <c r="AI70" s="3891"/>
      <c r="AJ70" s="3891"/>
      <c r="AK70" s="3891"/>
    </row>
    <row r="71" spans="1:43" s="3164" customFormat="1">
      <c r="A71" s="3479"/>
      <c r="B71" s="3887" t="s">
        <v>84</v>
      </c>
      <c r="C71" s="3887"/>
      <c r="D71" s="3887"/>
      <c r="E71" s="3887"/>
      <c r="F71" s="3163"/>
      <c r="G71" s="3887" t="s">
        <v>1873</v>
      </c>
      <c r="H71" s="3887"/>
      <c r="I71" s="3887"/>
      <c r="J71" s="3887"/>
      <c r="K71" s="3887"/>
      <c r="L71" s="3887"/>
      <c r="M71" s="3887"/>
      <c r="N71" s="3887"/>
      <c r="O71" s="3887" t="s">
        <v>20</v>
      </c>
      <c r="P71" s="3887"/>
      <c r="Q71" s="3887"/>
      <c r="R71" s="3887"/>
      <c r="S71" s="3887"/>
      <c r="T71" s="3887"/>
      <c r="U71" s="3887"/>
      <c r="V71" s="3887" t="s">
        <v>1874</v>
      </c>
      <c r="W71" s="3887"/>
      <c r="X71" s="3887"/>
      <c r="Y71" s="3887"/>
      <c r="Z71" s="3163"/>
      <c r="AA71" s="3163"/>
      <c r="AB71" s="3890" t="s">
        <v>1875</v>
      </c>
      <c r="AC71" s="3890"/>
      <c r="AD71" s="3890"/>
      <c r="AE71" s="3890"/>
      <c r="AF71" s="3495"/>
      <c r="AG71" s="3495"/>
      <c r="AH71" s="3495"/>
      <c r="AI71" s="3163" t="s">
        <v>1876</v>
      </c>
      <c r="AJ71" s="3163"/>
      <c r="AK71" s="3163"/>
    </row>
    <row r="72" spans="1:43">
      <c r="B72" s="3117"/>
      <c r="C72" s="3111"/>
      <c r="D72" s="3111"/>
      <c r="E72" s="3111"/>
      <c r="F72" s="3111"/>
      <c r="G72" s="3111"/>
      <c r="H72" s="3111"/>
      <c r="I72" s="3111"/>
      <c r="J72" s="3111"/>
      <c r="K72" s="3111"/>
      <c r="L72" s="3111"/>
      <c r="M72" s="3111"/>
      <c r="N72" s="3111"/>
      <c r="O72" s="3111"/>
      <c r="P72" s="3111"/>
      <c r="Q72" s="3111"/>
      <c r="R72" s="3111"/>
      <c r="S72" s="3111"/>
      <c r="T72" s="3111"/>
      <c r="U72" s="3111"/>
      <c r="V72" s="3111"/>
      <c r="W72" s="3111"/>
      <c r="X72" s="3111"/>
      <c r="Y72" s="3111"/>
      <c r="Z72" s="3111"/>
      <c r="AA72" s="3111"/>
      <c r="AB72" s="3111"/>
      <c r="AC72" s="3115"/>
      <c r="AD72" s="3111"/>
      <c r="AE72" s="3111"/>
      <c r="AF72" s="3111"/>
      <c r="AG72" s="3111"/>
      <c r="AH72" s="3111"/>
      <c r="AI72" s="3116"/>
      <c r="AJ72" s="3111"/>
    </row>
    <row r="73" spans="1:43">
      <c r="B73" s="3117"/>
      <c r="C73" s="3111"/>
      <c r="D73" s="3111"/>
      <c r="E73" s="3111"/>
      <c r="F73" s="3111"/>
      <c r="G73" s="3111"/>
      <c r="H73" s="3111"/>
      <c r="I73" s="3111"/>
      <c r="J73" s="3111"/>
      <c r="K73" s="3111"/>
      <c r="L73" s="3111"/>
      <c r="M73" s="3111"/>
      <c r="N73" s="3111"/>
      <c r="O73" s="3111"/>
      <c r="P73" s="3111"/>
      <c r="Q73" s="3111"/>
      <c r="R73" s="3111"/>
      <c r="S73" s="3111"/>
      <c r="T73" s="3111"/>
      <c r="U73" s="3111"/>
      <c r="V73" s="3111"/>
      <c r="W73" s="3111"/>
      <c r="X73" s="3111"/>
      <c r="Y73" s="3111"/>
      <c r="Z73" s="3111"/>
      <c r="AA73" s="3111"/>
      <c r="AB73" s="3111"/>
      <c r="AC73" s="3115"/>
      <c r="AD73" s="3111"/>
      <c r="AE73" s="3111"/>
      <c r="AF73" s="3111"/>
      <c r="AG73" s="3111"/>
      <c r="AH73" s="3111"/>
      <c r="AI73" s="3116"/>
      <c r="AJ73" s="3111"/>
    </row>
    <row r="74" spans="1:43">
      <c r="A74" s="3106"/>
      <c r="B74" s="3117"/>
      <c r="C74" s="3111"/>
      <c r="D74" s="3111"/>
      <c r="E74" s="3111"/>
      <c r="F74" s="3111"/>
      <c r="G74" s="3111"/>
      <c r="H74" s="3111"/>
      <c r="I74" s="3111"/>
      <c r="J74" s="3111"/>
      <c r="K74" s="3111"/>
      <c r="L74" s="3111"/>
      <c r="M74" s="3111"/>
      <c r="N74" s="3111"/>
      <c r="O74" s="3111"/>
      <c r="P74" s="3111"/>
      <c r="Q74" s="3111"/>
      <c r="R74" s="3111"/>
      <c r="S74" s="3111"/>
      <c r="T74" s="3111"/>
      <c r="U74" s="3111"/>
      <c r="V74" s="3111"/>
      <c r="W74" s="3111"/>
      <c r="X74" s="3111"/>
      <c r="Y74" s="3111"/>
      <c r="Z74" s="3111"/>
      <c r="AA74" s="3111"/>
      <c r="AB74" s="3111"/>
      <c r="AC74" s="3115"/>
      <c r="AD74" s="3111"/>
      <c r="AE74" s="3165"/>
      <c r="AF74" s="3111"/>
      <c r="AG74" s="3111"/>
      <c r="AH74" s="3111"/>
      <c r="AI74" s="3116"/>
      <c r="AJ74" s="3111"/>
    </row>
    <row r="75" spans="1:43">
      <c r="A75" s="3106"/>
      <c r="B75" s="3117"/>
      <c r="C75" s="3111"/>
      <c r="D75" s="3111"/>
      <c r="E75" s="3111"/>
      <c r="F75" s="3111"/>
      <c r="G75" s="3111"/>
      <c r="H75" s="3111"/>
      <c r="I75" s="3111"/>
      <c r="J75" s="3111"/>
      <c r="K75" s="3111"/>
      <c r="L75" s="3111"/>
      <c r="M75" s="3111"/>
      <c r="N75" s="3111"/>
      <c r="O75" s="3111"/>
      <c r="P75" s="3111"/>
      <c r="Q75" s="3111"/>
      <c r="R75" s="3111"/>
      <c r="S75" s="3111"/>
      <c r="T75" s="3111"/>
      <c r="U75" s="3111"/>
      <c r="V75" s="3111"/>
      <c r="W75" s="3111"/>
      <c r="X75" s="3111"/>
      <c r="Y75" s="3111"/>
      <c r="Z75" s="3111"/>
      <c r="AA75" s="3874"/>
      <c r="AB75" s="3874"/>
      <c r="AC75" s="3874"/>
      <c r="AD75" s="3111"/>
      <c r="AE75" s="3111"/>
      <c r="AF75" s="3111"/>
      <c r="AG75" s="3111"/>
      <c r="AH75" s="3111"/>
      <c r="AI75" s="3116"/>
      <c r="AJ75" s="3111"/>
    </row>
    <row r="76" spans="1:43">
      <c r="A76" s="3106"/>
      <c r="B76" s="3117"/>
      <c r="C76" s="3111"/>
      <c r="D76" s="3111"/>
      <c r="E76" s="3111"/>
      <c r="F76" s="3111"/>
      <c r="G76" s="3111"/>
      <c r="H76" s="3111"/>
      <c r="I76" s="3111"/>
      <c r="J76" s="3111"/>
      <c r="K76" s="3111"/>
      <c r="L76" s="3111"/>
      <c r="M76" s="3111"/>
      <c r="N76" s="3111"/>
      <c r="O76" s="3111"/>
      <c r="P76" s="3111"/>
      <c r="Q76" s="3111"/>
      <c r="R76" s="3111"/>
      <c r="S76" s="3111"/>
      <c r="T76" s="3111"/>
      <c r="U76" s="3111"/>
      <c r="V76" s="3111"/>
      <c r="W76" s="3111"/>
      <c r="X76" s="3111"/>
      <c r="Y76" s="3111"/>
      <c r="Z76" s="3111"/>
      <c r="AA76" s="3111"/>
      <c r="AB76" s="3111"/>
      <c r="AC76" s="3115"/>
      <c r="AD76" s="3111"/>
      <c r="AE76" s="3111"/>
      <c r="AF76" s="3111"/>
      <c r="AG76" s="3111"/>
      <c r="AH76" s="3168"/>
      <c r="AI76" s="3116"/>
      <c r="AJ76" s="3111"/>
    </row>
    <row r="77" spans="1:43">
      <c r="A77" s="3106"/>
      <c r="B77" s="3117"/>
      <c r="C77" s="3111"/>
      <c r="D77" s="3111"/>
      <c r="E77" s="3111"/>
      <c r="F77" s="3111"/>
      <c r="G77" s="3111"/>
      <c r="H77" s="3111"/>
      <c r="I77" s="3111"/>
      <c r="J77" s="3111"/>
      <c r="K77" s="3111"/>
      <c r="L77" s="3111"/>
      <c r="M77" s="3111"/>
      <c r="N77" s="3111"/>
      <c r="O77" s="3111"/>
      <c r="P77" s="3111"/>
      <c r="Q77" s="3111"/>
      <c r="R77" s="3111"/>
      <c r="S77" s="3111"/>
      <c r="T77" s="3111"/>
      <c r="U77" s="3111"/>
      <c r="V77" s="3111"/>
      <c r="W77" s="3111"/>
      <c r="X77" s="3111"/>
      <c r="Y77" s="3111"/>
      <c r="Z77" s="3111"/>
      <c r="AA77" s="3111"/>
      <c r="AB77" s="3111"/>
      <c r="AC77" s="3115"/>
      <c r="AD77" s="3111"/>
      <c r="AE77" s="3111"/>
      <c r="AF77" s="3111"/>
      <c r="AG77" s="3111"/>
      <c r="AH77" s="3168"/>
      <c r="AI77" s="3169"/>
      <c r="AJ77" s="3111"/>
    </row>
    <row r="78" spans="1:43">
      <c r="A78" s="3106"/>
      <c r="B78" s="3117"/>
      <c r="C78" s="3111"/>
      <c r="D78" s="3111"/>
      <c r="E78" s="3111"/>
      <c r="F78" s="3111"/>
      <c r="G78" s="3111"/>
      <c r="H78" s="3111"/>
      <c r="I78" s="3111"/>
      <c r="J78" s="3111"/>
      <c r="K78" s="3111"/>
      <c r="L78" s="3111"/>
      <c r="M78" s="3111"/>
      <c r="N78" s="3111"/>
      <c r="O78" s="3111"/>
      <c r="P78" s="3111"/>
      <c r="Q78" s="3111"/>
      <c r="R78" s="3111"/>
      <c r="S78" s="3111"/>
      <c r="T78" s="3111"/>
      <c r="U78" s="3111"/>
      <c r="V78" s="3111"/>
      <c r="W78" s="3111"/>
      <c r="X78" s="3111"/>
      <c r="Y78" s="3111"/>
      <c r="Z78" s="3111"/>
      <c r="AA78" s="3111"/>
      <c r="AB78" s="3111"/>
      <c r="AC78" s="3115"/>
      <c r="AD78" s="3111"/>
      <c r="AE78" s="3111"/>
      <c r="AF78" s="3111"/>
      <c r="AG78" s="3171"/>
      <c r="AH78" s="3111"/>
      <c r="AI78" s="3116"/>
      <c r="AJ78" s="3111"/>
    </row>
    <row r="79" spans="1:43">
      <c r="A79" s="3106"/>
      <c r="B79" s="3117"/>
      <c r="C79" s="3111"/>
      <c r="D79" s="3111"/>
      <c r="E79" s="3111"/>
      <c r="F79" s="3111"/>
      <c r="G79" s="3111"/>
      <c r="H79" s="3872"/>
      <c r="I79" s="3872"/>
      <c r="J79" s="3872"/>
      <c r="K79" s="3872"/>
      <c r="L79" s="3872"/>
      <c r="M79" s="3872"/>
      <c r="N79" s="3173"/>
      <c r="O79" s="3173"/>
      <c r="P79" s="3872"/>
      <c r="Q79" s="3872"/>
      <c r="R79" s="3872"/>
      <c r="S79" s="3872"/>
      <c r="T79" s="3872"/>
      <c r="U79" s="3872"/>
      <c r="V79" s="3872"/>
      <c r="W79" s="3872"/>
      <c r="X79" s="3872"/>
      <c r="Y79" s="3872"/>
      <c r="Z79" s="3872"/>
      <c r="AA79" s="3872"/>
      <c r="AB79" s="3872"/>
      <c r="AC79" s="3872"/>
      <c r="AD79" s="3872"/>
      <c r="AE79" s="3872"/>
      <c r="AF79" s="3872"/>
      <c r="AG79" s="3872"/>
      <c r="AH79" s="3872"/>
      <c r="AI79" s="3872"/>
      <c r="AJ79" s="3872"/>
    </row>
    <row r="80" spans="1:43">
      <c r="A80" s="3106"/>
      <c r="B80" s="3117"/>
      <c r="C80" s="3111"/>
      <c r="D80" s="3111"/>
      <c r="E80" s="3111"/>
      <c r="F80" s="3111"/>
      <c r="G80" s="3111"/>
      <c r="H80" s="3111"/>
      <c r="I80" s="3111"/>
      <c r="J80" s="3111"/>
      <c r="K80" s="3111"/>
      <c r="L80" s="3111"/>
      <c r="M80" s="3111"/>
      <c r="N80" s="3111"/>
      <c r="O80" s="3111"/>
      <c r="P80" s="3111"/>
      <c r="Q80" s="3111"/>
      <c r="R80" s="3111"/>
      <c r="S80" s="3111"/>
      <c r="T80" s="3111"/>
      <c r="U80" s="3111"/>
      <c r="V80" s="3111"/>
      <c r="W80" s="3111"/>
      <c r="X80" s="3111"/>
      <c r="Y80" s="3111"/>
      <c r="Z80" s="3111"/>
      <c r="AA80" s="3111"/>
      <c r="AB80" s="3111"/>
      <c r="AC80" s="3115"/>
      <c r="AD80" s="3111"/>
      <c r="AE80" s="3111"/>
      <c r="AF80" s="3111"/>
      <c r="AG80" s="3111"/>
      <c r="AH80" s="3165"/>
      <c r="AI80" s="3116"/>
      <c r="AJ80" s="3111"/>
    </row>
    <row r="81" spans="1:1">
      <c r="A81" s="3106"/>
    </row>
  </sheetData>
  <mergeCells count="26">
    <mergeCell ref="AI79:AJ79"/>
    <mergeCell ref="AA75:AC75"/>
    <mergeCell ref="H79:M79"/>
    <mergeCell ref="P79:V79"/>
    <mergeCell ref="W79:AE79"/>
    <mergeCell ref="AF79:AH79"/>
    <mergeCell ref="O71:U71"/>
    <mergeCell ref="AB71:AE71"/>
    <mergeCell ref="V71:Y71"/>
    <mergeCell ref="B71:E71"/>
    <mergeCell ref="G71:N71"/>
    <mergeCell ref="AE70:AK70"/>
    <mergeCell ref="B1:AJ1"/>
    <mergeCell ref="B2:AJ2"/>
    <mergeCell ref="B3:AJ3"/>
    <mergeCell ref="B4:G4"/>
    <mergeCell ref="B5:G5"/>
    <mergeCell ref="A68:D68"/>
    <mergeCell ref="A7:AJ7"/>
    <mergeCell ref="E9:AH9"/>
    <mergeCell ref="AI9:AI10"/>
    <mergeCell ref="AJ9:AJ10"/>
    <mergeCell ref="B46:D46"/>
    <mergeCell ref="C9:C10"/>
    <mergeCell ref="D9:D10"/>
    <mergeCell ref="A9:B10"/>
  </mergeCells>
  <pageMargins left="0.19685039370078741" right="0.19685039370078741" top="0.62992125984251968" bottom="0.43307086614173229" header="0.31496062992125984" footer="0.31496062992125984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W230"/>
  <sheetViews>
    <sheetView showGridLines="0" topLeftCell="A4" zoomScaleNormal="100" zoomScaleSheetLayoutView="78" workbookViewId="0">
      <pane ySplit="8" topLeftCell="A25" activePane="bottomLeft" state="frozen"/>
      <selection activeCell="A4" sqref="A4"/>
      <selection pane="bottomLeft" activeCell="B27" sqref="B27"/>
    </sheetView>
  </sheetViews>
  <sheetFormatPr defaultColWidth="9.140625" defaultRowHeight="16.5"/>
  <cols>
    <col min="1" max="1" width="4.140625" style="2846" customWidth="1"/>
    <col min="2" max="2" width="22.28515625" style="2846" customWidth="1"/>
    <col min="3" max="3" width="34" style="2846" hidden="1" customWidth="1"/>
    <col min="4" max="4" width="6.5703125" style="3363" customWidth="1"/>
    <col min="5" max="9" width="5.7109375" style="2846" customWidth="1"/>
    <col min="10" max="10" width="6.140625" style="2846" customWidth="1"/>
    <col min="11" max="14" width="5.7109375" style="2846" customWidth="1"/>
    <col min="15" max="15" width="5.5703125" style="2846" customWidth="1"/>
    <col min="16" max="18" width="5.7109375" style="2846" customWidth="1"/>
    <col min="19" max="19" width="5.85546875" style="2846" customWidth="1"/>
    <col min="20" max="20" width="6.140625" style="2846" customWidth="1"/>
    <col min="21" max="22" width="6.5703125" style="2846" customWidth="1"/>
    <col min="23" max="23" width="6.28515625" style="2846" customWidth="1"/>
    <col min="24" max="24" width="6.42578125" style="2846" customWidth="1"/>
    <col min="25" max="25" width="5.85546875" style="2846" customWidth="1"/>
    <col min="26" max="27" width="6.140625" style="2846" customWidth="1"/>
    <col min="28" max="28" width="6.42578125" style="2846" customWidth="1"/>
    <col min="29" max="29" width="6.140625" style="2846" customWidth="1"/>
    <col min="30" max="30" width="6.5703125" style="2846" customWidth="1"/>
    <col min="31" max="31" width="5.85546875" style="2846" customWidth="1"/>
    <col min="32" max="32" width="5.7109375" style="2846" customWidth="1"/>
    <col min="33" max="33" width="5.85546875" style="2846" customWidth="1"/>
    <col min="34" max="34" width="6.140625" style="2846" customWidth="1"/>
    <col min="35" max="35" width="7.42578125" style="3670" customWidth="1"/>
    <col min="36" max="36" width="7" style="3670" customWidth="1"/>
    <col min="37" max="37" width="7.5703125" style="3670" hidden="1" customWidth="1"/>
    <col min="38" max="38" width="8.42578125" style="3670" hidden="1" customWidth="1"/>
    <col min="39" max="39" width="10.5703125" style="3670" customWidth="1"/>
    <col min="40" max="40" width="9.140625" style="2846" hidden="1" customWidth="1"/>
    <col min="41" max="41" width="0.42578125" style="2846" hidden="1" customWidth="1"/>
    <col min="42" max="42" width="13.28515625" style="2846" customWidth="1"/>
    <col min="43" max="43" width="10.5703125" style="2846" bestFit="1" customWidth="1"/>
    <col min="44" max="44" width="19.140625" style="2846" bestFit="1" customWidth="1"/>
    <col min="45" max="16384" width="9.140625" style="2846"/>
  </cols>
  <sheetData>
    <row r="1" spans="1:44">
      <c r="A1" s="3899" t="s">
        <v>23</v>
      </c>
      <c r="B1" s="3899"/>
      <c r="C1" s="3899"/>
      <c r="D1" s="3899"/>
      <c r="E1" s="3899"/>
      <c r="F1" s="3899"/>
      <c r="G1" s="3899"/>
      <c r="H1" s="3899"/>
      <c r="I1" s="3899"/>
      <c r="J1" s="3899"/>
      <c r="K1" s="3899"/>
      <c r="L1" s="3899"/>
      <c r="M1" s="3899"/>
      <c r="N1" s="3899"/>
      <c r="O1" s="3899"/>
      <c r="P1" s="3899"/>
      <c r="Q1" s="3899"/>
      <c r="R1" s="3899"/>
      <c r="S1" s="3899"/>
      <c r="T1" s="3899"/>
      <c r="U1" s="3899"/>
      <c r="V1" s="3899"/>
      <c r="W1" s="3899"/>
      <c r="X1" s="3899"/>
      <c r="Y1" s="3899"/>
      <c r="Z1" s="3899"/>
      <c r="AA1" s="3899"/>
      <c r="AB1" s="3899"/>
      <c r="AC1" s="3899"/>
      <c r="AD1" s="3899"/>
      <c r="AE1" s="3899"/>
      <c r="AF1" s="3899"/>
      <c r="AG1" s="3899"/>
      <c r="AH1" s="3899"/>
      <c r="AI1" s="3899"/>
      <c r="AJ1" s="3899"/>
      <c r="AK1" s="3899"/>
      <c r="AL1" s="3899"/>
      <c r="AM1" s="3899"/>
      <c r="AN1" s="3899"/>
      <c r="AO1" s="3899"/>
      <c r="AP1" s="3899"/>
    </row>
    <row r="2" spans="1:44">
      <c r="A2" s="3899" t="s">
        <v>45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3899"/>
      <c r="O2" s="3899"/>
      <c r="P2" s="3899"/>
      <c r="Q2" s="3899"/>
      <c r="R2" s="3899"/>
      <c r="S2" s="3899"/>
      <c r="T2" s="3899"/>
      <c r="U2" s="3899"/>
      <c r="V2" s="3899"/>
      <c r="W2" s="3899"/>
      <c r="X2" s="3899"/>
      <c r="Y2" s="3899"/>
      <c r="Z2" s="3899"/>
      <c r="AA2" s="3899"/>
      <c r="AB2" s="3899"/>
      <c r="AC2" s="3899"/>
      <c r="AD2" s="3899"/>
      <c r="AE2" s="3899"/>
      <c r="AF2" s="3899"/>
      <c r="AG2" s="3899"/>
      <c r="AH2" s="3899"/>
      <c r="AI2" s="3899"/>
      <c r="AJ2" s="3899"/>
      <c r="AK2" s="3899"/>
      <c r="AL2" s="3899"/>
      <c r="AM2" s="3899"/>
      <c r="AN2" s="3899"/>
      <c r="AO2" s="3899"/>
      <c r="AP2" s="3899"/>
    </row>
    <row r="3" spans="1:44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  <c r="R3" s="3900"/>
      <c r="S3" s="3900"/>
      <c r="T3" s="3900"/>
      <c r="U3" s="3900"/>
      <c r="V3" s="3900"/>
      <c r="W3" s="3900"/>
      <c r="X3" s="3900"/>
      <c r="Y3" s="3900"/>
      <c r="Z3" s="3900"/>
      <c r="AA3" s="3900"/>
      <c r="AB3" s="3900"/>
      <c r="AC3" s="3900"/>
      <c r="AD3" s="3900"/>
      <c r="AE3" s="3900"/>
      <c r="AF3" s="3900"/>
      <c r="AG3" s="3900"/>
      <c r="AH3" s="3900"/>
      <c r="AI3" s="3900"/>
      <c r="AJ3" s="3900"/>
      <c r="AK3" s="3900"/>
      <c r="AL3" s="3900"/>
      <c r="AM3" s="3900"/>
      <c r="AN3" s="3900"/>
      <c r="AO3" s="3900"/>
      <c r="AP3" s="3900"/>
    </row>
    <row r="4" spans="1:44">
      <c r="A4" s="3901" t="s">
        <v>1855</v>
      </c>
      <c r="B4" s="3901"/>
      <c r="C4" s="3901"/>
      <c r="D4" s="3901"/>
      <c r="E4" s="3901"/>
      <c r="F4" s="3901"/>
      <c r="G4" s="3901"/>
      <c r="H4" s="2847"/>
      <c r="I4" s="2847"/>
      <c r="J4" s="2847"/>
      <c r="K4" s="2847"/>
      <c r="L4" s="2847"/>
      <c r="M4" s="2847"/>
      <c r="N4" s="2847"/>
      <c r="O4" s="2847"/>
      <c r="P4" s="2847"/>
      <c r="Q4" s="2847"/>
      <c r="R4" s="2847"/>
      <c r="S4" s="2847"/>
      <c r="T4" s="2847"/>
      <c r="U4" s="2847"/>
      <c r="V4" s="2847"/>
      <c r="W4" s="2847"/>
      <c r="X4" s="2847"/>
      <c r="Y4" s="3663"/>
      <c r="Z4" s="3663"/>
      <c r="AA4" s="3663"/>
      <c r="AB4" s="3663"/>
      <c r="AC4" s="3663"/>
      <c r="AD4" s="3663"/>
      <c r="AE4" s="3663"/>
      <c r="AF4" s="3663"/>
      <c r="AG4" s="3663"/>
      <c r="AH4" s="3663"/>
      <c r="AI4" s="3663"/>
      <c r="AJ4" s="3663"/>
      <c r="AK4" s="3663"/>
      <c r="AL4" s="3663"/>
      <c r="AM4" s="3663"/>
    </row>
    <row r="5" spans="1:44">
      <c r="A5" s="3902" t="s">
        <v>90</v>
      </c>
      <c r="B5" s="3902"/>
      <c r="C5" s="3902"/>
      <c r="D5" s="3902"/>
      <c r="E5" s="3902"/>
      <c r="F5" s="3902"/>
      <c r="G5" s="3902"/>
      <c r="H5" s="2847"/>
      <c r="I5" s="2847"/>
      <c r="J5" s="2847"/>
      <c r="K5" s="2847"/>
      <c r="L5" s="2847"/>
      <c r="M5" s="2847"/>
      <c r="N5" s="2847"/>
      <c r="O5" s="2847"/>
      <c r="P5" s="2847"/>
      <c r="Q5" s="2847"/>
      <c r="R5" s="2847"/>
      <c r="S5" s="2847"/>
      <c r="T5" s="2847"/>
      <c r="U5" s="2847"/>
      <c r="V5" s="2847"/>
      <c r="W5" s="2847"/>
      <c r="X5" s="2847"/>
      <c r="Y5" s="3663"/>
      <c r="Z5" s="3663"/>
      <c r="AA5" s="3663"/>
      <c r="AB5" s="3663"/>
      <c r="AC5" s="3663"/>
      <c r="AD5" s="3663"/>
      <c r="AE5" s="3663"/>
      <c r="AF5" s="3663"/>
      <c r="AG5" s="3663"/>
      <c r="AH5" s="3663"/>
      <c r="AI5" s="3663"/>
      <c r="AJ5" s="3663"/>
      <c r="AK5" s="3663"/>
      <c r="AL5" s="3663"/>
      <c r="AM5" s="3663"/>
    </row>
    <row r="6" spans="1:44">
      <c r="A6" s="3664"/>
      <c r="B6" s="3664"/>
      <c r="C6" s="3664"/>
      <c r="D6" s="3662"/>
      <c r="E6" s="3664"/>
      <c r="F6" s="3664"/>
      <c r="G6" s="3664"/>
      <c r="H6" s="2847"/>
      <c r="I6" s="2847"/>
      <c r="J6" s="2847"/>
      <c r="K6" s="2847"/>
      <c r="L6" s="2847"/>
      <c r="M6" s="2847"/>
      <c r="N6" s="2847"/>
      <c r="O6" s="2847"/>
      <c r="P6" s="2847"/>
      <c r="Q6" s="2847"/>
      <c r="R6" s="2847"/>
      <c r="S6" s="2847"/>
      <c r="T6" s="2847"/>
      <c r="U6" s="2847"/>
      <c r="V6" s="2847"/>
      <c r="W6" s="2847"/>
      <c r="X6" s="2847"/>
      <c r="Y6" s="3663"/>
      <c r="Z6" s="3663"/>
      <c r="AA6" s="3663"/>
      <c r="AB6" s="3663"/>
      <c r="AC6" s="3663"/>
      <c r="AD6" s="3663"/>
      <c r="AE6" s="3663"/>
      <c r="AF6" s="3663"/>
      <c r="AG6" s="3663"/>
      <c r="AH6" s="3663"/>
      <c r="AI6" s="3663"/>
      <c r="AJ6" s="3663"/>
      <c r="AK6" s="3663"/>
      <c r="AL6" s="3663"/>
      <c r="AM6" s="3663"/>
    </row>
    <row r="7" spans="1:44" ht="3" customHeight="1">
      <c r="A7" s="3664"/>
      <c r="B7" s="2847"/>
      <c r="C7" s="2847"/>
      <c r="D7" s="3362"/>
      <c r="E7" s="2847"/>
      <c r="F7" s="2847"/>
      <c r="G7" s="2847"/>
      <c r="H7" s="2847"/>
      <c r="I7" s="2847"/>
      <c r="J7" s="2848"/>
      <c r="K7" s="2847"/>
      <c r="L7" s="2847"/>
      <c r="M7" s="2847"/>
      <c r="N7" s="2847"/>
      <c r="O7" s="2847"/>
      <c r="P7" s="2847"/>
      <c r="Q7" s="2848"/>
      <c r="R7" s="2847"/>
      <c r="S7" s="2847"/>
      <c r="T7" s="2847"/>
      <c r="U7" s="2847"/>
      <c r="V7" s="2847"/>
      <c r="W7" s="2847"/>
      <c r="X7" s="2848"/>
      <c r="Y7" s="2847"/>
      <c r="Z7" s="2847"/>
      <c r="AA7" s="2847"/>
      <c r="AB7" s="2847"/>
      <c r="AC7" s="2847"/>
      <c r="AD7" s="2847"/>
      <c r="AE7" s="2848"/>
      <c r="AF7" s="2847"/>
      <c r="AG7" s="2847"/>
      <c r="AH7" s="2847"/>
      <c r="AI7" s="3664"/>
      <c r="AJ7" s="3664"/>
      <c r="AK7" s="3664"/>
      <c r="AL7" s="3664"/>
      <c r="AM7" s="3664"/>
    </row>
    <row r="8" spans="1:44">
      <c r="A8" s="3902" t="s">
        <v>2167</v>
      </c>
      <c r="B8" s="3902"/>
      <c r="C8" s="3902"/>
      <c r="D8" s="3902"/>
      <c r="E8" s="3902"/>
      <c r="F8" s="3902"/>
      <c r="G8" s="3902"/>
      <c r="H8" s="3902"/>
      <c r="I8" s="3902"/>
      <c r="J8" s="3902"/>
      <c r="K8" s="3902"/>
      <c r="L8" s="3902"/>
      <c r="M8" s="3902"/>
      <c r="N8" s="3902"/>
      <c r="O8" s="3902"/>
      <c r="P8" s="3902"/>
      <c r="Q8" s="3902"/>
      <c r="R8" s="3902"/>
      <c r="S8" s="3902"/>
      <c r="T8" s="3902"/>
      <c r="U8" s="3902"/>
      <c r="V8" s="3902"/>
      <c r="W8" s="3902"/>
      <c r="X8" s="3902"/>
      <c r="Y8" s="3902"/>
      <c r="Z8" s="3902"/>
      <c r="AA8" s="3902"/>
      <c r="AB8" s="3902"/>
      <c r="AC8" s="3902"/>
      <c r="AD8" s="3902"/>
      <c r="AE8" s="3902"/>
      <c r="AF8" s="3902"/>
      <c r="AG8" s="3902"/>
      <c r="AH8" s="3902"/>
      <c r="AI8" s="3902"/>
      <c r="AJ8" s="3902"/>
      <c r="AK8" s="3902"/>
      <c r="AL8" s="3902"/>
      <c r="AM8" s="3902"/>
    </row>
    <row r="9" spans="1:44" ht="8.25" customHeight="1">
      <c r="A9" s="3526"/>
    </row>
    <row r="10" spans="1:44" ht="16.5" customHeight="1">
      <c r="A10" s="3906" t="s">
        <v>932</v>
      </c>
      <c r="B10" s="3906" t="s">
        <v>1</v>
      </c>
      <c r="C10" s="3906" t="s">
        <v>163</v>
      </c>
      <c r="D10" s="3908" t="s">
        <v>1880</v>
      </c>
      <c r="E10" s="3896" t="s">
        <v>2109</v>
      </c>
      <c r="F10" s="3897"/>
      <c r="G10" s="3897"/>
      <c r="H10" s="3897"/>
      <c r="I10" s="3897"/>
      <c r="J10" s="3897"/>
      <c r="K10" s="3897"/>
      <c r="L10" s="3897"/>
      <c r="M10" s="3897"/>
      <c r="N10" s="3897"/>
      <c r="O10" s="3897"/>
      <c r="P10" s="3897"/>
      <c r="Q10" s="3897"/>
      <c r="R10" s="3897"/>
      <c r="S10" s="3897"/>
      <c r="T10" s="3897"/>
      <c r="U10" s="3897"/>
      <c r="V10" s="3897"/>
      <c r="W10" s="3897"/>
      <c r="X10" s="3897"/>
      <c r="Y10" s="3897"/>
      <c r="Z10" s="3897"/>
      <c r="AA10" s="3897"/>
      <c r="AB10" s="3897"/>
      <c r="AC10" s="3897"/>
      <c r="AD10" s="3897"/>
      <c r="AE10" s="3897"/>
      <c r="AF10" s="3897"/>
      <c r="AG10" s="3897"/>
      <c r="AH10" s="3897"/>
      <c r="AI10" s="3898" t="s">
        <v>2168</v>
      </c>
      <c r="AJ10" s="3898" t="s">
        <v>2051</v>
      </c>
      <c r="AK10" s="3898" t="s">
        <v>2074</v>
      </c>
      <c r="AL10" s="3898" t="s">
        <v>1881</v>
      </c>
      <c r="AM10" s="3898" t="s">
        <v>26</v>
      </c>
      <c r="AN10" s="2849"/>
      <c r="AO10" s="2849"/>
      <c r="AP10" s="3903" t="s">
        <v>1938</v>
      </c>
    </row>
    <row r="11" spans="1:44" s="2850" customFormat="1" ht="30.75" customHeight="1">
      <c r="A11" s="3907"/>
      <c r="B11" s="3907"/>
      <c r="C11" s="3907"/>
      <c r="D11" s="3909"/>
      <c r="E11" s="3547">
        <v>1</v>
      </c>
      <c r="F11" s="3547">
        <v>2</v>
      </c>
      <c r="G11" s="3547">
        <v>3</v>
      </c>
      <c r="H11" s="3547">
        <v>4</v>
      </c>
      <c r="I11" s="3547">
        <v>5</v>
      </c>
      <c r="J11" s="3547">
        <v>6</v>
      </c>
      <c r="K11" s="3547">
        <v>7</v>
      </c>
      <c r="L11" s="3547">
        <v>8</v>
      </c>
      <c r="M11" s="3547">
        <v>9</v>
      </c>
      <c r="N11" s="3547">
        <v>10</v>
      </c>
      <c r="O11" s="3547">
        <v>11</v>
      </c>
      <c r="P11" s="3547">
        <v>12</v>
      </c>
      <c r="Q11" s="3547">
        <v>13</v>
      </c>
      <c r="R11" s="3547">
        <v>14</v>
      </c>
      <c r="S11" s="3547">
        <v>15</v>
      </c>
      <c r="T11" s="3547">
        <v>16</v>
      </c>
      <c r="U11" s="3547">
        <v>17</v>
      </c>
      <c r="V11" s="3547">
        <v>18</v>
      </c>
      <c r="W11" s="3547">
        <v>19</v>
      </c>
      <c r="X11" s="3547">
        <v>20</v>
      </c>
      <c r="Y11" s="3547">
        <v>21</v>
      </c>
      <c r="Z11" s="3547">
        <v>22</v>
      </c>
      <c r="AA11" s="3547">
        <v>23</v>
      </c>
      <c r="AB11" s="3547">
        <v>24</v>
      </c>
      <c r="AC11" s="3547">
        <v>25</v>
      </c>
      <c r="AD11" s="3547">
        <v>26</v>
      </c>
      <c r="AE11" s="3547">
        <v>27</v>
      </c>
      <c r="AF11" s="3547">
        <v>28</v>
      </c>
      <c r="AG11" s="3547">
        <v>29</v>
      </c>
      <c r="AH11" s="3547">
        <v>30</v>
      </c>
      <c r="AI11" s="3898"/>
      <c r="AJ11" s="3898"/>
      <c r="AK11" s="3898"/>
      <c r="AL11" s="3898"/>
      <c r="AM11" s="3898"/>
      <c r="AN11" s="3663"/>
      <c r="AO11" s="3663"/>
      <c r="AP11" s="3904"/>
    </row>
    <row r="12" spans="1:44" ht="36.75" customHeight="1">
      <c r="A12" s="2851">
        <v>1</v>
      </c>
      <c r="B12" s="2812" t="s">
        <v>1557</v>
      </c>
      <c r="C12" s="2852"/>
      <c r="D12" s="3364" t="s">
        <v>451</v>
      </c>
      <c r="E12" s="2851"/>
      <c r="F12" s="2851"/>
      <c r="G12" s="2851"/>
      <c r="H12" s="2851"/>
      <c r="I12" s="2851"/>
      <c r="J12" s="2851"/>
      <c r="K12" s="2851"/>
      <c r="L12" s="2851"/>
      <c r="M12" s="2851"/>
      <c r="N12" s="2851"/>
      <c r="O12" s="2851"/>
      <c r="P12" s="2851"/>
      <c r="Q12" s="2851" t="s">
        <v>1882</v>
      </c>
      <c r="R12" s="2851"/>
      <c r="S12" s="2851"/>
      <c r="T12" s="2851"/>
      <c r="U12" s="2851"/>
      <c r="V12" s="2851" t="s">
        <v>29</v>
      </c>
      <c r="W12" s="2851" t="s">
        <v>29</v>
      </c>
      <c r="X12" s="2851" t="s">
        <v>1882</v>
      </c>
      <c r="Y12" s="2851" t="s">
        <v>29</v>
      </c>
      <c r="Z12" s="2851"/>
      <c r="AA12" s="2851"/>
      <c r="AB12" s="2851"/>
      <c r="AC12" s="2851"/>
      <c r="AD12" s="2851"/>
      <c r="AE12" s="2851"/>
      <c r="AF12" s="2851"/>
      <c r="AG12" s="2851"/>
      <c r="AH12" s="2851"/>
      <c r="AI12" s="2853">
        <f t="shared" ref="AI12:AI45" si="0">+COUNTIF(E12:AH12,"X")</f>
        <v>3</v>
      </c>
      <c r="AJ12" s="2853">
        <f t="shared" ref="AJ12:AJ45" si="1">+COUNTIF(E12:AH12,"CN")</f>
        <v>2</v>
      </c>
      <c r="AK12" s="2853">
        <f t="shared" ref="AK12:AK40" si="2">+COUNTIF(E12:AH12,"D")</f>
        <v>0</v>
      </c>
      <c r="AL12" s="2853">
        <f t="shared" ref="AL12:AL40" si="3">+COUNTIF(E12:AH12,"DCN")</f>
        <v>0</v>
      </c>
      <c r="AM12" s="2853">
        <f t="shared" ref="AM12:AM45" si="4">+SUM(AI12:AL12)</f>
        <v>5</v>
      </c>
      <c r="AN12" s="2854" t="e">
        <f>+VLOOKUP(C12,[1]Sheet1!$D$9:$E$122,2,0)</f>
        <v>#N/A</v>
      </c>
      <c r="AO12" s="2854" t="e">
        <f t="shared" ref="AO12:AO24" si="5">+IF(AN12=B12,"0","1")</f>
        <v>#N/A</v>
      </c>
      <c r="AP12" s="2746"/>
      <c r="AR12" s="2846" t="e">
        <f>+VLOOKUP(B12,'Hổ trợ xăng CN'!C10:E40,3,0)</f>
        <v>#REF!</v>
      </c>
    </row>
    <row r="13" spans="1:44" ht="36.75" customHeight="1">
      <c r="A13" s="2851">
        <v>2</v>
      </c>
      <c r="B13" s="2812" t="s">
        <v>2169</v>
      </c>
      <c r="C13" s="2812"/>
      <c r="D13" s="3364" t="s">
        <v>451</v>
      </c>
      <c r="E13" s="2851"/>
      <c r="F13" s="2851"/>
      <c r="G13" s="2851"/>
      <c r="H13" s="2851"/>
      <c r="I13" s="2851"/>
      <c r="J13" s="2851"/>
      <c r="K13" s="2851"/>
      <c r="L13" s="2851"/>
      <c r="M13" s="2851"/>
      <c r="N13" s="2851"/>
      <c r="O13" s="2851"/>
      <c r="P13" s="2851"/>
      <c r="Q13" s="2851" t="s">
        <v>1882</v>
      </c>
      <c r="R13" s="2851"/>
      <c r="S13" s="2851"/>
      <c r="T13" s="2851"/>
      <c r="U13" s="2851" t="s">
        <v>29</v>
      </c>
      <c r="V13" s="2851" t="s">
        <v>29</v>
      </c>
      <c r="W13" s="2851" t="s">
        <v>29</v>
      </c>
      <c r="X13" s="2851" t="s">
        <v>1882</v>
      </c>
      <c r="Y13" s="2851" t="s">
        <v>29</v>
      </c>
      <c r="Z13" s="2851" t="s">
        <v>29</v>
      </c>
      <c r="AA13" s="2851" t="s">
        <v>29</v>
      </c>
      <c r="AB13" s="2851" t="s">
        <v>29</v>
      </c>
      <c r="AC13" s="2851" t="s">
        <v>29</v>
      </c>
      <c r="AD13" s="2851" t="s">
        <v>29</v>
      </c>
      <c r="AE13" s="2851" t="s">
        <v>1882</v>
      </c>
      <c r="AF13" s="2851" t="s">
        <v>29</v>
      </c>
      <c r="AG13" s="2851" t="s">
        <v>29</v>
      </c>
      <c r="AH13" s="2851" t="s">
        <v>29</v>
      </c>
      <c r="AI13" s="2853">
        <f t="shared" si="0"/>
        <v>12</v>
      </c>
      <c r="AJ13" s="2853">
        <f t="shared" si="1"/>
        <v>3</v>
      </c>
      <c r="AK13" s="2853">
        <f t="shared" si="2"/>
        <v>0</v>
      </c>
      <c r="AL13" s="2853">
        <f t="shared" si="3"/>
        <v>0</v>
      </c>
      <c r="AM13" s="2853">
        <f t="shared" si="4"/>
        <v>15</v>
      </c>
      <c r="AN13" s="2854" t="e">
        <f>+VLOOKUP(C13,[1]Sheet1!$D$9:$E$122,2,0)</f>
        <v>#N/A</v>
      </c>
      <c r="AO13" s="2854" t="e">
        <f t="shared" si="5"/>
        <v>#N/A</v>
      </c>
      <c r="AP13" s="2746"/>
      <c r="AR13" s="2846" t="e">
        <f>+VLOOKUP(B13,'Hổ trợ xăng CN'!C11:E41,3,0)</f>
        <v>#N/A</v>
      </c>
    </row>
    <row r="14" spans="1:44" ht="36.75" customHeight="1">
      <c r="A14" s="2851">
        <v>3</v>
      </c>
      <c r="B14" s="2812" t="s">
        <v>2170</v>
      </c>
      <c r="C14" s="2852"/>
      <c r="D14" s="3364" t="s">
        <v>451</v>
      </c>
      <c r="E14" s="2851"/>
      <c r="F14" s="2851"/>
      <c r="G14" s="2851"/>
      <c r="H14" s="2851"/>
      <c r="I14" s="2851"/>
      <c r="J14" s="2851"/>
      <c r="K14" s="2851"/>
      <c r="L14" s="2851"/>
      <c r="M14" s="2851"/>
      <c r="N14" s="2851"/>
      <c r="O14" s="2851"/>
      <c r="P14" s="2851"/>
      <c r="Q14" s="2851" t="s">
        <v>1882</v>
      </c>
      <c r="R14" s="2851"/>
      <c r="S14" s="2851"/>
      <c r="T14" s="2851"/>
      <c r="U14" s="2851" t="s">
        <v>29</v>
      </c>
      <c r="V14" s="2851" t="s">
        <v>29</v>
      </c>
      <c r="W14" s="2851" t="s">
        <v>29</v>
      </c>
      <c r="X14" s="2851" t="s">
        <v>1882</v>
      </c>
      <c r="Y14" s="2851" t="s">
        <v>29</v>
      </c>
      <c r="Z14" s="2851" t="s">
        <v>29</v>
      </c>
      <c r="AA14" s="2851" t="s">
        <v>29</v>
      </c>
      <c r="AB14" s="2851" t="s">
        <v>29</v>
      </c>
      <c r="AC14" s="2851" t="s">
        <v>29</v>
      </c>
      <c r="AD14" s="2851" t="s">
        <v>29</v>
      </c>
      <c r="AE14" s="2851" t="s">
        <v>1882</v>
      </c>
      <c r="AF14" s="2851" t="s">
        <v>29</v>
      </c>
      <c r="AG14" s="2851" t="s">
        <v>29</v>
      </c>
      <c r="AH14" s="2851" t="s">
        <v>29</v>
      </c>
      <c r="AI14" s="2853">
        <f t="shared" si="0"/>
        <v>12</v>
      </c>
      <c r="AJ14" s="2853">
        <f t="shared" si="1"/>
        <v>3</v>
      </c>
      <c r="AK14" s="2853">
        <f t="shared" si="2"/>
        <v>0</v>
      </c>
      <c r="AL14" s="2853">
        <f t="shared" si="3"/>
        <v>0</v>
      </c>
      <c r="AM14" s="2853">
        <f t="shared" si="4"/>
        <v>15</v>
      </c>
      <c r="AN14" s="2854" t="e">
        <f>+VLOOKUP(C14,[1]Sheet1!$D$9:$E$122,2,0)</f>
        <v>#N/A</v>
      </c>
      <c r="AO14" s="2854" t="e">
        <f t="shared" si="5"/>
        <v>#N/A</v>
      </c>
      <c r="AP14" s="2746"/>
      <c r="AR14" s="2846" t="e">
        <f>+VLOOKUP(B14,'Hổ trợ xăng CN'!C12:E42,3,0)</f>
        <v>#N/A</v>
      </c>
    </row>
    <row r="15" spans="1:44" ht="36.75" customHeight="1">
      <c r="A15" s="2851">
        <v>4</v>
      </c>
      <c r="B15" s="2812" t="s">
        <v>2171</v>
      </c>
      <c r="C15" s="2852"/>
      <c r="D15" s="3364" t="s">
        <v>451</v>
      </c>
      <c r="E15" s="2851"/>
      <c r="F15" s="2851"/>
      <c r="G15" s="2851"/>
      <c r="H15" s="2851"/>
      <c r="I15" s="2851"/>
      <c r="J15" s="2851"/>
      <c r="K15" s="2851"/>
      <c r="L15" s="2851"/>
      <c r="M15" s="2851"/>
      <c r="N15" s="2851"/>
      <c r="O15" s="2851"/>
      <c r="P15" s="2851"/>
      <c r="Q15" s="2851" t="s">
        <v>1882</v>
      </c>
      <c r="R15" s="2851"/>
      <c r="S15" s="2851"/>
      <c r="T15" s="2851"/>
      <c r="U15" s="2851" t="s">
        <v>29</v>
      </c>
      <c r="V15" s="2851" t="s">
        <v>29</v>
      </c>
      <c r="W15" s="2851" t="s">
        <v>29</v>
      </c>
      <c r="X15" s="2851" t="s">
        <v>1882</v>
      </c>
      <c r="Y15" s="2851" t="s">
        <v>29</v>
      </c>
      <c r="Z15" s="2851" t="s">
        <v>29</v>
      </c>
      <c r="AA15" s="2851" t="s">
        <v>29</v>
      </c>
      <c r="AB15" s="2851" t="s">
        <v>29</v>
      </c>
      <c r="AC15" s="2851"/>
      <c r="AD15" s="2851" t="s">
        <v>29</v>
      </c>
      <c r="AE15" s="2851" t="s">
        <v>1882</v>
      </c>
      <c r="AF15" s="2851" t="s">
        <v>29</v>
      </c>
      <c r="AG15" s="2851"/>
      <c r="AH15" s="2851" t="s">
        <v>29</v>
      </c>
      <c r="AI15" s="2853">
        <f t="shared" si="0"/>
        <v>10</v>
      </c>
      <c r="AJ15" s="2853">
        <f t="shared" si="1"/>
        <v>3</v>
      </c>
      <c r="AK15" s="2853">
        <f t="shared" si="2"/>
        <v>0</v>
      </c>
      <c r="AL15" s="2853">
        <f t="shared" si="3"/>
        <v>0</v>
      </c>
      <c r="AM15" s="2853">
        <f t="shared" si="4"/>
        <v>13</v>
      </c>
      <c r="AN15" s="2854" t="e">
        <f>+VLOOKUP(C15,[1]Sheet1!$D$9:$E$122,2,0)</f>
        <v>#N/A</v>
      </c>
      <c r="AO15" s="2854" t="e">
        <f t="shared" si="5"/>
        <v>#N/A</v>
      </c>
      <c r="AP15" s="2746"/>
    </row>
    <row r="16" spans="1:44" ht="36.75" customHeight="1">
      <c r="A16" s="2851">
        <v>5</v>
      </c>
      <c r="B16" s="2812" t="s">
        <v>2172</v>
      </c>
      <c r="C16" s="2852"/>
      <c r="D16" s="3364" t="s">
        <v>451</v>
      </c>
      <c r="E16" s="2851"/>
      <c r="F16" s="2851"/>
      <c r="G16" s="2851"/>
      <c r="H16" s="2851"/>
      <c r="I16" s="2851"/>
      <c r="J16" s="2851"/>
      <c r="K16" s="2851"/>
      <c r="L16" s="2851"/>
      <c r="M16" s="2851"/>
      <c r="N16" s="2851"/>
      <c r="O16" s="2851"/>
      <c r="P16" s="2851"/>
      <c r="Q16" s="2851" t="s">
        <v>1882</v>
      </c>
      <c r="R16" s="2851"/>
      <c r="S16" s="2851"/>
      <c r="T16" s="2851"/>
      <c r="U16" s="2851" t="s">
        <v>29</v>
      </c>
      <c r="V16" s="2851" t="s">
        <v>29</v>
      </c>
      <c r="W16" s="2851" t="s">
        <v>29</v>
      </c>
      <c r="X16" s="2851" t="s">
        <v>1882</v>
      </c>
      <c r="Y16" s="2851" t="s">
        <v>29</v>
      </c>
      <c r="Z16" s="2851" t="s">
        <v>29</v>
      </c>
      <c r="AA16" s="2851" t="s">
        <v>29</v>
      </c>
      <c r="AB16" s="2851" t="s">
        <v>29</v>
      </c>
      <c r="AC16" s="2851" t="s">
        <v>29</v>
      </c>
      <c r="AD16" s="2851" t="s">
        <v>29</v>
      </c>
      <c r="AE16" s="2851"/>
      <c r="AF16" s="2851" t="s">
        <v>29</v>
      </c>
      <c r="AG16" s="2851" t="s">
        <v>29</v>
      </c>
      <c r="AH16" s="2851" t="s">
        <v>29</v>
      </c>
      <c r="AI16" s="2853">
        <f t="shared" si="0"/>
        <v>12</v>
      </c>
      <c r="AJ16" s="2853">
        <f t="shared" si="1"/>
        <v>2</v>
      </c>
      <c r="AK16" s="2853">
        <f t="shared" si="2"/>
        <v>0</v>
      </c>
      <c r="AL16" s="2853">
        <f t="shared" si="3"/>
        <v>0</v>
      </c>
      <c r="AM16" s="2853">
        <f t="shared" si="4"/>
        <v>14</v>
      </c>
      <c r="AN16" s="2854" t="e">
        <f>+VLOOKUP(C16,[1]Sheet1!$D$9:$E$122,2,0)</f>
        <v>#N/A</v>
      </c>
      <c r="AO16" s="2854" t="e">
        <f t="shared" si="5"/>
        <v>#N/A</v>
      </c>
      <c r="AP16" s="2746"/>
    </row>
    <row r="17" spans="1:42" ht="36.75" customHeight="1">
      <c r="A17" s="2851">
        <v>6</v>
      </c>
      <c r="B17" s="2812" t="s">
        <v>1528</v>
      </c>
      <c r="C17" s="2852"/>
      <c r="D17" s="3364" t="s">
        <v>451</v>
      </c>
      <c r="E17" s="2851"/>
      <c r="F17" s="2851"/>
      <c r="G17" s="2851"/>
      <c r="H17" s="2851"/>
      <c r="I17" s="2851"/>
      <c r="J17" s="2851"/>
      <c r="K17" s="2851"/>
      <c r="L17" s="2851"/>
      <c r="M17" s="2851"/>
      <c r="N17" s="2851"/>
      <c r="O17" s="2851"/>
      <c r="P17" s="2851"/>
      <c r="Q17" s="2851" t="s">
        <v>1882</v>
      </c>
      <c r="R17" s="2851"/>
      <c r="S17" s="2851"/>
      <c r="T17" s="2851"/>
      <c r="U17" s="2851" t="s">
        <v>29</v>
      </c>
      <c r="V17" s="2851" t="s">
        <v>29</v>
      </c>
      <c r="W17" s="2851" t="s">
        <v>29</v>
      </c>
      <c r="X17" s="2851" t="s">
        <v>1882</v>
      </c>
      <c r="Y17" s="2851" t="s">
        <v>29</v>
      </c>
      <c r="Z17" s="2851" t="s">
        <v>29</v>
      </c>
      <c r="AA17" s="2851" t="s">
        <v>29</v>
      </c>
      <c r="AB17" s="2851" t="s">
        <v>29</v>
      </c>
      <c r="AC17" s="2851" t="s">
        <v>29</v>
      </c>
      <c r="AD17" s="2851" t="s">
        <v>29</v>
      </c>
      <c r="AE17" s="2851" t="s">
        <v>1882</v>
      </c>
      <c r="AF17" s="2851" t="s">
        <v>29</v>
      </c>
      <c r="AG17" s="2851" t="s">
        <v>29</v>
      </c>
      <c r="AH17" s="2851" t="s">
        <v>29</v>
      </c>
      <c r="AI17" s="2853">
        <f t="shared" si="0"/>
        <v>12</v>
      </c>
      <c r="AJ17" s="2853">
        <f t="shared" si="1"/>
        <v>3</v>
      </c>
      <c r="AK17" s="2853">
        <f t="shared" si="2"/>
        <v>0</v>
      </c>
      <c r="AL17" s="2853">
        <f t="shared" si="3"/>
        <v>0</v>
      </c>
      <c r="AM17" s="2853">
        <f t="shared" si="4"/>
        <v>15</v>
      </c>
      <c r="AN17" s="2854" t="e">
        <f>+VLOOKUP(C17,[1]Sheet1!$D$9:$E$122,2,0)</f>
        <v>#N/A</v>
      </c>
      <c r="AO17" s="2854" t="e">
        <f t="shared" si="5"/>
        <v>#N/A</v>
      </c>
      <c r="AP17" s="2746"/>
    </row>
    <row r="18" spans="1:42" ht="36.75" customHeight="1">
      <c r="A18" s="2851">
        <v>7</v>
      </c>
      <c r="B18" s="2852" t="s">
        <v>2173</v>
      </c>
      <c r="C18" s="2852"/>
      <c r="D18" s="3364" t="s">
        <v>451</v>
      </c>
      <c r="E18" s="2851"/>
      <c r="F18" s="2851"/>
      <c r="G18" s="2851"/>
      <c r="H18" s="2851"/>
      <c r="I18" s="2851"/>
      <c r="J18" s="2851"/>
      <c r="K18" s="2851"/>
      <c r="L18" s="2851"/>
      <c r="M18" s="2851"/>
      <c r="N18" s="2851"/>
      <c r="O18" s="2851"/>
      <c r="P18" s="2851"/>
      <c r="Q18" s="2851" t="s">
        <v>1882</v>
      </c>
      <c r="R18" s="2851"/>
      <c r="S18" s="2851"/>
      <c r="T18" s="2851"/>
      <c r="U18" s="2851" t="s">
        <v>29</v>
      </c>
      <c r="V18" s="2851" t="s">
        <v>29</v>
      </c>
      <c r="W18" s="2851" t="s">
        <v>29</v>
      </c>
      <c r="X18" s="2851" t="s">
        <v>1882</v>
      </c>
      <c r="Y18" s="2851" t="s">
        <v>29</v>
      </c>
      <c r="Z18" s="2851" t="s">
        <v>29</v>
      </c>
      <c r="AA18" s="2851" t="s">
        <v>29</v>
      </c>
      <c r="AB18" s="2851" t="s">
        <v>29</v>
      </c>
      <c r="AC18" s="2851" t="s">
        <v>29</v>
      </c>
      <c r="AD18" s="2851" t="s">
        <v>29</v>
      </c>
      <c r="AE18" s="2851" t="s">
        <v>1882</v>
      </c>
      <c r="AF18" s="2851" t="s">
        <v>29</v>
      </c>
      <c r="AG18" s="2851" t="s">
        <v>29</v>
      </c>
      <c r="AH18" s="2851" t="s">
        <v>29</v>
      </c>
      <c r="AI18" s="2853">
        <f t="shared" si="0"/>
        <v>12</v>
      </c>
      <c r="AJ18" s="2853">
        <f t="shared" si="1"/>
        <v>3</v>
      </c>
      <c r="AK18" s="2853">
        <f t="shared" si="2"/>
        <v>0</v>
      </c>
      <c r="AL18" s="2853">
        <f t="shared" si="3"/>
        <v>0</v>
      </c>
      <c r="AM18" s="2853">
        <f t="shared" si="4"/>
        <v>15</v>
      </c>
      <c r="AN18" s="2854" t="e">
        <f>+VLOOKUP(C18,[1]Sheet1!$D$9:$E$122,2,0)</f>
        <v>#N/A</v>
      </c>
      <c r="AO18" s="2854" t="e">
        <f t="shared" si="5"/>
        <v>#N/A</v>
      </c>
      <c r="AP18" s="2746"/>
    </row>
    <row r="19" spans="1:42" ht="36.75" customHeight="1">
      <c r="A19" s="2851">
        <v>8</v>
      </c>
      <c r="B19" s="2812" t="s">
        <v>2174</v>
      </c>
      <c r="C19" s="2852"/>
      <c r="D19" s="3364" t="s">
        <v>451</v>
      </c>
      <c r="E19" s="2851"/>
      <c r="F19" s="2851"/>
      <c r="G19" s="2851"/>
      <c r="H19" s="2851"/>
      <c r="I19" s="2851"/>
      <c r="J19" s="2851"/>
      <c r="K19" s="2851"/>
      <c r="L19" s="2851"/>
      <c r="M19" s="2851"/>
      <c r="N19" s="2851"/>
      <c r="O19" s="2851"/>
      <c r="P19" s="2851"/>
      <c r="Q19" s="2851" t="s">
        <v>1882</v>
      </c>
      <c r="R19" s="2851"/>
      <c r="S19" s="2851"/>
      <c r="T19" s="2851"/>
      <c r="U19" s="2851" t="s">
        <v>29</v>
      </c>
      <c r="V19" s="2851" t="s">
        <v>29</v>
      </c>
      <c r="W19" s="2851" t="s">
        <v>29</v>
      </c>
      <c r="X19" s="2851" t="s">
        <v>1882</v>
      </c>
      <c r="Y19" s="2851" t="s">
        <v>29</v>
      </c>
      <c r="Z19" s="2851" t="s">
        <v>29</v>
      </c>
      <c r="AA19" s="2851" t="s">
        <v>29</v>
      </c>
      <c r="AB19" s="2851" t="s">
        <v>29</v>
      </c>
      <c r="AC19" s="2851" t="s">
        <v>29</v>
      </c>
      <c r="AD19" s="2851" t="s">
        <v>29</v>
      </c>
      <c r="AE19" s="2851" t="s">
        <v>1882</v>
      </c>
      <c r="AF19" s="2851" t="s">
        <v>29</v>
      </c>
      <c r="AG19" s="2851" t="s">
        <v>29</v>
      </c>
      <c r="AH19" s="2851" t="s">
        <v>29</v>
      </c>
      <c r="AI19" s="2853">
        <f t="shared" si="0"/>
        <v>12</v>
      </c>
      <c r="AJ19" s="2853">
        <f t="shared" si="1"/>
        <v>3</v>
      </c>
      <c r="AK19" s="2853">
        <f t="shared" si="2"/>
        <v>0</v>
      </c>
      <c r="AL19" s="2853">
        <f t="shared" si="3"/>
        <v>0</v>
      </c>
      <c r="AM19" s="2853">
        <f t="shared" si="4"/>
        <v>15</v>
      </c>
      <c r="AN19" s="2854" t="e">
        <f>+VLOOKUP(C19,[1]Sheet1!$D$9:$E$122,2,0)</f>
        <v>#N/A</v>
      </c>
      <c r="AO19" s="2854" t="e">
        <f t="shared" si="5"/>
        <v>#N/A</v>
      </c>
      <c r="AP19" s="2746"/>
    </row>
    <row r="20" spans="1:42" ht="36.75" customHeight="1">
      <c r="A20" s="2851">
        <v>9</v>
      </c>
      <c r="B20" s="2812" t="s">
        <v>2175</v>
      </c>
      <c r="C20" s="2852"/>
      <c r="D20" s="3364" t="s">
        <v>451</v>
      </c>
      <c r="E20" s="2851"/>
      <c r="F20" s="2851"/>
      <c r="G20" s="2851"/>
      <c r="H20" s="2851"/>
      <c r="I20" s="2851"/>
      <c r="J20" s="2851"/>
      <c r="K20" s="2851"/>
      <c r="L20" s="2851"/>
      <c r="M20" s="2851"/>
      <c r="N20" s="2851"/>
      <c r="O20" s="2851"/>
      <c r="P20" s="2851"/>
      <c r="Q20" s="2851" t="s">
        <v>1882</v>
      </c>
      <c r="R20" s="2851"/>
      <c r="S20" s="2851"/>
      <c r="T20" s="2851"/>
      <c r="U20" s="2851" t="s">
        <v>29</v>
      </c>
      <c r="V20" s="2851" t="s">
        <v>29</v>
      </c>
      <c r="W20" s="2851" t="s">
        <v>29</v>
      </c>
      <c r="X20" s="2851" t="s">
        <v>1882</v>
      </c>
      <c r="Y20" s="2851" t="s">
        <v>29</v>
      </c>
      <c r="Z20" s="2851" t="s">
        <v>29</v>
      </c>
      <c r="AA20" s="2851" t="s">
        <v>29</v>
      </c>
      <c r="AB20" s="2851" t="s">
        <v>29</v>
      </c>
      <c r="AC20" s="2851" t="s">
        <v>29</v>
      </c>
      <c r="AD20" s="2851" t="s">
        <v>29</v>
      </c>
      <c r="AE20" s="2851" t="s">
        <v>1882</v>
      </c>
      <c r="AF20" s="2851" t="s">
        <v>29</v>
      </c>
      <c r="AG20" s="2851" t="s">
        <v>29</v>
      </c>
      <c r="AH20" s="2851" t="s">
        <v>29</v>
      </c>
      <c r="AI20" s="2853">
        <f t="shared" si="0"/>
        <v>12</v>
      </c>
      <c r="AJ20" s="2853">
        <f t="shared" si="1"/>
        <v>3</v>
      </c>
      <c r="AK20" s="2853">
        <f t="shared" si="2"/>
        <v>0</v>
      </c>
      <c r="AL20" s="2853">
        <f t="shared" si="3"/>
        <v>0</v>
      </c>
      <c r="AM20" s="2853">
        <f t="shared" si="4"/>
        <v>15</v>
      </c>
      <c r="AN20" s="2854" t="e">
        <f>+VLOOKUP(C20,[1]Sheet1!$D$9:$E$122,2,0)</f>
        <v>#N/A</v>
      </c>
      <c r="AO20" s="2854" t="e">
        <f t="shared" si="5"/>
        <v>#N/A</v>
      </c>
      <c r="AP20" s="2746"/>
    </row>
    <row r="21" spans="1:42" ht="36.75" customHeight="1">
      <c r="A21" s="2851">
        <v>10</v>
      </c>
      <c r="B21" s="2812" t="s">
        <v>2176</v>
      </c>
      <c r="C21" s="2852"/>
      <c r="D21" s="3364" t="s">
        <v>451</v>
      </c>
      <c r="E21" s="2851"/>
      <c r="F21" s="2851"/>
      <c r="G21" s="2851"/>
      <c r="H21" s="2851"/>
      <c r="I21" s="2851"/>
      <c r="J21" s="2851"/>
      <c r="K21" s="2851"/>
      <c r="L21" s="2851"/>
      <c r="M21" s="2851"/>
      <c r="N21" s="2851"/>
      <c r="O21" s="2851"/>
      <c r="P21" s="2851"/>
      <c r="Q21" s="2851" t="s">
        <v>1882</v>
      </c>
      <c r="R21" s="2851"/>
      <c r="S21" s="2851"/>
      <c r="T21" s="2851"/>
      <c r="U21" s="2851" t="s">
        <v>29</v>
      </c>
      <c r="V21" s="2851" t="s">
        <v>29</v>
      </c>
      <c r="W21" s="2851" t="s">
        <v>29</v>
      </c>
      <c r="X21" s="2851" t="s">
        <v>1882</v>
      </c>
      <c r="Y21" s="2851" t="s">
        <v>29</v>
      </c>
      <c r="Z21" s="2851" t="s">
        <v>29</v>
      </c>
      <c r="AA21" s="2851" t="s">
        <v>29</v>
      </c>
      <c r="AB21" s="2851" t="s">
        <v>29</v>
      </c>
      <c r="AC21" s="2851" t="s">
        <v>29</v>
      </c>
      <c r="AD21" s="2851" t="s">
        <v>29</v>
      </c>
      <c r="AE21" s="2851" t="s">
        <v>1882</v>
      </c>
      <c r="AF21" s="2851" t="s">
        <v>29</v>
      </c>
      <c r="AG21" s="2851" t="s">
        <v>29</v>
      </c>
      <c r="AH21" s="2851" t="s">
        <v>29</v>
      </c>
      <c r="AI21" s="2853">
        <f t="shared" si="0"/>
        <v>12</v>
      </c>
      <c r="AJ21" s="2853">
        <f t="shared" si="1"/>
        <v>3</v>
      </c>
      <c r="AK21" s="2853">
        <f t="shared" si="2"/>
        <v>0</v>
      </c>
      <c r="AL21" s="2853">
        <f t="shared" si="3"/>
        <v>0</v>
      </c>
      <c r="AM21" s="2853">
        <f t="shared" si="4"/>
        <v>15</v>
      </c>
      <c r="AN21" s="2854" t="e">
        <f>+VLOOKUP(C21,[1]Sheet1!$D$9:$E$122,2,0)</f>
        <v>#N/A</v>
      </c>
      <c r="AO21" s="2854" t="e">
        <f t="shared" si="5"/>
        <v>#N/A</v>
      </c>
      <c r="AP21" s="2746"/>
    </row>
    <row r="22" spans="1:42" ht="36.75" customHeight="1">
      <c r="A22" s="2851">
        <v>11</v>
      </c>
      <c r="B22" s="2812" t="s">
        <v>2177</v>
      </c>
      <c r="C22" s="2852"/>
      <c r="D22" s="3364" t="s">
        <v>451</v>
      </c>
      <c r="E22" s="2851"/>
      <c r="F22" s="2851"/>
      <c r="G22" s="2851"/>
      <c r="H22" s="2851"/>
      <c r="I22" s="2851"/>
      <c r="J22" s="2851"/>
      <c r="K22" s="2851"/>
      <c r="L22" s="2851"/>
      <c r="M22" s="2851"/>
      <c r="N22" s="2851"/>
      <c r="O22" s="2851"/>
      <c r="P22" s="2851"/>
      <c r="Q22" s="2851" t="s">
        <v>1882</v>
      </c>
      <c r="R22" s="2851"/>
      <c r="S22" s="2851"/>
      <c r="T22" s="2851"/>
      <c r="U22" s="2851" t="s">
        <v>29</v>
      </c>
      <c r="V22" s="2851" t="s">
        <v>29</v>
      </c>
      <c r="W22" s="2851" t="s">
        <v>29</v>
      </c>
      <c r="X22" s="2851" t="s">
        <v>1882</v>
      </c>
      <c r="Y22" s="2851" t="s">
        <v>29</v>
      </c>
      <c r="Z22" s="2851" t="s">
        <v>29</v>
      </c>
      <c r="AA22" s="2851" t="s">
        <v>29</v>
      </c>
      <c r="AB22" s="2851" t="s">
        <v>29</v>
      </c>
      <c r="AC22" s="2851" t="s">
        <v>29</v>
      </c>
      <c r="AD22" s="2851" t="s">
        <v>29</v>
      </c>
      <c r="AE22" s="2851" t="s">
        <v>1882</v>
      </c>
      <c r="AF22" s="2851" t="s">
        <v>29</v>
      </c>
      <c r="AG22" s="2851" t="s">
        <v>29</v>
      </c>
      <c r="AH22" s="2851" t="s">
        <v>29</v>
      </c>
      <c r="AI22" s="2853">
        <f t="shared" si="0"/>
        <v>12</v>
      </c>
      <c r="AJ22" s="2853">
        <f t="shared" si="1"/>
        <v>3</v>
      </c>
      <c r="AK22" s="2853">
        <f t="shared" si="2"/>
        <v>0</v>
      </c>
      <c r="AL22" s="2853">
        <f t="shared" si="3"/>
        <v>0</v>
      </c>
      <c r="AM22" s="2853">
        <f t="shared" si="4"/>
        <v>15</v>
      </c>
      <c r="AN22" s="2854" t="e">
        <f>+VLOOKUP(C22,[1]Sheet1!$D$9:$E$122,2,0)</f>
        <v>#N/A</v>
      </c>
      <c r="AO22" s="2854" t="e">
        <f t="shared" si="5"/>
        <v>#N/A</v>
      </c>
      <c r="AP22" s="2746"/>
    </row>
    <row r="23" spans="1:42" ht="36.75" customHeight="1">
      <c r="A23" s="2851">
        <v>12</v>
      </c>
      <c r="B23" s="2812" t="s">
        <v>2178</v>
      </c>
      <c r="C23" s="2852"/>
      <c r="D23" s="3364" t="s">
        <v>451</v>
      </c>
      <c r="E23" s="2851"/>
      <c r="F23" s="2851"/>
      <c r="G23" s="2851"/>
      <c r="H23" s="2851"/>
      <c r="I23" s="2851"/>
      <c r="J23" s="2851"/>
      <c r="K23" s="2851"/>
      <c r="L23" s="2851"/>
      <c r="M23" s="2851"/>
      <c r="N23" s="2851"/>
      <c r="O23" s="2851"/>
      <c r="P23" s="2851"/>
      <c r="Q23" s="2851" t="s">
        <v>1882</v>
      </c>
      <c r="R23" s="2851"/>
      <c r="S23" s="2851"/>
      <c r="T23" s="2851"/>
      <c r="U23" s="2851" t="s">
        <v>29</v>
      </c>
      <c r="V23" s="2851" t="s">
        <v>29</v>
      </c>
      <c r="W23" s="2851" t="s">
        <v>29</v>
      </c>
      <c r="X23" s="2851" t="s">
        <v>1882</v>
      </c>
      <c r="Y23" s="2851" t="s">
        <v>29</v>
      </c>
      <c r="Z23" s="2851" t="s">
        <v>29</v>
      </c>
      <c r="AA23" s="2851" t="s">
        <v>29</v>
      </c>
      <c r="AB23" s="2851" t="s">
        <v>29</v>
      </c>
      <c r="AC23" s="2851" t="s">
        <v>29</v>
      </c>
      <c r="AD23" s="2851" t="s">
        <v>29</v>
      </c>
      <c r="AE23" s="2851" t="s">
        <v>1882</v>
      </c>
      <c r="AF23" s="2851" t="s">
        <v>29</v>
      </c>
      <c r="AG23" s="2851" t="s">
        <v>29</v>
      </c>
      <c r="AH23" s="2851" t="s">
        <v>29</v>
      </c>
      <c r="AI23" s="2853">
        <f t="shared" si="0"/>
        <v>12</v>
      </c>
      <c r="AJ23" s="2853">
        <f t="shared" si="1"/>
        <v>3</v>
      </c>
      <c r="AK23" s="2853">
        <f t="shared" si="2"/>
        <v>0</v>
      </c>
      <c r="AL23" s="2853">
        <f t="shared" si="3"/>
        <v>0</v>
      </c>
      <c r="AM23" s="2853">
        <f t="shared" si="4"/>
        <v>15</v>
      </c>
      <c r="AN23" s="2854" t="e">
        <f>+VLOOKUP(C23,[1]Sheet1!$D$9:$E$122,2,0)</f>
        <v>#N/A</v>
      </c>
      <c r="AO23" s="2854" t="e">
        <f t="shared" si="5"/>
        <v>#N/A</v>
      </c>
      <c r="AP23" s="2746"/>
    </row>
    <row r="24" spans="1:42" ht="36.75" customHeight="1">
      <c r="A24" s="2851">
        <v>13</v>
      </c>
      <c r="B24" s="2812" t="s">
        <v>2179</v>
      </c>
      <c r="C24" s="2852"/>
      <c r="D24" s="3364" t="s">
        <v>451</v>
      </c>
      <c r="E24" s="2851"/>
      <c r="F24" s="2851"/>
      <c r="G24" s="2851"/>
      <c r="H24" s="2851"/>
      <c r="I24" s="2851"/>
      <c r="J24" s="2851"/>
      <c r="K24" s="2851"/>
      <c r="L24" s="2851"/>
      <c r="M24" s="2851"/>
      <c r="N24" s="2851"/>
      <c r="O24" s="2851"/>
      <c r="P24" s="2851"/>
      <c r="Q24" s="2851" t="s">
        <v>1882</v>
      </c>
      <c r="R24" s="2851"/>
      <c r="S24" s="2851"/>
      <c r="T24" s="2851"/>
      <c r="U24" s="2851" t="s">
        <v>29</v>
      </c>
      <c r="V24" s="2851" t="s">
        <v>29</v>
      </c>
      <c r="W24" s="2851" t="s">
        <v>29</v>
      </c>
      <c r="X24" s="2851" t="s">
        <v>1882</v>
      </c>
      <c r="Y24" s="2851"/>
      <c r="Z24" s="2851" t="s">
        <v>29</v>
      </c>
      <c r="AA24" s="2851" t="s">
        <v>29</v>
      </c>
      <c r="AB24" s="2851" t="s">
        <v>29</v>
      </c>
      <c r="AC24" s="2851" t="s">
        <v>29</v>
      </c>
      <c r="AD24" s="2851" t="s">
        <v>29</v>
      </c>
      <c r="AE24" s="2851" t="s">
        <v>1882</v>
      </c>
      <c r="AF24" s="2851" t="s">
        <v>29</v>
      </c>
      <c r="AG24" s="2851" t="s">
        <v>29</v>
      </c>
      <c r="AH24" s="2851" t="s">
        <v>29</v>
      </c>
      <c r="AI24" s="2853">
        <f t="shared" si="0"/>
        <v>11</v>
      </c>
      <c r="AJ24" s="2853">
        <f t="shared" si="1"/>
        <v>3</v>
      </c>
      <c r="AK24" s="2853">
        <f t="shared" si="2"/>
        <v>0</v>
      </c>
      <c r="AL24" s="2853">
        <f t="shared" si="3"/>
        <v>0</v>
      </c>
      <c r="AM24" s="2853">
        <f t="shared" si="4"/>
        <v>14</v>
      </c>
      <c r="AN24" s="2854" t="e">
        <f>+VLOOKUP(C24,[1]Sheet1!$D$9:$E$122,2,0)</f>
        <v>#N/A</v>
      </c>
      <c r="AO24" s="2854" t="e">
        <f t="shared" si="5"/>
        <v>#N/A</v>
      </c>
      <c r="AP24" s="2746"/>
    </row>
    <row r="25" spans="1:42" ht="36.75" customHeight="1">
      <c r="A25" s="2851">
        <v>14</v>
      </c>
      <c r="B25" s="2812" t="s">
        <v>1301</v>
      </c>
      <c r="C25" s="2852"/>
      <c r="D25" s="3364" t="s">
        <v>451</v>
      </c>
      <c r="E25" s="2851"/>
      <c r="F25" s="2851"/>
      <c r="G25" s="2851"/>
      <c r="H25" s="2851"/>
      <c r="I25" s="2851"/>
      <c r="J25" s="2851"/>
      <c r="K25" s="2851"/>
      <c r="L25" s="2851"/>
      <c r="M25" s="2851"/>
      <c r="N25" s="2851"/>
      <c r="O25" s="2851"/>
      <c r="P25" s="2851"/>
      <c r="Q25" s="2851" t="s">
        <v>1882</v>
      </c>
      <c r="R25" s="2851"/>
      <c r="S25" s="2851"/>
      <c r="T25" s="2851"/>
      <c r="U25" s="2851" t="s">
        <v>29</v>
      </c>
      <c r="V25" s="2851" t="s">
        <v>29</v>
      </c>
      <c r="W25" s="2851" t="s">
        <v>29</v>
      </c>
      <c r="X25" s="2851" t="s">
        <v>1882</v>
      </c>
      <c r="Y25" s="2851" t="s">
        <v>29</v>
      </c>
      <c r="Z25" s="2851" t="s">
        <v>29</v>
      </c>
      <c r="AA25" s="2851" t="s">
        <v>29</v>
      </c>
      <c r="AB25" s="2851" t="s">
        <v>29</v>
      </c>
      <c r="AC25" s="2851" t="s">
        <v>29</v>
      </c>
      <c r="AD25" s="2851" t="s">
        <v>29</v>
      </c>
      <c r="AE25" s="2851" t="s">
        <v>1882</v>
      </c>
      <c r="AF25" s="2851" t="s">
        <v>29</v>
      </c>
      <c r="AG25" s="2851" t="s">
        <v>29</v>
      </c>
      <c r="AH25" s="2851" t="s">
        <v>29</v>
      </c>
      <c r="AI25" s="2853">
        <f t="shared" si="0"/>
        <v>12</v>
      </c>
      <c r="AJ25" s="2853">
        <f t="shared" si="1"/>
        <v>3</v>
      </c>
      <c r="AK25" s="2853">
        <f t="shared" si="2"/>
        <v>0</v>
      </c>
      <c r="AL25" s="2853">
        <f t="shared" si="3"/>
        <v>0</v>
      </c>
      <c r="AM25" s="2853">
        <f t="shared" si="4"/>
        <v>15</v>
      </c>
      <c r="AN25" s="2854"/>
      <c r="AO25" s="2854"/>
      <c r="AP25" s="2746"/>
    </row>
    <row r="26" spans="1:42" ht="36.75" customHeight="1">
      <c r="A26" s="2851">
        <v>15</v>
      </c>
      <c r="B26" s="2812" t="s">
        <v>2180</v>
      </c>
      <c r="C26" s="2852"/>
      <c r="D26" s="3364" t="s">
        <v>451</v>
      </c>
      <c r="E26" s="2851"/>
      <c r="F26" s="2851"/>
      <c r="G26" s="2851"/>
      <c r="H26" s="2851"/>
      <c r="I26" s="2851"/>
      <c r="J26" s="2851"/>
      <c r="K26" s="2851"/>
      <c r="L26" s="2851"/>
      <c r="M26" s="2851"/>
      <c r="N26" s="2851"/>
      <c r="O26" s="2851"/>
      <c r="P26" s="2851"/>
      <c r="Q26" s="2851" t="s">
        <v>1882</v>
      </c>
      <c r="R26" s="2851"/>
      <c r="S26" s="2851"/>
      <c r="T26" s="2851"/>
      <c r="U26" s="2851" t="s">
        <v>29</v>
      </c>
      <c r="V26" s="2851" t="s">
        <v>29</v>
      </c>
      <c r="W26" s="2851" t="s">
        <v>29</v>
      </c>
      <c r="X26" s="2851" t="s">
        <v>1882</v>
      </c>
      <c r="Y26" s="2851" t="s">
        <v>29</v>
      </c>
      <c r="Z26" s="2851" t="s">
        <v>29</v>
      </c>
      <c r="AA26" s="2851" t="s">
        <v>29</v>
      </c>
      <c r="AB26" s="2851" t="s">
        <v>29</v>
      </c>
      <c r="AC26" s="2851" t="s">
        <v>29</v>
      </c>
      <c r="AD26" s="2851" t="s">
        <v>29</v>
      </c>
      <c r="AE26" s="2851" t="s">
        <v>1882</v>
      </c>
      <c r="AF26" s="2851" t="s">
        <v>29</v>
      </c>
      <c r="AG26" s="2851" t="s">
        <v>29</v>
      </c>
      <c r="AH26" s="2851" t="s">
        <v>29</v>
      </c>
      <c r="AI26" s="2853">
        <f t="shared" si="0"/>
        <v>12</v>
      </c>
      <c r="AJ26" s="2853">
        <f t="shared" si="1"/>
        <v>3</v>
      </c>
      <c r="AK26" s="2853">
        <f t="shared" si="2"/>
        <v>0</v>
      </c>
      <c r="AL26" s="2853">
        <f t="shared" si="3"/>
        <v>0</v>
      </c>
      <c r="AM26" s="2853">
        <f t="shared" si="4"/>
        <v>15</v>
      </c>
      <c r="AN26" s="2854"/>
      <c r="AO26" s="2854"/>
      <c r="AP26" s="2746"/>
    </row>
    <row r="27" spans="1:42" ht="36.75" customHeight="1">
      <c r="A27" s="2851">
        <v>16</v>
      </c>
      <c r="B27" s="2812" t="s">
        <v>1677</v>
      </c>
      <c r="C27" s="2852"/>
      <c r="D27" s="3364" t="s">
        <v>451</v>
      </c>
      <c r="E27" s="2851"/>
      <c r="F27" s="2851"/>
      <c r="G27" s="2851"/>
      <c r="H27" s="2851"/>
      <c r="I27" s="2851"/>
      <c r="J27" s="2851"/>
      <c r="K27" s="2851"/>
      <c r="L27" s="2851"/>
      <c r="M27" s="2851"/>
      <c r="N27" s="2851"/>
      <c r="O27" s="2851"/>
      <c r="P27" s="2851"/>
      <c r="Q27" s="2851" t="s">
        <v>1882</v>
      </c>
      <c r="R27" s="2851"/>
      <c r="S27" s="2851"/>
      <c r="T27" s="2851"/>
      <c r="U27" s="2851" t="s">
        <v>29</v>
      </c>
      <c r="V27" s="2851" t="s">
        <v>29</v>
      </c>
      <c r="W27" s="2851" t="s">
        <v>29</v>
      </c>
      <c r="X27" s="2851" t="s">
        <v>1882</v>
      </c>
      <c r="Y27" s="2851" t="s">
        <v>29</v>
      </c>
      <c r="Z27" s="2851" t="s">
        <v>29</v>
      </c>
      <c r="AA27" s="2851" t="s">
        <v>29</v>
      </c>
      <c r="AB27" s="2851" t="s">
        <v>29</v>
      </c>
      <c r="AC27" s="2851" t="s">
        <v>29</v>
      </c>
      <c r="AD27" s="2851" t="s">
        <v>29</v>
      </c>
      <c r="AE27" s="2851" t="s">
        <v>1882</v>
      </c>
      <c r="AF27" s="2851" t="s">
        <v>29</v>
      </c>
      <c r="AG27" s="2851" t="s">
        <v>29</v>
      </c>
      <c r="AH27" s="2851" t="s">
        <v>29</v>
      </c>
      <c r="AI27" s="2853">
        <f t="shared" si="0"/>
        <v>12</v>
      </c>
      <c r="AJ27" s="2853">
        <f t="shared" si="1"/>
        <v>3</v>
      </c>
      <c r="AK27" s="2853">
        <f t="shared" si="2"/>
        <v>0</v>
      </c>
      <c r="AL27" s="2853">
        <f t="shared" si="3"/>
        <v>0</v>
      </c>
      <c r="AM27" s="2853">
        <f t="shared" si="4"/>
        <v>15</v>
      </c>
      <c r="AN27" s="2854"/>
      <c r="AO27" s="2854"/>
      <c r="AP27" s="2746"/>
    </row>
    <row r="28" spans="1:42" ht="36.75" customHeight="1">
      <c r="A28" s="2851">
        <v>17</v>
      </c>
      <c r="B28" s="2812" t="s">
        <v>289</v>
      </c>
      <c r="C28" s="2852"/>
      <c r="D28" s="3364" t="s">
        <v>451</v>
      </c>
      <c r="E28" s="2851"/>
      <c r="F28" s="2851"/>
      <c r="G28" s="2851"/>
      <c r="H28" s="2851"/>
      <c r="I28" s="2851"/>
      <c r="J28" s="2851"/>
      <c r="K28" s="2851"/>
      <c r="L28" s="2851"/>
      <c r="M28" s="2851"/>
      <c r="N28" s="2851"/>
      <c r="O28" s="2851"/>
      <c r="P28" s="2851"/>
      <c r="Q28" s="2851" t="s">
        <v>1882</v>
      </c>
      <c r="R28" s="2851"/>
      <c r="S28" s="2851"/>
      <c r="T28" s="2851"/>
      <c r="U28" s="2851" t="s">
        <v>29</v>
      </c>
      <c r="V28" s="2851" t="s">
        <v>29</v>
      </c>
      <c r="W28" s="2851" t="s">
        <v>29</v>
      </c>
      <c r="X28" s="2851" t="s">
        <v>1882</v>
      </c>
      <c r="Y28" s="2851" t="s">
        <v>29</v>
      </c>
      <c r="Z28" s="2851" t="s">
        <v>29</v>
      </c>
      <c r="AA28" s="2851" t="s">
        <v>29</v>
      </c>
      <c r="AB28" s="2851" t="s">
        <v>29</v>
      </c>
      <c r="AC28" s="2851" t="s">
        <v>29</v>
      </c>
      <c r="AD28" s="2851" t="s">
        <v>29</v>
      </c>
      <c r="AE28" s="2851" t="s">
        <v>1882</v>
      </c>
      <c r="AF28" s="2851" t="s">
        <v>29</v>
      </c>
      <c r="AG28" s="2851" t="s">
        <v>29</v>
      </c>
      <c r="AH28" s="2851" t="s">
        <v>29</v>
      </c>
      <c r="AI28" s="2853">
        <f t="shared" si="0"/>
        <v>12</v>
      </c>
      <c r="AJ28" s="2853">
        <f t="shared" si="1"/>
        <v>3</v>
      </c>
      <c r="AK28" s="2853">
        <f t="shared" si="2"/>
        <v>0</v>
      </c>
      <c r="AL28" s="2853">
        <f t="shared" si="3"/>
        <v>0</v>
      </c>
      <c r="AM28" s="2853">
        <f t="shared" si="4"/>
        <v>15</v>
      </c>
      <c r="AN28" s="2854"/>
      <c r="AO28" s="2854"/>
      <c r="AP28" s="2746"/>
    </row>
    <row r="29" spans="1:42" ht="36.75" customHeight="1">
      <c r="A29" s="2851">
        <v>18</v>
      </c>
      <c r="B29" s="2812" t="s">
        <v>2181</v>
      </c>
      <c r="C29" s="2852"/>
      <c r="D29" s="3364" t="s">
        <v>451</v>
      </c>
      <c r="E29" s="2851"/>
      <c r="F29" s="2851"/>
      <c r="G29" s="2851"/>
      <c r="H29" s="2851"/>
      <c r="I29" s="2851"/>
      <c r="J29" s="2851"/>
      <c r="K29" s="2851"/>
      <c r="L29" s="2851"/>
      <c r="M29" s="2851"/>
      <c r="N29" s="2851"/>
      <c r="O29" s="2851"/>
      <c r="P29" s="2851"/>
      <c r="Q29" s="2851" t="s">
        <v>1882</v>
      </c>
      <c r="R29" s="2851"/>
      <c r="S29" s="2851"/>
      <c r="T29" s="2851"/>
      <c r="U29" s="2851" t="s">
        <v>29</v>
      </c>
      <c r="V29" s="2851" t="s">
        <v>29</v>
      </c>
      <c r="W29" s="2851" t="s">
        <v>29</v>
      </c>
      <c r="X29" s="2851" t="s">
        <v>1882</v>
      </c>
      <c r="Y29" s="2851" t="s">
        <v>29</v>
      </c>
      <c r="Z29" s="2851" t="s">
        <v>29</v>
      </c>
      <c r="AA29" s="2851" t="s">
        <v>29</v>
      </c>
      <c r="AB29" s="2851" t="s">
        <v>29</v>
      </c>
      <c r="AC29" s="2851" t="s">
        <v>29</v>
      </c>
      <c r="AD29" s="2851" t="s">
        <v>29</v>
      </c>
      <c r="AE29" s="2851" t="s">
        <v>1882</v>
      </c>
      <c r="AF29" s="2851" t="s">
        <v>29</v>
      </c>
      <c r="AG29" s="2851" t="s">
        <v>29</v>
      </c>
      <c r="AH29" s="2851" t="s">
        <v>29</v>
      </c>
      <c r="AI29" s="2853">
        <f t="shared" si="0"/>
        <v>12</v>
      </c>
      <c r="AJ29" s="2853">
        <f t="shared" si="1"/>
        <v>3</v>
      </c>
      <c r="AK29" s="2853">
        <f t="shared" si="2"/>
        <v>0</v>
      </c>
      <c r="AL29" s="2853">
        <f t="shared" si="3"/>
        <v>0</v>
      </c>
      <c r="AM29" s="2853">
        <f t="shared" si="4"/>
        <v>15</v>
      </c>
      <c r="AN29" s="2854"/>
      <c r="AO29" s="2854"/>
      <c r="AP29" s="2746"/>
    </row>
    <row r="30" spans="1:42" ht="36.75" customHeight="1">
      <c r="A30" s="2851">
        <v>19</v>
      </c>
      <c r="B30" s="2812" t="s">
        <v>2182</v>
      </c>
      <c r="C30" s="2852"/>
      <c r="D30" s="3364" t="s">
        <v>451</v>
      </c>
      <c r="E30" s="2851"/>
      <c r="F30" s="2851"/>
      <c r="G30" s="2851"/>
      <c r="H30" s="2851"/>
      <c r="I30" s="2851"/>
      <c r="J30" s="2851"/>
      <c r="K30" s="2851"/>
      <c r="L30" s="2851"/>
      <c r="M30" s="2851"/>
      <c r="N30" s="2851"/>
      <c r="O30" s="2851"/>
      <c r="P30" s="2851"/>
      <c r="Q30" s="2851" t="s">
        <v>1882</v>
      </c>
      <c r="R30" s="2851"/>
      <c r="S30" s="2851"/>
      <c r="T30" s="2851"/>
      <c r="U30" s="2851" t="s">
        <v>29</v>
      </c>
      <c r="V30" s="2851" t="s">
        <v>29</v>
      </c>
      <c r="W30" s="2851" t="s">
        <v>29</v>
      </c>
      <c r="X30" s="2851" t="s">
        <v>1882</v>
      </c>
      <c r="Y30" s="2851" t="s">
        <v>29</v>
      </c>
      <c r="Z30" s="2851" t="s">
        <v>29</v>
      </c>
      <c r="AA30" s="2851" t="s">
        <v>29</v>
      </c>
      <c r="AB30" s="2851" t="s">
        <v>29</v>
      </c>
      <c r="AC30" s="2851" t="s">
        <v>29</v>
      </c>
      <c r="AD30" s="2851" t="s">
        <v>29</v>
      </c>
      <c r="AE30" s="2851" t="s">
        <v>1882</v>
      </c>
      <c r="AF30" s="2851" t="s">
        <v>29</v>
      </c>
      <c r="AG30" s="2851" t="s">
        <v>29</v>
      </c>
      <c r="AH30" s="2851" t="s">
        <v>29</v>
      </c>
      <c r="AI30" s="2853">
        <f t="shared" si="0"/>
        <v>12</v>
      </c>
      <c r="AJ30" s="2853">
        <f t="shared" si="1"/>
        <v>3</v>
      </c>
      <c r="AK30" s="2853">
        <f t="shared" si="2"/>
        <v>0</v>
      </c>
      <c r="AL30" s="2853">
        <f t="shared" si="3"/>
        <v>0</v>
      </c>
      <c r="AM30" s="2853">
        <f t="shared" si="4"/>
        <v>15</v>
      </c>
      <c r="AN30" s="2854"/>
      <c r="AO30" s="2854"/>
      <c r="AP30" s="2746"/>
    </row>
    <row r="31" spans="1:42" ht="36.75" customHeight="1">
      <c r="A31" s="2851">
        <v>20</v>
      </c>
      <c r="B31" s="2812" t="s">
        <v>2183</v>
      </c>
      <c r="C31" s="2852"/>
      <c r="D31" s="3364" t="s">
        <v>451</v>
      </c>
      <c r="E31" s="2851"/>
      <c r="F31" s="2851"/>
      <c r="G31" s="2851"/>
      <c r="H31" s="2851"/>
      <c r="I31" s="2851"/>
      <c r="J31" s="2851"/>
      <c r="K31" s="2851"/>
      <c r="L31" s="2851"/>
      <c r="M31" s="2851"/>
      <c r="N31" s="2851"/>
      <c r="O31" s="2851"/>
      <c r="P31" s="2851"/>
      <c r="Q31" s="2851" t="s">
        <v>1882</v>
      </c>
      <c r="R31" s="2851"/>
      <c r="S31" s="2851"/>
      <c r="T31" s="2851"/>
      <c r="U31" s="2851" t="s">
        <v>29</v>
      </c>
      <c r="V31" s="2851" t="s">
        <v>29</v>
      </c>
      <c r="W31" s="2851" t="s">
        <v>29</v>
      </c>
      <c r="X31" s="2851" t="s">
        <v>1882</v>
      </c>
      <c r="Y31" s="2851" t="s">
        <v>29</v>
      </c>
      <c r="Z31" s="2851" t="s">
        <v>29</v>
      </c>
      <c r="AA31" s="2851" t="s">
        <v>29</v>
      </c>
      <c r="AB31" s="2851" t="s">
        <v>29</v>
      </c>
      <c r="AC31" s="2851" t="s">
        <v>29</v>
      </c>
      <c r="AD31" s="2851" t="s">
        <v>29</v>
      </c>
      <c r="AE31" s="2851"/>
      <c r="AF31" s="2851" t="s">
        <v>29</v>
      </c>
      <c r="AG31" s="2851" t="s">
        <v>29</v>
      </c>
      <c r="AH31" s="2851" t="s">
        <v>29</v>
      </c>
      <c r="AI31" s="2853">
        <f t="shared" si="0"/>
        <v>12</v>
      </c>
      <c r="AJ31" s="2853">
        <f t="shared" si="1"/>
        <v>2</v>
      </c>
      <c r="AK31" s="2853">
        <f t="shared" si="2"/>
        <v>0</v>
      </c>
      <c r="AL31" s="2853">
        <f t="shared" si="3"/>
        <v>0</v>
      </c>
      <c r="AM31" s="2853">
        <f t="shared" si="4"/>
        <v>14</v>
      </c>
      <c r="AN31" s="2854"/>
      <c r="AO31" s="2854"/>
      <c r="AP31" s="2746"/>
    </row>
    <row r="32" spans="1:42" ht="36.75" customHeight="1">
      <c r="A32" s="2851">
        <v>21</v>
      </c>
      <c r="B32" s="2812" t="s">
        <v>1236</v>
      </c>
      <c r="C32" s="2852"/>
      <c r="D32" s="3364" t="s">
        <v>451</v>
      </c>
      <c r="E32" s="2851"/>
      <c r="F32" s="2851"/>
      <c r="G32" s="2851"/>
      <c r="H32" s="2851"/>
      <c r="I32" s="2851"/>
      <c r="J32" s="2851"/>
      <c r="K32" s="2851"/>
      <c r="L32" s="2851"/>
      <c r="M32" s="2851"/>
      <c r="N32" s="2851"/>
      <c r="O32" s="2851"/>
      <c r="P32" s="2851"/>
      <c r="Q32" s="2851" t="s">
        <v>1882</v>
      </c>
      <c r="R32" s="2851"/>
      <c r="S32" s="2851"/>
      <c r="T32" s="2851"/>
      <c r="U32" s="2851" t="s">
        <v>29</v>
      </c>
      <c r="V32" s="2851" t="s">
        <v>29</v>
      </c>
      <c r="W32" s="2851" t="s">
        <v>29</v>
      </c>
      <c r="X32" s="2851" t="s">
        <v>1882</v>
      </c>
      <c r="Y32" s="2851" t="s">
        <v>29</v>
      </c>
      <c r="Z32" s="2851" t="s">
        <v>29</v>
      </c>
      <c r="AA32" s="2851" t="s">
        <v>29</v>
      </c>
      <c r="AB32" s="2851" t="s">
        <v>29</v>
      </c>
      <c r="AC32" s="2851" t="s">
        <v>29</v>
      </c>
      <c r="AD32" s="2851"/>
      <c r="AE32" s="2851" t="s">
        <v>1882</v>
      </c>
      <c r="AF32" s="2851"/>
      <c r="AG32" s="2851"/>
      <c r="AH32" s="2851"/>
      <c r="AI32" s="2853">
        <f t="shared" si="0"/>
        <v>8</v>
      </c>
      <c r="AJ32" s="2853">
        <f t="shared" si="1"/>
        <v>3</v>
      </c>
      <c r="AK32" s="2853">
        <f t="shared" si="2"/>
        <v>0</v>
      </c>
      <c r="AL32" s="2853">
        <f t="shared" si="3"/>
        <v>0</v>
      </c>
      <c r="AM32" s="2853">
        <f t="shared" si="4"/>
        <v>11</v>
      </c>
      <c r="AN32" s="2854"/>
      <c r="AO32" s="2854"/>
      <c r="AP32" s="2746"/>
    </row>
    <row r="33" spans="1:49" ht="36.75" customHeight="1">
      <c r="A33" s="2851">
        <v>22</v>
      </c>
      <c r="B33" s="2812" t="s">
        <v>2184</v>
      </c>
      <c r="C33" s="2852"/>
      <c r="D33" s="3364" t="s">
        <v>451</v>
      </c>
      <c r="E33" s="2851"/>
      <c r="F33" s="2851"/>
      <c r="G33" s="2851"/>
      <c r="H33" s="2851"/>
      <c r="I33" s="2851"/>
      <c r="J33" s="2851"/>
      <c r="K33" s="2851"/>
      <c r="L33" s="2851"/>
      <c r="M33" s="2851"/>
      <c r="N33" s="2851"/>
      <c r="O33" s="2851"/>
      <c r="P33" s="2851"/>
      <c r="Q33" s="2851" t="s">
        <v>1882</v>
      </c>
      <c r="R33" s="2851"/>
      <c r="S33" s="2851"/>
      <c r="T33" s="2851"/>
      <c r="U33" s="2851" t="s">
        <v>29</v>
      </c>
      <c r="V33" s="2851" t="s">
        <v>29</v>
      </c>
      <c r="W33" s="2851" t="s">
        <v>29</v>
      </c>
      <c r="X33" s="2851" t="s">
        <v>1882</v>
      </c>
      <c r="Y33" s="2851" t="s">
        <v>29</v>
      </c>
      <c r="Z33" s="2851" t="s">
        <v>29</v>
      </c>
      <c r="AA33" s="2851" t="s">
        <v>29</v>
      </c>
      <c r="AB33" s="2851" t="s">
        <v>29</v>
      </c>
      <c r="AC33" s="2851" t="s">
        <v>29</v>
      </c>
      <c r="AD33" s="2851" t="s">
        <v>29</v>
      </c>
      <c r="AE33" s="2851" t="s">
        <v>1882</v>
      </c>
      <c r="AF33" s="2851" t="s">
        <v>29</v>
      </c>
      <c r="AG33" s="2851" t="s">
        <v>29</v>
      </c>
      <c r="AH33" s="2851" t="s">
        <v>29</v>
      </c>
      <c r="AI33" s="2853">
        <f t="shared" si="0"/>
        <v>12</v>
      </c>
      <c r="AJ33" s="2853">
        <f t="shared" si="1"/>
        <v>3</v>
      </c>
      <c r="AK33" s="2853">
        <f t="shared" si="2"/>
        <v>0</v>
      </c>
      <c r="AL33" s="2853">
        <f t="shared" si="3"/>
        <v>0</v>
      </c>
      <c r="AM33" s="2853">
        <f t="shared" si="4"/>
        <v>15</v>
      </c>
      <c r="AN33" s="2854"/>
      <c r="AO33" s="2854"/>
      <c r="AP33" s="2746"/>
    </row>
    <row r="34" spans="1:49" ht="36.75" customHeight="1">
      <c r="A34" s="2851">
        <v>23</v>
      </c>
      <c r="B34" s="2812" t="s">
        <v>2185</v>
      </c>
      <c r="C34" s="2852"/>
      <c r="D34" s="3364" t="s">
        <v>451</v>
      </c>
      <c r="E34" s="2851"/>
      <c r="F34" s="2851"/>
      <c r="G34" s="2851"/>
      <c r="H34" s="2851"/>
      <c r="I34" s="2851"/>
      <c r="J34" s="2851"/>
      <c r="K34" s="2851"/>
      <c r="L34" s="2851"/>
      <c r="M34" s="2851"/>
      <c r="N34" s="2851"/>
      <c r="O34" s="2851"/>
      <c r="P34" s="2851"/>
      <c r="Q34" s="2851" t="s">
        <v>1882</v>
      </c>
      <c r="R34" s="2851"/>
      <c r="S34" s="2851"/>
      <c r="T34" s="2851"/>
      <c r="U34" s="2851" t="s">
        <v>29</v>
      </c>
      <c r="V34" s="2851" t="s">
        <v>29</v>
      </c>
      <c r="W34" s="2851" t="s">
        <v>29</v>
      </c>
      <c r="X34" s="2851" t="s">
        <v>1882</v>
      </c>
      <c r="Y34" s="2851" t="s">
        <v>29</v>
      </c>
      <c r="Z34" s="2851" t="s">
        <v>29</v>
      </c>
      <c r="AA34" s="2851" t="s">
        <v>29</v>
      </c>
      <c r="AB34" s="2851" t="s">
        <v>29</v>
      </c>
      <c r="AC34" s="2851" t="s">
        <v>29</v>
      </c>
      <c r="AD34" s="2851" t="s">
        <v>29</v>
      </c>
      <c r="AE34" s="2851" t="s">
        <v>1882</v>
      </c>
      <c r="AF34" s="2851" t="s">
        <v>29</v>
      </c>
      <c r="AG34" s="2851" t="s">
        <v>29</v>
      </c>
      <c r="AH34" s="2851" t="s">
        <v>29</v>
      </c>
      <c r="AI34" s="2853">
        <f t="shared" si="0"/>
        <v>12</v>
      </c>
      <c r="AJ34" s="2853">
        <f t="shared" si="1"/>
        <v>3</v>
      </c>
      <c r="AK34" s="2853">
        <f t="shared" si="2"/>
        <v>0</v>
      </c>
      <c r="AL34" s="2853">
        <f t="shared" si="3"/>
        <v>0</v>
      </c>
      <c r="AM34" s="2853">
        <f t="shared" si="4"/>
        <v>15</v>
      </c>
      <c r="AN34" s="2854"/>
      <c r="AO34" s="2854"/>
      <c r="AP34" s="2746"/>
    </row>
    <row r="35" spans="1:49" ht="36.75" customHeight="1">
      <c r="A35" s="2851">
        <v>24</v>
      </c>
      <c r="B35" s="2812" t="s">
        <v>2186</v>
      </c>
      <c r="C35" s="2852"/>
      <c r="D35" s="3364" t="s">
        <v>451</v>
      </c>
      <c r="E35" s="2851"/>
      <c r="F35" s="2851"/>
      <c r="G35" s="2851"/>
      <c r="H35" s="2851"/>
      <c r="I35" s="2851"/>
      <c r="J35" s="2851"/>
      <c r="K35" s="2851"/>
      <c r="L35" s="2851"/>
      <c r="M35" s="2851"/>
      <c r="N35" s="2851"/>
      <c r="O35" s="2851"/>
      <c r="P35" s="2851"/>
      <c r="Q35" s="2851" t="s">
        <v>1882</v>
      </c>
      <c r="R35" s="2851"/>
      <c r="S35" s="2851"/>
      <c r="T35" s="2851"/>
      <c r="U35" s="2851" t="s">
        <v>29</v>
      </c>
      <c r="V35" s="2851" t="s">
        <v>29</v>
      </c>
      <c r="W35" s="2851" t="s">
        <v>29</v>
      </c>
      <c r="X35" s="2851" t="s">
        <v>1882</v>
      </c>
      <c r="Y35" s="2851" t="s">
        <v>29</v>
      </c>
      <c r="Z35" s="2851" t="s">
        <v>29</v>
      </c>
      <c r="AA35" s="2851" t="s">
        <v>29</v>
      </c>
      <c r="AB35" s="2851" t="s">
        <v>29</v>
      </c>
      <c r="AC35" s="2851" t="s">
        <v>29</v>
      </c>
      <c r="AD35" s="2851" t="s">
        <v>29</v>
      </c>
      <c r="AE35" s="2851" t="s">
        <v>1882</v>
      </c>
      <c r="AF35" s="2851" t="s">
        <v>29</v>
      </c>
      <c r="AG35" s="2851" t="s">
        <v>29</v>
      </c>
      <c r="AH35" s="2851" t="s">
        <v>29</v>
      </c>
      <c r="AI35" s="2853">
        <f t="shared" si="0"/>
        <v>12</v>
      </c>
      <c r="AJ35" s="2853">
        <f t="shared" si="1"/>
        <v>3</v>
      </c>
      <c r="AK35" s="2853">
        <f t="shared" si="2"/>
        <v>0</v>
      </c>
      <c r="AL35" s="2853">
        <f t="shared" si="3"/>
        <v>0</v>
      </c>
      <c r="AM35" s="2853">
        <f t="shared" si="4"/>
        <v>15</v>
      </c>
      <c r="AN35" s="2854"/>
      <c r="AO35" s="2854"/>
      <c r="AP35" s="2746"/>
    </row>
    <row r="36" spans="1:49" ht="36.75" customHeight="1">
      <c r="A36" s="2851">
        <v>25</v>
      </c>
      <c r="B36" s="2812" t="s">
        <v>2187</v>
      </c>
      <c r="C36" s="2852"/>
      <c r="D36" s="3364" t="s">
        <v>451</v>
      </c>
      <c r="E36" s="2851"/>
      <c r="F36" s="2851"/>
      <c r="G36" s="2851"/>
      <c r="H36" s="2851"/>
      <c r="I36" s="2851"/>
      <c r="J36" s="2851"/>
      <c r="K36" s="2851"/>
      <c r="L36" s="2851"/>
      <c r="M36" s="2851"/>
      <c r="N36" s="2851"/>
      <c r="O36" s="2851"/>
      <c r="P36" s="2851"/>
      <c r="Q36" s="2851" t="s">
        <v>1882</v>
      </c>
      <c r="R36" s="2851"/>
      <c r="S36" s="2851"/>
      <c r="T36" s="2851"/>
      <c r="U36" s="2851" t="s">
        <v>29</v>
      </c>
      <c r="V36" s="2851" t="s">
        <v>29</v>
      </c>
      <c r="W36" s="3670" t="s">
        <v>29</v>
      </c>
      <c r="X36" s="2851" t="s">
        <v>1882</v>
      </c>
      <c r="Y36" s="2851" t="s">
        <v>29</v>
      </c>
      <c r="Z36" s="2851" t="s">
        <v>29</v>
      </c>
      <c r="AA36" s="2851" t="s">
        <v>29</v>
      </c>
      <c r="AB36" s="2851" t="s">
        <v>29</v>
      </c>
      <c r="AC36" s="2851" t="s">
        <v>29</v>
      </c>
      <c r="AD36" s="2851" t="s">
        <v>29</v>
      </c>
      <c r="AE36" s="2851" t="s">
        <v>1882</v>
      </c>
      <c r="AF36" s="2851" t="s">
        <v>29</v>
      </c>
      <c r="AG36" s="2851" t="s">
        <v>29</v>
      </c>
      <c r="AH36" s="2851" t="s">
        <v>29</v>
      </c>
      <c r="AI36" s="2853">
        <f t="shared" si="0"/>
        <v>12</v>
      </c>
      <c r="AJ36" s="2853">
        <f t="shared" si="1"/>
        <v>3</v>
      </c>
      <c r="AK36" s="2853">
        <f t="shared" si="2"/>
        <v>0</v>
      </c>
      <c r="AL36" s="2853">
        <f t="shared" si="3"/>
        <v>0</v>
      </c>
      <c r="AM36" s="2853">
        <f t="shared" si="4"/>
        <v>15</v>
      </c>
      <c r="AN36" s="2854" t="e">
        <f>+VLOOKUP(C36,[1]Sheet1!$D$9:$E$122,2,0)</f>
        <v>#N/A</v>
      </c>
      <c r="AO36" s="2854" t="e">
        <f>+IF(AN36=B36,"0","1")</f>
        <v>#N/A</v>
      </c>
      <c r="AP36" s="2746"/>
    </row>
    <row r="37" spans="1:49" ht="36.75" customHeight="1">
      <c r="A37" s="2851">
        <v>26</v>
      </c>
      <c r="B37" s="2812" t="s">
        <v>1525</v>
      </c>
      <c r="C37" s="2852"/>
      <c r="D37" s="3364" t="s">
        <v>451</v>
      </c>
      <c r="E37" s="2851"/>
      <c r="F37" s="2851"/>
      <c r="G37" s="2851"/>
      <c r="H37" s="2851"/>
      <c r="I37" s="2851"/>
      <c r="J37" s="2851"/>
      <c r="K37" s="2851"/>
      <c r="L37" s="2851"/>
      <c r="M37" s="2851"/>
      <c r="N37" s="2851"/>
      <c r="O37" s="2851"/>
      <c r="P37" s="2851"/>
      <c r="Q37" s="2851" t="s">
        <v>1882</v>
      </c>
      <c r="R37" s="2851"/>
      <c r="S37" s="2851"/>
      <c r="T37" s="2851"/>
      <c r="U37" s="2851" t="s">
        <v>29</v>
      </c>
      <c r="V37" s="2851" t="s">
        <v>29</v>
      </c>
      <c r="W37" s="2851" t="s">
        <v>29</v>
      </c>
      <c r="X37" s="2851" t="s">
        <v>1882</v>
      </c>
      <c r="Y37" s="2851" t="s">
        <v>29</v>
      </c>
      <c r="Z37" s="2851" t="s">
        <v>29</v>
      </c>
      <c r="AA37" s="2851" t="s">
        <v>29</v>
      </c>
      <c r="AB37" s="2851" t="s">
        <v>29</v>
      </c>
      <c r="AC37" s="2851" t="s">
        <v>29</v>
      </c>
      <c r="AD37" s="2851" t="s">
        <v>29</v>
      </c>
      <c r="AE37" s="2851" t="s">
        <v>1882</v>
      </c>
      <c r="AF37" s="2851" t="s">
        <v>29</v>
      </c>
      <c r="AG37" s="2851" t="s">
        <v>29</v>
      </c>
      <c r="AH37" s="2851" t="s">
        <v>29</v>
      </c>
      <c r="AI37" s="2853">
        <f t="shared" si="0"/>
        <v>12</v>
      </c>
      <c r="AJ37" s="2853">
        <f t="shared" si="1"/>
        <v>3</v>
      </c>
      <c r="AK37" s="2853">
        <f t="shared" si="2"/>
        <v>0</v>
      </c>
      <c r="AL37" s="2853">
        <f t="shared" si="3"/>
        <v>0</v>
      </c>
      <c r="AM37" s="2853">
        <f t="shared" si="4"/>
        <v>15</v>
      </c>
      <c r="AN37" s="2854"/>
      <c r="AO37" s="2854"/>
      <c r="AP37" s="2746"/>
    </row>
    <row r="38" spans="1:49" ht="36.75" customHeight="1">
      <c r="A38" s="2851">
        <v>27</v>
      </c>
      <c r="B38" s="2812" t="s">
        <v>2188</v>
      </c>
      <c r="C38" s="2852"/>
      <c r="D38" s="3364" t="s">
        <v>451</v>
      </c>
      <c r="E38" s="2851"/>
      <c r="F38" s="2851"/>
      <c r="G38" s="2851"/>
      <c r="H38" s="2851"/>
      <c r="I38" s="2851"/>
      <c r="J38" s="2851"/>
      <c r="K38" s="2851"/>
      <c r="L38" s="2851"/>
      <c r="M38" s="2851"/>
      <c r="N38" s="2851"/>
      <c r="O38" s="2851"/>
      <c r="P38" s="2851"/>
      <c r="Q38" s="2851" t="s">
        <v>1882</v>
      </c>
      <c r="R38" s="2851"/>
      <c r="S38" s="2851"/>
      <c r="T38" s="2851"/>
      <c r="U38" s="2851" t="s">
        <v>29</v>
      </c>
      <c r="V38" s="2851" t="s">
        <v>29</v>
      </c>
      <c r="W38" s="2851" t="s">
        <v>29</v>
      </c>
      <c r="X38" s="2851" t="s">
        <v>1882</v>
      </c>
      <c r="Y38" s="2851" t="s">
        <v>29</v>
      </c>
      <c r="Z38" s="2851" t="s">
        <v>29</v>
      </c>
      <c r="AA38" s="2851" t="s">
        <v>29</v>
      </c>
      <c r="AB38" s="2851" t="s">
        <v>29</v>
      </c>
      <c r="AC38" s="2851" t="s">
        <v>29</v>
      </c>
      <c r="AD38" s="2851" t="s">
        <v>29</v>
      </c>
      <c r="AE38" s="2851" t="s">
        <v>1882</v>
      </c>
      <c r="AF38" s="2851"/>
      <c r="AG38" s="2851" t="s">
        <v>29</v>
      </c>
      <c r="AH38" s="2851" t="s">
        <v>29</v>
      </c>
      <c r="AI38" s="2853">
        <f t="shared" si="0"/>
        <v>11</v>
      </c>
      <c r="AJ38" s="2853">
        <f t="shared" si="1"/>
        <v>3</v>
      </c>
      <c r="AK38" s="2853">
        <f t="shared" si="2"/>
        <v>0</v>
      </c>
      <c r="AL38" s="2853">
        <f t="shared" si="3"/>
        <v>0</v>
      </c>
      <c r="AM38" s="2853">
        <f t="shared" si="4"/>
        <v>14</v>
      </c>
      <c r="AN38" s="2854"/>
      <c r="AO38" s="2854"/>
      <c r="AP38" s="2746"/>
    </row>
    <row r="39" spans="1:49" ht="36.75" customHeight="1">
      <c r="A39" s="2851">
        <v>28</v>
      </c>
      <c r="B39" s="2812" t="s">
        <v>2189</v>
      </c>
      <c r="C39" s="2852"/>
      <c r="D39" s="3364" t="s">
        <v>451</v>
      </c>
      <c r="E39" s="2851"/>
      <c r="F39" s="2851"/>
      <c r="G39" s="2851"/>
      <c r="H39" s="2851"/>
      <c r="I39" s="2851"/>
      <c r="J39" s="2851"/>
      <c r="K39" s="2851"/>
      <c r="L39" s="2851"/>
      <c r="M39" s="2851"/>
      <c r="N39" s="2851"/>
      <c r="O39" s="2851"/>
      <c r="P39" s="2851"/>
      <c r="Q39" s="2851" t="s">
        <v>1882</v>
      </c>
      <c r="R39" s="2851"/>
      <c r="S39" s="2851"/>
      <c r="T39" s="2851"/>
      <c r="U39" s="2851" t="s">
        <v>29</v>
      </c>
      <c r="V39" s="2851" t="s">
        <v>29</v>
      </c>
      <c r="W39" s="2851" t="s">
        <v>29</v>
      </c>
      <c r="X39" s="2851" t="s">
        <v>1882</v>
      </c>
      <c r="Y39" s="2851" t="s">
        <v>29</v>
      </c>
      <c r="Z39" s="2851" t="s">
        <v>29</v>
      </c>
      <c r="AA39" s="2851" t="s">
        <v>29</v>
      </c>
      <c r="AB39" s="2851" t="s">
        <v>29</v>
      </c>
      <c r="AC39" s="2851" t="s">
        <v>29</v>
      </c>
      <c r="AD39" s="2851" t="s">
        <v>29</v>
      </c>
      <c r="AE39" s="2851" t="s">
        <v>1882</v>
      </c>
      <c r="AF39" s="2851" t="s">
        <v>29</v>
      </c>
      <c r="AG39" s="2851" t="s">
        <v>29</v>
      </c>
      <c r="AH39" s="2851" t="s">
        <v>29</v>
      </c>
      <c r="AI39" s="2853">
        <f t="shared" si="0"/>
        <v>12</v>
      </c>
      <c r="AJ39" s="2853">
        <f t="shared" si="1"/>
        <v>3</v>
      </c>
      <c r="AK39" s="2853">
        <f t="shared" si="2"/>
        <v>0</v>
      </c>
      <c r="AL39" s="2853">
        <f t="shared" si="3"/>
        <v>0</v>
      </c>
      <c r="AM39" s="2853">
        <f t="shared" si="4"/>
        <v>15</v>
      </c>
      <c r="AN39" s="2854"/>
      <c r="AO39" s="2854"/>
      <c r="AP39" s="2746"/>
    </row>
    <row r="40" spans="1:49" ht="36.75" customHeight="1">
      <c r="A40" s="2851">
        <v>29</v>
      </c>
      <c r="B40" s="2812" t="s">
        <v>1507</v>
      </c>
      <c r="C40" s="2852"/>
      <c r="D40" s="3364" t="s">
        <v>451</v>
      </c>
      <c r="E40" s="2851"/>
      <c r="F40" s="2851"/>
      <c r="G40" s="2851"/>
      <c r="H40" s="2851"/>
      <c r="I40" s="2851"/>
      <c r="J40" s="2851"/>
      <c r="K40" s="2851"/>
      <c r="L40" s="2851"/>
      <c r="M40" s="2851"/>
      <c r="N40" s="2851"/>
      <c r="O40" s="2851"/>
      <c r="P40" s="2851"/>
      <c r="Q40" s="2851" t="s">
        <v>1882</v>
      </c>
      <c r="R40" s="2851"/>
      <c r="S40" s="2851"/>
      <c r="T40" s="2851"/>
      <c r="U40" s="2851" t="s">
        <v>29</v>
      </c>
      <c r="V40" s="2851" t="s">
        <v>29</v>
      </c>
      <c r="W40" s="2851" t="s">
        <v>29</v>
      </c>
      <c r="X40" s="2851" t="s">
        <v>1882</v>
      </c>
      <c r="Y40" s="2851" t="s">
        <v>29</v>
      </c>
      <c r="Z40" s="2851" t="s">
        <v>29</v>
      </c>
      <c r="AA40" s="2851" t="s">
        <v>29</v>
      </c>
      <c r="AB40" s="2851" t="s">
        <v>29</v>
      </c>
      <c r="AC40" s="2851" t="s">
        <v>29</v>
      </c>
      <c r="AD40" s="2851" t="s">
        <v>29</v>
      </c>
      <c r="AE40" s="2851" t="s">
        <v>1882</v>
      </c>
      <c r="AF40" s="2851" t="s">
        <v>29</v>
      </c>
      <c r="AG40" s="2851" t="s">
        <v>29</v>
      </c>
      <c r="AH40" s="2851" t="s">
        <v>29</v>
      </c>
      <c r="AI40" s="2853">
        <f t="shared" si="0"/>
        <v>12</v>
      </c>
      <c r="AJ40" s="2853">
        <f t="shared" si="1"/>
        <v>3</v>
      </c>
      <c r="AK40" s="2853">
        <f t="shared" si="2"/>
        <v>0</v>
      </c>
      <c r="AL40" s="2853">
        <f t="shared" si="3"/>
        <v>0</v>
      </c>
      <c r="AM40" s="2853">
        <f t="shared" si="4"/>
        <v>15</v>
      </c>
      <c r="AN40" s="2854"/>
      <c r="AO40" s="2854"/>
      <c r="AP40" s="2746"/>
    </row>
    <row r="41" spans="1:49" ht="36.75" customHeight="1">
      <c r="A41" s="2851">
        <v>30</v>
      </c>
      <c r="B41" s="2812" t="s">
        <v>2190</v>
      </c>
      <c r="C41" s="2852"/>
      <c r="D41" s="3364" t="s">
        <v>451</v>
      </c>
      <c r="E41" s="2851"/>
      <c r="F41" s="2851"/>
      <c r="G41" s="2851"/>
      <c r="H41" s="2851"/>
      <c r="I41" s="2851"/>
      <c r="J41" s="2851"/>
      <c r="K41" s="2851"/>
      <c r="L41" s="2851"/>
      <c r="M41" s="2851"/>
      <c r="N41" s="2851"/>
      <c r="O41" s="2851"/>
      <c r="P41" s="2851"/>
      <c r="Q41" s="2851" t="s">
        <v>1882</v>
      </c>
      <c r="R41" s="2851"/>
      <c r="S41" s="2851"/>
      <c r="T41" s="2851"/>
      <c r="U41" s="2851" t="s">
        <v>29</v>
      </c>
      <c r="V41" s="2851" t="s">
        <v>29</v>
      </c>
      <c r="W41" s="2851" t="s">
        <v>29</v>
      </c>
      <c r="X41" s="2851" t="s">
        <v>1882</v>
      </c>
      <c r="Y41" s="2851" t="s">
        <v>29</v>
      </c>
      <c r="Z41" s="2851" t="s">
        <v>29</v>
      </c>
      <c r="AA41" s="2851" t="s">
        <v>29</v>
      </c>
      <c r="AB41" s="2851" t="s">
        <v>29</v>
      </c>
      <c r="AC41" s="2851" t="s">
        <v>29</v>
      </c>
      <c r="AD41" s="2851" t="s">
        <v>29</v>
      </c>
      <c r="AE41" s="2851" t="s">
        <v>1882</v>
      </c>
      <c r="AF41" s="2851" t="s">
        <v>29</v>
      </c>
      <c r="AG41" s="2851" t="s">
        <v>29</v>
      </c>
      <c r="AH41" s="2851" t="s">
        <v>29</v>
      </c>
      <c r="AI41" s="2853">
        <f t="shared" si="0"/>
        <v>12</v>
      </c>
      <c r="AJ41" s="2853">
        <f t="shared" si="1"/>
        <v>3</v>
      </c>
      <c r="AK41" s="2853"/>
      <c r="AL41" s="2853"/>
      <c r="AM41" s="2853">
        <f t="shared" si="4"/>
        <v>15</v>
      </c>
      <c r="AN41" s="2854"/>
      <c r="AO41" s="2854"/>
      <c r="AP41" s="2746"/>
    </row>
    <row r="42" spans="1:49" ht="36.75" customHeight="1">
      <c r="A42" s="2851">
        <v>31</v>
      </c>
      <c r="B42" s="2812" t="s">
        <v>2191</v>
      </c>
      <c r="C42" s="2852"/>
      <c r="D42" s="3364" t="s">
        <v>451</v>
      </c>
      <c r="E42" s="2851"/>
      <c r="F42" s="2851"/>
      <c r="G42" s="2851"/>
      <c r="H42" s="2851"/>
      <c r="I42" s="2851"/>
      <c r="J42" s="2851"/>
      <c r="K42" s="2851"/>
      <c r="L42" s="2851"/>
      <c r="M42" s="2851"/>
      <c r="N42" s="2851"/>
      <c r="O42" s="2851"/>
      <c r="P42" s="2851"/>
      <c r="Q42" s="2851" t="s">
        <v>1882</v>
      </c>
      <c r="R42" s="2851"/>
      <c r="S42" s="2851"/>
      <c r="T42" s="2851"/>
      <c r="U42" s="2851" t="s">
        <v>29</v>
      </c>
      <c r="V42" s="2851" t="s">
        <v>29</v>
      </c>
      <c r="W42" s="2851" t="s">
        <v>29</v>
      </c>
      <c r="X42" s="2851" t="s">
        <v>1882</v>
      </c>
      <c r="Y42" s="2851" t="s">
        <v>29</v>
      </c>
      <c r="Z42" s="2851" t="s">
        <v>29</v>
      </c>
      <c r="AA42" s="2851" t="s">
        <v>29</v>
      </c>
      <c r="AB42" s="2851" t="s">
        <v>29</v>
      </c>
      <c r="AC42" s="2851" t="s">
        <v>29</v>
      </c>
      <c r="AD42" s="2851" t="s">
        <v>29</v>
      </c>
      <c r="AE42" s="2851" t="s">
        <v>1882</v>
      </c>
      <c r="AF42" s="2851" t="s">
        <v>29</v>
      </c>
      <c r="AG42" s="2851" t="s">
        <v>29</v>
      </c>
      <c r="AH42" s="2851" t="s">
        <v>29</v>
      </c>
      <c r="AI42" s="2853">
        <f t="shared" si="0"/>
        <v>12</v>
      </c>
      <c r="AJ42" s="2853">
        <f t="shared" si="1"/>
        <v>3</v>
      </c>
      <c r="AK42" s="2853"/>
      <c r="AL42" s="2853"/>
      <c r="AM42" s="2853">
        <f t="shared" si="4"/>
        <v>15</v>
      </c>
      <c r="AN42" s="2854"/>
      <c r="AO42" s="2854"/>
      <c r="AP42" s="2746"/>
    </row>
    <row r="43" spans="1:49" ht="36.75" customHeight="1">
      <c r="A43" s="2851">
        <v>32</v>
      </c>
      <c r="B43" s="2812" t="s">
        <v>1923</v>
      </c>
      <c r="C43" s="2852"/>
      <c r="D43" s="3364" t="s">
        <v>451</v>
      </c>
      <c r="E43" s="2851"/>
      <c r="F43" s="2851"/>
      <c r="G43" s="2851"/>
      <c r="H43" s="2851"/>
      <c r="I43" s="2851"/>
      <c r="J43" s="2851"/>
      <c r="K43" s="2851"/>
      <c r="L43" s="2851"/>
      <c r="M43" s="2851"/>
      <c r="N43" s="2851"/>
      <c r="O43" s="2851"/>
      <c r="P43" s="2851"/>
      <c r="Q43" s="2851" t="s">
        <v>1882</v>
      </c>
      <c r="R43" s="2851"/>
      <c r="S43" s="2851"/>
      <c r="T43" s="2851"/>
      <c r="U43" s="2851" t="s">
        <v>29</v>
      </c>
      <c r="V43" s="2851" t="s">
        <v>29</v>
      </c>
      <c r="W43" s="2851" t="s">
        <v>29</v>
      </c>
      <c r="X43" s="2851" t="s">
        <v>1882</v>
      </c>
      <c r="Y43" s="2851" t="s">
        <v>29</v>
      </c>
      <c r="Z43" s="2851" t="s">
        <v>29</v>
      </c>
      <c r="AA43" s="2851"/>
      <c r="AB43" s="2851"/>
      <c r="AC43" s="2851" t="s">
        <v>29</v>
      </c>
      <c r="AD43" s="2851"/>
      <c r="AE43" s="2851"/>
      <c r="AF43" s="2851"/>
      <c r="AG43" s="2851"/>
      <c r="AH43" s="2851"/>
      <c r="AI43" s="2853">
        <f t="shared" si="0"/>
        <v>6</v>
      </c>
      <c r="AJ43" s="2853">
        <f t="shared" si="1"/>
        <v>2</v>
      </c>
      <c r="AK43" s="2853"/>
      <c r="AL43" s="2853"/>
      <c r="AM43" s="2853">
        <f t="shared" si="4"/>
        <v>8</v>
      </c>
      <c r="AN43" s="2854"/>
      <c r="AO43" s="2854"/>
      <c r="AP43" s="2746"/>
    </row>
    <row r="44" spans="1:49" ht="36.75" customHeight="1">
      <c r="A44" s="2851">
        <v>33</v>
      </c>
      <c r="B44" s="2812" t="s">
        <v>2192</v>
      </c>
      <c r="C44" s="2852"/>
      <c r="D44" s="3364" t="s">
        <v>451</v>
      </c>
      <c r="E44" s="2851"/>
      <c r="F44" s="2851"/>
      <c r="G44" s="2851"/>
      <c r="H44" s="2851"/>
      <c r="I44" s="2851"/>
      <c r="J44" s="2851"/>
      <c r="K44" s="2851"/>
      <c r="L44" s="2851"/>
      <c r="M44" s="2851"/>
      <c r="N44" s="2851"/>
      <c r="O44" s="2851"/>
      <c r="P44" s="2851"/>
      <c r="Q44" s="2851" t="s">
        <v>1882</v>
      </c>
      <c r="R44" s="2851"/>
      <c r="S44" s="2851"/>
      <c r="T44" s="2851"/>
      <c r="U44" s="2851" t="s">
        <v>29</v>
      </c>
      <c r="V44" s="2851" t="s">
        <v>29</v>
      </c>
      <c r="W44" s="2851" t="s">
        <v>29</v>
      </c>
      <c r="X44" s="2851" t="s">
        <v>1882</v>
      </c>
      <c r="Y44" s="2851" t="s">
        <v>29</v>
      </c>
      <c r="Z44" s="2851" t="s">
        <v>29</v>
      </c>
      <c r="AA44" s="2851" t="s">
        <v>29</v>
      </c>
      <c r="AB44" s="2851" t="s">
        <v>29</v>
      </c>
      <c r="AC44" s="2851" t="s">
        <v>29</v>
      </c>
      <c r="AD44" s="2851"/>
      <c r="AE44" s="2851"/>
      <c r="AF44" s="2851" t="s">
        <v>29</v>
      </c>
      <c r="AG44" s="2851" t="s">
        <v>29</v>
      </c>
      <c r="AH44" s="2851" t="s">
        <v>29</v>
      </c>
      <c r="AI44" s="2853">
        <f t="shared" si="0"/>
        <v>11</v>
      </c>
      <c r="AJ44" s="2853">
        <f t="shared" si="1"/>
        <v>2</v>
      </c>
      <c r="AK44" s="2853">
        <f>+COUNTIF(E44:AH44,"D")</f>
        <v>0</v>
      </c>
      <c r="AL44" s="2853">
        <f>+COUNTIF(E44:AH44,"DCN")</f>
        <v>0</v>
      </c>
      <c r="AM44" s="2853">
        <f t="shared" si="4"/>
        <v>13</v>
      </c>
      <c r="AN44" s="2854"/>
      <c r="AO44" s="2854"/>
      <c r="AP44" s="2746"/>
    </row>
    <row r="45" spans="1:49" ht="36.75" customHeight="1">
      <c r="A45" s="2851">
        <v>34</v>
      </c>
      <c r="B45" s="2812" t="s">
        <v>2193</v>
      </c>
      <c r="C45" s="2852"/>
      <c r="D45" s="3364" t="s">
        <v>451</v>
      </c>
      <c r="E45" s="2851"/>
      <c r="F45" s="2851"/>
      <c r="G45" s="2851"/>
      <c r="H45" s="2851"/>
      <c r="I45" s="2851"/>
      <c r="J45" s="2851"/>
      <c r="K45" s="2851"/>
      <c r="L45" s="2851"/>
      <c r="M45" s="2851"/>
      <c r="N45" s="2851"/>
      <c r="O45" s="2851"/>
      <c r="P45" s="2851"/>
      <c r="Q45" s="2851" t="s">
        <v>1882</v>
      </c>
      <c r="R45" s="2851"/>
      <c r="S45" s="2851"/>
      <c r="T45" s="2851"/>
      <c r="U45" s="2851" t="s">
        <v>29</v>
      </c>
      <c r="V45" s="2851" t="s">
        <v>29</v>
      </c>
      <c r="W45" s="2851" t="s">
        <v>29</v>
      </c>
      <c r="X45" s="2851" t="s">
        <v>1882</v>
      </c>
      <c r="Y45" s="2851" t="s">
        <v>29</v>
      </c>
      <c r="Z45" s="2851" t="s">
        <v>29</v>
      </c>
      <c r="AA45" s="2851" t="s">
        <v>29</v>
      </c>
      <c r="AB45" s="2851" t="s">
        <v>29</v>
      </c>
      <c r="AC45" s="2851" t="s">
        <v>29</v>
      </c>
      <c r="AD45" s="2851" t="s">
        <v>29</v>
      </c>
      <c r="AE45" s="2851" t="s">
        <v>1882</v>
      </c>
      <c r="AF45" s="2851" t="s">
        <v>29</v>
      </c>
      <c r="AG45" s="2851" t="s">
        <v>29</v>
      </c>
      <c r="AH45" s="2851" t="s">
        <v>29</v>
      </c>
      <c r="AI45" s="2853">
        <f t="shared" si="0"/>
        <v>12</v>
      </c>
      <c r="AJ45" s="2853">
        <f t="shared" si="1"/>
        <v>3</v>
      </c>
      <c r="AK45" s="2853">
        <f>+COUNTIF(E45:AH45,"D")</f>
        <v>0</v>
      </c>
      <c r="AL45" s="2853">
        <f>+COUNTIF(E45:AH45,"DCN")</f>
        <v>0</v>
      </c>
      <c r="AM45" s="2853">
        <f t="shared" si="4"/>
        <v>15</v>
      </c>
      <c r="AN45" s="2854"/>
      <c r="AO45" s="2854"/>
      <c r="AP45" s="2746"/>
    </row>
    <row r="46" spans="1:49" ht="36.75" customHeight="1">
      <c r="A46" s="3905" t="s">
        <v>1883</v>
      </c>
      <c r="B46" s="3905"/>
      <c r="C46" s="3905"/>
      <c r="D46" s="3905"/>
      <c r="E46" s="3182">
        <f t="shared" ref="E46:AH46" si="6">COUNTIF(E12:E45,"X")+COUNTIF(E12:E45,"cn")+COUNTIF(E12:E45,"D")+COUNTIF(E12:E45,"DCN")</f>
        <v>0</v>
      </c>
      <c r="F46" s="3182">
        <f t="shared" si="6"/>
        <v>0</v>
      </c>
      <c r="G46" s="3182">
        <f t="shared" si="6"/>
        <v>0</v>
      </c>
      <c r="H46" s="3182">
        <f t="shared" si="6"/>
        <v>0</v>
      </c>
      <c r="I46" s="3182">
        <f t="shared" si="6"/>
        <v>0</v>
      </c>
      <c r="J46" s="3182">
        <f t="shared" si="6"/>
        <v>0</v>
      </c>
      <c r="K46" s="3182">
        <f t="shared" si="6"/>
        <v>0</v>
      </c>
      <c r="L46" s="3182">
        <f t="shared" si="6"/>
        <v>0</v>
      </c>
      <c r="M46" s="3182">
        <f t="shared" si="6"/>
        <v>0</v>
      </c>
      <c r="N46" s="3182">
        <f t="shared" si="6"/>
        <v>0</v>
      </c>
      <c r="O46" s="3182">
        <f t="shared" si="6"/>
        <v>0</v>
      </c>
      <c r="P46" s="3182">
        <f t="shared" si="6"/>
        <v>0</v>
      </c>
      <c r="Q46" s="3182">
        <f t="shared" si="6"/>
        <v>34</v>
      </c>
      <c r="R46" s="3182">
        <f t="shared" si="6"/>
        <v>0</v>
      </c>
      <c r="S46" s="3182">
        <f t="shared" si="6"/>
        <v>0</v>
      </c>
      <c r="T46" s="3182">
        <f t="shared" si="6"/>
        <v>0</v>
      </c>
      <c r="U46" s="3182">
        <f t="shared" si="6"/>
        <v>33</v>
      </c>
      <c r="V46" s="3182">
        <f t="shared" si="6"/>
        <v>34</v>
      </c>
      <c r="W46" s="3182">
        <f t="shared" si="6"/>
        <v>34</v>
      </c>
      <c r="X46" s="3182">
        <f t="shared" si="6"/>
        <v>34</v>
      </c>
      <c r="Y46" s="3182">
        <f t="shared" si="6"/>
        <v>33</v>
      </c>
      <c r="Z46" s="3182">
        <f t="shared" si="6"/>
        <v>33</v>
      </c>
      <c r="AA46" s="3182">
        <f t="shared" si="6"/>
        <v>32</v>
      </c>
      <c r="AB46" s="3182">
        <f t="shared" si="6"/>
        <v>32</v>
      </c>
      <c r="AC46" s="3182">
        <f t="shared" si="6"/>
        <v>32</v>
      </c>
      <c r="AD46" s="3182">
        <f t="shared" si="6"/>
        <v>30</v>
      </c>
      <c r="AE46" s="3182">
        <f t="shared" si="6"/>
        <v>29</v>
      </c>
      <c r="AF46" s="3182">
        <f t="shared" si="6"/>
        <v>30</v>
      </c>
      <c r="AG46" s="3182">
        <f t="shared" si="6"/>
        <v>30</v>
      </c>
      <c r="AH46" s="3182">
        <f t="shared" si="6"/>
        <v>31</v>
      </c>
      <c r="AI46" s="3183">
        <f>SUM(AI12:AI45)</f>
        <v>384</v>
      </c>
      <c r="AJ46" s="3183">
        <f>SUM(AJ12:AJ45)</f>
        <v>97</v>
      </c>
      <c r="AK46" s="3183">
        <f>SUM(AK12:AK45)</f>
        <v>0</v>
      </c>
      <c r="AL46" s="3183">
        <f>SUM(AL12:AL45)</f>
        <v>0</v>
      </c>
      <c r="AM46" s="2855">
        <f>SUM(AM12:AM45)</f>
        <v>481</v>
      </c>
      <c r="AN46" s="2856"/>
      <c r="AO46" s="2856"/>
      <c r="AP46" s="2856"/>
      <c r="AQ46" s="2857">
        <f>+AM46+AM90</f>
        <v>1192</v>
      </c>
      <c r="AR46" s="2870">
        <f>+AI46+AI90</f>
        <v>979</v>
      </c>
      <c r="AS46" s="2870">
        <f>+AJ46+AJ90</f>
        <v>213</v>
      </c>
      <c r="AT46" s="2870">
        <f>+AK46+AK90</f>
        <v>0</v>
      </c>
      <c r="AU46" s="2870">
        <f>+AL46+AL90</f>
        <v>0</v>
      </c>
      <c r="AV46" s="2870"/>
      <c r="AW46" s="2870"/>
    </row>
    <row r="47" spans="1:49" ht="36.75" customHeight="1">
      <c r="A47" s="2858">
        <v>1</v>
      </c>
      <c r="B47" s="2859" t="s">
        <v>2195</v>
      </c>
      <c r="C47" s="2860"/>
      <c r="D47" s="3365" t="s">
        <v>451</v>
      </c>
      <c r="E47" s="2851"/>
      <c r="F47" s="2851"/>
      <c r="G47" s="2851"/>
      <c r="H47" s="2851"/>
      <c r="I47" s="2851"/>
      <c r="J47" s="2851"/>
      <c r="K47" s="2851"/>
      <c r="L47" s="2851"/>
      <c r="M47" s="2851"/>
      <c r="N47" s="2851" t="s">
        <v>29</v>
      </c>
      <c r="O47" s="2851" t="s">
        <v>29</v>
      </c>
      <c r="P47" s="2851" t="s">
        <v>29</v>
      </c>
      <c r="Q47" s="2851" t="s">
        <v>1882</v>
      </c>
      <c r="R47" s="2851"/>
      <c r="S47" s="2851"/>
      <c r="T47" s="2851"/>
      <c r="U47" s="2851" t="s">
        <v>29</v>
      </c>
      <c r="V47" s="2851" t="s">
        <v>29</v>
      </c>
      <c r="W47" s="2851" t="s">
        <v>29</v>
      </c>
      <c r="X47" s="2851" t="s">
        <v>1882</v>
      </c>
      <c r="Y47" s="2851" t="s">
        <v>29</v>
      </c>
      <c r="Z47" s="2851" t="s">
        <v>29</v>
      </c>
      <c r="AA47" s="2851" t="s">
        <v>29</v>
      </c>
      <c r="AB47" s="2851" t="s">
        <v>29</v>
      </c>
      <c r="AC47" s="2851" t="s">
        <v>29</v>
      </c>
      <c r="AD47" s="2851" t="s">
        <v>29</v>
      </c>
      <c r="AE47" s="2883" t="s">
        <v>1882</v>
      </c>
      <c r="AF47" s="2883" t="s">
        <v>29</v>
      </c>
      <c r="AG47" s="2883" t="s">
        <v>29</v>
      </c>
      <c r="AH47" s="2883" t="s">
        <v>29</v>
      </c>
      <c r="AI47" s="2862">
        <f>+COUNTIF(E47:AH47,"X")</f>
        <v>15</v>
      </c>
      <c r="AJ47" s="2862">
        <f>+COUNTIF(E47:AH47,"CN")</f>
        <v>3</v>
      </c>
      <c r="AK47" s="3501">
        <f>+COUNTIF(E47:AH47,"D")</f>
        <v>0</v>
      </c>
      <c r="AL47" s="2862">
        <f>+COUNTIF(E47:AH47,"DCN")</f>
        <v>0</v>
      </c>
      <c r="AM47" s="2862">
        <f t="shared" ref="AM47:AM89" si="7">+SUM(AI47:AL47)</f>
        <v>18</v>
      </c>
      <c r="AN47" s="2863"/>
      <c r="AO47" s="2863"/>
      <c r="AP47" s="2864"/>
    </row>
    <row r="48" spans="1:49" ht="36.75" customHeight="1">
      <c r="A48" s="2851">
        <v>2</v>
      </c>
      <c r="B48" s="2865" t="s">
        <v>2196</v>
      </c>
      <c r="C48" s="2852"/>
      <c r="D48" s="3364" t="s">
        <v>451</v>
      </c>
      <c r="E48" s="2851"/>
      <c r="F48" s="2851"/>
      <c r="G48" s="2851"/>
      <c r="H48" s="2851"/>
      <c r="I48" s="2851"/>
      <c r="J48" s="2851"/>
      <c r="K48" s="2851"/>
      <c r="L48" s="2851"/>
      <c r="M48" s="2851"/>
      <c r="N48" s="2851" t="s">
        <v>29</v>
      </c>
      <c r="O48" s="2851" t="s">
        <v>29</v>
      </c>
      <c r="P48" s="2851" t="s">
        <v>29</v>
      </c>
      <c r="Q48" s="2851" t="s">
        <v>1882</v>
      </c>
      <c r="R48" s="2851"/>
      <c r="S48" s="2851"/>
      <c r="T48" s="2851"/>
      <c r="U48" s="2851" t="s">
        <v>29</v>
      </c>
      <c r="V48" s="2851" t="s">
        <v>29</v>
      </c>
      <c r="W48" s="2851" t="s">
        <v>29</v>
      </c>
      <c r="X48" s="2851" t="s">
        <v>1882</v>
      </c>
      <c r="Y48" s="2851" t="s">
        <v>29</v>
      </c>
      <c r="Z48" s="2851" t="s">
        <v>29</v>
      </c>
      <c r="AA48" s="2851" t="s">
        <v>29</v>
      </c>
      <c r="AB48" s="2851" t="s">
        <v>29</v>
      </c>
      <c r="AC48" s="2851" t="s">
        <v>29</v>
      </c>
      <c r="AD48" s="2851" t="s">
        <v>29</v>
      </c>
      <c r="AE48" s="2883" t="s">
        <v>1882</v>
      </c>
      <c r="AF48" s="2883" t="s">
        <v>29</v>
      </c>
      <c r="AG48" s="2883" t="s">
        <v>29</v>
      </c>
      <c r="AH48" s="2883" t="s">
        <v>29</v>
      </c>
      <c r="AI48" s="2853">
        <f>+COUNTIF(E48:AH48,"X")</f>
        <v>15</v>
      </c>
      <c r="AJ48" s="2853">
        <f>+COUNTIF(E48:AH48,"CN")</f>
        <v>3</v>
      </c>
      <c r="AK48" s="3060">
        <f>+COUNTIF(E48:AH48,"D")</f>
        <v>0</v>
      </c>
      <c r="AL48" s="2853">
        <f>+COUNTIF(E48:AH48,"DCN")</f>
        <v>0</v>
      </c>
      <c r="AM48" s="2853">
        <f t="shared" si="7"/>
        <v>18</v>
      </c>
      <c r="AN48" s="2854"/>
      <c r="AO48" s="2854"/>
      <c r="AP48" s="2746"/>
    </row>
    <row r="49" spans="1:42" ht="36.75" customHeight="1">
      <c r="A49" s="2858">
        <v>3</v>
      </c>
      <c r="B49" s="2865" t="s">
        <v>2197</v>
      </c>
      <c r="C49" s="2852"/>
      <c r="D49" s="3365" t="s">
        <v>451</v>
      </c>
      <c r="E49" s="2851"/>
      <c r="F49" s="2851"/>
      <c r="G49" s="2851"/>
      <c r="H49" s="2851"/>
      <c r="I49" s="2851"/>
      <c r="J49" s="2851"/>
      <c r="K49" s="2851"/>
      <c r="L49" s="2851"/>
      <c r="M49" s="2851"/>
      <c r="N49" s="2851" t="s">
        <v>29</v>
      </c>
      <c r="O49" s="2851" t="s">
        <v>29</v>
      </c>
      <c r="P49" s="2851" t="s">
        <v>29</v>
      </c>
      <c r="Q49" s="2851" t="s">
        <v>1882</v>
      </c>
      <c r="R49" s="2851"/>
      <c r="S49" s="2851"/>
      <c r="T49" s="2851"/>
      <c r="U49" s="2851" t="s">
        <v>29</v>
      </c>
      <c r="V49" s="2851" t="s">
        <v>29</v>
      </c>
      <c r="W49" s="2851" t="s">
        <v>29</v>
      </c>
      <c r="X49" s="2851" t="s">
        <v>1882</v>
      </c>
      <c r="Y49" s="2851" t="s">
        <v>29</v>
      </c>
      <c r="Z49" s="2851" t="s">
        <v>29</v>
      </c>
      <c r="AA49" s="2851" t="s">
        <v>29</v>
      </c>
      <c r="AB49" s="2851" t="s">
        <v>29</v>
      </c>
      <c r="AC49" s="2851" t="s">
        <v>29</v>
      </c>
      <c r="AD49" s="2851" t="s">
        <v>29</v>
      </c>
      <c r="AE49" s="2883" t="s">
        <v>1882</v>
      </c>
      <c r="AF49" s="2883" t="s">
        <v>29</v>
      </c>
      <c r="AG49" s="2883" t="s">
        <v>29</v>
      </c>
      <c r="AH49" s="2883" t="s">
        <v>29</v>
      </c>
      <c r="AI49" s="2853">
        <f t="shared" ref="AI49:AI88" si="8">+COUNTIF(E49:AH49,"X")</f>
        <v>15</v>
      </c>
      <c r="AJ49" s="2853">
        <f t="shared" ref="AJ49:AJ88" si="9">+COUNTIF(E49:AH49,"CN")</f>
        <v>3</v>
      </c>
      <c r="AK49" s="3060">
        <f t="shared" ref="AK49:AK82" si="10">+COUNTIF(E49:AH49,"D")</f>
        <v>0</v>
      </c>
      <c r="AL49" s="2853">
        <f t="shared" ref="AL49:AL82" si="11">+COUNTIF(E49:AH49,"DCN")</f>
        <v>0</v>
      </c>
      <c r="AM49" s="2853">
        <f t="shared" si="7"/>
        <v>18</v>
      </c>
      <c r="AN49" s="2854"/>
      <c r="AO49" s="2854"/>
      <c r="AP49" s="2746"/>
    </row>
    <row r="50" spans="1:42" ht="36.75" customHeight="1">
      <c r="A50" s="2851">
        <v>4</v>
      </c>
      <c r="B50" s="2865" t="s">
        <v>2198</v>
      </c>
      <c r="C50" s="2852"/>
      <c r="D50" s="3364" t="s">
        <v>451</v>
      </c>
      <c r="E50" s="2851"/>
      <c r="F50" s="2851"/>
      <c r="G50" s="2851"/>
      <c r="H50" s="2851"/>
      <c r="I50" s="2851"/>
      <c r="J50" s="2851"/>
      <c r="K50" s="2851"/>
      <c r="L50" s="2851"/>
      <c r="M50" s="2851"/>
      <c r="N50" s="2851" t="s">
        <v>29</v>
      </c>
      <c r="O50" s="2851" t="s">
        <v>29</v>
      </c>
      <c r="P50" s="2851" t="s">
        <v>29</v>
      </c>
      <c r="Q50" s="2851" t="s">
        <v>1882</v>
      </c>
      <c r="R50" s="2851"/>
      <c r="S50" s="2851"/>
      <c r="T50" s="2851"/>
      <c r="U50" s="2851" t="s">
        <v>29</v>
      </c>
      <c r="V50" s="2851" t="s">
        <v>29</v>
      </c>
      <c r="W50" s="2851" t="s">
        <v>29</v>
      </c>
      <c r="X50" s="2851" t="s">
        <v>1882</v>
      </c>
      <c r="Y50" s="2851" t="s">
        <v>29</v>
      </c>
      <c r="Z50" s="2851" t="s">
        <v>29</v>
      </c>
      <c r="AA50" s="2851" t="s">
        <v>29</v>
      </c>
      <c r="AB50" s="2851" t="s">
        <v>29</v>
      </c>
      <c r="AC50" s="2851" t="s">
        <v>29</v>
      </c>
      <c r="AD50" s="2851" t="s">
        <v>29</v>
      </c>
      <c r="AE50" s="2883" t="s">
        <v>1882</v>
      </c>
      <c r="AF50" s="2883" t="s">
        <v>29</v>
      </c>
      <c r="AG50" s="2883" t="s">
        <v>29</v>
      </c>
      <c r="AH50" s="2883" t="s">
        <v>29</v>
      </c>
      <c r="AI50" s="2853">
        <f t="shared" si="8"/>
        <v>15</v>
      </c>
      <c r="AJ50" s="2853">
        <f t="shared" si="9"/>
        <v>3</v>
      </c>
      <c r="AK50" s="3060">
        <f t="shared" si="10"/>
        <v>0</v>
      </c>
      <c r="AL50" s="2853">
        <f t="shared" si="11"/>
        <v>0</v>
      </c>
      <c r="AM50" s="2853">
        <f t="shared" si="7"/>
        <v>18</v>
      </c>
      <c r="AN50" s="2854"/>
      <c r="AO50" s="2854"/>
      <c r="AP50" s="2746"/>
    </row>
    <row r="51" spans="1:42" ht="36.75" customHeight="1">
      <c r="A51" s="2858">
        <v>5</v>
      </c>
      <c r="B51" s="2865" t="s">
        <v>2199</v>
      </c>
      <c r="C51" s="2852"/>
      <c r="D51" s="3365" t="s">
        <v>451</v>
      </c>
      <c r="E51" s="2851"/>
      <c r="F51" s="2851"/>
      <c r="G51" s="2851"/>
      <c r="H51" s="2851"/>
      <c r="I51" s="2851"/>
      <c r="J51" s="2851"/>
      <c r="K51" s="2851"/>
      <c r="L51" s="2851"/>
      <c r="M51" s="2851"/>
      <c r="N51" s="2851" t="s">
        <v>29</v>
      </c>
      <c r="O51" s="2851" t="s">
        <v>29</v>
      </c>
      <c r="P51" s="2851" t="s">
        <v>29</v>
      </c>
      <c r="Q51" s="2851" t="s">
        <v>1882</v>
      </c>
      <c r="R51" s="2851"/>
      <c r="S51" s="2851"/>
      <c r="T51" s="2851"/>
      <c r="U51" s="2851" t="s">
        <v>29</v>
      </c>
      <c r="V51" s="2851" t="s">
        <v>29</v>
      </c>
      <c r="W51" s="2851" t="s">
        <v>29</v>
      </c>
      <c r="X51" s="2851" t="s">
        <v>1882</v>
      </c>
      <c r="Y51" s="2851" t="s">
        <v>29</v>
      </c>
      <c r="Z51" s="2851" t="s">
        <v>29</v>
      </c>
      <c r="AA51" s="2851" t="s">
        <v>29</v>
      </c>
      <c r="AB51" s="2851" t="s">
        <v>29</v>
      </c>
      <c r="AC51" s="2851" t="s">
        <v>29</v>
      </c>
      <c r="AD51" s="2851" t="s">
        <v>29</v>
      </c>
      <c r="AE51" s="2883" t="s">
        <v>1882</v>
      </c>
      <c r="AF51" s="2883" t="s">
        <v>29</v>
      </c>
      <c r="AG51" s="2883" t="s">
        <v>29</v>
      </c>
      <c r="AH51" s="2883" t="s">
        <v>29</v>
      </c>
      <c r="AI51" s="2853">
        <f t="shared" si="8"/>
        <v>15</v>
      </c>
      <c r="AJ51" s="2853">
        <f t="shared" si="9"/>
        <v>3</v>
      </c>
      <c r="AK51" s="3060">
        <f t="shared" si="10"/>
        <v>0</v>
      </c>
      <c r="AL51" s="2853">
        <f t="shared" si="11"/>
        <v>0</v>
      </c>
      <c r="AM51" s="2853">
        <f t="shared" si="7"/>
        <v>18</v>
      </c>
      <c r="AN51" s="2854"/>
      <c r="AO51" s="2854"/>
      <c r="AP51" s="2746"/>
    </row>
    <row r="52" spans="1:42" ht="36.75" customHeight="1">
      <c r="A52" s="2851">
        <v>6</v>
      </c>
      <c r="B52" s="2865" t="s">
        <v>2200</v>
      </c>
      <c r="C52" s="2852"/>
      <c r="D52" s="3364" t="s">
        <v>451</v>
      </c>
      <c r="E52" s="2851"/>
      <c r="F52" s="2851"/>
      <c r="G52" s="2851"/>
      <c r="H52" s="2851"/>
      <c r="I52" s="2851"/>
      <c r="J52" s="2851"/>
      <c r="K52" s="2851"/>
      <c r="L52" s="2851"/>
      <c r="M52" s="2851"/>
      <c r="N52" s="2851" t="s">
        <v>29</v>
      </c>
      <c r="O52" s="2851" t="s">
        <v>29</v>
      </c>
      <c r="P52" s="2851" t="s">
        <v>29</v>
      </c>
      <c r="Q52" s="2851" t="s">
        <v>1882</v>
      </c>
      <c r="R52" s="2851"/>
      <c r="S52" s="2851"/>
      <c r="T52" s="2851"/>
      <c r="U52" s="2851" t="s">
        <v>29</v>
      </c>
      <c r="V52" s="2851" t="s">
        <v>29</v>
      </c>
      <c r="W52" s="2851" t="s">
        <v>29</v>
      </c>
      <c r="X52" s="2851" t="s">
        <v>1882</v>
      </c>
      <c r="Y52" s="2851" t="s">
        <v>29</v>
      </c>
      <c r="Z52" s="2851" t="s">
        <v>29</v>
      </c>
      <c r="AA52" s="2851" t="s">
        <v>29</v>
      </c>
      <c r="AB52" s="2851" t="s">
        <v>29</v>
      </c>
      <c r="AC52" s="2851" t="s">
        <v>29</v>
      </c>
      <c r="AD52" s="2851" t="s">
        <v>29</v>
      </c>
      <c r="AE52" s="2883" t="s">
        <v>1882</v>
      </c>
      <c r="AF52" s="2883" t="s">
        <v>29</v>
      </c>
      <c r="AG52" s="2883" t="s">
        <v>29</v>
      </c>
      <c r="AH52" s="2883" t="s">
        <v>29</v>
      </c>
      <c r="AI52" s="2853">
        <f t="shared" si="8"/>
        <v>15</v>
      </c>
      <c r="AJ52" s="2853">
        <f t="shared" si="9"/>
        <v>3</v>
      </c>
      <c r="AK52" s="3060">
        <f t="shared" si="10"/>
        <v>0</v>
      </c>
      <c r="AL52" s="2853">
        <f t="shared" si="11"/>
        <v>0</v>
      </c>
      <c r="AM52" s="2853">
        <f t="shared" si="7"/>
        <v>18</v>
      </c>
      <c r="AN52" s="2854"/>
      <c r="AO52" s="2854"/>
      <c r="AP52" s="2746"/>
    </row>
    <row r="53" spans="1:42" ht="36.75" customHeight="1">
      <c r="A53" s="2858">
        <v>7</v>
      </c>
      <c r="B53" s="2865" t="s">
        <v>2201</v>
      </c>
      <c r="C53" s="2852"/>
      <c r="D53" s="3365" t="s">
        <v>451</v>
      </c>
      <c r="E53" s="2851"/>
      <c r="F53" s="2851"/>
      <c r="G53" s="2851"/>
      <c r="H53" s="2851"/>
      <c r="I53" s="2851"/>
      <c r="J53" s="2851"/>
      <c r="K53" s="2851"/>
      <c r="L53" s="2851"/>
      <c r="M53" s="2851"/>
      <c r="N53" s="2851" t="s">
        <v>29</v>
      </c>
      <c r="O53" s="2851" t="s">
        <v>29</v>
      </c>
      <c r="P53" s="2851" t="s">
        <v>29</v>
      </c>
      <c r="Q53" s="2851" t="s">
        <v>1882</v>
      </c>
      <c r="R53" s="2851"/>
      <c r="S53" s="2851"/>
      <c r="T53" s="2851"/>
      <c r="U53" s="2851" t="s">
        <v>29</v>
      </c>
      <c r="V53" s="2851" t="s">
        <v>29</v>
      </c>
      <c r="W53" s="2851" t="s">
        <v>29</v>
      </c>
      <c r="X53" s="2851" t="s">
        <v>1882</v>
      </c>
      <c r="Y53" s="2851" t="s">
        <v>29</v>
      </c>
      <c r="Z53" s="2851" t="s">
        <v>29</v>
      </c>
      <c r="AA53" s="2851" t="s">
        <v>29</v>
      </c>
      <c r="AB53" s="2851" t="s">
        <v>29</v>
      </c>
      <c r="AC53" s="2851" t="s">
        <v>29</v>
      </c>
      <c r="AD53" s="2851" t="s">
        <v>29</v>
      </c>
      <c r="AE53" s="2883" t="s">
        <v>1882</v>
      </c>
      <c r="AF53" s="2883" t="s">
        <v>29</v>
      </c>
      <c r="AG53" s="2883" t="s">
        <v>29</v>
      </c>
      <c r="AH53" s="2883" t="s">
        <v>29</v>
      </c>
      <c r="AI53" s="2853">
        <f t="shared" si="8"/>
        <v>15</v>
      </c>
      <c r="AJ53" s="2853">
        <f t="shared" si="9"/>
        <v>3</v>
      </c>
      <c r="AK53" s="3060">
        <f t="shared" si="10"/>
        <v>0</v>
      </c>
      <c r="AL53" s="2853">
        <f t="shared" si="11"/>
        <v>0</v>
      </c>
      <c r="AM53" s="2853">
        <f t="shared" si="7"/>
        <v>18</v>
      </c>
      <c r="AN53" s="2854"/>
      <c r="AO53" s="2854"/>
      <c r="AP53" s="2746"/>
    </row>
    <row r="54" spans="1:42" ht="36.75" customHeight="1">
      <c r="A54" s="2851">
        <v>8</v>
      </c>
      <c r="B54" s="2865" t="s">
        <v>2202</v>
      </c>
      <c r="C54" s="2852"/>
      <c r="D54" s="3364" t="s">
        <v>451</v>
      </c>
      <c r="E54" s="2851"/>
      <c r="F54" s="2851"/>
      <c r="G54" s="2851"/>
      <c r="H54" s="2851"/>
      <c r="I54" s="2851"/>
      <c r="J54" s="2851"/>
      <c r="K54" s="2851"/>
      <c r="L54" s="2851"/>
      <c r="M54" s="2851"/>
      <c r="N54" s="2851" t="s">
        <v>29</v>
      </c>
      <c r="O54" s="2851" t="s">
        <v>29</v>
      </c>
      <c r="P54" s="2851" t="s">
        <v>29</v>
      </c>
      <c r="Q54" s="2851" t="s">
        <v>1882</v>
      </c>
      <c r="R54" s="2851"/>
      <c r="S54" s="2851"/>
      <c r="T54" s="2851"/>
      <c r="U54" s="2851" t="s">
        <v>29</v>
      </c>
      <c r="V54" s="2851" t="s">
        <v>29</v>
      </c>
      <c r="W54" s="2851" t="s">
        <v>29</v>
      </c>
      <c r="X54" s="2851" t="s">
        <v>1882</v>
      </c>
      <c r="Y54" s="2851" t="s">
        <v>29</v>
      </c>
      <c r="Z54" s="2851" t="s">
        <v>29</v>
      </c>
      <c r="AA54" s="2851" t="s">
        <v>29</v>
      </c>
      <c r="AB54" s="2851" t="s">
        <v>29</v>
      </c>
      <c r="AC54" s="2851" t="s">
        <v>29</v>
      </c>
      <c r="AD54" s="2851" t="s">
        <v>29</v>
      </c>
      <c r="AE54" s="2883" t="s">
        <v>1882</v>
      </c>
      <c r="AF54" s="2883" t="s">
        <v>29</v>
      </c>
      <c r="AG54" s="2883" t="s">
        <v>29</v>
      </c>
      <c r="AH54" s="2883" t="s">
        <v>29</v>
      </c>
      <c r="AI54" s="2853">
        <f t="shared" si="8"/>
        <v>15</v>
      </c>
      <c r="AJ54" s="2853">
        <f t="shared" si="9"/>
        <v>3</v>
      </c>
      <c r="AK54" s="3060">
        <f t="shared" si="10"/>
        <v>0</v>
      </c>
      <c r="AL54" s="2853">
        <f t="shared" si="11"/>
        <v>0</v>
      </c>
      <c r="AM54" s="2853">
        <f t="shared" si="7"/>
        <v>18</v>
      </c>
      <c r="AN54" s="2854"/>
      <c r="AO54" s="2854"/>
      <c r="AP54" s="2746"/>
    </row>
    <row r="55" spans="1:42" ht="36.75" customHeight="1">
      <c r="A55" s="2858">
        <v>9</v>
      </c>
      <c r="B55" s="2865" t="s">
        <v>2203</v>
      </c>
      <c r="C55" s="2852"/>
      <c r="D55" s="3365" t="s">
        <v>451</v>
      </c>
      <c r="E55" s="2851"/>
      <c r="F55" s="2851"/>
      <c r="G55" s="2851"/>
      <c r="H55" s="2851"/>
      <c r="I55" s="2851"/>
      <c r="J55" s="2851"/>
      <c r="K55" s="2851"/>
      <c r="L55" s="2851"/>
      <c r="M55" s="2851"/>
      <c r="N55" s="2851" t="s">
        <v>29</v>
      </c>
      <c r="O55" s="2851" t="s">
        <v>29</v>
      </c>
      <c r="P55" s="2851" t="s">
        <v>29</v>
      </c>
      <c r="Q55" s="2851" t="s">
        <v>1882</v>
      </c>
      <c r="R55" s="2851"/>
      <c r="S55" s="2851"/>
      <c r="T55" s="2851"/>
      <c r="U55" s="2851" t="s">
        <v>29</v>
      </c>
      <c r="V55" s="2851" t="s">
        <v>29</v>
      </c>
      <c r="W55" s="2851" t="s">
        <v>29</v>
      </c>
      <c r="X55" s="2851" t="s">
        <v>1882</v>
      </c>
      <c r="Y55" s="2851" t="s">
        <v>29</v>
      </c>
      <c r="Z55" s="2851" t="s">
        <v>29</v>
      </c>
      <c r="AA55" s="2851" t="s">
        <v>29</v>
      </c>
      <c r="AB55" s="2851" t="s">
        <v>29</v>
      </c>
      <c r="AC55" s="2851" t="s">
        <v>29</v>
      </c>
      <c r="AD55" s="2851" t="s">
        <v>29</v>
      </c>
      <c r="AE55" s="2883" t="s">
        <v>1882</v>
      </c>
      <c r="AF55" s="2883" t="s">
        <v>29</v>
      </c>
      <c r="AG55" s="2883" t="s">
        <v>29</v>
      </c>
      <c r="AH55" s="2883" t="s">
        <v>29</v>
      </c>
      <c r="AI55" s="2853">
        <f t="shared" si="8"/>
        <v>15</v>
      </c>
      <c r="AJ55" s="2853">
        <f t="shared" si="9"/>
        <v>3</v>
      </c>
      <c r="AK55" s="3060">
        <f t="shared" si="10"/>
        <v>0</v>
      </c>
      <c r="AL55" s="2853">
        <f t="shared" si="11"/>
        <v>0</v>
      </c>
      <c r="AM55" s="2853">
        <f t="shared" si="7"/>
        <v>18</v>
      </c>
      <c r="AN55" s="2854"/>
      <c r="AO55" s="2854"/>
      <c r="AP55" s="2746"/>
    </row>
    <row r="56" spans="1:42" ht="36.75" customHeight="1">
      <c r="A56" s="2851">
        <v>10</v>
      </c>
      <c r="B56" s="2865" t="s">
        <v>2204</v>
      </c>
      <c r="C56" s="2852"/>
      <c r="D56" s="3364" t="s">
        <v>451</v>
      </c>
      <c r="E56" s="2851"/>
      <c r="F56" s="2851"/>
      <c r="G56" s="2851"/>
      <c r="H56" s="2851"/>
      <c r="I56" s="2851"/>
      <c r="J56" s="2851"/>
      <c r="K56" s="2851"/>
      <c r="L56" s="2851"/>
      <c r="M56" s="2851"/>
      <c r="N56" s="2851" t="s">
        <v>29</v>
      </c>
      <c r="O56" s="2851" t="s">
        <v>29</v>
      </c>
      <c r="P56" s="2851" t="s">
        <v>29</v>
      </c>
      <c r="Q56" s="2851" t="s">
        <v>1882</v>
      </c>
      <c r="R56" s="2851"/>
      <c r="S56" s="2851"/>
      <c r="T56" s="2851"/>
      <c r="U56" s="2851" t="s">
        <v>29</v>
      </c>
      <c r="V56" s="2851" t="s">
        <v>29</v>
      </c>
      <c r="W56" s="2851" t="s">
        <v>29</v>
      </c>
      <c r="X56" s="2851" t="s">
        <v>1882</v>
      </c>
      <c r="Y56" s="2851" t="s">
        <v>29</v>
      </c>
      <c r="Z56" s="2851" t="s">
        <v>29</v>
      </c>
      <c r="AA56" s="2851" t="s">
        <v>29</v>
      </c>
      <c r="AB56" s="2851" t="s">
        <v>29</v>
      </c>
      <c r="AC56" s="2851" t="s">
        <v>29</v>
      </c>
      <c r="AD56" s="2851" t="s">
        <v>29</v>
      </c>
      <c r="AE56" s="2883" t="s">
        <v>1882</v>
      </c>
      <c r="AF56" s="2883" t="s">
        <v>29</v>
      </c>
      <c r="AG56" s="2883" t="s">
        <v>29</v>
      </c>
      <c r="AH56" s="2883" t="s">
        <v>29</v>
      </c>
      <c r="AI56" s="2853">
        <f t="shared" si="8"/>
        <v>15</v>
      </c>
      <c r="AJ56" s="2853">
        <f t="shared" si="9"/>
        <v>3</v>
      </c>
      <c r="AK56" s="3060">
        <f t="shared" si="10"/>
        <v>0</v>
      </c>
      <c r="AL56" s="2853">
        <f t="shared" si="11"/>
        <v>0</v>
      </c>
      <c r="AM56" s="2853">
        <f t="shared" si="7"/>
        <v>18</v>
      </c>
      <c r="AN56" s="2854"/>
      <c r="AO56" s="2854"/>
      <c r="AP56" s="2746"/>
    </row>
    <row r="57" spans="1:42" ht="36.75" customHeight="1">
      <c r="A57" s="2858">
        <v>11</v>
      </c>
      <c r="B57" s="2865" t="s">
        <v>2205</v>
      </c>
      <c r="C57" s="2852"/>
      <c r="D57" s="3365" t="s">
        <v>451</v>
      </c>
      <c r="E57" s="2851"/>
      <c r="F57" s="2851"/>
      <c r="G57" s="2851"/>
      <c r="H57" s="2851"/>
      <c r="I57" s="2851"/>
      <c r="J57" s="2851"/>
      <c r="K57" s="2851"/>
      <c r="L57" s="2851"/>
      <c r="M57" s="2851"/>
      <c r="N57" s="2851" t="s">
        <v>29</v>
      </c>
      <c r="O57" s="2851" t="s">
        <v>29</v>
      </c>
      <c r="P57" s="2851" t="s">
        <v>29</v>
      </c>
      <c r="Q57" s="2851" t="s">
        <v>1882</v>
      </c>
      <c r="R57" s="2851"/>
      <c r="S57" s="2851"/>
      <c r="T57" s="2851"/>
      <c r="U57" s="2851" t="s">
        <v>29</v>
      </c>
      <c r="V57" s="2851" t="s">
        <v>29</v>
      </c>
      <c r="W57" s="2851" t="s">
        <v>29</v>
      </c>
      <c r="X57" s="2851" t="s">
        <v>1882</v>
      </c>
      <c r="Y57" s="2851" t="s">
        <v>29</v>
      </c>
      <c r="Z57" s="2851" t="s">
        <v>29</v>
      </c>
      <c r="AA57" s="2851" t="s">
        <v>29</v>
      </c>
      <c r="AB57" s="2851" t="s">
        <v>29</v>
      </c>
      <c r="AC57" s="2851" t="s">
        <v>29</v>
      </c>
      <c r="AD57" s="2851" t="s">
        <v>29</v>
      </c>
      <c r="AE57" s="2883" t="s">
        <v>1882</v>
      </c>
      <c r="AF57" s="2883" t="s">
        <v>29</v>
      </c>
      <c r="AG57" s="2883" t="s">
        <v>29</v>
      </c>
      <c r="AH57" s="2883" t="s">
        <v>29</v>
      </c>
      <c r="AI57" s="2853">
        <f t="shared" si="8"/>
        <v>15</v>
      </c>
      <c r="AJ57" s="2853">
        <f t="shared" si="9"/>
        <v>3</v>
      </c>
      <c r="AK57" s="3060">
        <f t="shared" si="10"/>
        <v>0</v>
      </c>
      <c r="AL57" s="2853">
        <f t="shared" si="11"/>
        <v>0</v>
      </c>
      <c r="AM57" s="2853">
        <f t="shared" si="7"/>
        <v>18</v>
      </c>
      <c r="AN57" s="2854"/>
      <c r="AO57" s="2854"/>
      <c r="AP57" s="2746"/>
    </row>
    <row r="58" spans="1:42" ht="36.75" customHeight="1">
      <c r="A58" s="2851">
        <v>12</v>
      </c>
      <c r="B58" s="2865" t="s">
        <v>2206</v>
      </c>
      <c r="C58" s="2852"/>
      <c r="D58" s="3364" t="s">
        <v>451</v>
      </c>
      <c r="E58" s="2851"/>
      <c r="F58" s="2851"/>
      <c r="G58" s="2851"/>
      <c r="H58" s="2851"/>
      <c r="I58" s="2851"/>
      <c r="J58" s="2851"/>
      <c r="K58" s="2851"/>
      <c r="L58" s="2851"/>
      <c r="M58" s="2851"/>
      <c r="N58" s="2851" t="s">
        <v>29</v>
      </c>
      <c r="O58" s="2851" t="s">
        <v>29</v>
      </c>
      <c r="P58" s="2851" t="s">
        <v>29</v>
      </c>
      <c r="Q58" s="2851" t="s">
        <v>1882</v>
      </c>
      <c r="R58" s="2851"/>
      <c r="S58" s="2851"/>
      <c r="T58" s="2851"/>
      <c r="U58" s="2851" t="s">
        <v>29</v>
      </c>
      <c r="V58" s="2851" t="s">
        <v>29</v>
      </c>
      <c r="W58" s="2851" t="s">
        <v>29</v>
      </c>
      <c r="X58" s="2851" t="s">
        <v>1882</v>
      </c>
      <c r="Y58" s="2851" t="s">
        <v>29</v>
      </c>
      <c r="Z58" s="2851" t="s">
        <v>29</v>
      </c>
      <c r="AA58" s="2851" t="s">
        <v>29</v>
      </c>
      <c r="AB58" s="2851" t="s">
        <v>29</v>
      </c>
      <c r="AC58" s="2851" t="s">
        <v>29</v>
      </c>
      <c r="AD58" s="2851" t="s">
        <v>29</v>
      </c>
      <c r="AE58" s="2883" t="s">
        <v>1882</v>
      </c>
      <c r="AF58" s="2883" t="s">
        <v>29</v>
      </c>
      <c r="AG58" s="2883" t="s">
        <v>29</v>
      </c>
      <c r="AH58" s="2883" t="s">
        <v>29</v>
      </c>
      <c r="AI58" s="2853">
        <f t="shared" si="8"/>
        <v>15</v>
      </c>
      <c r="AJ58" s="2853">
        <f t="shared" si="9"/>
        <v>3</v>
      </c>
      <c r="AK58" s="3060">
        <f t="shared" si="10"/>
        <v>0</v>
      </c>
      <c r="AL58" s="2853">
        <f t="shared" si="11"/>
        <v>0</v>
      </c>
      <c r="AM58" s="2853">
        <f t="shared" si="7"/>
        <v>18</v>
      </c>
      <c r="AN58" s="2854"/>
      <c r="AO58" s="2854"/>
      <c r="AP58" s="2746"/>
    </row>
    <row r="59" spans="1:42" ht="36.75" customHeight="1">
      <c r="A59" s="2858">
        <v>13</v>
      </c>
      <c r="B59" s="2865" t="s">
        <v>2207</v>
      </c>
      <c r="C59" s="2852"/>
      <c r="D59" s="3365" t="s">
        <v>451</v>
      </c>
      <c r="E59" s="2851"/>
      <c r="F59" s="2851"/>
      <c r="G59" s="2851"/>
      <c r="H59" s="2851"/>
      <c r="I59" s="2851"/>
      <c r="J59" s="2851"/>
      <c r="K59" s="2851"/>
      <c r="L59" s="2851"/>
      <c r="M59" s="2851"/>
      <c r="N59" s="2851" t="s">
        <v>29</v>
      </c>
      <c r="O59" s="2851" t="s">
        <v>29</v>
      </c>
      <c r="P59" s="2851" t="s">
        <v>29</v>
      </c>
      <c r="Q59" s="2851" t="s">
        <v>1882</v>
      </c>
      <c r="R59" s="2851"/>
      <c r="S59" s="2851"/>
      <c r="T59" s="2851"/>
      <c r="U59" s="2851" t="s">
        <v>29</v>
      </c>
      <c r="V59" s="2851" t="s">
        <v>29</v>
      </c>
      <c r="W59" s="2851" t="s">
        <v>29</v>
      </c>
      <c r="X59" s="2851" t="s">
        <v>1882</v>
      </c>
      <c r="Y59" s="2851" t="s">
        <v>29</v>
      </c>
      <c r="Z59" s="2851" t="s">
        <v>29</v>
      </c>
      <c r="AA59" s="2851" t="s">
        <v>29</v>
      </c>
      <c r="AB59" s="2851" t="s">
        <v>29</v>
      </c>
      <c r="AC59" s="2851" t="s">
        <v>29</v>
      </c>
      <c r="AD59" s="2851" t="s">
        <v>29</v>
      </c>
      <c r="AE59" s="2883" t="s">
        <v>1882</v>
      </c>
      <c r="AF59" s="2883" t="s">
        <v>29</v>
      </c>
      <c r="AG59" s="2883" t="s">
        <v>29</v>
      </c>
      <c r="AH59" s="2883" t="s">
        <v>29</v>
      </c>
      <c r="AI59" s="2853">
        <f t="shared" si="8"/>
        <v>15</v>
      </c>
      <c r="AJ59" s="2853">
        <f t="shared" si="9"/>
        <v>3</v>
      </c>
      <c r="AK59" s="3060">
        <f t="shared" si="10"/>
        <v>0</v>
      </c>
      <c r="AL59" s="2853">
        <f t="shared" si="11"/>
        <v>0</v>
      </c>
      <c r="AM59" s="2853">
        <f t="shared" si="7"/>
        <v>18</v>
      </c>
      <c r="AN59" s="2854"/>
      <c r="AO59" s="2854"/>
      <c r="AP59" s="2746"/>
    </row>
    <row r="60" spans="1:42" ht="36.75" customHeight="1">
      <c r="A60" s="2851">
        <v>14</v>
      </c>
      <c r="B60" s="2865" t="s">
        <v>2208</v>
      </c>
      <c r="C60" s="2852"/>
      <c r="D60" s="3364" t="s">
        <v>451</v>
      </c>
      <c r="E60" s="2851"/>
      <c r="F60" s="2851"/>
      <c r="G60" s="2851"/>
      <c r="H60" s="2851"/>
      <c r="I60" s="2851"/>
      <c r="J60" s="2851"/>
      <c r="K60" s="2851"/>
      <c r="L60" s="2851"/>
      <c r="M60" s="2851"/>
      <c r="N60" s="2851" t="s">
        <v>29</v>
      </c>
      <c r="O60" s="2851" t="s">
        <v>29</v>
      </c>
      <c r="P60" s="2851" t="s">
        <v>29</v>
      </c>
      <c r="Q60" s="2851" t="s">
        <v>1882</v>
      </c>
      <c r="R60" s="2851"/>
      <c r="S60" s="2851"/>
      <c r="T60" s="2851"/>
      <c r="U60" s="2851" t="s">
        <v>29</v>
      </c>
      <c r="V60" s="2851" t="s">
        <v>29</v>
      </c>
      <c r="W60" s="2851" t="s">
        <v>29</v>
      </c>
      <c r="X60" s="2851" t="s">
        <v>1882</v>
      </c>
      <c r="Y60" s="2851" t="s">
        <v>29</v>
      </c>
      <c r="Z60" s="2851" t="s">
        <v>29</v>
      </c>
      <c r="AA60" s="2851" t="s">
        <v>29</v>
      </c>
      <c r="AB60" s="2851" t="s">
        <v>29</v>
      </c>
      <c r="AC60" s="2851" t="s">
        <v>29</v>
      </c>
      <c r="AD60" s="2851" t="s">
        <v>29</v>
      </c>
      <c r="AE60" s="2883" t="s">
        <v>1882</v>
      </c>
      <c r="AF60" s="2883" t="s">
        <v>29</v>
      </c>
      <c r="AG60" s="2883" t="s">
        <v>29</v>
      </c>
      <c r="AH60" s="2883" t="s">
        <v>29</v>
      </c>
      <c r="AI60" s="2853">
        <f t="shared" si="8"/>
        <v>15</v>
      </c>
      <c r="AJ60" s="2853">
        <f t="shared" si="9"/>
        <v>3</v>
      </c>
      <c r="AK60" s="3060">
        <f t="shared" si="10"/>
        <v>0</v>
      </c>
      <c r="AL60" s="2853">
        <f t="shared" si="11"/>
        <v>0</v>
      </c>
      <c r="AM60" s="2853">
        <f t="shared" si="7"/>
        <v>18</v>
      </c>
      <c r="AN60" s="2854"/>
      <c r="AO60" s="2854"/>
      <c r="AP60" s="2746"/>
    </row>
    <row r="61" spans="1:42" ht="36.75" customHeight="1">
      <c r="A61" s="2858">
        <v>15</v>
      </c>
      <c r="B61" s="2865" t="s">
        <v>2209</v>
      </c>
      <c r="C61" s="2852"/>
      <c r="D61" s="3365" t="s">
        <v>451</v>
      </c>
      <c r="E61" s="2851"/>
      <c r="F61" s="2851"/>
      <c r="G61" s="2851"/>
      <c r="H61" s="2851"/>
      <c r="I61" s="2851"/>
      <c r="J61" s="2851"/>
      <c r="K61" s="2851"/>
      <c r="L61" s="2851"/>
      <c r="M61" s="2851"/>
      <c r="N61" s="2851" t="s">
        <v>29</v>
      </c>
      <c r="O61" s="2851" t="s">
        <v>29</v>
      </c>
      <c r="P61" s="2851" t="s">
        <v>29</v>
      </c>
      <c r="Q61" s="2851" t="s">
        <v>1882</v>
      </c>
      <c r="R61" s="2851"/>
      <c r="S61" s="2851"/>
      <c r="T61" s="2851"/>
      <c r="U61" s="2851" t="s">
        <v>29</v>
      </c>
      <c r="V61" s="2851" t="s">
        <v>29</v>
      </c>
      <c r="W61" s="2851" t="s">
        <v>29</v>
      </c>
      <c r="X61" s="2851" t="s">
        <v>1882</v>
      </c>
      <c r="Y61" s="2851" t="s">
        <v>29</v>
      </c>
      <c r="Z61" s="2851" t="s">
        <v>29</v>
      </c>
      <c r="AA61" s="2851" t="s">
        <v>29</v>
      </c>
      <c r="AB61" s="2851" t="s">
        <v>29</v>
      </c>
      <c r="AC61" s="2851" t="s">
        <v>29</v>
      </c>
      <c r="AD61" s="2851" t="s">
        <v>29</v>
      </c>
      <c r="AE61" s="2883" t="s">
        <v>1882</v>
      </c>
      <c r="AF61" s="2883" t="s">
        <v>29</v>
      </c>
      <c r="AG61" s="2883" t="s">
        <v>29</v>
      </c>
      <c r="AH61" s="2883" t="s">
        <v>29</v>
      </c>
      <c r="AI61" s="2853">
        <f t="shared" si="8"/>
        <v>15</v>
      </c>
      <c r="AJ61" s="2853">
        <f t="shared" si="9"/>
        <v>3</v>
      </c>
      <c r="AK61" s="3060">
        <f t="shared" si="10"/>
        <v>0</v>
      </c>
      <c r="AL61" s="2853">
        <f t="shared" si="11"/>
        <v>0</v>
      </c>
      <c r="AM61" s="2853">
        <f t="shared" si="7"/>
        <v>18</v>
      </c>
      <c r="AN61" s="2854"/>
      <c r="AO61" s="2854"/>
      <c r="AP61" s="2746"/>
    </row>
    <row r="62" spans="1:42" ht="36.75" customHeight="1">
      <c r="A62" s="2851">
        <v>16</v>
      </c>
      <c r="B62" s="2865" t="s">
        <v>2210</v>
      </c>
      <c r="C62" s="2852"/>
      <c r="D62" s="3364" t="s">
        <v>451</v>
      </c>
      <c r="E62" s="2851"/>
      <c r="F62" s="2851"/>
      <c r="G62" s="2851"/>
      <c r="H62" s="2851"/>
      <c r="I62" s="2851"/>
      <c r="J62" s="2851"/>
      <c r="K62" s="2851"/>
      <c r="L62" s="2851"/>
      <c r="M62" s="2851"/>
      <c r="N62" s="2851" t="s">
        <v>29</v>
      </c>
      <c r="O62" s="2851" t="s">
        <v>29</v>
      </c>
      <c r="P62" s="2851" t="s">
        <v>29</v>
      </c>
      <c r="Q62" s="2851" t="s">
        <v>1882</v>
      </c>
      <c r="R62" s="2851"/>
      <c r="S62" s="2851"/>
      <c r="T62" s="2851"/>
      <c r="U62" s="2851" t="s">
        <v>29</v>
      </c>
      <c r="V62" s="2851" t="s">
        <v>29</v>
      </c>
      <c r="W62" s="2851" t="s">
        <v>29</v>
      </c>
      <c r="X62" s="2851" t="s">
        <v>1882</v>
      </c>
      <c r="Y62" s="2851" t="s">
        <v>29</v>
      </c>
      <c r="Z62" s="2851" t="s">
        <v>29</v>
      </c>
      <c r="AA62" s="2851" t="s">
        <v>29</v>
      </c>
      <c r="AB62" s="2851" t="s">
        <v>29</v>
      </c>
      <c r="AC62" s="2851" t="s">
        <v>29</v>
      </c>
      <c r="AD62" s="2851" t="s">
        <v>29</v>
      </c>
      <c r="AE62" s="2883" t="s">
        <v>1882</v>
      </c>
      <c r="AF62" s="2883" t="s">
        <v>29</v>
      </c>
      <c r="AG62" s="2883" t="s">
        <v>29</v>
      </c>
      <c r="AH62" s="2883" t="s">
        <v>29</v>
      </c>
      <c r="AI62" s="2853">
        <f t="shared" si="8"/>
        <v>15</v>
      </c>
      <c r="AJ62" s="2853">
        <f t="shared" si="9"/>
        <v>3</v>
      </c>
      <c r="AK62" s="3060">
        <f t="shared" si="10"/>
        <v>0</v>
      </c>
      <c r="AL62" s="2853">
        <f t="shared" si="11"/>
        <v>0</v>
      </c>
      <c r="AM62" s="2853">
        <f t="shared" si="7"/>
        <v>18</v>
      </c>
      <c r="AN62" s="2854"/>
      <c r="AO62" s="2854"/>
      <c r="AP62" s="2746"/>
    </row>
    <row r="63" spans="1:42" ht="36.75" customHeight="1">
      <c r="A63" s="2858">
        <v>17</v>
      </c>
      <c r="B63" s="2865" t="s">
        <v>2211</v>
      </c>
      <c r="C63" s="2852"/>
      <c r="D63" s="3365" t="s">
        <v>451</v>
      </c>
      <c r="E63" s="2851"/>
      <c r="F63" s="2851"/>
      <c r="G63" s="2851"/>
      <c r="H63" s="2851"/>
      <c r="I63" s="2851"/>
      <c r="J63" s="2851"/>
      <c r="K63" s="2851"/>
      <c r="L63" s="2851"/>
      <c r="M63" s="2851"/>
      <c r="N63" s="2851" t="s">
        <v>29</v>
      </c>
      <c r="O63" s="2851" t="s">
        <v>29</v>
      </c>
      <c r="P63" s="2851" t="s">
        <v>29</v>
      </c>
      <c r="Q63" s="2851" t="s">
        <v>1882</v>
      </c>
      <c r="R63" s="2851"/>
      <c r="S63" s="2851"/>
      <c r="T63" s="2851"/>
      <c r="U63" s="2851" t="s">
        <v>29</v>
      </c>
      <c r="V63" s="2851" t="s">
        <v>29</v>
      </c>
      <c r="W63" s="2851" t="s">
        <v>29</v>
      </c>
      <c r="X63" s="2851" t="s">
        <v>1882</v>
      </c>
      <c r="Y63" s="2851" t="s">
        <v>29</v>
      </c>
      <c r="Z63" s="2851" t="s">
        <v>29</v>
      </c>
      <c r="AA63" s="2851" t="s">
        <v>29</v>
      </c>
      <c r="AB63" s="2851" t="s">
        <v>29</v>
      </c>
      <c r="AC63" s="2851" t="s">
        <v>29</v>
      </c>
      <c r="AD63" s="2851" t="s">
        <v>29</v>
      </c>
      <c r="AE63" s="2883" t="s">
        <v>1882</v>
      </c>
      <c r="AF63" s="2883" t="s">
        <v>29</v>
      </c>
      <c r="AG63" s="2883" t="s">
        <v>29</v>
      </c>
      <c r="AH63" s="2883" t="s">
        <v>29</v>
      </c>
      <c r="AI63" s="2853">
        <f t="shared" si="8"/>
        <v>15</v>
      </c>
      <c r="AJ63" s="2853">
        <f t="shared" si="9"/>
        <v>3</v>
      </c>
      <c r="AK63" s="3060">
        <f t="shared" si="10"/>
        <v>0</v>
      </c>
      <c r="AL63" s="2853">
        <f t="shared" si="11"/>
        <v>0</v>
      </c>
      <c r="AM63" s="2853">
        <f t="shared" si="7"/>
        <v>18</v>
      </c>
      <c r="AN63" s="2854"/>
      <c r="AO63" s="2854"/>
      <c r="AP63" s="2746"/>
    </row>
    <row r="64" spans="1:42" ht="36.75" customHeight="1">
      <c r="A64" s="2851">
        <v>18</v>
      </c>
      <c r="B64" s="2865" t="s">
        <v>2212</v>
      </c>
      <c r="C64" s="2852"/>
      <c r="D64" s="3364" t="s">
        <v>451</v>
      </c>
      <c r="E64" s="2851"/>
      <c r="F64" s="2851"/>
      <c r="G64" s="2851"/>
      <c r="H64" s="2851"/>
      <c r="I64" s="2851"/>
      <c r="J64" s="2851"/>
      <c r="K64" s="2851"/>
      <c r="L64" s="2851"/>
      <c r="M64" s="2851"/>
      <c r="N64" s="2851" t="s">
        <v>29</v>
      </c>
      <c r="O64" s="2851" t="s">
        <v>29</v>
      </c>
      <c r="P64" s="2851" t="s">
        <v>29</v>
      </c>
      <c r="Q64" s="2851" t="s">
        <v>1882</v>
      </c>
      <c r="R64" s="2851"/>
      <c r="S64" s="2851"/>
      <c r="T64" s="2851"/>
      <c r="U64" s="2851" t="s">
        <v>29</v>
      </c>
      <c r="V64" s="2851" t="s">
        <v>29</v>
      </c>
      <c r="W64" s="2851" t="s">
        <v>29</v>
      </c>
      <c r="X64" s="2851" t="s">
        <v>1882</v>
      </c>
      <c r="Y64" s="2851" t="s">
        <v>29</v>
      </c>
      <c r="Z64" s="2851" t="s">
        <v>29</v>
      </c>
      <c r="AA64" s="2851" t="s">
        <v>29</v>
      </c>
      <c r="AB64" s="2851" t="s">
        <v>29</v>
      </c>
      <c r="AC64" s="2851" t="s">
        <v>29</v>
      </c>
      <c r="AD64" s="2851" t="s">
        <v>29</v>
      </c>
      <c r="AE64" s="2883" t="s">
        <v>1882</v>
      </c>
      <c r="AF64" s="2883" t="s">
        <v>29</v>
      </c>
      <c r="AG64" s="2883" t="s">
        <v>29</v>
      </c>
      <c r="AH64" s="2883" t="s">
        <v>29</v>
      </c>
      <c r="AI64" s="2853">
        <f t="shared" si="8"/>
        <v>15</v>
      </c>
      <c r="AJ64" s="2853">
        <f t="shared" si="9"/>
        <v>3</v>
      </c>
      <c r="AK64" s="3060">
        <f t="shared" si="10"/>
        <v>0</v>
      </c>
      <c r="AL64" s="2853">
        <f t="shared" si="11"/>
        <v>0</v>
      </c>
      <c r="AM64" s="2853">
        <f t="shared" si="7"/>
        <v>18</v>
      </c>
      <c r="AN64" s="2854"/>
      <c r="AO64" s="2854"/>
      <c r="AP64" s="2746"/>
    </row>
    <row r="65" spans="1:42" ht="36.75" customHeight="1">
      <c r="A65" s="2858">
        <v>19</v>
      </c>
      <c r="B65" s="2865" t="s">
        <v>2213</v>
      </c>
      <c r="C65" s="2852"/>
      <c r="D65" s="3365" t="s">
        <v>451</v>
      </c>
      <c r="E65" s="2851"/>
      <c r="F65" s="2851"/>
      <c r="G65" s="2851"/>
      <c r="H65" s="2851"/>
      <c r="I65" s="2851"/>
      <c r="J65" s="2851"/>
      <c r="K65" s="2851"/>
      <c r="L65" s="2851"/>
      <c r="M65" s="2851"/>
      <c r="N65" s="2851"/>
      <c r="O65" s="2851"/>
      <c r="P65" s="2851" t="s">
        <v>29</v>
      </c>
      <c r="Q65" s="2851"/>
      <c r="R65" s="2851"/>
      <c r="S65" s="2851"/>
      <c r="T65" s="2851"/>
      <c r="U65" s="2851" t="s">
        <v>29</v>
      </c>
      <c r="V65" s="2851" t="s">
        <v>29</v>
      </c>
      <c r="W65" s="2851" t="s">
        <v>29</v>
      </c>
      <c r="X65" s="2851" t="s">
        <v>1882</v>
      </c>
      <c r="Y65" s="2851" t="s">
        <v>29</v>
      </c>
      <c r="Z65" s="2851" t="s">
        <v>29</v>
      </c>
      <c r="AA65" s="2851" t="s">
        <v>29</v>
      </c>
      <c r="AB65" s="2851" t="s">
        <v>29</v>
      </c>
      <c r="AC65" s="2851" t="s">
        <v>29</v>
      </c>
      <c r="AD65" s="2851" t="s">
        <v>29</v>
      </c>
      <c r="AE65" s="2883" t="s">
        <v>1882</v>
      </c>
      <c r="AF65" s="2883" t="s">
        <v>29</v>
      </c>
      <c r="AG65" s="2883" t="s">
        <v>29</v>
      </c>
      <c r="AH65" s="2883" t="s">
        <v>29</v>
      </c>
      <c r="AI65" s="2853">
        <f t="shared" si="8"/>
        <v>13</v>
      </c>
      <c r="AJ65" s="2853">
        <f t="shared" si="9"/>
        <v>2</v>
      </c>
      <c r="AK65" s="3060">
        <f t="shared" si="10"/>
        <v>0</v>
      </c>
      <c r="AL65" s="2853">
        <f t="shared" si="11"/>
        <v>0</v>
      </c>
      <c r="AM65" s="2853">
        <f t="shared" si="7"/>
        <v>15</v>
      </c>
      <c r="AN65" s="2854"/>
      <c r="AO65" s="2854"/>
      <c r="AP65" s="2746"/>
    </row>
    <row r="66" spans="1:42" ht="36.75" customHeight="1">
      <c r="A66" s="2851">
        <v>20</v>
      </c>
      <c r="B66" s="2865" t="s">
        <v>2214</v>
      </c>
      <c r="C66" s="2852"/>
      <c r="D66" s="3364" t="s">
        <v>451</v>
      </c>
      <c r="E66" s="2851"/>
      <c r="F66" s="2851"/>
      <c r="G66" s="2851"/>
      <c r="H66" s="2851"/>
      <c r="I66" s="2851"/>
      <c r="J66" s="2851"/>
      <c r="K66" s="2851"/>
      <c r="L66" s="2851"/>
      <c r="M66" s="2851"/>
      <c r="N66" s="2851"/>
      <c r="O66" s="2851"/>
      <c r="P66" s="2851"/>
      <c r="Q66" s="2851"/>
      <c r="R66" s="2851"/>
      <c r="S66" s="2851"/>
      <c r="T66" s="2851"/>
      <c r="U66" s="2851" t="s">
        <v>29</v>
      </c>
      <c r="V66" s="2851" t="s">
        <v>29</v>
      </c>
      <c r="W66" s="2851" t="s">
        <v>29</v>
      </c>
      <c r="X66" s="2851" t="s">
        <v>1882</v>
      </c>
      <c r="Y66" s="2851" t="s">
        <v>29</v>
      </c>
      <c r="Z66" s="2851" t="s">
        <v>29</v>
      </c>
      <c r="AA66" s="2851" t="s">
        <v>29</v>
      </c>
      <c r="AB66" s="2851" t="s">
        <v>29</v>
      </c>
      <c r="AC66" s="2851" t="s">
        <v>29</v>
      </c>
      <c r="AD66" s="2851" t="s">
        <v>29</v>
      </c>
      <c r="AE66" s="2883" t="s">
        <v>1882</v>
      </c>
      <c r="AF66" s="2883" t="s">
        <v>29</v>
      </c>
      <c r="AG66" s="2883" t="s">
        <v>29</v>
      </c>
      <c r="AH66" s="2883" t="s">
        <v>29</v>
      </c>
      <c r="AI66" s="2853">
        <f t="shared" si="8"/>
        <v>12</v>
      </c>
      <c r="AJ66" s="2853">
        <f t="shared" si="9"/>
        <v>2</v>
      </c>
      <c r="AK66" s="3060">
        <f t="shared" si="10"/>
        <v>0</v>
      </c>
      <c r="AL66" s="2853">
        <f t="shared" si="11"/>
        <v>0</v>
      </c>
      <c r="AM66" s="2853">
        <f t="shared" si="7"/>
        <v>14</v>
      </c>
      <c r="AN66" s="2854"/>
      <c r="AO66" s="2854"/>
      <c r="AP66" s="2746"/>
    </row>
    <row r="67" spans="1:42" ht="36.75" customHeight="1">
      <c r="A67" s="2858">
        <v>21</v>
      </c>
      <c r="B67" s="2865" t="s">
        <v>2215</v>
      </c>
      <c r="C67" s="2852"/>
      <c r="D67" s="3365" t="s">
        <v>451</v>
      </c>
      <c r="E67" s="2851"/>
      <c r="F67" s="2851"/>
      <c r="G67" s="2851"/>
      <c r="H67" s="2851"/>
      <c r="I67" s="2851"/>
      <c r="J67" s="2851"/>
      <c r="K67" s="2851"/>
      <c r="L67" s="2851"/>
      <c r="M67" s="2851"/>
      <c r="N67" s="2851"/>
      <c r="O67" s="2851"/>
      <c r="P67" s="2851"/>
      <c r="Q67" s="2851"/>
      <c r="R67" s="2851"/>
      <c r="S67" s="2851"/>
      <c r="T67" s="2851"/>
      <c r="U67" s="2851" t="s">
        <v>29</v>
      </c>
      <c r="V67" s="2851" t="s">
        <v>29</v>
      </c>
      <c r="W67" s="2851" t="s">
        <v>29</v>
      </c>
      <c r="X67" s="2851" t="s">
        <v>1882</v>
      </c>
      <c r="Y67" s="2851" t="s">
        <v>29</v>
      </c>
      <c r="Z67" s="2851" t="s">
        <v>29</v>
      </c>
      <c r="AA67" s="2851" t="s">
        <v>29</v>
      </c>
      <c r="AB67" s="2851" t="s">
        <v>29</v>
      </c>
      <c r="AC67" s="2851" t="s">
        <v>29</v>
      </c>
      <c r="AD67" s="2851" t="s">
        <v>29</v>
      </c>
      <c r="AE67" s="2883" t="s">
        <v>1882</v>
      </c>
      <c r="AF67" s="2883" t="s">
        <v>29</v>
      </c>
      <c r="AG67" s="2883" t="s">
        <v>29</v>
      </c>
      <c r="AH67" s="2883" t="s">
        <v>29</v>
      </c>
      <c r="AI67" s="2853">
        <f t="shared" si="8"/>
        <v>12</v>
      </c>
      <c r="AJ67" s="2853">
        <f t="shared" si="9"/>
        <v>2</v>
      </c>
      <c r="AK67" s="3060">
        <f t="shared" si="10"/>
        <v>0</v>
      </c>
      <c r="AL67" s="2853">
        <f t="shared" si="11"/>
        <v>0</v>
      </c>
      <c r="AM67" s="2853">
        <f t="shared" si="7"/>
        <v>14</v>
      </c>
      <c r="AN67" s="2854"/>
      <c r="AO67" s="2854"/>
      <c r="AP67" s="2746"/>
    </row>
    <row r="68" spans="1:42" ht="36.75" customHeight="1">
      <c r="A68" s="2851">
        <v>22</v>
      </c>
      <c r="B68" s="2865" t="s">
        <v>307</v>
      </c>
      <c r="C68" s="2852"/>
      <c r="D68" s="3364" t="s">
        <v>451</v>
      </c>
      <c r="E68" s="2851"/>
      <c r="F68" s="2851"/>
      <c r="G68" s="2851"/>
      <c r="H68" s="2851"/>
      <c r="I68" s="2851"/>
      <c r="J68" s="2851"/>
      <c r="K68" s="2851"/>
      <c r="L68" s="2851"/>
      <c r="M68" s="2851"/>
      <c r="N68" s="2851"/>
      <c r="O68" s="2851"/>
      <c r="P68" s="2851"/>
      <c r="Q68" s="2851"/>
      <c r="R68" s="2851"/>
      <c r="S68" s="2851"/>
      <c r="T68" s="2851"/>
      <c r="U68" s="2851" t="s">
        <v>29</v>
      </c>
      <c r="V68" s="2851" t="s">
        <v>29</v>
      </c>
      <c r="W68" s="2851" t="s">
        <v>29</v>
      </c>
      <c r="X68" s="2851" t="s">
        <v>1882</v>
      </c>
      <c r="Y68" s="2851" t="s">
        <v>29</v>
      </c>
      <c r="Z68" s="2851" t="s">
        <v>29</v>
      </c>
      <c r="AA68" s="2851" t="s">
        <v>29</v>
      </c>
      <c r="AB68" s="2851" t="s">
        <v>29</v>
      </c>
      <c r="AC68" s="2851" t="s">
        <v>29</v>
      </c>
      <c r="AD68" s="2851" t="s">
        <v>29</v>
      </c>
      <c r="AE68" s="2883" t="s">
        <v>1882</v>
      </c>
      <c r="AF68" s="2883" t="s">
        <v>29</v>
      </c>
      <c r="AG68" s="2883" t="s">
        <v>29</v>
      </c>
      <c r="AH68" s="2883" t="s">
        <v>29</v>
      </c>
      <c r="AI68" s="2853">
        <f t="shared" si="8"/>
        <v>12</v>
      </c>
      <c r="AJ68" s="2853">
        <f t="shared" si="9"/>
        <v>2</v>
      </c>
      <c r="AK68" s="3060">
        <f t="shared" si="10"/>
        <v>0</v>
      </c>
      <c r="AL68" s="2853">
        <f t="shared" si="11"/>
        <v>0</v>
      </c>
      <c r="AM68" s="2853">
        <f t="shared" si="7"/>
        <v>14</v>
      </c>
      <c r="AN68" s="2854"/>
      <c r="AO68" s="2854"/>
      <c r="AP68" s="2746"/>
    </row>
    <row r="69" spans="1:42" ht="36.75" customHeight="1">
      <c r="A69" s="2858">
        <v>23</v>
      </c>
      <c r="B69" s="2865" t="s">
        <v>2216</v>
      </c>
      <c r="C69" s="2852"/>
      <c r="D69" s="3365" t="s">
        <v>451</v>
      </c>
      <c r="E69" s="2851"/>
      <c r="F69" s="2851"/>
      <c r="G69" s="2851"/>
      <c r="H69" s="2851"/>
      <c r="I69" s="2851"/>
      <c r="J69" s="2851"/>
      <c r="K69" s="2851"/>
      <c r="L69" s="2851"/>
      <c r="M69" s="2851"/>
      <c r="N69" s="2851"/>
      <c r="O69" s="2851"/>
      <c r="P69" s="2851"/>
      <c r="Q69" s="2851"/>
      <c r="R69" s="2851"/>
      <c r="S69" s="2851"/>
      <c r="T69" s="2851"/>
      <c r="U69" s="2851" t="s">
        <v>29</v>
      </c>
      <c r="V69" s="2851" t="s">
        <v>29</v>
      </c>
      <c r="W69" s="2851" t="s">
        <v>29</v>
      </c>
      <c r="X69" s="2851" t="s">
        <v>1882</v>
      </c>
      <c r="Y69" s="2851" t="s">
        <v>29</v>
      </c>
      <c r="Z69" s="2851" t="s">
        <v>29</v>
      </c>
      <c r="AA69" s="2851" t="s">
        <v>29</v>
      </c>
      <c r="AB69" s="2851" t="s">
        <v>29</v>
      </c>
      <c r="AC69" s="2851" t="s">
        <v>29</v>
      </c>
      <c r="AD69" s="2851" t="s">
        <v>29</v>
      </c>
      <c r="AE69" s="2883" t="s">
        <v>1882</v>
      </c>
      <c r="AF69" s="2883" t="s">
        <v>29</v>
      </c>
      <c r="AG69" s="2883" t="s">
        <v>29</v>
      </c>
      <c r="AH69" s="2883" t="s">
        <v>29</v>
      </c>
      <c r="AI69" s="2853">
        <f t="shared" si="8"/>
        <v>12</v>
      </c>
      <c r="AJ69" s="2853">
        <f t="shared" si="9"/>
        <v>2</v>
      </c>
      <c r="AK69" s="3060">
        <f t="shared" si="10"/>
        <v>0</v>
      </c>
      <c r="AL69" s="2853">
        <f t="shared" si="11"/>
        <v>0</v>
      </c>
      <c r="AM69" s="2853">
        <f t="shared" si="7"/>
        <v>14</v>
      </c>
      <c r="AN69" s="2854"/>
      <c r="AO69" s="2854"/>
      <c r="AP69" s="2746"/>
    </row>
    <row r="70" spans="1:42" ht="36.75" customHeight="1">
      <c r="A70" s="2851">
        <v>24</v>
      </c>
      <c r="B70" s="2865" t="s">
        <v>2217</v>
      </c>
      <c r="C70" s="2852"/>
      <c r="D70" s="3364" t="s">
        <v>451</v>
      </c>
      <c r="E70" s="2851"/>
      <c r="F70" s="2851"/>
      <c r="G70" s="2851"/>
      <c r="H70" s="2851"/>
      <c r="I70" s="2851"/>
      <c r="J70" s="2851"/>
      <c r="K70" s="2851"/>
      <c r="L70" s="2851"/>
      <c r="M70" s="2851"/>
      <c r="N70" s="2851" t="s">
        <v>29</v>
      </c>
      <c r="O70" s="2851" t="s">
        <v>29</v>
      </c>
      <c r="P70" s="2851"/>
      <c r="Q70" s="2851" t="s">
        <v>1882</v>
      </c>
      <c r="R70" s="2851"/>
      <c r="S70" s="2851"/>
      <c r="T70" s="2851"/>
      <c r="U70" s="2851" t="s">
        <v>29</v>
      </c>
      <c r="V70" s="2851" t="s">
        <v>29</v>
      </c>
      <c r="W70" s="2851" t="s">
        <v>29</v>
      </c>
      <c r="X70" s="2851" t="s">
        <v>1882</v>
      </c>
      <c r="Y70" s="2851" t="s">
        <v>29</v>
      </c>
      <c r="Z70" s="2851" t="s">
        <v>29</v>
      </c>
      <c r="AA70" s="2851" t="s">
        <v>29</v>
      </c>
      <c r="AB70" s="2851" t="s">
        <v>29</v>
      </c>
      <c r="AC70" s="2851" t="s">
        <v>29</v>
      </c>
      <c r="AD70" s="2851" t="s">
        <v>29</v>
      </c>
      <c r="AE70" s="2883" t="s">
        <v>1882</v>
      </c>
      <c r="AF70" s="2883" t="s">
        <v>29</v>
      </c>
      <c r="AG70" s="2883" t="s">
        <v>29</v>
      </c>
      <c r="AH70" s="2883" t="s">
        <v>29</v>
      </c>
      <c r="AI70" s="2853">
        <f t="shared" si="8"/>
        <v>14</v>
      </c>
      <c r="AJ70" s="2853">
        <f t="shared" si="9"/>
        <v>3</v>
      </c>
      <c r="AK70" s="3060">
        <f t="shared" si="10"/>
        <v>0</v>
      </c>
      <c r="AL70" s="2853">
        <f t="shared" si="11"/>
        <v>0</v>
      </c>
      <c r="AM70" s="2853">
        <f t="shared" si="7"/>
        <v>17</v>
      </c>
      <c r="AN70" s="2854"/>
      <c r="AO70" s="2854"/>
      <c r="AP70" s="2746"/>
    </row>
    <row r="71" spans="1:42" ht="36.75" customHeight="1">
      <c r="A71" s="2858">
        <v>25</v>
      </c>
      <c r="B71" s="2865" t="s">
        <v>2218</v>
      </c>
      <c r="C71" s="2852"/>
      <c r="D71" s="3365" t="s">
        <v>451</v>
      </c>
      <c r="E71" s="2851"/>
      <c r="F71" s="2851"/>
      <c r="G71" s="2851"/>
      <c r="H71" s="2851"/>
      <c r="I71" s="2851"/>
      <c r="J71" s="2851"/>
      <c r="K71" s="2851"/>
      <c r="L71" s="2851"/>
      <c r="M71" s="2851"/>
      <c r="N71" s="2851" t="s">
        <v>29</v>
      </c>
      <c r="O71" s="2851" t="s">
        <v>29</v>
      </c>
      <c r="P71" s="2851" t="s">
        <v>29</v>
      </c>
      <c r="Q71" s="2851" t="s">
        <v>1882</v>
      </c>
      <c r="R71" s="2851"/>
      <c r="S71" s="2851"/>
      <c r="T71" s="2851"/>
      <c r="U71" s="2851" t="s">
        <v>29</v>
      </c>
      <c r="V71" s="2851" t="s">
        <v>29</v>
      </c>
      <c r="W71" s="2851" t="s">
        <v>29</v>
      </c>
      <c r="X71" s="2851" t="s">
        <v>1882</v>
      </c>
      <c r="Y71" s="2851" t="s">
        <v>29</v>
      </c>
      <c r="Z71" s="2851" t="s">
        <v>29</v>
      </c>
      <c r="AA71" s="2851" t="s">
        <v>29</v>
      </c>
      <c r="AB71" s="2851" t="s">
        <v>29</v>
      </c>
      <c r="AC71" s="2851" t="s">
        <v>29</v>
      </c>
      <c r="AD71" s="2851" t="s">
        <v>29</v>
      </c>
      <c r="AE71" s="2883" t="s">
        <v>1882</v>
      </c>
      <c r="AF71" s="2883" t="s">
        <v>29</v>
      </c>
      <c r="AG71" s="2883" t="s">
        <v>29</v>
      </c>
      <c r="AH71" s="2883" t="s">
        <v>29</v>
      </c>
      <c r="AI71" s="2853">
        <f t="shared" si="8"/>
        <v>15</v>
      </c>
      <c r="AJ71" s="2853">
        <f t="shared" si="9"/>
        <v>3</v>
      </c>
      <c r="AK71" s="3060">
        <f t="shared" si="10"/>
        <v>0</v>
      </c>
      <c r="AL71" s="2853">
        <f t="shared" si="11"/>
        <v>0</v>
      </c>
      <c r="AM71" s="2853">
        <f t="shared" si="7"/>
        <v>18</v>
      </c>
      <c r="AN71" s="2854"/>
      <c r="AO71" s="2854"/>
      <c r="AP71" s="2746"/>
    </row>
    <row r="72" spans="1:42" ht="36.75" customHeight="1">
      <c r="A72" s="2851">
        <v>26</v>
      </c>
      <c r="B72" s="2865" t="s">
        <v>2219</v>
      </c>
      <c r="C72" s="2852"/>
      <c r="D72" s="3364" t="s">
        <v>451</v>
      </c>
      <c r="E72" s="2851"/>
      <c r="F72" s="2851"/>
      <c r="G72" s="2851"/>
      <c r="H72" s="2851"/>
      <c r="I72" s="2851"/>
      <c r="J72" s="2851"/>
      <c r="K72" s="2851"/>
      <c r="L72" s="2851"/>
      <c r="M72" s="2851"/>
      <c r="N72" s="2851" t="s">
        <v>29</v>
      </c>
      <c r="O72" s="2851" t="s">
        <v>29</v>
      </c>
      <c r="P72" s="2851" t="s">
        <v>29</v>
      </c>
      <c r="Q72" s="2851" t="s">
        <v>1882</v>
      </c>
      <c r="R72" s="2851"/>
      <c r="S72" s="2851"/>
      <c r="T72" s="2851"/>
      <c r="U72" s="2851" t="s">
        <v>29</v>
      </c>
      <c r="V72" s="2851" t="s">
        <v>29</v>
      </c>
      <c r="W72" s="2851" t="s">
        <v>29</v>
      </c>
      <c r="X72" s="2851" t="s">
        <v>1882</v>
      </c>
      <c r="Y72" s="2851" t="s">
        <v>29</v>
      </c>
      <c r="Z72" s="2851" t="s">
        <v>29</v>
      </c>
      <c r="AA72" s="2851" t="s">
        <v>29</v>
      </c>
      <c r="AB72" s="2851" t="s">
        <v>29</v>
      </c>
      <c r="AC72" s="2851" t="s">
        <v>29</v>
      </c>
      <c r="AD72" s="2851" t="s">
        <v>29</v>
      </c>
      <c r="AE72" s="2883" t="s">
        <v>1882</v>
      </c>
      <c r="AF72" s="2883" t="s">
        <v>29</v>
      </c>
      <c r="AG72" s="2883" t="s">
        <v>29</v>
      </c>
      <c r="AH72" s="2883" t="s">
        <v>29</v>
      </c>
      <c r="AI72" s="2853">
        <f t="shared" si="8"/>
        <v>15</v>
      </c>
      <c r="AJ72" s="2853">
        <f t="shared" si="9"/>
        <v>3</v>
      </c>
      <c r="AK72" s="3060">
        <f t="shared" si="10"/>
        <v>0</v>
      </c>
      <c r="AL72" s="2853">
        <f t="shared" si="11"/>
        <v>0</v>
      </c>
      <c r="AM72" s="2853">
        <f t="shared" si="7"/>
        <v>18</v>
      </c>
      <c r="AN72" s="2854"/>
      <c r="AO72" s="2854"/>
      <c r="AP72" s="2746"/>
    </row>
    <row r="73" spans="1:42" ht="36.75" customHeight="1">
      <c r="A73" s="2858">
        <v>27</v>
      </c>
      <c r="B73" s="2865" t="s">
        <v>2220</v>
      </c>
      <c r="C73" s="2852"/>
      <c r="D73" s="3365" t="s">
        <v>451</v>
      </c>
      <c r="E73" s="2851"/>
      <c r="F73" s="2851"/>
      <c r="G73" s="2851"/>
      <c r="H73" s="2851"/>
      <c r="I73" s="2851"/>
      <c r="J73" s="2851"/>
      <c r="K73" s="2851"/>
      <c r="L73" s="2851"/>
      <c r="M73" s="2851"/>
      <c r="N73" s="2851" t="s">
        <v>29</v>
      </c>
      <c r="O73" s="2851" t="s">
        <v>29</v>
      </c>
      <c r="P73" s="2851"/>
      <c r="Q73" s="2851" t="s">
        <v>1882</v>
      </c>
      <c r="R73" s="2851"/>
      <c r="S73" s="2851"/>
      <c r="T73" s="2851"/>
      <c r="U73" s="2851" t="s">
        <v>29</v>
      </c>
      <c r="V73" s="2851" t="s">
        <v>29</v>
      </c>
      <c r="W73" s="2851" t="s">
        <v>29</v>
      </c>
      <c r="X73" s="2851" t="s">
        <v>1882</v>
      </c>
      <c r="Y73" s="2851" t="s">
        <v>29</v>
      </c>
      <c r="Z73" s="2851" t="s">
        <v>29</v>
      </c>
      <c r="AA73" s="2851" t="s">
        <v>29</v>
      </c>
      <c r="AB73" s="2851" t="s">
        <v>29</v>
      </c>
      <c r="AC73" s="2851" t="s">
        <v>29</v>
      </c>
      <c r="AD73" s="2851" t="s">
        <v>29</v>
      </c>
      <c r="AE73" s="2883" t="s">
        <v>1882</v>
      </c>
      <c r="AF73" s="2883" t="s">
        <v>29</v>
      </c>
      <c r="AG73" s="2883" t="s">
        <v>29</v>
      </c>
      <c r="AH73" s="2883" t="s">
        <v>29</v>
      </c>
      <c r="AI73" s="2853">
        <f t="shared" si="8"/>
        <v>14</v>
      </c>
      <c r="AJ73" s="2853">
        <f t="shared" si="9"/>
        <v>3</v>
      </c>
      <c r="AK73" s="3060">
        <f t="shared" si="10"/>
        <v>0</v>
      </c>
      <c r="AL73" s="2853">
        <f t="shared" si="11"/>
        <v>0</v>
      </c>
      <c r="AM73" s="2853">
        <f t="shared" si="7"/>
        <v>17</v>
      </c>
      <c r="AN73" s="2854"/>
      <c r="AO73" s="2854"/>
      <c r="AP73" s="2746"/>
    </row>
    <row r="74" spans="1:42" ht="36.75" customHeight="1">
      <c r="A74" s="2851">
        <v>28</v>
      </c>
      <c r="B74" s="2865" t="s">
        <v>1189</v>
      </c>
      <c r="C74" s="2852"/>
      <c r="D74" s="3364" t="s">
        <v>451</v>
      </c>
      <c r="E74" s="2851"/>
      <c r="F74" s="2851"/>
      <c r="G74" s="2851"/>
      <c r="H74" s="2851"/>
      <c r="I74" s="2851"/>
      <c r="J74" s="2851"/>
      <c r="K74" s="2851"/>
      <c r="L74" s="2851"/>
      <c r="M74" s="2851"/>
      <c r="N74" s="2851" t="s">
        <v>29</v>
      </c>
      <c r="O74" s="2851" t="s">
        <v>29</v>
      </c>
      <c r="P74" s="2851" t="s">
        <v>29</v>
      </c>
      <c r="Q74" s="2851" t="s">
        <v>1882</v>
      </c>
      <c r="R74" s="2851"/>
      <c r="S74" s="2851"/>
      <c r="T74" s="2851"/>
      <c r="U74" s="2851" t="s">
        <v>29</v>
      </c>
      <c r="V74" s="2851" t="s">
        <v>29</v>
      </c>
      <c r="W74" s="2851" t="s">
        <v>29</v>
      </c>
      <c r="X74" s="2851" t="s">
        <v>1882</v>
      </c>
      <c r="Y74" s="2851" t="s">
        <v>29</v>
      </c>
      <c r="Z74" s="2851" t="s">
        <v>29</v>
      </c>
      <c r="AA74" s="2851" t="s">
        <v>29</v>
      </c>
      <c r="AB74" s="2851" t="s">
        <v>29</v>
      </c>
      <c r="AC74" s="2851" t="s">
        <v>29</v>
      </c>
      <c r="AD74" s="2851" t="s">
        <v>29</v>
      </c>
      <c r="AE74" s="2883" t="s">
        <v>1882</v>
      </c>
      <c r="AF74" s="2883" t="s">
        <v>29</v>
      </c>
      <c r="AG74" s="2883" t="s">
        <v>29</v>
      </c>
      <c r="AH74" s="2883" t="s">
        <v>29</v>
      </c>
      <c r="AI74" s="2853">
        <f t="shared" si="8"/>
        <v>15</v>
      </c>
      <c r="AJ74" s="2853">
        <f t="shared" si="9"/>
        <v>3</v>
      </c>
      <c r="AK74" s="3060">
        <f t="shared" si="10"/>
        <v>0</v>
      </c>
      <c r="AL74" s="2853">
        <f t="shared" si="11"/>
        <v>0</v>
      </c>
      <c r="AM74" s="2853">
        <f t="shared" si="7"/>
        <v>18</v>
      </c>
      <c r="AN74" s="2854"/>
      <c r="AO74" s="2854"/>
      <c r="AP74" s="2746"/>
    </row>
    <row r="75" spans="1:42" ht="36.75" customHeight="1">
      <c r="A75" s="2858">
        <v>29</v>
      </c>
      <c r="B75" s="2865" t="s">
        <v>1908</v>
      </c>
      <c r="C75" s="2852"/>
      <c r="D75" s="3365" t="s">
        <v>451</v>
      </c>
      <c r="E75" s="2851"/>
      <c r="F75" s="2851"/>
      <c r="G75" s="2851"/>
      <c r="H75" s="2851"/>
      <c r="I75" s="2851"/>
      <c r="J75" s="2851"/>
      <c r="K75" s="2851"/>
      <c r="L75" s="2851"/>
      <c r="M75" s="2851"/>
      <c r="N75" s="2851" t="s">
        <v>29</v>
      </c>
      <c r="O75" s="2851" t="s">
        <v>29</v>
      </c>
      <c r="P75" s="2851" t="s">
        <v>29</v>
      </c>
      <c r="Q75" s="2851" t="s">
        <v>1882</v>
      </c>
      <c r="R75" s="2851"/>
      <c r="S75" s="2851"/>
      <c r="T75" s="2851"/>
      <c r="U75" s="2851" t="s">
        <v>29</v>
      </c>
      <c r="V75" s="2851" t="s">
        <v>29</v>
      </c>
      <c r="W75" s="2851" t="s">
        <v>29</v>
      </c>
      <c r="X75" s="2851" t="s">
        <v>1882</v>
      </c>
      <c r="Y75" s="2851" t="s">
        <v>29</v>
      </c>
      <c r="Z75" s="2851" t="s">
        <v>29</v>
      </c>
      <c r="AA75" s="2851" t="s">
        <v>29</v>
      </c>
      <c r="AB75" s="2851" t="s">
        <v>29</v>
      </c>
      <c r="AC75" s="2851" t="s">
        <v>29</v>
      </c>
      <c r="AD75" s="2851" t="s">
        <v>29</v>
      </c>
      <c r="AE75" s="2883" t="s">
        <v>1882</v>
      </c>
      <c r="AF75" s="2883" t="s">
        <v>29</v>
      </c>
      <c r="AG75" s="2883" t="s">
        <v>29</v>
      </c>
      <c r="AH75" s="2883" t="s">
        <v>29</v>
      </c>
      <c r="AI75" s="2853">
        <f t="shared" si="8"/>
        <v>15</v>
      </c>
      <c r="AJ75" s="2853">
        <f t="shared" si="9"/>
        <v>3</v>
      </c>
      <c r="AK75" s="3060">
        <f t="shared" si="10"/>
        <v>0</v>
      </c>
      <c r="AL75" s="2853">
        <f t="shared" si="11"/>
        <v>0</v>
      </c>
      <c r="AM75" s="2853">
        <f t="shared" si="7"/>
        <v>18</v>
      </c>
      <c r="AN75" s="2854"/>
      <c r="AO75" s="2854"/>
      <c r="AP75" s="2746"/>
    </row>
    <row r="76" spans="1:42" ht="36.75" customHeight="1">
      <c r="A76" s="2851">
        <v>30</v>
      </c>
      <c r="B76" s="2865" t="s">
        <v>1914</v>
      </c>
      <c r="C76" s="2852"/>
      <c r="D76" s="3364" t="s">
        <v>451</v>
      </c>
      <c r="E76" s="2851"/>
      <c r="F76" s="2851"/>
      <c r="G76" s="2851"/>
      <c r="H76" s="2851"/>
      <c r="I76" s="2851"/>
      <c r="J76" s="2851"/>
      <c r="K76" s="2851"/>
      <c r="L76" s="2851"/>
      <c r="M76" s="2851"/>
      <c r="N76" s="2851" t="s">
        <v>29</v>
      </c>
      <c r="O76" s="2851" t="s">
        <v>29</v>
      </c>
      <c r="P76" s="2851" t="s">
        <v>29</v>
      </c>
      <c r="Q76" s="2851" t="s">
        <v>1882</v>
      </c>
      <c r="R76" s="2851"/>
      <c r="S76" s="2851"/>
      <c r="T76" s="2851"/>
      <c r="U76" s="2851" t="s">
        <v>29</v>
      </c>
      <c r="V76" s="2851" t="s">
        <v>29</v>
      </c>
      <c r="W76" s="2851" t="s">
        <v>29</v>
      </c>
      <c r="X76" s="2851" t="s">
        <v>1882</v>
      </c>
      <c r="Y76" s="2851" t="s">
        <v>29</v>
      </c>
      <c r="Z76" s="2851" t="s">
        <v>29</v>
      </c>
      <c r="AA76" s="2851" t="s">
        <v>29</v>
      </c>
      <c r="AB76" s="2851" t="s">
        <v>29</v>
      </c>
      <c r="AC76" s="2851" t="s">
        <v>29</v>
      </c>
      <c r="AD76" s="2851" t="s">
        <v>29</v>
      </c>
      <c r="AE76" s="2883" t="s">
        <v>1882</v>
      </c>
      <c r="AF76" s="2883" t="s">
        <v>29</v>
      </c>
      <c r="AG76" s="2883" t="s">
        <v>29</v>
      </c>
      <c r="AH76" s="2883" t="s">
        <v>29</v>
      </c>
      <c r="AI76" s="2853">
        <f t="shared" si="8"/>
        <v>15</v>
      </c>
      <c r="AJ76" s="2853">
        <f t="shared" si="9"/>
        <v>3</v>
      </c>
      <c r="AK76" s="3060">
        <f t="shared" si="10"/>
        <v>0</v>
      </c>
      <c r="AL76" s="2853">
        <f t="shared" si="11"/>
        <v>0</v>
      </c>
      <c r="AM76" s="2853">
        <f t="shared" si="7"/>
        <v>18</v>
      </c>
      <c r="AN76" s="2854"/>
      <c r="AO76" s="2854"/>
      <c r="AP76" s="2746"/>
    </row>
    <row r="77" spans="1:42" ht="36.75" customHeight="1">
      <c r="A77" s="2858">
        <v>31</v>
      </c>
      <c r="B77" s="2865" t="s">
        <v>2221</v>
      </c>
      <c r="C77" s="2852"/>
      <c r="D77" s="3365" t="s">
        <v>451</v>
      </c>
      <c r="E77" s="2851"/>
      <c r="F77" s="2851"/>
      <c r="G77" s="2851"/>
      <c r="H77" s="2851"/>
      <c r="I77" s="2851"/>
      <c r="J77" s="2851"/>
      <c r="K77" s="2851"/>
      <c r="L77" s="2851"/>
      <c r="M77" s="2851"/>
      <c r="N77" s="2851" t="s">
        <v>29</v>
      </c>
      <c r="O77" s="2851" t="s">
        <v>29</v>
      </c>
      <c r="P77" s="2851" t="s">
        <v>29</v>
      </c>
      <c r="Q77" s="2851" t="s">
        <v>1882</v>
      </c>
      <c r="R77" s="2851"/>
      <c r="S77" s="2851"/>
      <c r="T77" s="2851"/>
      <c r="U77" s="2851" t="s">
        <v>29</v>
      </c>
      <c r="V77" s="2851" t="s">
        <v>29</v>
      </c>
      <c r="W77" s="2851" t="s">
        <v>29</v>
      </c>
      <c r="X77" s="2851" t="s">
        <v>1882</v>
      </c>
      <c r="Y77" s="2851" t="s">
        <v>29</v>
      </c>
      <c r="Z77" s="2851" t="s">
        <v>29</v>
      </c>
      <c r="AA77" s="2851" t="s">
        <v>29</v>
      </c>
      <c r="AB77" s="2851" t="s">
        <v>29</v>
      </c>
      <c r="AC77" s="2851" t="s">
        <v>29</v>
      </c>
      <c r="AD77" s="2851" t="s">
        <v>29</v>
      </c>
      <c r="AE77" s="2883" t="s">
        <v>1882</v>
      </c>
      <c r="AF77" s="2883" t="s">
        <v>29</v>
      </c>
      <c r="AG77" s="2883" t="s">
        <v>29</v>
      </c>
      <c r="AH77" s="2883" t="s">
        <v>29</v>
      </c>
      <c r="AI77" s="2853">
        <f t="shared" si="8"/>
        <v>15</v>
      </c>
      <c r="AJ77" s="2853">
        <f t="shared" si="9"/>
        <v>3</v>
      </c>
      <c r="AK77" s="3060">
        <f t="shared" si="10"/>
        <v>0</v>
      </c>
      <c r="AL77" s="2853">
        <f t="shared" si="11"/>
        <v>0</v>
      </c>
      <c r="AM77" s="2853">
        <f t="shared" si="7"/>
        <v>18</v>
      </c>
      <c r="AN77" s="2854"/>
      <c r="AO77" s="2854"/>
      <c r="AP77" s="2746"/>
    </row>
    <row r="78" spans="1:42" ht="36.75" customHeight="1">
      <c r="A78" s="2851">
        <v>32</v>
      </c>
      <c r="B78" s="2865" t="s">
        <v>1903</v>
      </c>
      <c r="C78" s="2852"/>
      <c r="D78" s="3364" t="s">
        <v>451</v>
      </c>
      <c r="E78" s="2851"/>
      <c r="F78" s="2851"/>
      <c r="G78" s="2851"/>
      <c r="H78" s="2851"/>
      <c r="I78" s="2851"/>
      <c r="J78" s="2851"/>
      <c r="K78" s="2851"/>
      <c r="L78" s="2851"/>
      <c r="M78" s="2851"/>
      <c r="N78" s="2851" t="s">
        <v>29</v>
      </c>
      <c r="O78" s="2851" t="s">
        <v>29</v>
      </c>
      <c r="P78" s="2851" t="s">
        <v>29</v>
      </c>
      <c r="Q78" s="2851" t="s">
        <v>1882</v>
      </c>
      <c r="R78" s="2851"/>
      <c r="S78" s="2851"/>
      <c r="T78" s="2851"/>
      <c r="U78" s="2851" t="s">
        <v>29</v>
      </c>
      <c r="V78" s="2851" t="s">
        <v>29</v>
      </c>
      <c r="W78" s="2851" t="s">
        <v>29</v>
      </c>
      <c r="X78" s="2851" t="s">
        <v>1882</v>
      </c>
      <c r="Y78" s="2851" t="s">
        <v>29</v>
      </c>
      <c r="Z78" s="2851" t="s">
        <v>29</v>
      </c>
      <c r="AA78" s="2851" t="s">
        <v>29</v>
      </c>
      <c r="AB78" s="2851" t="s">
        <v>29</v>
      </c>
      <c r="AC78" s="2851" t="s">
        <v>29</v>
      </c>
      <c r="AD78" s="2851" t="s">
        <v>29</v>
      </c>
      <c r="AE78" s="2883" t="s">
        <v>1882</v>
      </c>
      <c r="AF78" s="2883" t="s">
        <v>29</v>
      </c>
      <c r="AG78" s="2883" t="s">
        <v>29</v>
      </c>
      <c r="AH78" s="2883" t="s">
        <v>29</v>
      </c>
      <c r="AI78" s="2853">
        <f t="shared" si="8"/>
        <v>15</v>
      </c>
      <c r="AJ78" s="2853">
        <f t="shared" si="9"/>
        <v>3</v>
      </c>
      <c r="AK78" s="3060">
        <f t="shared" si="10"/>
        <v>0</v>
      </c>
      <c r="AL78" s="2853">
        <f t="shared" si="11"/>
        <v>0</v>
      </c>
      <c r="AM78" s="2853">
        <f t="shared" si="7"/>
        <v>18</v>
      </c>
      <c r="AN78" s="2854"/>
      <c r="AO78" s="2854"/>
      <c r="AP78" s="2746"/>
    </row>
    <row r="79" spans="1:42" ht="36.75" customHeight="1">
      <c r="A79" s="2858">
        <v>33</v>
      </c>
      <c r="B79" s="2865" t="s">
        <v>2222</v>
      </c>
      <c r="C79" s="2852"/>
      <c r="D79" s="3365" t="s">
        <v>451</v>
      </c>
      <c r="E79" s="2851"/>
      <c r="F79" s="2851"/>
      <c r="G79" s="2851"/>
      <c r="H79" s="2851"/>
      <c r="I79" s="2851"/>
      <c r="J79" s="2851"/>
      <c r="K79" s="2851"/>
      <c r="L79" s="2851"/>
      <c r="M79" s="2851"/>
      <c r="N79" s="2851" t="s">
        <v>29</v>
      </c>
      <c r="O79" s="2851" t="s">
        <v>29</v>
      </c>
      <c r="P79" s="2851" t="s">
        <v>29</v>
      </c>
      <c r="Q79" s="2851" t="s">
        <v>1882</v>
      </c>
      <c r="R79" s="2851"/>
      <c r="S79" s="2851"/>
      <c r="T79" s="2851"/>
      <c r="U79" s="2851" t="s">
        <v>29</v>
      </c>
      <c r="V79" s="2851" t="s">
        <v>29</v>
      </c>
      <c r="W79" s="2851" t="s">
        <v>29</v>
      </c>
      <c r="X79" s="2851" t="s">
        <v>1882</v>
      </c>
      <c r="Y79" s="2851" t="s">
        <v>29</v>
      </c>
      <c r="Z79" s="2851" t="s">
        <v>29</v>
      </c>
      <c r="AA79" s="2851" t="s">
        <v>29</v>
      </c>
      <c r="AB79" s="2851" t="s">
        <v>29</v>
      </c>
      <c r="AC79" s="2851" t="s">
        <v>29</v>
      </c>
      <c r="AD79" s="2851" t="s">
        <v>29</v>
      </c>
      <c r="AE79" s="2883" t="s">
        <v>1882</v>
      </c>
      <c r="AF79" s="2883" t="s">
        <v>29</v>
      </c>
      <c r="AG79" s="2883" t="s">
        <v>29</v>
      </c>
      <c r="AH79" s="2883" t="s">
        <v>29</v>
      </c>
      <c r="AI79" s="2853">
        <f t="shared" si="8"/>
        <v>15</v>
      </c>
      <c r="AJ79" s="2853">
        <f t="shared" si="9"/>
        <v>3</v>
      </c>
      <c r="AK79" s="3060">
        <f t="shared" si="10"/>
        <v>0</v>
      </c>
      <c r="AL79" s="2853">
        <f t="shared" si="11"/>
        <v>0</v>
      </c>
      <c r="AM79" s="2853">
        <f t="shared" si="7"/>
        <v>18</v>
      </c>
      <c r="AN79" s="2854"/>
      <c r="AO79" s="2854"/>
      <c r="AP79" s="2746"/>
    </row>
    <row r="80" spans="1:42" ht="36.75" customHeight="1">
      <c r="A80" s="2851">
        <v>34</v>
      </c>
      <c r="B80" s="2865" t="s">
        <v>1910</v>
      </c>
      <c r="C80" s="2852"/>
      <c r="D80" s="3364" t="s">
        <v>451</v>
      </c>
      <c r="E80" s="2851"/>
      <c r="F80" s="2851"/>
      <c r="G80" s="2851"/>
      <c r="H80" s="2851"/>
      <c r="I80" s="2851"/>
      <c r="J80" s="2851"/>
      <c r="K80" s="2851"/>
      <c r="L80" s="2851"/>
      <c r="M80" s="2851"/>
      <c r="N80" s="2851" t="s">
        <v>29</v>
      </c>
      <c r="O80" s="2851" t="s">
        <v>29</v>
      </c>
      <c r="P80" s="2851" t="s">
        <v>29</v>
      </c>
      <c r="Q80" s="2851" t="s">
        <v>1882</v>
      </c>
      <c r="R80" s="2851"/>
      <c r="S80" s="2851"/>
      <c r="T80" s="2851"/>
      <c r="U80" s="2851" t="s">
        <v>29</v>
      </c>
      <c r="V80" s="2851" t="s">
        <v>29</v>
      </c>
      <c r="W80" s="2851" t="s">
        <v>29</v>
      </c>
      <c r="X80" s="2851" t="s">
        <v>1882</v>
      </c>
      <c r="Y80" s="2851" t="s">
        <v>29</v>
      </c>
      <c r="Z80" s="2851" t="s">
        <v>29</v>
      </c>
      <c r="AA80" s="2851" t="s">
        <v>29</v>
      </c>
      <c r="AB80" s="2851" t="s">
        <v>29</v>
      </c>
      <c r="AC80" s="2851" t="s">
        <v>29</v>
      </c>
      <c r="AD80" s="2851" t="s">
        <v>29</v>
      </c>
      <c r="AE80" s="2883" t="s">
        <v>1882</v>
      </c>
      <c r="AF80" s="2883" t="s">
        <v>29</v>
      </c>
      <c r="AG80" s="2883" t="s">
        <v>29</v>
      </c>
      <c r="AH80" s="2883" t="s">
        <v>29</v>
      </c>
      <c r="AI80" s="2853">
        <f t="shared" si="8"/>
        <v>15</v>
      </c>
      <c r="AJ80" s="2853">
        <f t="shared" si="9"/>
        <v>3</v>
      </c>
      <c r="AK80" s="3060">
        <f t="shared" si="10"/>
        <v>0</v>
      </c>
      <c r="AL80" s="2853">
        <f t="shared" si="11"/>
        <v>0</v>
      </c>
      <c r="AM80" s="2853">
        <f t="shared" si="7"/>
        <v>18</v>
      </c>
      <c r="AN80" s="2854"/>
      <c r="AO80" s="2854"/>
      <c r="AP80" s="2746"/>
    </row>
    <row r="81" spans="1:42" ht="36.75" customHeight="1">
      <c r="A81" s="2858">
        <v>35</v>
      </c>
      <c r="B81" s="2865" t="s">
        <v>2223</v>
      </c>
      <c r="C81" s="2852"/>
      <c r="D81" s="3365" t="s">
        <v>451</v>
      </c>
      <c r="E81" s="2883"/>
      <c r="F81" s="2883"/>
      <c r="G81" s="2851"/>
      <c r="H81" s="2883"/>
      <c r="I81" s="2883"/>
      <c r="J81" s="2883"/>
      <c r="K81" s="2883"/>
      <c r="L81" s="2883"/>
      <c r="M81" s="2883"/>
      <c r="N81" s="2851" t="s">
        <v>29</v>
      </c>
      <c r="O81" s="2883" t="s">
        <v>29</v>
      </c>
      <c r="P81" s="2883" t="s">
        <v>29</v>
      </c>
      <c r="Q81" s="2883" t="s">
        <v>1882</v>
      </c>
      <c r="R81" s="2883"/>
      <c r="S81" s="2883"/>
      <c r="T81" s="2883"/>
      <c r="U81" s="2883" t="s">
        <v>29</v>
      </c>
      <c r="V81" s="2883" t="s">
        <v>29</v>
      </c>
      <c r="W81" s="2883" t="s">
        <v>29</v>
      </c>
      <c r="X81" s="2883" t="s">
        <v>1882</v>
      </c>
      <c r="Y81" s="2883" t="s">
        <v>29</v>
      </c>
      <c r="Z81" s="2883" t="s">
        <v>29</v>
      </c>
      <c r="AA81" s="2883" t="s">
        <v>29</v>
      </c>
      <c r="AB81" s="2851" t="s">
        <v>29</v>
      </c>
      <c r="AC81" s="2883" t="s">
        <v>29</v>
      </c>
      <c r="AD81" s="2883" t="s">
        <v>29</v>
      </c>
      <c r="AE81" s="2883" t="s">
        <v>1882</v>
      </c>
      <c r="AF81" s="2883" t="s">
        <v>29</v>
      </c>
      <c r="AG81" s="2883" t="s">
        <v>29</v>
      </c>
      <c r="AH81" s="2883" t="s">
        <v>29</v>
      </c>
      <c r="AI81" s="2853">
        <f t="shared" si="8"/>
        <v>15</v>
      </c>
      <c r="AJ81" s="2853">
        <f t="shared" si="9"/>
        <v>3</v>
      </c>
      <c r="AK81" s="3060">
        <f t="shared" si="10"/>
        <v>0</v>
      </c>
      <c r="AL81" s="2853">
        <f t="shared" si="11"/>
        <v>0</v>
      </c>
      <c r="AM81" s="2853">
        <f t="shared" si="7"/>
        <v>18</v>
      </c>
      <c r="AN81" s="2854"/>
      <c r="AO81" s="2854"/>
      <c r="AP81" s="2746"/>
    </row>
    <row r="82" spans="1:42" ht="36.75" customHeight="1">
      <c r="A82" s="2851">
        <v>36</v>
      </c>
      <c r="B82" s="2865" t="s">
        <v>2224</v>
      </c>
      <c r="C82" s="2852"/>
      <c r="D82" s="3364" t="s">
        <v>451</v>
      </c>
      <c r="E82" s="2883"/>
      <c r="F82" s="2883"/>
      <c r="G82" s="2851"/>
      <c r="H82" s="2883"/>
      <c r="I82" s="2883"/>
      <c r="J82" s="2883"/>
      <c r="K82" s="2883"/>
      <c r="L82" s="2883"/>
      <c r="M82" s="2883"/>
      <c r="N82" s="2851" t="s">
        <v>29</v>
      </c>
      <c r="O82" s="2883" t="s">
        <v>29</v>
      </c>
      <c r="P82" s="2883" t="s">
        <v>29</v>
      </c>
      <c r="Q82" s="2883" t="s">
        <v>1882</v>
      </c>
      <c r="R82" s="2883"/>
      <c r="S82" s="2883"/>
      <c r="T82" s="2883"/>
      <c r="U82" s="2883" t="s">
        <v>29</v>
      </c>
      <c r="V82" s="2883" t="s">
        <v>29</v>
      </c>
      <c r="W82" s="2883" t="s">
        <v>29</v>
      </c>
      <c r="X82" s="2883" t="s">
        <v>1882</v>
      </c>
      <c r="Y82" s="2883" t="s">
        <v>29</v>
      </c>
      <c r="Z82" s="2883" t="s">
        <v>29</v>
      </c>
      <c r="AA82" s="2883" t="s">
        <v>29</v>
      </c>
      <c r="AB82" s="2851" t="s">
        <v>29</v>
      </c>
      <c r="AC82" s="2883" t="s">
        <v>29</v>
      </c>
      <c r="AD82" s="2883" t="s">
        <v>29</v>
      </c>
      <c r="AE82" s="2883" t="s">
        <v>1882</v>
      </c>
      <c r="AF82" s="2883" t="s">
        <v>29</v>
      </c>
      <c r="AG82" s="2883" t="s">
        <v>29</v>
      </c>
      <c r="AH82" s="2883" t="s">
        <v>29</v>
      </c>
      <c r="AI82" s="2853">
        <f t="shared" si="8"/>
        <v>15</v>
      </c>
      <c r="AJ82" s="2853">
        <f t="shared" si="9"/>
        <v>3</v>
      </c>
      <c r="AK82" s="3060">
        <f t="shared" si="10"/>
        <v>0</v>
      </c>
      <c r="AL82" s="2853">
        <f t="shared" si="11"/>
        <v>0</v>
      </c>
      <c r="AM82" s="2853">
        <f t="shared" si="7"/>
        <v>18</v>
      </c>
      <c r="AN82" s="2854"/>
      <c r="AO82" s="2854"/>
      <c r="AP82" s="2746"/>
    </row>
    <row r="83" spans="1:42" ht="36.75" customHeight="1">
      <c r="A83" s="2858">
        <v>37</v>
      </c>
      <c r="B83" s="2865" t="s">
        <v>2225</v>
      </c>
      <c r="C83" s="2852"/>
      <c r="D83" s="3365" t="s">
        <v>451</v>
      </c>
      <c r="E83" s="2883"/>
      <c r="F83" s="2883"/>
      <c r="G83" s="2851"/>
      <c r="H83" s="2883"/>
      <c r="I83" s="2883"/>
      <c r="J83" s="2883"/>
      <c r="K83" s="2883"/>
      <c r="L83" s="2883"/>
      <c r="M83" s="2883"/>
      <c r="N83" s="2851"/>
      <c r="O83" s="2883"/>
      <c r="P83" s="2883" t="s">
        <v>29</v>
      </c>
      <c r="Q83" s="2883" t="s">
        <v>1882</v>
      </c>
      <c r="R83" s="2883"/>
      <c r="S83" s="2883"/>
      <c r="T83" s="2883"/>
      <c r="U83" s="2883" t="s">
        <v>29</v>
      </c>
      <c r="V83" s="2883" t="s">
        <v>29</v>
      </c>
      <c r="W83" s="2883" t="s">
        <v>29</v>
      </c>
      <c r="X83" s="2883" t="s">
        <v>1882</v>
      </c>
      <c r="Y83" s="2883" t="s">
        <v>29</v>
      </c>
      <c r="Z83" s="2883" t="s">
        <v>29</v>
      </c>
      <c r="AA83" s="2883" t="s">
        <v>29</v>
      </c>
      <c r="AB83" s="2851" t="s">
        <v>29</v>
      </c>
      <c r="AC83" s="2883" t="s">
        <v>29</v>
      </c>
      <c r="AD83" s="2883" t="s">
        <v>29</v>
      </c>
      <c r="AE83" s="2883" t="s">
        <v>1882</v>
      </c>
      <c r="AF83" s="2883" t="s">
        <v>29</v>
      </c>
      <c r="AG83" s="2883" t="s">
        <v>29</v>
      </c>
      <c r="AH83" s="2883" t="s">
        <v>29</v>
      </c>
      <c r="AI83" s="2853">
        <f t="shared" si="8"/>
        <v>13</v>
      </c>
      <c r="AJ83" s="2853">
        <f t="shared" si="9"/>
        <v>3</v>
      </c>
      <c r="AK83" s="3060"/>
      <c r="AL83" s="2853"/>
      <c r="AM83" s="2853">
        <f t="shared" si="7"/>
        <v>16</v>
      </c>
      <c r="AN83" s="2854"/>
      <c r="AO83" s="2854"/>
      <c r="AP83" s="2746"/>
    </row>
    <row r="84" spans="1:42" ht="36.75" customHeight="1">
      <c r="A84" s="2851">
        <v>38</v>
      </c>
      <c r="B84" s="2865" t="s">
        <v>2226</v>
      </c>
      <c r="C84" s="2852"/>
      <c r="D84" s="3364" t="s">
        <v>451</v>
      </c>
      <c r="E84" s="2883"/>
      <c r="F84" s="2883"/>
      <c r="G84" s="2851"/>
      <c r="H84" s="2883"/>
      <c r="I84" s="2883"/>
      <c r="J84" s="2883"/>
      <c r="K84" s="2883"/>
      <c r="L84" s="2883"/>
      <c r="M84" s="2883"/>
      <c r="N84" s="2851"/>
      <c r="O84" s="2883"/>
      <c r="P84" s="2883"/>
      <c r="Q84" s="2883"/>
      <c r="R84" s="2883"/>
      <c r="S84" s="2883"/>
      <c r="T84" s="2883"/>
      <c r="U84" s="2883" t="s">
        <v>29</v>
      </c>
      <c r="V84" s="2883" t="s">
        <v>29</v>
      </c>
      <c r="W84" s="2883" t="s">
        <v>29</v>
      </c>
      <c r="X84" s="2883" t="s">
        <v>1882</v>
      </c>
      <c r="Y84" s="2883" t="s">
        <v>29</v>
      </c>
      <c r="Z84" s="2883" t="s">
        <v>29</v>
      </c>
      <c r="AA84" s="2883" t="s">
        <v>29</v>
      </c>
      <c r="AB84" s="2851" t="s">
        <v>29</v>
      </c>
      <c r="AC84" s="2883" t="s">
        <v>29</v>
      </c>
      <c r="AD84" s="2883" t="s">
        <v>29</v>
      </c>
      <c r="AE84" s="2883" t="s">
        <v>1882</v>
      </c>
      <c r="AF84" s="2883" t="s">
        <v>29</v>
      </c>
      <c r="AG84" s="2883" t="s">
        <v>29</v>
      </c>
      <c r="AH84" s="2883" t="s">
        <v>29</v>
      </c>
      <c r="AI84" s="2853">
        <f t="shared" si="8"/>
        <v>12</v>
      </c>
      <c r="AJ84" s="2853">
        <f t="shared" si="9"/>
        <v>2</v>
      </c>
      <c r="AK84" s="3060"/>
      <c r="AL84" s="2853"/>
      <c r="AM84" s="2853">
        <f t="shared" si="7"/>
        <v>14</v>
      </c>
      <c r="AN84" s="2854"/>
      <c r="AO84" s="2854"/>
      <c r="AP84" s="2746"/>
    </row>
    <row r="85" spans="1:42" ht="36.75" customHeight="1">
      <c r="A85" s="2858">
        <v>39</v>
      </c>
      <c r="B85" s="2865" t="s">
        <v>2227</v>
      </c>
      <c r="C85" s="2852"/>
      <c r="D85" s="3365" t="s">
        <v>451</v>
      </c>
      <c r="E85" s="2883"/>
      <c r="F85" s="2883"/>
      <c r="G85" s="2851"/>
      <c r="H85" s="2883"/>
      <c r="I85" s="2883"/>
      <c r="J85" s="2883"/>
      <c r="K85" s="2883"/>
      <c r="L85" s="2883"/>
      <c r="M85" s="2883"/>
      <c r="N85" s="2851"/>
      <c r="O85" s="2883"/>
      <c r="P85" s="2883"/>
      <c r="Q85" s="2883"/>
      <c r="R85" s="2883"/>
      <c r="S85" s="2883"/>
      <c r="T85" s="2883"/>
      <c r="U85" s="2883" t="s">
        <v>29</v>
      </c>
      <c r="V85" s="2883" t="s">
        <v>29</v>
      </c>
      <c r="W85" s="2883" t="s">
        <v>29</v>
      </c>
      <c r="X85" s="2883" t="s">
        <v>1882</v>
      </c>
      <c r="Y85" s="2883" t="s">
        <v>29</v>
      </c>
      <c r="Z85" s="2883" t="s">
        <v>29</v>
      </c>
      <c r="AA85" s="2883" t="s">
        <v>29</v>
      </c>
      <c r="AB85" s="2851" t="s">
        <v>29</v>
      </c>
      <c r="AC85" s="2883" t="s">
        <v>29</v>
      </c>
      <c r="AD85" s="2883" t="s">
        <v>29</v>
      </c>
      <c r="AE85" s="2883" t="s">
        <v>1882</v>
      </c>
      <c r="AF85" s="2883" t="s">
        <v>29</v>
      </c>
      <c r="AG85" s="2883" t="s">
        <v>29</v>
      </c>
      <c r="AH85" s="2883" t="s">
        <v>29</v>
      </c>
      <c r="AI85" s="2853">
        <f t="shared" si="8"/>
        <v>12</v>
      </c>
      <c r="AJ85" s="2853">
        <f t="shared" si="9"/>
        <v>2</v>
      </c>
      <c r="AK85" s="3060"/>
      <c r="AL85" s="2853"/>
      <c r="AM85" s="2853">
        <f t="shared" si="7"/>
        <v>14</v>
      </c>
      <c r="AN85" s="2854"/>
      <c r="AO85" s="2854"/>
      <c r="AP85" s="2746"/>
    </row>
    <row r="86" spans="1:42" ht="36.75" customHeight="1">
      <c r="A86" s="2851">
        <v>40</v>
      </c>
      <c r="B86" s="2865" t="s">
        <v>2228</v>
      </c>
      <c r="C86" s="2852"/>
      <c r="D86" s="3364" t="s">
        <v>451</v>
      </c>
      <c r="E86" s="2883"/>
      <c r="F86" s="2883"/>
      <c r="G86" s="2851"/>
      <c r="H86" s="2883"/>
      <c r="I86" s="2883"/>
      <c r="J86" s="2883"/>
      <c r="K86" s="2883"/>
      <c r="L86" s="2883"/>
      <c r="M86" s="2883"/>
      <c r="N86" s="2851"/>
      <c r="O86" s="2883"/>
      <c r="P86" s="2883"/>
      <c r="Q86" s="2883"/>
      <c r="R86" s="2883"/>
      <c r="S86" s="2883"/>
      <c r="T86" s="2883"/>
      <c r="U86" s="2883" t="s">
        <v>29</v>
      </c>
      <c r="V86" s="2883" t="s">
        <v>29</v>
      </c>
      <c r="W86" s="2883" t="s">
        <v>29</v>
      </c>
      <c r="X86" s="2883" t="s">
        <v>1882</v>
      </c>
      <c r="Y86" s="2883" t="s">
        <v>29</v>
      </c>
      <c r="Z86" s="2883" t="s">
        <v>29</v>
      </c>
      <c r="AA86" s="2883" t="s">
        <v>29</v>
      </c>
      <c r="AB86" s="2851" t="s">
        <v>29</v>
      </c>
      <c r="AC86" s="2883" t="s">
        <v>29</v>
      </c>
      <c r="AD86" s="2883" t="s">
        <v>29</v>
      </c>
      <c r="AE86" s="2883" t="s">
        <v>1882</v>
      </c>
      <c r="AF86" s="2883" t="s">
        <v>29</v>
      </c>
      <c r="AG86" s="2883" t="s">
        <v>29</v>
      </c>
      <c r="AH86" s="2883" t="s">
        <v>29</v>
      </c>
      <c r="AI86" s="2853">
        <f t="shared" si="8"/>
        <v>12</v>
      </c>
      <c r="AJ86" s="2853">
        <f t="shared" si="9"/>
        <v>2</v>
      </c>
      <c r="AK86" s="3060"/>
      <c r="AL86" s="2853"/>
      <c r="AM86" s="2853">
        <f t="shared" si="7"/>
        <v>14</v>
      </c>
      <c r="AN86" s="2854"/>
      <c r="AO86" s="2854"/>
      <c r="AP86" s="2746"/>
    </row>
    <row r="87" spans="1:42" ht="36.75" customHeight="1">
      <c r="A87" s="2858">
        <v>41</v>
      </c>
      <c r="B87" s="2865" t="s">
        <v>2229</v>
      </c>
      <c r="C87" s="2852"/>
      <c r="D87" s="3365" t="s">
        <v>451</v>
      </c>
      <c r="E87" s="2883"/>
      <c r="F87" s="2883"/>
      <c r="G87" s="2851"/>
      <c r="H87" s="2883"/>
      <c r="I87" s="2883"/>
      <c r="J87" s="2883"/>
      <c r="K87" s="2883"/>
      <c r="L87" s="2883"/>
      <c r="M87" s="2883"/>
      <c r="N87" s="2851"/>
      <c r="O87" s="2883"/>
      <c r="P87" s="2883"/>
      <c r="Q87" s="2883"/>
      <c r="R87" s="2883"/>
      <c r="S87" s="2883"/>
      <c r="T87" s="2883"/>
      <c r="U87" s="2883" t="s">
        <v>29</v>
      </c>
      <c r="V87" s="2883" t="s">
        <v>29</v>
      </c>
      <c r="W87" s="2883" t="s">
        <v>29</v>
      </c>
      <c r="X87" s="2883" t="s">
        <v>1882</v>
      </c>
      <c r="Y87" s="2883" t="s">
        <v>29</v>
      </c>
      <c r="Z87" s="2883" t="s">
        <v>29</v>
      </c>
      <c r="AA87" s="2883" t="s">
        <v>29</v>
      </c>
      <c r="AB87" s="2851" t="s">
        <v>29</v>
      </c>
      <c r="AC87" s="2883" t="s">
        <v>29</v>
      </c>
      <c r="AD87" s="2883" t="s">
        <v>29</v>
      </c>
      <c r="AE87" s="2883" t="s">
        <v>1882</v>
      </c>
      <c r="AF87" s="2883" t="s">
        <v>29</v>
      </c>
      <c r="AG87" s="2883" t="s">
        <v>29</v>
      </c>
      <c r="AH87" s="2883" t="s">
        <v>29</v>
      </c>
      <c r="AI87" s="2853">
        <f t="shared" si="8"/>
        <v>12</v>
      </c>
      <c r="AJ87" s="2853">
        <f t="shared" si="9"/>
        <v>2</v>
      </c>
      <c r="AK87" s="3060"/>
      <c r="AL87" s="2853"/>
      <c r="AM87" s="2853">
        <f t="shared" si="7"/>
        <v>14</v>
      </c>
      <c r="AN87" s="2854"/>
      <c r="AO87" s="2854"/>
      <c r="AP87" s="2746"/>
    </row>
    <row r="88" spans="1:42" ht="36.75" customHeight="1">
      <c r="A88" s="2851">
        <v>42</v>
      </c>
      <c r="B88" s="2865" t="s">
        <v>2230</v>
      </c>
      <c r="C88" s="2852"/>
      <c r="D88" s="3364" t="s">
        <v>451</v>
      </c>
      <c r="E88" s="2883"/>
      <c r="F88" s="2883"/>
      <c r="G88" s="2851"/>
      <c r="H88" s="2883"/>
      <c r="I88" s="2883"/>
      <c r="J88" s="2883"/>
      <c r="K88" s="2883"/>
      <c r="L88" s="2883"/>
      <c r="M88" s="2883"/>
      <c r="N88" s="2851"/>
      <c r="O88" s="2883"/>
      <c r="P88" s="2883"/>
      <c r="Q88" s="2883"/>
      <c r="R88" s="2883"/>
      <c r="S88" s="2883"/>
      <c r="T88" s="2883"/>
      <c r="U88" s="2883"/>
      <c r="V88" s="2883"/>
      <c r="W88" s="2883"/>
      <c r="X88" s="2883"/>
      <c r="Y88" s="2883"/>
      <c r="Z88" s="2883"/>
      <c r="AA88" s="2883"/>
      <c r="AB88" s="2851"/>
      <c r="AC88" s="2883" t="s">
        <v>29</v>
      </c>
      <c r="AD88" s="2883" t="s">
        <v>29</v>
      </c>
      <c r="AE88" s="2883" t="s">
        <v>1882</v>
      </c>
      <c r="AF88" s="2883" t="s">
        <v>29</v>
      </c>
      <c r="AG88" s="2883" t="s">
        <v>29</v>
      </c>
      <c r="AH88" s="2883" t="s">
        <v>29</v>
      </c>
      <c r="AI88" s="2853">
        <f t="shared" si="8"/>
        <v>5</v>
      </c>
      <c r="AJ88" s="2853">
        <f t="shared" si="9"/>
        <v>1</v>
      </c>
      <c r="AK88" s="3060"/>
      <c r="AL88" s="2853"/>
      <c r="AM88" s="2853">
        <f t="shared" si="7"/>
        <v>6</v>
      </c>
      <c r="AN88" s="2854"/>
      <c r="AO88" s="2854"/>
      <c r="AP88" s="2746"/>
    </row>
    <row r="89" spans="1:42" ht="36.75" customHeight="1">
      <c r="A89" s="2858">
        <v>43</v>
      </c>
      <c r="B89" s="2865" t="s">
        <v>2231</v>
      </c>
      <c r="C89" s="2852"/>
      <c r="D89" s="3365" t="s">
        <v>451</v>
      </c>
      <c r="E89" s="2883"/>
      <c r="F89" s="2883"/>
      <c r="G89" s="2851"/>
      <c r="H89" s="2883"/>
      <c r="I89" s="2883"/>
      <c r="J89" s="2883"/>
      <c r="K89" s="2883"/>
      <c r="L89" s="2883"/>
      <c r="M89" s="2883"/>
      <c r="N89" s="2851"/>
      <c r="O89" s="2883"/>
      <c r="P89" s="2883"/>
      <c r="Q89" s="2883"/>
      <c r="R89" s="2883"/>
      <c r="S89" s="2883"/>
      <c r="T89" s="2883"/>
      <c r="U89" s="2883"/>
      <c r="V89" s="2883"/>
      <c r="W89" s="2883"/>
      <c r="X89" s="2883"/>
      <c r="Y89" s="2883"/>
      <c r="Z89" s="2883"/>
      <c r="AA89" s="2883"/>
      <c r="AB89" s="2851"/>
      <c r="AC89" s="2883" t="s">
        <v>29</v>
      </c>
      <c r="AD89" s="2883" t="s">
        <v>29</v>
      </c>
      <c r="AE89" s="2883" t="s">
        <v>1882</v>
      </c>
      <c r="AF89" s="2883" t="s">
        <v>29</v>
      </c>
      <c r="AG89" s="2883" t="s">
        <v>29</v>
      </c>
      <c r="AH89" s="2883" t="s">
        <v>29</v>
      </c>
      <c r="AI89" s="2853">
        <f>+COUNTIF(E89:AH89,"X")</f>
        <v>5</v>
      </c>
      <c r="AJ89" s="3060">
        <f>+COUNTIF(E89:AH89,"CN")</f>
        <v>1</v>
      </c>
      <c r="AK89" s="3060">
        <f>+COUNTIF(E89:AH89,"D")</f>
        <v>0</v>
      </c>
      <c r="AL89" s="2853">
        <f>+COUNTIF(E89:AH89,"DCN")</f>
        <v>0</v>
      </c>
      <c r="AM89" s="2853">
        <f t="shared" si="7"/>
        <v>6</v>
      </c>
      <c r="AN89" s="2854"/>
      <c r="AO89" s="2854"/>
      <c r="AP89" s="2746"/>
    </row>
    <row r="90" spans="1:42" ht="36.75" customHeight="1">
      <c r="A90" s="3910" t="s">
        <v>1863</v>
      </c>
      <c r="B90" s="3911"/>
      <c r="C90" s="2866"/>
      <c r="D90" s="3180"/>
      <c r="E90" s="3182">
        <f t="shared" ref="E90:AH90" si="12">COUNTIF(E47:E89,"X")+COUNTIF(E47:E89,"cn")+COUNTIF(E47:E89,"D")+COUNTIF(E47:E89,"DCN")</f>
        <v>0</v>
      </c>
      <c r="F90" s="3182">
        <f t="shared" si="12"/>
        <v>0</v>
      </c>
      <c r="G90" s="3182">
        <f t="shared" si="12"/>
        <v>0</v>
      </c>
      <c r="H90" s="3182">
        <f t="shared" si="12"/>
        <v>0</v>
      </c>
      <c r="I90" s="3182">
        <f t="shared" si="12"/>
        <v>0</v>
      </c>
      <c r="J90" s="3182">
        <f t="shared" si="12"/>
        <v>0</v>
      </c>
      <c r="K90" s="3182">
        <f t="shared" si="12"/>
        <v>0</v>
      </c>
      <c r="L90" s="3182">
        <f t="shared" si="12"/>
        <v>0</v>
      </c>
      <c r="M90" s="3182">
        <f t="shared" si="12"/>
        <v>0</v>
      </c>
      <c r="N90" s="3182">
        <f t="shared" si="12"/>
        <v>31</v>
      </c>
      <c r="O90" s="3182">
        <f t="shared" si="12"/>
        <v>31</v>
      </c>
      <c r="P90" s="3182">
        <f t="shared" si="12"/>
        <v>31</v>
      </c>
      <c r="Q90" s="3182">
        <f t="shared" si="12"/>
        <v>32</v>
      </c>
      <c r="R90" s="3182">
        <f t="shared" si="12"/>
        <v>0</v>
      </c>
      <c r="S90" s="3182">
        <f t="shared" si="12"/>
        <v>0</v>
      </c>
      <c r="T90" s="3182">
        <f t="shared" si="12"/>
        <v>0</v>
      </c>
      <c r="U90" s="3182">
        <f t="shared" si="12"/>
        <v>41</v>
      </c>
      <c r="V90" s="3182">
        <f t="shared" si="12"/>
        <v>41</v>
      </c>
      <c r="W90" s="3182">
        <f t="shared" si="12"/>
        <v>41</v>
      </c>
      <c r="X90" s="3182">
        <f t="shared" si="12"/>
        <v>41</v>
      </c>
      <c r="Y90" s="3182">
        <f t="shared" si="12"/>
        <v>41</v>
      </c>
      <c r="Z90" s="3182">
        <f t="shared" si="12"/>
        <v>41</v>
      </c>
      <c r="AA90" s="3182">
        <f t="shared" si="12"/>
        <v>41</v>
      </c>
      <c r="AB90" s="3182">
        <f t="shared" si="12"/>
        <v>41</v>
      </c>
      <c r="AC90" s="3182">
        <f t="shared" si="12"/>
        <v>43</v>
      </c>
      <c r="AD90" s="3182">
        <f t="shared" si="12"/>
        <v>43</v>
      </c>
      <c r="AE90" s="3182">
        <f t="shared" si="12"/>
        <v>43</v>
      </c>
      <c r="AF90" s="3182">
        <f t="shared" si="12"/>
        <v>43</v>
      </c>
      <c r="AG90" s="3182">
        <f t="shared" si="12"/>
        <v>43</v>
      </c>
      <c r="AH90" s="3182">
        <f t="shared" si="12"/>
        <v>43</v>
      </c>
      <c r="AI90" s="3182">
        <f>+SUBTOTAL(9,AI47:AI89)</f>
        <v>595</v>
      </c>
      <c r="AJ90" s="3182">
        <f>+SUBTOTAL(9,AJ47:AJ89)</f>
        <v>116</v>
      </c>
      <c r="AK90" s="3182">
        <f>+SUBTOTAL(9,AK47:AK89)</f>
        <v>0</v>
      </c>
      <c r="AL90" s="3182">
        <f>+SUBTOTAL(9,AL47:AL89)</f>
        <v>0</v>
      </c>
      <c r="AM90" s="3182">
        <f>+SUBTOTAL(9,AM47:AM89)</f>
        <v>711</v>
      </c>
      <c r="AN90" s="2868" t="e">
        <f>+SUBTOTAL(9,AN12:AN81)</f>
        <v>#N/A</v>
      </c>
      <c r="AO90" s="2869" t="e">
        <f>+SUBTOTAL(9,AO12:AO81)</f>
        <v>#N/A</v>
      </c>
      <c r="AP90" s="2856"/>
    </row>
    <row r="91" spans="1:42" ht="36.75" customHeight="1">
      <c r="A91" s="2871">
        <v>1</v>
      </c>
      <c r="B91" s="2808" t="s">
        <v>2232</v>
      </c>
      <c r="C91" s="2872"/>
      <c r="D91" s="3486" t="s">
        <v>452</v>
      </c>
      <c r="E91" s="2871"/>
      <c r="F91" s="2871"/>
      <c r="G91" s="2871"/>
      <c r="H91" s="2871"/>
      <c r="I91" s="2871"/>
      <c r="J91" s="2871"/>
      <c r="K91" s="2871"/>
      <c r="L91" s="2871"/>
      <c r="M91" s="2871"/>
      <c r="N91" s="2871"/>
      <c r="O91" s="2871"/>
      <c r="P91" s="2871"/>
      <c r="Q91" s="2871"/>
      <c r="R91" s="2871"/>
      <c r="S91" s="2871"/>
      <c r="T91" s="2871"/>
      <c r="U91" s="2871"/>
      <c r="V91" s="2871"/>
      <c r="W91" s="2871" t="s">
        <v>29</v>
      </c>
      <c r="X91" s="2871" t="s">
        <v>1882</v>
      </c>
      <c r="Y91" s="2871" t="s">
        <v>29</v>
      </c>
      <c r="Z91" s="2871" t="s">
        <v>29</v>
      </c>
      <c r="AA91" s="2871" t="s">
        <v>29</v>
      </c>
      <c r="AB91" s="2871" t="s">
        <v>29</v>
      </c>
      <c r="AC91" s="2871" t="s">
        <v>29</v>
      </c>
      <c r="AD91" s="2871" t="s">
        <v>29</v>
      </c>
      <c r="AE91" s="2871" t="s">
        <v>1882</v>
      </c>
      <c r="AF91" s="2871" t="s">
        <v>29</v>
      </c>
      <c r="AG91" s="2871" t="s">
        <v>29</v>
      </c>
      <c r="AH91" s="2871" t="s">
        <v>29</v>
      </c>
      <c r="AI91" s="2873">
        <f t="shared" ref="AI91:AI152" si="13">+COUNTIF(E91:AH91,"X")</f>
        <v>10</v>
      </c>
      <c r="AJ91" s="2873">
        <f t="shared" ref="AJ91:AJ152" si="14">+COUNTIF(E91:AH91,"CN")</f>
        <v>2</v>
      </c>
      <c r="AK91" s="3059">
        <f t="shared" ref="AK91:AK152" si="15">+COUNTIF(E91:AH91,"D")</f>
        <v>0</v>
      </c>
      <c r="AL91" s="2874">
        <f t="shared" ref="AL91:AL152" si="16">+COUNTIF(E91:AH91,"DCN")</f>
        <v>0</v>
      </c>
      <c r="AM91" s="2873">
        <f t="shared" ref="AM91:AM121" si="17">SUM(AI91:AL91)</f>
        <v>12</v>
      </c>
      <c r="AN91" s="3487" t="e">
        <f>+VLOOKUP(C91,[1]Sheet1!$D$9:$E$122,2,0)</f>
        <v>#N/A</v>
      </c>
      <c r="AO91" s="3487" t="e">
        <f t="shared" ref="AO91:AO119" si="18">+IF(AN91=B91,"0","1")</f>
        <v>#N/A</v>
      </c>
      <c r="AP91" s="2875"/>
    </row>
    <row r="92" spans="1:42" ht="36.75" customHeight="1">
      <c r="A92" s="2851">
        <v>2</v>
      </c>
      <c r="B92" s="2812" t="s">
        <v>2233</v>
      </c>
      <c r="C92" s="2852"/>
      <c r="D92" s="3364" t="s">
        <v>452</v>
      </c>
      <c r="E92" s="2851"/>
      <c r="F92" s="2851"/>
      <c r="G92" s="2851"/>
      <c r="H92" s="2851"/>
      <c r="I92" s="2851"/>
      <c r="J92" s="2851"/>
      <c r="K92" s="2851"/>
      <c r="L92" s="2851"/>
      <c r="M92" s="2851"/>
      <c r="N92" s="2851"/>
      <c r="O92" s="2851"/>
      <c r="P92" s="2851"/>
      <c r="Q92" s="2851"/>
      <c r="R92" s="2851"/>
      <c r="S92" s="2851"/>
      <c r="T92" s="2851"/>
      <c r="U92" s="2851"/>
      <c r="V92" s="2851"/>
      <c r="W92" s="2851" t="s">
        <v>29</v>
      </c>
      <c r="X92" s="2851" t="s">
        <v>1882</v>
      </c>
      <c r="Y92" s="2851" t="s">
        <v>29</v>
      </c>
      <c r="Z92" s="2851" t="s">
        <v>29</v>
      </c>
      <c r="AA92" s="2851" t="s">
        <v>29</v>
      </c>
      <c r="AB92" s="2851" t="s">
        <v>29</v>
      </c>
      <c r="AC92" s="2851" t="s">
        <v>29</v>
      </c>
      <c r="AD92" s="2851" t="s">
        <v>29</v>
      </c>
      <c r="AE92" s="2851" t="s">
        <v>1882</v>
      </c>
      <c r="AF92" s="2851" t="s">
        <v>29</v>
      </c>
      <c r="AG92" s="2851" t="s">
        <v>29</v>
      </c>
      <c r="AH92" s="2851" t="s">
        <v>29</v>
      </c>
      <c r="AI92" s="2745">
        <f t="shared" si="13"/>
        <v>10</v>
      </c>
      <c r="AJ92" s="2745">
        <f t="shared" si="14"/>
        <v>2</v>
      </c>
      <c r="AK92" s="3060">
        <f t="shared" si="15"/>
        <v>0</v>
      </c>
      <c r="AL92" s="2853">
        <f t="shared" si="16"/>
        <v>0</v>
      </c>
      <c r="AM92" s="2745">
        <f t="shared" si="17"/>
        <v>12</v>
      </c>
      <c r="AN92" s="2854" t="e">
        <f>+VLOOKUP(C92,[1]Sheet1!$D$9:$E$122,2,0)</f>
        <v>#N/A</v>
      </c>
      <c r="AO92" s="2854" t="e">
        <f t="shared" si="18"/>
        <v>#N/A</v>
      </c>
      <c r="AP92" s="2746"/>
    </row>
    <row r="93" spans="1:42" ht="36.75" customHeight="1">
      <c r="A93" s="2871">
        <v>3</v>
      </c>
      <c r="B93" s="2812" t="s">
        <v>2234</v>
      </c>
      <c r="C93" s="2852"/>
      <c r="D93" s="3364" t="s">
        <v>452</v>
      </c>
      <c r="E93" s="2851"/>
      <c r="F93" s="2851"/>
      <c r="G93" s="2851"/>
      <c r="H93" s="2851"/>
      <c r="I93" s="2851"/>
      <c r="J93" s="2851"/>
      <c r="K93" s="2851"/>
      <c r="L93" s="2851"/>
      <c r="M93" s="2851"/>
      <c r="N93" s="2851"/>
      <c r="O93" s="2851" t="s">
        <v>29</v>
      </c>
      <c r="P93" s="2851" t="s">
        <v>29</v>
      </c>
      <c r="Q93" s="2851" t="s">
        <v>1882</v>
      </c>
      <c r="R93" s="2851"/>
      <c r="S93" s="2851"/>
      <c r="T93" s="2851"/>
      <c r="U93" s="2851" t="s">
        <v>29</v>
      </c>
      <c r="V93" s="2851" t="s">
        <v>29</v>
      </c>
      <c r="W93" s="2851" t="s">
        <v>29</v>
      </c>
      <c r="X93" s="2851" t="s">
        <v>1882</v>
      </c>
      <c r="Y93" s="2851" t="s">
        <v>29</v>
      </c>
      <c r="Z93" s="2851" t="s">
        <v>29</v>
      </c>
      <c r="AA93" s="2851" t="s">
        <v>29</v>
      </c>
      <c r="AB93" s="2851" t="s">
        <v>29</v>
      </c>
      <c r="AC93" s="2851" t="s">
        <v>29</v>
      </c>
      <c r="AD93" s="2851" t="s">
        <v>29</v>
      </c>
      <c r="AE93" s="2851" t="s">
        <v>1882</v>
      </c>
      <c r="AF93" s="2851" t="s">
        <v>29</v>
      </c>
      <c r="AG93" s="2851" t="s">
        <v>29</v>
      </c>
      <c r="AH93" s="2851" t="s">
        <v>29</v>
      </c>
      <c r="AI93" s="2745">
        <f t="shared" si="13"/>
        <v>14</v>
      </c>
      <c r="AJ93" s="2745">
        <f t="shared" si="14"/>
        <v>3</v>
      </c>
      <c r="AK93" s="3060">
        <f t="shared" si="15"/>
        <v>0</v>
      </c>
      <c r="AL93" s="2853">
        <f t="shared" si="16"/>
        <v>0</v>
      </c>
      <c r="AM93" s="2745">
        <f t="shared" si="17"/>
        <v>17</v>
      </c>
      <c r="AN93" s="2854" t="e">
        <f>+VLOOKUP(C93,[1]Sheet1!$D$9:$E$122,2,0)</f>
        <v>#N/A</v>
      </c>
      <c r="AO93" s="2854" t="e">
        <f t="shared" si="18"/>
        <v>#N/A</v>
      </c>
      <c r="AP93" s="2746"/>
    </row>
    <row r="94" spans="1:42" ht="36.75" customHeight="1">
      <c r="A94" s="2851">
        <v>4</v>
      </c>
      <c r="B94" s="2812" t="s">
        <v>2235</v>
      </c>
      <c r="C94" s="2852"/>
      <c r="D94" s="3364" t="s">
        <v>452</v>
      </c>
      <c r="E94" s="2851"/>
      <c r="F94" s="2851"/>
      <c r="G94" s="2851"/>
      <c r="H94" s="2851"/>
      <c r="I94" s="2851"/>
      <c r="J94" s="2851"/>
      <c r="K94" s="2851"/>
      <c r="L94" s="2851"/>
      <c r="M94" s="2851"/>
      <c r="N94" s="2851"/>
      <c r="O94" s="2851" t="s">
        <v>29</v>
      </c>
      <c r="P94" s="2851" t="s">
        <v>29</v>
      </c>
      <c r="Q94" s="2851" t="s">
        <v>1882</v>
      </c>
      <c r="R94" s="2851"/>
      <c r="S94" s="2851"/>
      <c r="T94" s="2851"/>
      <c r="U94" s="2851" t="s">
        <v>29</v>
      </c>
      <c r="V94" s="2851" t="s">
        <v>29</v>
      </c>
      <c r="W94" s="2851" t="s">
        <v>29</v>
      </c>
      <c r="X94" s="2851" t="s">
        <v>1882</v>
      </c>
      <c r="Y94" s="2851" t="s">
        <v>29</v>
      </c>
      <c r="Z94" s="2851" t="s">
        <v>29</v>
      </c>
      <c r="AA94" s="2851" t="s">
        <v>29</v>
      </c>
      <c r="AB94" s="2851" t="s">
        <v>29</v>
      </c>
      <c r="AC94" s="2851" t="s">
        <v>29</v>
      </c>
      <c r="AD94" s="2851" t="s">
        <v>29</v>
      </c>
      <c r="AE94" s="2851" t="s">
        <v>1882</v>
      </c>
      <c r="AF94" s="2851" t="s">
        <v>29</v>
      </c>
      <c r="AG94" s="2851" t="s">
        <v>29</v>
      </c>
      <c r="AH94" s="2851" t="s">
        <v>29</v>
      </c>
      <c r="AI94" s="2745">
        <f t="shared" si="13"/>
        <v>14</v>
      </c>
      <c r="AJ94" s="2745">
        <f t="shared" si="14"/>
        <v>3</v>
      </c>
      <c r="AK94" s="3060">
        <f t="shared" si="15"/>
        <v>0</v>
      </c>
      <c r="AL94" s="2853">
        <f t="shared" si="16"/>
        <v>0</v>
      </c>
      <c r="AM94" s="2745">
        <f t="shared" si="17"/>
        <v>17</v>
      </c>
      <c r="AN94" s="2854" t="e">
        <f>+VLOOKUP(C94,[1]Sheet1!$D$9:$E$122,2,0)</f>
        <v>#N/A</v>
      </c>
      <c r="AO94" s="2854" t="e">
        <f t="shared" si="18"/>
        <v>#N/A</v>
      </c>
      <c r="AP94" s="2746"/>
    </row>
    <row r="95" spans="1:42" ht="36.75" customHeight="1">
      <c r="A95" s="2871">
        <v>5</v>
      </c>
      <c r="B95" s="2812" t="s">
        <v>2236</v>
      </c>
      <c r="C95" s="2852"/>
      <c r="D95" s="3364" t="s">
        <v>452</v>
      </c>
      <c r="E95" s="2851"/>
      <c r="F95" s="2851"/>
      <c r="G95" s="2851"/>
      <c r="H95" s="2851"/>
      <c r="I95" s="2851"/>
      <c r="J95" s="2851"/>
      <c r="K95" s="2851"/>
      <c r="L95" s="2851"/>
      <c r="M95" s="2851"/>
      <c r="N95" s="2851"/>
      <c r="O95" s="2851" t="s">
        <v>29</v>
      </c>
      <c r="P95" s="2851" t="s">
        <v>29</v>
      </c>
      <c r="Q95" s="2851" t="s">
        <v>1882</v>
      </c>
      <c r="R95" s="2851"/>
      <c r="S95" s="2851"/>
      <c r="T95" s="2851"/>
      <c r="U95" s="2851" t="s">
        <v>29</v>
      </c>
      <c r="V95" s="2851" t="s">
        <v>29</v>
      </c>
      <c r="W95" s="2851" t="s">
        <v>29</v>
      </c>
      <c r="X95" s="2851" t="s">
        <v>1882</v>
      </c>
      <c r="Y95" s="2851" t="s">
        <v>29</v>
      </c>
      <c r="Z95" s="2851" t="s">
        <v>29</v>
      </c>
      <c r="AA95" s="2851" t="s">
        <v>29</v>
      </c>
      <c r="AB95" s="2851" t="s">
        <v>29</v>
      </c>
      <c r="AC95" s="2851" t="s">
        <v>29</v>
      </c>
      <c r="AD95" s="2851" t="s">
        <v>29</v>
      </c>
      <c r="AE95" s="2851" t="s">
        <v>1882</v>
      </c>
      <c r="AF95" s="2851" t="s">
        <v>29</v>
      </c>
      <c r="AG95" s="2851" t="s">
        <v>29</v>
      </c>
      <c r="AH95" s="2851" t="s">
        <v>29</v>
      </c>
      <c r="AI95" s="2745">
        <f t="shared" si="13"/>
        <v>14</v>
      </c>
      <c r="AJ95" s="2745">
        <f t="shared" si="14"/>
        <v>3</v>
      </c>
      <c r="AK95" s="3060">
        <f t="shared" si="15"/>
        <v>0</v>
      </c>
      <c r="AL95" s="2853">
        <f t="shared" si="16"/>
        <v>0</v>
      </c>
      <c r="AM95" s="2745">
        <f t="shared" si="17"/>
        <v>17</v>
      </c>
      <c r="AN95" s="2854" t="e">
        <f>+VLOOKUP(C95,[1]Sheet1!$D$9:$E$122,2,0)</f>
        <v>#N/A</v>
      </c>
      <c r="AO95" s="2854" t="e">
        <f t="shared" si="18"/>
        <v>#N/A</v>
      </c>
      <c r="AP95" s="2746"/>
    </row>
    <row r="96" spans="1:42" ht="36.75" customHeight="1">
      <c r="A96" s="2851">
        <v>6</v>
      </c>
      <c r="B96" s="2812" t="s">
        <v>2237</v>
      </c>
      <c r="C96" s="2852"/>
      <c r="D96" s="3364" t="s">
        <v>452</v>
      </c>
      <c r="E96" s="2851"/>
      <c r="F96" s="2851"/>
      <c r="G96" s="2851"/>
      <c r="H96" s="2851"/>
      <c r="I96" s="2851"/>
      <c r="J96" s="2851"/>
      <c r="K96" s="2851"/>
      <c r="L96" s="2851"/>
      <c r="M96" s="2851"/>
      <c r="N96" s="2851"/>
      <c r="O96" s="2851" t="s">
        <v>29</v>
      </c>
      <c r="P96" s="2851" t="s">
        <v>29</v>
      </c>
      <c r="Q96" s="2851" t="s">
        <v>1882</v>
      </c>
      <c r="R96" s="2851"/>
      <c r="S96" s="2851"/>
      <c r="T96" s="2851"/>
      <c r="U96" s="2851" t="s">
        <v>29</v>
      </c>
      <c r="V96" s="2851" t="s">
        <v>29</v>
      </c>
      <c r="W96" s="2851" t="s">
        <v>29</v>
      </c>
      <c r="X96" s="2851" t="s">
        <v>1882</v>
      </c>
      <c r="Y96" s="2851" t="s">
        <v>29</v>
      </c>
      <c r="Z96" s="2851" t="s">
        <v>29</v>
      </c>
      <c r="AA96" s="2851" t="s">
        <v>29</v>
      </c>
      <c r="AB96" s="2851" t="s">
        <v>29</v>
      </c>
      <c r="AC96" s="2851" t="s">
        <v>29</v>
      </c>
      <c r="AD96" s="2851" t="s">
        <v>29</v>
      </c>
      <c r="AE96" s="2851" t="s">
        <v>1882</v>
      </c>
      <c r="AF96" s="2851" t="s">
        <v>29</v>
      </c>
      <c r="AG96" s="2851" t="s">
        <v>29</v>
      </c>
      <c r="AH96" s="2851" t="s">
        <v>29</v>
      </c>
      <c r="AI96" s="2745">
        <f t="shared" si="13"/>
        <v>14</v>
      </c>
      <c r="AJ96" s="2745">
        <f t="shared" si="14"/>
        <v>3</v>
      </c>
      <c r="AK96" s="3060">
        <f t="shared" si="15"/>
        <v>0</v>
      </c>
      <c r="AL96" s="2853">
        <f t="shared" si="16"/>
        <v>0</v>
      </c>
      <c r="AM96" s="2745">
        <f t="shared" si="17"/>
        <v>17</v>
      </c>
      <c r="AN96" s="2854" t="e">
        <f>+VLOOKUP(C96,[1]Sheet1!$D$9:$E$122,2,0)</f>
        <v>#N/A</v>
      </c>
      <c r="AO96" s="2854" t="e">
        <f t="shared" si="18"/>
        <v>#N/A</v>
      </c>
      <c r="AP96" s="2746"/>
    </row>
    <row r="97" spans="1:42" ht="36.75" customHeight="1">
      <c r="A97" s="2871">
        <v>7</v>
      </c>
      <c r="B97" s="2812" t="s">
        <v>2238</v>
      </c>
      <c r="C97" s="2852"/>
      <c r="D97" s="3364" t="s">
        <v>452</v>
      </c>
      <c r="E97" s="2851"/>
      <c r="F97" s="2851"/>
      <c r="G97" s="2851"/>
      <c r="H97" s="2851"/>
      <c r="I97" s="2851"/>
      <c r="J97" s="2851"/>
      <c r="K97" s="2851"/>
      <c r="L97" s="2851"/>
      <c r="M97" s="2851"/>
      <c r="N97" s="2851"/>
      <c r="O97" s="2851" t="s">
        <v>29</v>
      </c>
      <c r="P97" s="2851" t="s">
        <v>29</v>
      </c>
      <c r="Q97" s="2851" t="s">
        <v>1882</v>
      </c>
      <c r="R97" s="2851"/>
      <c r="S97" s="2851"/>
      <c r="T97" s="2851"/>
      <c r="U97" s="2851" t="s">
        <v>29</v>
      </c>
      <c r="V97" s="2851" t="s">
        <v>29</v>
      </c>
      <c r="W97" s="2851" t="s">
        <v>29</v>
      </c>
      <c r="X97" s="2851" t="s">
        <v>1882</v>
      </c>
      <c r="Y97" s="2851" t="s">
        <v>29</v>
      </c>
      <c r="Z97" s="2851" t="s">
        <v>29</v>
      </c>
      <c r="AA97" s="2851" t="s">
        <v>29</v>
      </c>
      <c r="AB97" s="2851" t="s">
        <v>29</v>
      </c>
      <c r="AC97" s="2851" t="s">
        <v>29</v>
      </c>
      <c r="AD97" s="2851" t="s">
        <v>29</v>
      </c>
      <c r="AE97" s="2851" t="s">
        <v>1882</v>
      </c>
      <c r="AF97" s="2851" t="s">
        <v>29</v>
      </c>
      <c r="AG97" s="2851" t="s">
        <v>29</v>
      </c>
      <c r="AH97" s="2851" t="s">
        <v>29</v>
      </c>
      <c r="AI97" s="2745">
        <f t="shared" si="13"/>
        <v>14</v>
      </c>
      <c r="AJ97" s="2745">
        <f t="shared" si="14"/>
        <v>3</v>
      </c>
      <c r="AK97" s="3060">
        <f t="shared" si="15"/>
        <v>0</v>
      </c>
      <c r="AL97" s="2853">
        <f t="shared" si="16"/>
        <v>0</v>
      </c>
      <c r="AM97" s="2745">
        <f t="shared" si="17"/>
        <v>17</v>
      </c>
      <c r="AN97" s="2854" t="e">
        <f>+VLOOKUP(C97,[1]Sheet1!$D$9:$E$122,2,0)</f>
        <v>#N/A</v>
      </c>
      <c r="AO97" s="2854" t="e">
        <f t="shared" si="18"/>
        <v>#N/A</v>
      </c>
      <c r="AP97" s="2746"/>
    </row>
    <row r="98" spans="1:42" ht="36.75" customHeight="1">
      <c r="A98" s="2851">
        <v>8</v>
      </c>
      <c r="B98" s="2812" t="s">
        <v>2239</v>
      </c>
      <c r="C98" s="2852"/>
      <c r="D98" s="3364" t="s">
        <v>452</v>
      </c>
      <c r="E98" s="2851"/>
      <c r="F98" s="2851"/>
      <c r="G98" s="2851"/>
      <c r="H98" s="2851"/>
      <c r="I98" s="2851"/>
      <c r="J98" s="2851"/>
      <c r="K98" s="2851"/>
      <c r="L98" s="2851"/>
      <c r="M98" s="2851"/>
      <c r="N98" s="2851"/>
      <c r="O98" s="2851" t="s">
        <v>29</v>
      </c>
      <c r="P98" s="2851" t="s">
        <v>29</v>
      </c>
      <c r="Q98" s="2851" t="s">
        <v>1882</v>
      </c>
      <c r="R98" s="2851"/>
      <c r="S98" s="2851"/>
      <c r="T98" s="2851"/>
      <c r="U98" s="2851" t="s">
        <v>29</v>
      </c>
      <c r="V98" s="2851" t="s">
        <v>29</v>
      </c>
      <c r="W98" s="2851" t="s">
        <v>29</v>
      </c>
      <c r="X98" s="2851" t="s">
        <v>1882</v>
      </c>
      <c r="Y98" s="2851" t="s">
        <v>29</v>
      </c>
      <c r="Z98" s="2851" t="s">
        <v>29</v>
      </c>
      <c r="AA98" s="2851" t="s">
        <v>29</v>
      </c>
      <c r="AB98" s="2851" t="s">
        <v>29</v>
      </c>
      <c r="AC98" s="2851" t="s">
        <v>29</v>
      </c>
      <c r="AD98" s="2851" t="s">
        <v>29</v>
      </c>
      <c r="AE98" s="2851" t="s">
        <v>1882</v>
      </c>
      <c r="AF98" s="2851" t="s">
        <v>29</v>
      </c>
      <c r="AG98" s="2851" t="s">
        <v>29</v>
      </c>
      <c r="AH98" s="2851" t="s">
        <v>29</v>
      </c>
      <c r="AI98" s="2745">
        <f t="shared" si="13"/>
        <v>14</v>
      </c>
      <c r="AJ98" s="2745">
        <f t="shared" si="14"/>
        <v>3</v>
      </c>
      <c r="AK98" s="3060">
        <f t="shared" si="15"/>
        <v>0</v>
      </c>
      <c r="AL98" s="2853">
        <f t="shared" si="16"/>
        <v>0</v>
      </c>
      <c r="AM98" s="2745">
        <f t="shared" si="17"/>
        <v>17</v>
      </c>
      <c r="AN98" s="2854" t="e">
        <f>+VLOOKUP(C98,[1]Sheet1!$D$9:$E$122,2,0)</f>
        <v>#N/A</v>
      </c>
      <c r="AO98" s="2854" t="e">
        <f t="shared" si="18"/>
        <v>#N/A</v>
      </c>
      <c r="AP98" s="2746"/>
    </row>
    <row r="99" spans="1:42" ht="36.75" customHeight="1">
      <c r="A99" s="2871">
        <v>9</v>
      </c>
      <c r="B99" s="2812" t="s">
        <v>2240</v>
      </c>
      <c r="C99" s="2852"/>
      <c r="D99" s="3364" t="s">
        <v>452</v>
      </c>
      <c r="E99" s="2851"/>
      <c r="F99" s="2851"/>
      <c r="G99" s="2851"/>
      <c r="H99" s="2851"/>
      <c r="I99" s="2851"/>
      <c r="J99" s="2851"/>
      <c r="K99" s="2851"/>
      <c r="L99" s="2851"/>
      <c r="M99" s="2851"/>
      <c r="N99" s="2851"/>
      <c r="O99" s="2851"/>
      <c r="P99" s="2851"/>
      <c r="Q99" s="2851"/>
      <c r="R99" s="2851"/>
      <c r="S99" s="2851"/>
      <c r="T99" s="2851"/>
      <c r="U99" s="2851" t="s">
        <v>29</v>
      </c>
      <c r="V99" s="2851" t="s">
        <v>29</v>
      </c>
      <c r="W99" s="2851" t="s">
        <v>29</v>
      </c>
      <c r="X99" s="2851"/>
      <c r="Y99" s="2851" t="s">
        <v>29</v>
      </c>
      <c r="Z99" s="2851" t="s">
        <v>29</v>
      </c>
      <c r="AA99" s="2851" t="s">
        <v>29</v>
      </c>
      <c r="AB99" s="2851" t="s">
        <v>29</v>
      </c>
      <c r="AC99" s="2851" t="s">
        <v>29</v>
      </c>
      <c r="AD99" s="2851" t="s">
        <v>29</v>
      </c>
      <c r="AE99" s="2851" t="s">
        <v>1882</v>
      </c>
      <c r="AF99" s="2851" t="s">
        <v>29</v>
      </c>
      <c r="AG99" s="2851" t="s">
        <v>29</v>
      </c>
      <c r="AH99" s="2851" t="s">
        <v>29</v>
      </c>
      <c r="AI99" s="2745">
        <f t="shared" si="13"/>
        <v>12</v>
      </c>
      <c r="AJ99" s="2745">
        <f t="shared" si="14"/>
        <v>1</v>
      </c>
      <c r="AK99" s="3060">
        <f t="shared" si="15"/>
        <v>0</v>
      </c>
      <c r="AL99" s="2853">
        <f t="shared" si="16"/>
        <v>0</v>
      </c>
      <c r="AM99" s="2745">
        <f t="shared" si="17"/>
        <v>13</v>
      </c>
      <c r="AN99" s="2854" t="e">
        <f>+VLOOKUP(C99,[1]Sheet1!$D$9:$E$122,2,0)</f>
        <v>#N/A</v>
      </c>
      <c r="AO99" s="2854" t="e">
        <f t="shared" si="18"/>
        <v>#N/A</v>
      </c>
      <c r="AP99" s="2746"/>
    </row>
    <row r="100" spans="1:42" ht="36.75" customHeight="1">
      <c r="A100" s="2851">
        <v>10</v>
      </c>
      <c r="B100" s="2812" t="s">
        <v>2241</v>
      </c>
      <c r="C100" s="2852"/>
      <c r="D100" s="3364" t="s">
        <v>452</v>
      </c>
      <c r="E100" s="2851"/>
      <c r="F100" s="2851"/>
      <c r="G100" s="2851"/>
      <c r="H100" s="2851"/>
      <c r="I100" s="2851"/>
      <c r="J100" s="2851"/>
      <c r="K100" s="2851"/>
      <c r="L100" s="2851"/>
      <c r="M100" s="2851"/>
      <c r="N100" s="2851"/>
      <c r="O100" s="2851"/>
      <c r="P100" s="2851"/>
      <c r="Q100" s="2851"/>
      <c r="R100" s="2851"/>
      <c r="S100" s="2851"/>
      <c r="T100" s="2851"/>
      <c r="U100" s="2851" t="s">
        <v>29</v>
      </c>
      <c r="V100" s="2851" t="s">
        <v>29</v>
      </c>
      <c r="W100" s="2851" t="s">
        <v>29</v>
      </c>
      <c r="X100" s="2851" t="s">
        <v>1882</v>
      </c>
      <c r="Y100" s="2851" t="s">
        <v>29</v>
      </c>
      <c r="Z100" s="2851" t="s">
        <v>29</v>
      </c>
      <c r="AA100" s="2851" t="s">
        <v>29</v>
      </c>
      <c r="AB100" s="2851" t="s">
        <v>29</v>
      </c>
      <c r="AC100" s="2851" t="s">
        <v>29</v>
      </c>
      <c r="AD100" s="2851" t="s">
        <v>29</v>
      </c>
      <c r="AE100" s="2851" t="s">
        <v>1882</v>
      </c>
      <c r="AF100" s="2851" t="s">
        <v>29</v>
      </c>
      <c r="AG100" s="2851" t="s">
        <v>29</v>
      </c>
      <c r="AH100" s="2851" t="s">
        <v>29</v>
      </c>
      <c r="AI100" s="2745">
        <f t="shared" si="13"/>
        <v>12</v>
      </c>
      <c r="AJ100" s="2745">
        <f t="shared" si="14"/>
        <v>2</v>
      </c>
      <c r="AK100" s="3060">
        <f t="shared" si="15"/>
        <v>0</v>
      </c>
      <c r="AL100" s="2853">
        <f t="shared" si="16"/>
        <v>0</v>
      </c>
      <c r="AM100" s="2745">
        <f t="shared" si="17"/>
        <v>14</v>
      </c>
      <c r="AN100" s="2854" t="e">
        <f>+VLOOKUP(C100,[1]Sheet1!$D$9:$E$122,2,0)</f>
        <v>#N/A</v>
      </c>
      <c r="AO100" s="2854" t="e">
        <f t="shared" si="18"/>
        <v>#N/A</v>
      </c>
      <c r="AP100" s="2746"/>
    </row>
    <row r="101" spans="1:42" ht="36.75" customHeight="1">
      <c r="A101" s="2871">
        <v>11</v>
      </c>
      <c r="B101" s="2812" t="s">
        <v>2242</v>
      </c>
      <c r="C101" s="2852"/>
      <c r="D101" s="3364" t="s">
        <v>452</v>
      </c>
      <c r="E101" s="2851"/>
      <c r="F101" s="2851"/>
      <c r="G101" s="2851"/>
      <c r="H101" s="2851"/>
      <c r="I101" s="2851"/>
      <c r="J101" s="2851"/>
      <c r="K101" s="2851"/>
      <c r="L101" s="2851"/>
      <c r="M101" s="2851"/>
      <c r="N101" s="2851" t="s">
        <v>29</v>
      </c>
      <c r="O101" s="2851" t="s">
        <v>29</v>
      </c>
      <c r="P101" s="2851" t="s">
        <v>29</v>
      </c>
      <c r="Q101" s="2851" t="s">
        <v>1882</v>
      </c>
      <c r="R101" s="2851"/>
      <c r="S101" s="2851"/>
      <c r="T101" s="2851"/>
      <c r="U101" s="2851" t="s">
        <v>29</v>
      </c>
      <c r="V101" s="2851" t="s">
        <v>29</v>
      </c>
      <c r="W101" s="2851" t="s">
        <v>29</v>
      </c>
      <c r="X101" s="2851" t="s">
        <v>1882</v>
      </c>
      <c r="Y101" s="2851" t="s">
        <v>29</v>
      </c>
      <c r="Z101" s="2851" t="s">
        <v>29</v>
      </c>
      <c r="AA101" s="2851" t="s">
        <v>29</v>
      </c>
      <c r="AB101" s="2851" t="s">
        <v>29</v>
      </c>
      <c r="AC101" s="2851" t="s">
        <v>29</v>
      </c>
      <c r="AD101" s="2851" t="s">
        <v>29</v>
      </c>
      <c r="AE101" s="2851" t="s">
        <v>1882</v>
      </c>
      <c r="AF101" s="2851" t="s">
        <v>29</v>
      </c>
      <c r="AG101" s="2851" t="s">
        <v>29</v>
      </c>
      <c r="AH101" s="2851" t="s">
        <v>29</v>
      </c>
      <c r="AI101" s="2745">
        <f t="shared" si="13"/>
        <v>15</v>
      </c>
      <c r="AJ101" s="2745">
        <f t="shared" si="14"/>
        <v>3</v>
      </c>
      <c r="AK101" s="3060">
        <f t="shared" si="15"/>
        <v>0</v>
      </c>
      <c r="AL101" s="2853">
        <f t="shared" si="16"/>
        <v>0</v>
      </c>
      <c r="AM101" s="2745">
        <f t="shared" si="17"/>
        <v>18</v>
      </c>
      <c r="AN101" s="2854" t="e">
        <f>+VLOOKUP(C101,[1]Sheet1!$D$9:$E$122,2,0)</f>
        <v>#N/A</v>
      </c>
      <c r="AO101" s="2854" t="e">
        <f t="shared" si="18"/>
        <v>#N/A</v>
      </c>
      <c r="AP101" s="2746"/>
    </row>
    <row r="102" spans="1:42" ht="36.75" customHeight="1">
      <c r="A102" s="2851">
        <v>12</v>
      </c>
      <c r="B102" s="2812" t="s">
        <v>488</v>
      </c>
      <c r="C102" s="2852"/>
      <c r="D102" s="3364" t="s">
        <v>452</v>
      </c>
      <c r="E102" s="2851"/>
      <c r="F102" s="2851"/>
      <c r="G102" s="2851"/>
      <c r="H102" s="2851"/>
      <c r="I102" s="2851"/>
      <c r="J102" s="2851"/>
      <c r="K102" s="2851"/>
      <c r="L102" s="2851"/>
      <c r="M102" s="2851"/>
      <c r="N102" s="2851" t="s">
        <v>29</v>
      </c>
      <c r="O102" s="2851" t="s">
        <v>29</v>
      </c>
      <c r="P102" s="2851" t="s">
        <v>29</v>
      </c>
      <c r="Q102" s="2851" t="s">
        <v>1882</v>
      </c>
      <c r="R102" s="2851"/>
      <c r="S102" s="2851"/>
      <c r="T102" s="2851"/>
      <c r="U102" s="2851" t="s">
        <v>29</v>
      </c>
      <c r="V102" s="2851" t="s">
        <v>29</v>
      </c>
      <c r="W102" s="2851" t="s">
        <v>29</v>
      </c>
      <c r="X102" s="2851" t="s">
        <v>1882</v>
      </c>
      <c r="Y102" s="2851" t="s">
        <v>29</v>
      </c>
      <c r="Z102" s="2851" t="s">
        <v>29</v>
      </c>
      <c r="AA102" s="2851" t="s">
        <v>29</v>
      </c>
      <c r="AB102" s="2851" t="s">
        <v>29</v>
      </c>
      <c r="AC102" s="2851" t="s">
        <v>29</v>
      </c>
      <c r="AD102" s="2851" t="s">
        <v>29</v>
      </c>
      <c r="AE102" s="2851" t="s">
        <v>1882</v>
      </c>
      <c r="AF102" s="2851" t="s">
        <v>29</v>
      </c>
      <c r="AG102" s="2851" t="s">
        <v>29</v>
      </c>
      <c r="AH102" s="2851" t="s">
        <v>29</v>
      </c>
      <c r="AI102" s="2745">
        <f t="shared" si="13"/>
        <v>15</v>
      </c>
      <c r="AJ102" s="2745">
        <f t="shared" si="14"/>
        <v>3</v>
      </c>
      <c r="AK102" s="3060">
        <f t="shared" si="15"/>
        <v>0</v>
      </c>
      <c r="AL102" s="2853">
        <f t="shared" si="16"/>
        <v>0</v>
      </c>
      <c r="AM102" s="2745">
        <f t="shared" si="17"/>
        <v>18</v>
      </c>
      <c r="AN102" s="2854" t="e">
        <f>+VLOOKUP(C102,[1]Sheet1!$D$9:$E$122,2,0)</f>
        <v>#N/A</v>
      </c>
      <c r="AO102" s="2854" t="e">
        <f t="shared" si="18"/>
        <v>#N/A</v>
      </c>
      <c r="AP102" s="2746"/>
    </row>
    <row r="103" spans="1:42" ht="36.75" customHeight="1">
      <c r="A103" s="2871">
        <v>13</v>
      </c>
      <c r="B103" s="2812" t="s">
        <v>2243</v>
      </c>
      <c r="C103" s="2852"/>
      <c r="D103" s="3364" t="s">
        <v>452</v>
      </c>
      <c r="E103" s="2851"/>
      <c r="F103" s="2851"/>
      <c r="G103" s="2851"/>
      <c r="H103" s="2851"/>
      <c r="I103" s="2851"/>
      <c r="J103" s="2851"/>
      <c r="K103" s="2851"/>
      <c r="L103" s="2851"/>
      <c r="M103" s="2851"/>
      <c r="N103" s="2851"/>
      <c r="O103" s="2851" t="s">
        <v>29</v>
      </c>
      <c r="P103" s="2851" t="s">
        <v>29</v>
      </c>
      <c r="Q103" s="2851" t="s">
        <v>1882</v>
      </c>
      <c r="R103" s="2851"/>
      <c r="S103" s="2851"/>
      <c r="T103" s="2851"/>
      <c r="U103" s="2851" t="s">
        <v>29</v>
      </c>
      <c r="V103" s="2851" t="s">
        <v>29</v>
      </c>
      <c r="W103" s="2851" t="s">
        <v>29</v>
      </c>
      <c r="X103" s="2851" t="s">
        <v>1882</v>
      </c>
      <c r="Y103" s="2851"/>
      <c r="Z103" s="2851" t="s">
        <v>29</v>
      </c>
      <c r="AA103" s="2851" t="s">
        <v>29</v>
      </c>
      <c r="AB103" s="2851" t="s">
        <v>29</v>
      </c>
      <c r="AC103" s="2851" t="s">
        <v>29</v>
      </c>
      <c r="AD103" s="2851" t="s">
        <v>29</v>
      </c>
      <c r="AE103" s="2851" t="s">
        <v>1882</v>
      </c>
      <c r="AF103" s="2851" t="s">
        <v>29</v>
      </c>
      <c r="AG103" s="2851" t="s">
        <v>29</v>
      </c>
      <c r="AH103" s="2851" t="s">
        <v>29</v>
      </c>
      <c r="AI103" s="2745">
        <f t="shared" si="13"/>
        <v>13</v>
      </c>
      <c r="AJ103" s="2745">
        <f t="shared" si="14"/>
        <v>3</v>
      </c>
      <c r="AK103" s="3060">
        <f t="shared" si="15"/>
        <v>0</v>
      </c>
      <c r="AL103" s="2853">
        <f t="shared" si="16"/>
        <v>0</v>
      </c>
      <c r="AM103" s="2745">
        <f t="shared" si="17"/>
        <v>16</v>
      </c>
      <c r="AN103" s="2854" t="e">
        <f>+VLOOKUP(C103,[1]Sheet1!$D$9:$E$122,2,0)</f>
        <v>#N/A</v>
      </c>
      <c r="AO103" s="2854" t="e">
        <f t="shared" si="18"/>
        <v>#N/A</v>
      </c>
      <c r="AP103" s="2746"/>
    </row>
    <row r="104" spans="1:42" ht="36.75" customHeight="1">
      <c r="A104" s="2851">
        <v>14</v>
      </c>
      <c r="B104" s="2812" t="s">
        <v>2244</v>
      </c>
      <c r="C104" s="2852"/>
      <c r="D104" s="3364" t="s">
        <v>452</v>
      </c>
      <c r="E104" s="2851"/>
      <c r="F104" s="2851"/>
      <c r="G104" s="2851"/>
      <c r="H104" s="2851"/>
      <c r="I104" s="2851"/>
      <c r="J104" s="2851"/>
      <c r="K104" s="2851"/>
      <c r="L104" s="2851"/>
      <c r="M104" s="2851"/>
      <c r="N104" s="2851"/>
      <c r="O104" s="2851" t="s">
        <v>29</v>
      </c>
      <c r="P104" s="2851" t="s">
        <v>29</v>
      </c>
      <c r="Q104" s="2851" t="s">
        <v>1882</v>
      </c>
      <c r="R104" s="2851"/>
      <c r="S104" s="2851"/>
      <c r="T104" s="2851"/>
      <c r="U104" s="2851" t="s">
        <v>29</v>
      </c>
      <c r="V104" s="2851" t="s">
        <v>29</v>
      </c>
      <c r="W104" s="2851" t="s">
        <v>29</v>
      </c>
      <c r="X104" s="2851" t="s">
        <v>1882</v>
      </c>
      <c r="Y104" s="2851" t="s">
        <v>29</v>
      </c>
      <c r="Z104" s="2851" t="s">
        <v>29</v>
      </c>
      <c r="AA104" s="2851" t="s">
        <v>29</v>
      </c>
      <c r="AB104" s="2851" t="s">
        <v>29</v>
      </c>
      <c r="AC104" s="2851" t="s">
        <v>29</v>
      </c>
      <c r="AD104" s="2851" t="s">
        <v>29</v>
      </c>
      <c r="AE104" s="2851" t="s">
        <v>1882</v>
      </c>
      <c r="AF104" s="2851" t="s">
        <v>29</v>
      </c>
      <c r="AG104" s="2851" t="s">
        <v>29</v>
      </c>
      <c r="AH104" s="2851" t="s">
        <v>29</v>
      </c>
      <c r="AI104" s="2745">
        <f t="shared" si="13"/>
        <v>14</v>
      </c>
      <c r="AJ104" s="2745">
        <f t="shared" si="14"/>
        <v>3</v>
      </c>
      <c r="AK104" s="3060">
        <f t="shared" si="15"/>
        <v>0</v>
      </c>
      <c r="AL104" s="2853">
        <f t="shared" si="16"/>
        <v>0</v>
      </c>
      <c r="AM104" s="2745">
        <f t="shared" si="17"/>
        <v>17</v>
      </c>
      <c r="AN104" s="2854" t="e">
        <f>+VLOOKUP(C104,[1]Sheet1!$D$9:$E$122,2,0)</f>
        <v>#N/A</v>
      </c>
      <c r="AO104" s="2854" t="e">
        <f t="shared" si="18"/>
        <v>#N/A</v>
      </c>
      <c r="AP104" s="2746"/>
    </row>
    <row r="105" spans="1:42" ht="36.75" customHeight="1">
      <c r="A105" s="2871">
        <v>15</v>
      </c>
      <c r="B105" s="2812" t="s">
        <v>2245</v>
      </c>
      <c r="C105" s="2852"/>
      <c r="D105" s="3364" t="s">
        <v>452</v>
      </c>
      <c r="E105" s="2851"/>
      <c r="F105" s="2851"/>
      <c r="G105" s="2851"/>
      <c r="H105" s="2851"/>
      <c r="I105" s="2851"/>
      <c r="J105" s="2851"/>
      <c r="K105" s="2851"/>
      <c r="L105" s="2851"/>
      <c r="M105" s="2851"/>
      <c r="N105" s="2851" t="s">
        <v>29</v>
      </c>
      <c r="O105" s="2851" t="s">
        <v>29</v>
      </c>
      <c r="P105" s="2851" t="s">
        <v>29</v>
      </c>
      <c r="Q105" s="2851" t="s">
        <v>1882</v>
      </c>
      <c r="R105" s="2851"/>
      <c r="S105" s="2851"/>
      <c r="T105" s="2851"/>
      <c r="U105" s="2851" t="s">
        <v>29</v>
      </c>
      <c r="V105" s="2851" t="s">
        <v>29</v>
      </c>
      <c r="W105" s="2851" t="s">
        <v>29</v>
      </c>
      <c r="X105" s="2851" t="s">
        <v>1882</v>
      </c>
      <c r="Y105" s="2851"/>
      <c r="Z105" s="2851" t="s">
        <v>29</v>
      </c>
      <c r="AA105" s="2851" t="s">
        <v>29</v>
      </c>
      <c r="AB105" s="2851" t="s">
        <v>29</v>
      </c>
      <c r="AC105" s="2851"/>
      <c r="AD105" s="2851" t="s">
        <v>29</v>
      </c>
      <c r="AE105" s="2851" t="s">
        <v>1882</v>
      </c>
      <c r="AF105" s="2851" t="s">
        <v>29</v>
      </c>
      <c r="AG105" s="2851" t="s">
        <v>29</v>
      </c>
      <c r="AH105" s="2851" t="s">
        <v>29</v>
      </c>
      <c r="AI105" s="2745">
        <f t="shared" si="13"/>
        <v>13</v>
      </c>
      <c r="AJ105" s="2745">
        <f t="shared" si="14"/>
        <v>3</v>
      </c>
      <c r="AK105" s="3060">
        <f t="shared" si="15"/>
        <v>0</v>
      </c>
      <c r="AL105" s="2853">
        <f t="shared" si="16"/>
        <v>0</v>
      </c>
      <c r="AM105" s="2745">
        <f t="shared" si="17"/>
        <v>16</v>
      </c>
      <c r="AN105" s="2854" t="e">
        <f>+VLOOKUP(C105,[1]Sheet1!$D$9:$E$122,2,0)</f>
        <v>#N/A</v>
      </c>
      <c r="AO105" s="2854" t="e">
        <f t="shared" si="18"/>
        <v>#N/A</v>
      </c>
      <c r="AP105" s="2746"/>
    </row>
    <row r="106" spans="1:42" ht="36.75" customHeight="1">
      <c r="A106" s="2851">
        <v>16</v>
      </c>
      <c r="B106" s="2812" t="s">
        <v>2246</v>
      </c>
      <c r="C106" s="2852"/>
      <c r="D106" s="3364" t="s">
        <v>452</v>
      </c>
      <c r="E106" s="2851"/>
      <c r="F106" s="2851"/>
      <c r="G106" s="2851"/>
      <c r="H106" s="2851"/>
      <c r="I106" s="2851"/>
      <c r="J106" s="2851"/>
      <c r="K106" s="2851"/>
      <c r="L106" s="2851"/>
      <c r="M106" s="2851"/>
      <c r="N106" s="2851" t="s">
        <v>29</v>
      </c>
      <c r="O106" s="2851" t="s">
        <v>29</v>
      </c>
      <c r="P106" s="2851" t="s">
        <v>29</v>
      </c>
      <c r="Q106" s="2851" t="s">
        <v>1882</v>
      </c>
      <c r="R106" s="2851"/>
      <c r="S106" s="2851"/>
      <c r="T106" s="2851"/>
      <c r="U106" s="2851" t="s">
        <v>29</v>
      </c>
      <c r="V106" s="2851" t="s">
        <v>29</v>
      </c>
      <c r="W106" s="2851" t="s">
        <v>29</v>
      </c>
      <c r="X106" s="2851" t="s">
        <v>1882</v>
      </c>
      <c r="Y106" s="2851"/>
      <c r="Z106" s="2851" t="s">
        <v>29</v>
      </c>
      <c r="AA106" s="2851" t="s">
        <v>29</v>
      </c>
      <c r="AB106" s="2851" t="s">
        <v>29</v>
      </c>
      <c r="AC106" s="2851"/>
      <c r="AD106" s="2851" t="s">
        <v>29</v>
      </c>
      <c r="AE106" s="2851" t="s">
        <v>1882</v>
      </c>
      <c r="AF106" s="2851" t="s">
        <v>29</v>
      </c>
      <c r="AG106" s="2851" t="s">
        <v>29</v>
      </c>
      <c r="AH106" s="2851" t="s">
        <v>29</v>
      </c>
      <c r="AI106" s="2745">
        <f t="shared" si="13"/>
        <v>13</v>
      </c>
      <c r="AJ106" s="2745">
        <f t="shared" si="14"/>
        <v>3</v>
      </c>
      <c r="AK106" s="3060">
        <f t="shared" si="15"/>
        <v>0</v>
      </c>
      <c r="AL106" s="2853">
        <f t="shared" si="16"/>
        <v>0</v>
      </c>
      <c r="AM106" s="2745">
        <f t="shared" si="17"/>
        <v>16</v>
      </c>
      <c r="AN106" s="2854" t="e">
        <f>+VLOOKUP(C106,[1]Sheet1!$D$9:$E$122,2,0)</f>
        <v>#N/A</v>
      </c>
      <c r="AO106" s="2854" t="e">
        <f t="shared" si="18"/>
        <v>#N/A</v>
      </c>
      <c r="AP106" s="2746"/>
    </row>
    <row r="107" spans="1:42" ht="36.75" customHeight="1">
      <c r="A107" s="2871">
        <v>17</v>
      </c>
      <c r="B107" s="2812" t="s">
        <v>2247</v>
      </c>
      <c r="C107" s="2852"/>
      <c r="D107" s="3364" t="s">
        <v>452</v>
      </c>
      <c r="E107" s="2851"/>
      <c r="F107" s="2851"/>
      <c r="G107" s="2851"/>
      <c r="H107" s="2851"/>
      <c r="I107" s="2851"/>
      <c r="J107" s="2851"/>
      <c r="K107" s="2851"/>
      <c r="L107" s="2851"/>
      <c r="M107" s="2851"/>
      <c r="N107" s="2851"/>
      <c r="O107" s="2851"/>
      <c r="P107" s="2851"/>
      <c r="Q107" s="2851" t="s">
        <v>1882</v>
      </c>
      <c r="R107" s="2851"/>
      <c r="S107" s="2851"/>
      <c r="T107" s="2851"/>
      <c r="U107" s="2851" t="s">
        <v>29</v>
      </c>
      <c r="V107" s="2851" t="s">
        <v>29</v>
      </c>
      <c r="W107" s="2851" t="s">
        <v>29</v>
      </c>
      <c r="X107" s="2851" t="s">
        <v>1882</v>
      </c>
      <c r="Y107" s="2851" t="s">
        <v>29</v>
      </c>
      <c r="Z107" s="2851" t="s">
        <v>29</v>
      </c>
      <c r="AA107" s="2851" t="s">
        <v>29</v>
      </c>
      <c r="AB107" s="2851" t="s">
        <v>29</v>
      </c>
      <c r="AC107" s="2851" t="s">
        <v>29</v>
      </c>
      <c r="AD107" s="2851" t="s">
        <v>29</v>
      </c>
      <c r="AE107" s="2851" t="s">
        <v>1882</v>
      </c>
      <c r="AF107" s="2851" t="s">
        <v>29</v>
      </c>
      <c r="AG107" s="2851" t="s">
        <v>29</v>
      </c>
      <c r="AH107" s="2851" t="s">
        <v>29</v>
      </c>
      <c r="AI107" s="2745">
        <f t="shared" si="13"/>
        <v>12</v>
      </c>
      <c r="AJ107" s="2745">
        <f t="shared" si="14"/>
        <v>3</v>
      </c>
      <c r="AK107" s="3060">
        <f t="shared" si="15"/>
        <v>0</v>
      </c>
      <c r="AL107" s="2853">
        <f t="shared" si="16"/>
        <v>0</v>
      </c>
      <c r="AM107" s="2745">
        <f t="shared" si="17"/>
        <v>15</v>
      </c>
      <c r="AN107" s="2854" t="e">
        <f>+VLOOKUP(C107,[1]Sheet1!$D$9:$E$122,2,0)</f>
        <v>#N/A</v>
      </c>
      <c r="AO107" s="2854" t="e">
        <f t="shared" si="18"/>
        <v>#N/A</v>
      </c>
      <c r="AP107" s="2746"/>
    </row>
    <row r="108" spans="1:42" ht="36.75" customHeight="1">
      <c r="A108" s="2851">
        <v>18</v>
      </c>
      <c r="B108" s="2812" t="s">
        <v>2248</v>
      </c>
      <c r="C108" s="2852"/>
      <c r="D108" s="3364" t="s">
        <v>452</v>
      </c>
      <c r="E108" s="2851"/>
      <c r="F108" s="2851"/>
      <c r="G108" s="2851"/>
      <c r="H108" s="2851"/>
      <c r="I108" s="2851"/>
      <c r="J108" s="2851"/>
      <c r="K108" s="2851"/>
      <c r="L108" s="2851"/>
      <c r="M108" s="2851"/>
      <c r="N108" s="2851"/>
      <c r="O108" s="2851"/>
      <c r="P108" s="2851"/>
      <c r="Q108" s="2851" t="s">
        <v>1882</v>
      </c>
      <c r="R108" s="2851"/>
      <c r="S108" s="2851"/>
      <c r="T108" s="2851"/>
      <c r="U108" s="2851" t="s">
        <v>29</v>
      </c>
      <c r="V108" s="2851" t="s">
        <v>29</v>
      </c>
      <c r="W108" s="2851" t="s">
        <v>29</v>
      </c>
      <c r="X108" s="2851" t="s">
        <v>1882</v>
      </c>
      <c r="Y108" s="2851" t="s">
        <v>29</v>
      </c>
      <c r="Z108" s="2851" t="s">
        <v>29</v>
      </c>
      <c r="AA108" s="2851" t="s">
        <v>29</v>
      </c>
      <c r="AB108" s="2851" t="s">
        <v>29</v>
      </c>
      <c r="AC108" s="2851" t="s">
        <v>29</v>
      </c>
      <c r="AD108" s="2851" t="s">
        <v>29</v>
      </c>
      <c r="AE108" s="2851" t="s">
        <v>1882</v>
      </c>
      <c r="AF108" s="2851" t="s">
        <v>29</v>
      </c>
      <c r="AG108" s="2851" t="s">
        <v>29</v>
      </c>
      <c r="AH108" s="2851" t="s">
        <v>29</v>
      </c>
      <c r="AI108" s="2745">
        <f t="shared" si="13"/>
        <v>12</v>
      </c>
      <c r="AJ108" s="2745">
        <f t="shared" si="14"/>
        <v>3</v>
      </c>
      <c r="AK108" s="3060">
        <f t="shared" si="15"/>
        <v>0</v>
      </c>
      <c r="AL108" s="2853">
        <f t="shared" si="16"/>
        <v>0</v>
      </c>
      <c r="AM108" s="2745">
        <f t="shared" si="17"/>
        <v>15</v>
      </c>
      <c r="AN108" s="2854" t="e">
        <f>+VLOOKUP(C108,[1]Sheet1!$D$9:$E$122,2,0)</f>
        <v>#N/A</v>
      </c>
      <c r="AO108" s="2854" t="e">
        <f t="shared" si="18"/>
        <v>#N/A</v>
      </c>
      <c r="AP108" s="2746"/>
    </row>
    <row r="109" spans="1:42" ht="36.75" customHeight="1">
      <c r="A109" s="2871">
        <v>19</v>
      </c>
      <c r="B109" s="2812" t="s">
        <v>2249</v>
      </c>
      <c r="C109" s="2852"/>
      <c r="D109" s="3364" t="s">
        <v>452</v>
      </c>
      <c r="E109" s="2851"/>
      <c r="F109" s="2851"/>
      <c r="G109" s="2851"/>
      <c r="H109" s="2851"/>
      <c r="I109" s="2851"/>
      <c r="J109" s="2851"/>
      <c r="K109" s="2851"/>
      <c r="L109" s="2851"/>
      <c r="M109" s="2851"/>
      <c r="N109" s="2851"/>
      <c r="O109" s="2851"/>
      <c r="P109" s="2851"/>
      <c r="Q109" s="2851" t="s">
        <v>1882</v>
      </c>
      <c r="R109" s="2851"/>
      <c r="S109" s="2851"/>
      <c r="T109" s="2851"/>
      <c r="U109" s="2851" t="s">
        <v>29</v>
      </c>
      <c r="V109" s="2851" t="s">
        <v>29</v>
      </c>
      <c r="W109" s="2851" t="s">
        <v>29</v>
      </c>
      <c r="X109" s="2851" t="s">
        <v>1882</v>
      </c>
      <c r="Y109" s="2851" t="s">
        <v>29</v>
      </c>
      <c r="Z109" s="2851" t="s">
        <v>29</v>
      </c>
      <c r="AA109" s="2851" t="s">
        <v>29</v>
      </c>
      <c r="AB109" s="2851" t="s">
        <v>29</v>
      </c>
      <c r="AC109" s="2851" t="s">
        <v>29</v>
      </c>
      <c r="AD109" s="2851" t="s">
        <v>29</v>
      </c>
      <c r="AE109" s="2851" t="s">
        <v>1882</v>
      </c>
      <c r="AF109" s="2851" t="s">
        <v>29</v>
      </c>
      <c r="AG109" s="2851" t="s">
        <v>29</v>
      </c>
      <c r="AH109" s="2851" t="s">
        <v>29</v>
      </c>
      <c r="AI109" s="2745">
        <f t="shared" si="13"/>
        <v>12</v>
      </c>
      <c r="AJ109" s="2745">
        <f t="shared" si="14"/>
        <v>3</v>
      </c>
      <c r="AK109" s="3060">
        <f t="shared" si="15"/>
        <v>0</v>
      </c>
      <c r="AL109" s="2853">
        <f t="shared" si="16"/>
        <v>0</v>
      </c>
      <c r="AM109" s="2745">
        <f t="shared" si="17"/>
        <v>15</v>
      </c>
      <c r="AN109" s="2854" t="e">
        <f>+VLOOKUP(C109,[1]Sheet1!$D$9:$E$122,2,0)</f>
        <v>#N/A</v>
      </c>
      <c r="AO109" s="2854" t="e">
        <f t="shared" si="18"/>
        <v>#N/A</v>
      </c>
      <c r="AP109" s="2746"/>
    </row>
    <row r="110" spans="1:42" ht="36.75" customHeight="1">
      <c r="A110" s="2851">
        <v>20</v>
      </c>
      <c r="B110" s="2812" t="s">
        <v>2250</v>
      </c>
      <c r="C110" s="2852"/>
      <c r="D110" s="3364" t="s">
        <v>452</v>
      </c>
      <c r="E110" s="2851"/>
      <c r="F110" s="2851"/>
      <c r="G110" s="2851"/>
      <c r="H110" s="2851"/>
      <c r="I110" s="2851"/>
      <c r="J110" s="2851"/>
      <c r="K110" s="2851"/>
      <c r="L110" s="2851"/>
      <c r="M110" s="2851"/>
      <c r="N110" s="2851"/>
      <c r="O110" s="2851"/>
      <c r="P110" s="2851"/>
      <c r="Q110" s="2851"/>
      <c r="R110" s="2851"/>
      <c r="S110" s="2851"/>
      <c r="T110" s="2851"/>
      <c r="U110" s="2851"/>
      <c r="V110" s="2851"/>
      <c r="W110" s="2851" t="s">
        <v>29</v>
      </c>
      <c r="X110" s="2851" t="s">
        <v>1882</v>
      </c>
      <c r="Y110" s="2851" t="s">
        <v>29</v>
      </c>
      <c r="Z110" s="2851" t="s">
        <v>29</v>
      </c>
      <c r="AA110" s="2851" t="s">
        <v>29</v>
      </c>
      <c r="AB110" s="2851" t="s">
        <v>29</v>
      </c>
      <c r="AC110" s="2851" t="s">
        <v>29</v>
      </c>
      <c r="AD110" s="2851" t="s">
        <v>29</v>
      </c>
      <c r="AE110" s="2851" t="s">
        <v>1882</v>
      </c>
      <c r="AF110" s="2851" t="s">
        <v>29</v>
      </c>
      <c r="AG110" s="2851" t="s">
        <v>29</v>
      </c>
      <c r="AH110" s="2851" t="s">
        <v>29</v>
      </c>
      <c r="AI110" s="2745">
        <f t="shared" si="13"/>
        <v>10</v>
      </c>
      <c r="AJ110" s="2745">
        <f t="shared" si="14"/>
        <v>2</v>
      </c>
      <c r="AK110" s="3060">
        <f t="shared" si="15"/>
        <v>0</v>
      </c>
      <c r="AL110" s="2853">
        <f t="shared" si="16"/>
        <v>0</v>
      </c>
      <c r="AM110" s="2745">
        <f t="shared" si="17"/>
        <v>12</v>
      </c>
      <c r="AN110" s="2854" t="e">
        <f>+VLOOKUP(C110,[1]Sheet1!$D$9:$E$122,2,0)</f>
        <v>#N/A</v>
      </c>
      <c r="AO110" s="2854" t="e">
        <f t="shared" si="18"/>
        <v>#N/A</v>
      </c>
      <c r="AP110" s="2746"/>
    </row>
    <row r="111" spans="1:42" ht="36.75" customHeight="1">
      <c r="A111" s="2871">
        <v>21</v>
      </c>
      <c r="B111" s="2812" t="s">
        <v>2251</v>
      </c>
      <c r="C111" s="2852"/>
      <c r="D111" s="3364" t="s">
        <v>452</v>
      </c>
      <c r="E111" s="2851"/>
      <c r="F111" s="2851"/>
      <c r="G111" s="2851"/>
      <c r="H111" s="2851"/>
      <c r="I111" s="2851"/>
      <c r="J111" s="2851"/>
      <c r="K111" s="2851"/>
      <c r="L111" s="2851"/>
      <c r="M111" s="2851"/>
      <c r="N111" s="2851"/>
      <c r="O111" s="2851"/>
      <c r="P111" s="2851"/>
      <c r="Q111" s="2851"/>
      <c r="R111" s="2851"/>
      <c r="S111" s="2851"/>
      <c r="T111" s="2851"/>
      <c r="U111" s="2851"/>
      <c r="V111" s="2851"/>
      <c r="W111" s="2851" t="s">
        <v>29</v>
      </c>
      <c r="X111" s="2851" t="s">
        <v>1882</v>
      </c>
      <c r="Y111" s="2851" t="s">
        <v>29</v>
      </c>
      <c r="Z111" s="2851" t="s">
        <v>29</v>
      </c>
      <c r="AA111" s="2851" t="s">
        <v>29</v>
      </c>
      <c r="AB111" s="2851" t="s">
        <v>29</v>
      </c>
      <c r="AC111" s="2851" t="s">
        <v>29</v>
      </c>
      <c r="AD111" s="2851" t="s">
        <v>29</v>
      </c>
      <c r="AE111" s="2851" t="s">
        <v>1882</v>
      </c>
      <c r="AF111" s="2851" t="s">
        <v>29</v>
      </c>
      <c r="AG111" s="2851" t="s">
        <v>29</v>
      </c>
      <c r="AH111" s="2851" t="s">
        <v>29</v>
      </c>
      <c r="AI111" s="2745">
        <f t="shared" si="13"/>
        <v>10</v>
      </c>
      <c r="AJ111" s="2745">
        <f t="shared" si="14"/>
        <v>2</v>
      </c>
      <c r="AK111" s="3060">
        <f t="shared" si="15"/>
        <v>0</v>
      </c>
      <c r="AL111" s="2853">
        <f t="shared" si="16"/>
        <v>0</v>
      </c>
      <c r="AM111" s="2745">
        <f t="shared" si="17"/>
        <v>12</v>
      </c>
      <c r="AN111" s="2854" t="e">
        <f>+VLOOKUP(C111,[1]Sheet1!$D$9:$E$122,2,0)</f>
        <v>#N/A</v>
      </c>
      <c r="AO111" s="2854" t="e">
        <f t="shared" si="18"/>
        <v>#N/A</v>
      </c>
      <c r="AP111" s="2746"/>
    </row>
    <row r="112" spans="1:42" ht="36.75" customHeight="1">
      <c r="A112" s="2851">
        <v>22</v>
      </c>
      <c r="B112" s="2812" t="s">
        <v>2252</v>
      </c>
      <c r="C112" s="2852"/>
      <c r="D112" s="3364" t="s">
        <v>452</v>
      </c>
      <c r="E112" s="2851"/>
      <c r="F112" s="2851"/>
      <c r="G112" s="2851"/>
      <c r="H112" s="2851"/>
      <c r="I112" s="2851"/>
      <c r="J112" s="2851"/>
      <c r="K112" s="2851"/>
      <c r="L112" s="2851"/>
      <c r="M112" s="2851"/>
      <c r="N112" s="2851"/>
      <c r="O112" s="2851"/>
      <c r="P112" s="2851"/>
      <c r="Q112" s="2851"/>
      <c r="R112" s="2851"/>
      <c r="S112" s="2851"/>
      <c r="T112" s="2851"/>
      <c r="U112" s="2851"/>
      <c r="V112" s="2851"/>
      <c r="W112" s="2851" t="s">
        <v>29</v>
      </c>
      <c r="X112" s="2851" t="s">
        <v>1882</v>
      </c>
      <c r="Y112" s="2851" t="s">
        <v>29</v>
      </c>
      <c r="Z112" s="2851" t="s">
        <v>29</v>
      </c>
      <c r="AA112" s="2851" t="s">
        <v>29</v>
      </c>
      <c r="AB112" s="2851" t="s">
        <v>29</v>
      </c>
      <c r="AC112" s="2851" t="s">
        <v>29</v>
      </c>
      <c r="AD112" s="2851" t="s">
        <v>29</v>
      </c>
      <c r="AE112" s="2851" t="s">
        <v>1882</v>
      </c>
      <c r="AF112" s="2851" t="s">
        <v>29</v>
      </c>
      <c r="AG112" s="2851" t="s">
        <v>29</v>
      </c>
      <c r="AH112" s="2851" t="s">
        <v>29</v>
      </c>
      <c r="AI112" s="2745">
        <f t="shared" si="13"/>
        <v>10</v>
      </c>
      <c r="AJ112" s="2745">
        <f t="shared" si="14"/>
        <v>2</v>
      </c>
      <c r="AK112" s="3060">
        <f t="shared" si="15"/>
        <v>0</v>
      </c>
      <c r="AL112" s="2853">
        <f t="shared" si="16"/>
        <v>0</v>
      </c>
      <c r="AM112" s="2745">
        <f t="shared" si="17"/>
        <v>12</v>
      </c>
      <c r="AN112" s="2854" t="e">
        <f>+VLOOKUP(C112,[1]Sheet1!$D$9:$E$122,2,0)</f>
        <v>#N/A</v>
      </c>
      <c r="AO112" s="2854" t="e">
        <f t="shared" si="18"/>
        <v>#N/A</v>
      </c>
      <c r="AP112" s="2746"/>
    </row>
    <row r="113" spans="1:42" ht="36.75" customHeight="1">
      <c r="A113" s="2871">
        <v>23</v>
      </c>
      <c r="B113" s="2812" t="s">
        <v>2253</v>
      </c>
      <c r="C113" s="2852"/>
      <c r="D113" s="3364" t="s">
        <v>452</v>
      </c>
      <c r="E113" s="2851"/>
      <c r="F113" s="2851"/>
      <c r="G113" s="2851"/>
      <c r="H113" s="2851"/>
      <c r="I113" s="2851"/>
      <c r="J113" s="2851"/>
      <c r="K113" s="2851"/>
      <c r="L113" s="2851"/>
      <c r="M113" s="2851"/>
      <c r="N113" s="2851"/>
      <c r="O113" s="2851" t="s">
        <v>29</v>
      </c>
      <c r="P113" s="2851" t="s">
        <v>29</v>
      </c>
      <c r="Q113" s="2851" t="s">
        <v>1882</v>
      </c>
      <c r="R113" s="2851"/>
      <c r="S113" s="2851"/>
      <c r="T113" s="2851"/>
      <c r="U113" s="2851" t="s">
        <v>29</v>
      </c>
      <c r="V113" s="2851" t="s">
        <v>29</v>
      </c>
      <c r="W113" s="2851" t="s">
        <v>29</v>
      </c>
      <c r="X113" s="2851" t="s">
        <v>1882</v>
      </c>
      <c r="Y113" s="2851" t="s">
        <v>29</v>
      </c>
      <c r="Z113" s="2851" t="s">
        <v>29</v>
      </c>
      <c r="AA113" s="2851" t="s">
        <v>29</v>
      </c>
      <c r="AB113" s="2851" t="s">
        <v>29</v>
      </c>
      <c r="AC113" s="2851" t="s">
        <v>29</v>
      </c>
      <c r="AD113" s="2851" t="s">
        <v>29</v>
      </c>
      <c r="AE113" s="2851" t="s">
        <v>1882</v>
      </c>
      <c r="AF113" s="2851" t="s">
        <v>29</v>
      </c>
      <c r="AG113" s="2851" t="s">
        <v>29</v>
      </c>
      <c r="AH113" s="2851" t="s">
        <v>29</v>
      </c>
      <c r="AI113" s="2745">
        <f t="shared" si="13"/>
        <v>14</v>
      </c>
      <c r="AJ113" s="2745">
        <f t="shared" si="14"/>
        <v>3</v>
      </c>
      <c r="AK113" s="3060">
        <f t="shared" si="15"/>
        <v>0</v>
      </c>
      <c r="AL113" s="2853">
        <f t="shared" si="16"/>
        <v>0</v>
      </c>
      <c r="AM113" s="2745">
        <f t="shared" si="17"/>
        <v>17</v>
      </c>
      <c r="AN113" s="2854" t="e">
        <f>+VLOOKUP(C113,[1]Sheet1!$D$9:$E$122,2,0)</f>
        <v>#N/A</v>
      </c>
      <c r="AO113" s="2854" t="e">
        <f t="shared" si="18"/>
        <v>#N/A</v>
      </c>
      <c r="AP113" s="2746"/>
    </row>
    <row r="114" spans="1:42" ht="36.75" customHeight="1">
      <c r="A114" s="2851">
        <v>24</v>
      </c>
      <c r="B114" s="2812" t="s">
        <v>2254</v>
      </c>
      <c r="C114" s="2852"/>
      <c r="D114" s="3364" t="s">
        <v>452</v>
      </c>
      <c r="E114" s="2851"/>
      <c r="F114" s="2851"/>
      <c r="G114" s="2851"/>
      <c r="H114" s="2851"/>
      <c r="I114" s="2851"/>
      <c r="J114" s="2851"/>
      <c r="K114" s="2851"/>
      <c r="L114" s="2851"/>
      <c r="M114" s="2851"/>
      <c r="N114" s="2851"/>
      <c r="O114" s="2851" t="s">
        <v>29</v>
      </c>
      <c r="P114" s="2851" t="s">
        <v>29</v>
      </c>
      <c r="Q114" s="2851" t="s">
        <v>1882</v>
      </c>
      <c r="R114" s="2851"/>
      <c r="S114" s="2851"/>
      <c r="T114" s="2851"/>
      <c r="U114" s="2851" t="s">
        <v>29</v>
      </c>
      <c r="V114" s="2851" t="s">
        <v>29</v>
      </c>
      <c r="W114" s="2851" t="s">
        <v>29</v>
      </c>
      <c r="X114" s="2851" t="s">
        <v>1882</v>
      </c>
      <c r="Y114" s="2851" t="s">
        <v>29</v>
      </c>
      <c r="Z114" s="2851" t="s">
        <v>29</v>
      </c>
      <c r="AA114" s="2851" t="s">
        <v>29</v>
      </c>
      <c r="AB114" s="2851" t="s">
        <v>29</v>
      </c>
      <c r="AC114" s="2851" t="s">
        <v>29</v>
      </c>
      <c r="AD114" s="2851" t="s">
        <v>29</v>
      </c>
      <c r="AE114" s="2851" t="s">
        <v>1882</v>
      </c>
      <c r="AF114" s="2851" t="s">
        <v>29</v>
      </c>
      <c r="AG114" s="2851" t="s">
        <v>29</v>
      </c>
      <c r="AH114" s="2851" t="s">
        <v>29</v>
      </c>
      <c r="AI114" s="2745">
        <f t="shared" si="13"/>
        <v>14</v>
      </c>
      <c r="AJ114" s="2745">
        <f t="shared" si="14"/>
        <v>3</v>
      </c>
      <c r="AK114" s="3060">
        <f t="shared" si="15"/>
        <v>0</v>
      </c>
      <c r="AL114" s="2853">
        <f t="shared" si="16"/>
        <v>0</v>
      </c>
      <c r="AM114" s="2745">
        <f t="shared" si="17"/>
        <v>17</v>
      </c>
      <c r="AN114" s="2854" t="e">
        <f>+VLOOKUP(C114,[1]Sheet1!$D$9:$E$122,2,0)</f>
        <v>#N/A</v>
      </c>
      <c r="AO114" s="2854" t="e">
        <f t="shared" si="18"/>
        <v>#N/A</v>
      </c>
      <c r="AP114" s="2746"/>
    </row>
    <row r="115" spans="1:42" ht="36.75" customHeight="1">
      <c r="A115" s="2871">
        <v>25</v>
      </c>
      <c r="B115" s="2812" t="s">
        <v>2255</v>
      </c>
      <c r="C115" s="2852"/>
      <c r="D115" s="3364" t="s">
        <v>452</v>
      </c>
      <c r="E115" s="2851"/>
      <c r="F115" s="2851"/>
      <c r="G115" s="2851"/>
      <c r="H115" s="2851"/>
      <c r="I115" s="2851"/>
      <c r="J115" s="2851"/>
      <c r="K115" s="2851"/>
      <c r="L115" s="2851"/>
      <c r="M115" s="2851"/>
      <c r="N115" s="2851" t="s">
        <v>29</v>
      </c>
      <c r="O115" s="2851"/>
      <c r="P115" s="2851"/>
      <c r="Q115" s="2851"/>
      <c r="R115" s="2851"/>
      <c r="S115" s="2851"/>
      <c r="T115" s="2851"/>
      <c r="U115" s="2851" t="s">
        <v>29</v>
      </c>
      <c r="V115" s="2851" t="s">
        <v>29</v>
      </c>
      <c r="W115" s="2851" t="s">
        <v>29</v>
      </c>
      <c r="X115" s="2851" t="s">
        <v>1882</v>
      </c>
      <c r="Y115" s="2851" t="s">
        <v>29</v>
      </c>
      <c r="Z115" s="2851" t="s">
        <v>29</v>
      </c>
      <c r="AA115" s="2851" t="s">
        <v>29</v>
      </c>
      <c r="AB115" s="2851" t="s">
        <v>29</v>
      </c>
      <c r="AC115" s="2851" t="s">
        <v>29</v>
      </c>
      <c r="AD115" s="2851" t="s">
        <v>29</v>
      </c>
      <c r="AE115" s="2851" t="s">
        <v>1882</v>
      </c>
      <c r="AF115" s="2851" t="s">
        <v>29</v>
      </c>
      <c r="AG115" s="2851" t="s">
        <v>29</v>
      </c>
      <c r="AH115" s="2851" t="s">
        <v>29</v>
      </c>
      <c r="AI115" s="2745">
        <f t="shared" si="13"/>
        <v>13</v>
      </c>
      <c r="AJ115" s="2745">
        <f t="shared" si="14"/>
        <v>2</v>
      </c>
      <c r="AK115" s="3060">
        <f t="shared" si="15"/>
        <v>0</v>
      </c>
      <c r="AL115" s="2853">
        <f t="shared" si="16"/>
        <v>0</v>
      </c>
      <c r="AM115" s="2745">
        <f t="shared" si="17"/>
        <v>15</v>
      </c>
      <c r="AN115" s="2854" t="e">
        <f>+VLOOKUP(C115,[1]Sheet1!$D$9:$E$122,2,0)</f>
        <v>#N/A</v>
      </c>
      <c r="AO115" s="2854" t="e">
        <f t="shared" si="18"/>
        <v>#N/A</v>
      </c>
      <c r="AP115" s="2746"/>
    </row>
    <row r="116" spans="1:42" ht="36.75" customHeight="1">
      <c r="A116" s="2851">
        <v>26</v>
      </c>
      <c r="B116" s="2812" t="s">
        <v>2256</v>
      </c>
      <c r="C116" s="2852"/>
      <c r="D116" s="3364" t="s">
        <v>452</v>
      </c>
      <c r="E116" s="2851"/>
      <c r="F116" s="2851"/>
      <c r="G116" s="2851"/>
      <c r="H116" s="2851"/>
      <c r="I116" s="2851"/>
      <c r="J116" s="2851"/>
      <c r="K116" s="2851"/>
      <c r="L116" s="2851"/>
      <c r="M116" s="2851"/>
      <c r="N116" s="2851" t="s">
        <v>29</v>
      </c>
      <c r="O116" s="2851"/>
      <c r="P116" s="2851"/>
      <c r="Q116" s="2851"/>
      <c r="R116" s="2851"/>
      <c r="S116" s="2851"/>
      <c r="T116" s="2851"/>
      <c r="U116" s="2851" t="s">
        <v>29</v>
      </c>
      <c r="V116" s="2851" t="s">
        <v>29</v>
      </c>
      <c r="W116" s="2851" t="s">
        <v>29</v>
      </c>
      <c r="X116" s="2851" t="s">
        <v>1882</v>
      </c>
      <c r="Y116" s="2851" t="s">
        <v>29</v>
      </c>
      <c r="Z116" s="2851" t="s">
        <v>29</v>
      </c>
      <c r="AA116" s="2851" t="s">
        <v>29</v>
      </c>
      <c r="AB116" s="2851" t="s">
        <v>29</v>
      </c>
      <c r="AC116" s="2851" t="s">
        <v>29</v>
      </c>
      <c r="AD116" s="2851" t="s">
        <v>29</v>
      </c>
      <c r="AE116" s="2851" t="s">
        <v>1882</v>
      </c>
      <c r="AF116" s="2851" t="s">
        <v>29</v>
      </c>
      <c r="AG116" s="2851" t="s">
        <v>29</v>
      </c>
      <c r="AH116" s="2851" t="s">
        <v>29</v>
      </c>
      <c r="AI116" s="2745">
        <f t="shared" si="13"/>
        <v>13</v>
      </c>
      <c r="AJ116" s="2745">
        <f t="shared" si="14"/>
        <v>2</v>
      </c>
      <c r="AK116" s="3060">
        <f t="shared" si="15"/>
        <v>0</v>
      </c>
      <c r="AL116" s="2853">
        <f t="shared" si="16"/>
        <v>0</v>
      </c>
      <c r="AM116" s="2745">
        <f t="shared" si="17"/>
        <v>15</v>
      </c>
      <c r="AN116" s="2854" t="e">
        <f>+VLOOKUP(C116,[1]Sheet1!$D$9:$E$122,2,0)</f>
        <v>#N/A</v>
      </c>
      <c r="AO116" s="2854" t="e">
        <f t="shared" si="18"/>
        <v>#N/A</v>
      </c>
      <c r="AP116" s="2746"/>
    </row>
    <row r="117" spans="1:42" ht="36.75" customHeight="1">
      <c r="A117" s="2871">
        <v>27</v>
      </c>
      <c r="B117" s="2812" t="s">
        <v>2257</v>
      </c>
      <c r="C117" s="2852"/>
      <c r="D117" s="3364" t="s">
        <v>452</v>
      </c>
      <c r="E117" s="2851"/>
      <c r="F117" s="2851"/>
      <c r="G117" s="2851"/>
      <c r="H117" s="2851"/>
      <c r="I117" s="2851"/>
      <c r="J117" s="2851"/>
      <c r="K117" s="2851"/>
      <c r="L117" s="2851"/>
      <c r="M117" s="2851"/>
      <c r="N117" s="2851" t="s">
        <v>29</v>
      </c>
      <c r="O117" s="2851" t="s">
        <v>29</v>
      </c>
      <c r="P117" s="2851" t="s">
        <v>29</v>
      </c>
      <c r="Q117" s="2851" t="s">
        <v>1882</v>
      </c>
      <c r="R117" s="2851"/>
      <c r="S117" s="2851"/>
      <c r="T117" s="2851"/>
      <c r="U117" s="2851" t="s">
        <v>29</v>
      </c>
      <c r="V117" s="2851" t="s">
        <v>29</v>
      </c>
      <c r="W117" s="2851" t="s">
        <v>29</v>
      </c>
      <c r="X117" s="2851" t="s">
        <v>1882</v>
      </c>
      <c r="Y117" s="2851" t="s">
        <v>29</v>
      </c>
      <c r="Z117" s="2851" t="s">
        <v>29</v>
      </c>
      <c r="AA117" s="2851" t="s">
        <v>29</v>
      </c>
      <c r="AB117" s="2851" t="s">
        <v>29</v>
      </c>
      <c r="AC117" s="2851" t="s">
        <v>29</v>
      </c>
      <c r="AD117" s="2851" t="s">
        <v>29</v>
      </c>
      <c r="AE117" s="2851" t="s">
        <v>1882</v>
      </c>
      <c r="AF117" s="2851" t="s">
        <v>29</v>
      </c>
      <c r="AG117" s="2851" t="s">
        <v>29</v>
      </c>
      <c r="AH117" s="2851" t="s">
        <v>29</v>
      </c>
      <c r="AI117" s="2745">
        <f t="shared" si="13"/>
        <v>15</v>
      </c>
      <c r="AJ117" s="2745">
        <f t="shared" si="14"/>
        <v>3</v>
      </c>
      <c r="AK117" s="3060">
        <f t="shared" si="15"/>
        <v>0</v>
      </c>
      <c r="AL117" s="2853">
        <f t="shared" si="16"/>
        <v>0</v>
      </c>
      <c r="AM117" s="2745">
        <f t="shared" si="17"/>
        <v>18</v>
      </c>
      <c r="AN117" s="2854" t="e">
        <f>+VLOOKUP(C117,[1]Sheet1!$D$9:$E$122,2,0)</f>
        <v>#N/A</v>
      </c>
      <c r="AO117" s="2854" t="e">
        <f t="shared" si="18"/>
        <v>#N/A</v>
      </c>
      <c r="AP117" s="2746"/>
    </row>
    <row r="118" spans="1:42" ht="36.75" customHeight="1">
      <c r="A118" s="2851">
        <v>28</v>
      </c>
      <c r="B118" s="2812" t="s">
        <v>488</v>
      </c>
      <c r="C118" s="2852"/>
      <c r="D118" s="3364" t="s">
        <v>452</v>
      </c>
      <c r="E118" s="2851"/>
      <c r="F118" s="2851"/>
      <c r="G118" s="2851"/>
      <c r="H118" s="2851"/>
      <c r="I118" s="2851"/>
      <c r="J118" s="2851"/>
      <c r="K118" s="2851"/>
      <c r="L118" s="2851"/>
      <c r="M118" s="2851"/>
      <c r="N118" s="2851" t="s">
        <v>29</v>
      </c>
      <c r="O118" s="2851" t="s">
        <v>29</v>
      </c>
      <c r="P118" s="2851" t="s">
        <v>29</v>
      </c>
      <c r="Q118" s="2851" t="s">
        <v>1882</v>
      </c>
      <c r="R118" s="2851"/>
      <c r="S118" s="2851"/>
      <c r="T118" s="2851"/>
      <c r="U118" s="2851" t="s">
        <v>29</v>
      </c>
      <c r="V118" s="2851" t="s">
        <v>29</v>
      </c>
      <c r="W118" s="2851" t="s">
        <v>29</v>
      </c>
      <c r="X118" s="2851" t="s">
        <v>1882</v>
      </c>
      <c r="Y118" s="2851" t="s">
        <v>29</v>
      </c>
      <c r="Z118" s="2851" t="s">
        <v>29</v>
      </c>
      <c r="AA118" s="2851" t="s">
        <v>29</v>
      </c>
      <c r="AB118" s="2851" t="s">
        <v>29</v>
      </c>
      <c r="AC118" s="2851" t="s">
        <v>29</v>
      </c>
      <c r="AD118" s="2851" t="s">
        <v>29</v>
      </c>
      <c r="AE118" s="2851" t="s">
        <v>1882</v>
      </c>
      <c r="AF118" s="2851" t="s">
        <v>29</v>
      </c>
      <c r="AG118" s="2851" t="s">
        <v>29</v>
      </c>
      <c r="AH118" s="2851" t="s">
        <v>29</v>
      </c>
      <c r="AI118" s="2745">
        <f t="shared" si="13"/>
        <v>15</v>
      </c>
      <c r="AJ118" s="2745">
        <f t="shared" si="14"/>
        <v>3</v>
      </c>
      <c r="AK118" s="3060">
        <f t="shared" si="15"/>
        <v>0</v>
      </c>
      <c r="AL118" s="2853">
        <f t="shared" si="16"/>
        <v>0</v>
      </c>
      <c r="AM118" s="2745">
        <f t="shared" si="17"/>
        <v>18</v>
      </c>
      <c r="AN118" s="2854" t="e">
        <f>+VLOOKUP(C118,[1]Sheet1!$D$9:$E$122,2,0)</f>
        <v>#N/A</v>
      </c>
      <c r="AO118" s="2854" t="e">
        <f t="shared" si="18"/>
        <v>#N/A</v>
      </c>
      <c r="AP118" s="2746"/>
    </row>
    <row r="119" spans="1:42" ht="36.75" customHeight="1">
      <c r="A119" s="2871">
        <v>29</v>
      </c>
      <c r="B119" s="2812" t="s">
        <v>2258</v>
      </c>
      <c r="C119" s="2852"/>
      <c r="D119" s="3364" t="s">
        <v>452</v>
      </c>
      <c r="E119" s="2851"/>
      <c r="F119" s="2851"/>
      <c r="G119" s="2851"/>
      <c r="H119" s="2851"/>
      <c r="I119" s="2851"/>
      <c r="J119" s="2851"/>
      <c r="K119" s="2851"/>
      <c r="L119" s="2851"/>
      <c r="M119" s="2851"/>
      <c r="N119" s="2851" t="s">
        <v>29</v>
      </c>
      <c r="O119" s="2851" t="s">
        <v>29</v>
      </c>
      <c r="P119" s="2851" t="s">
        <v>29</v>
      </c>
      <c r="Q119" s="2851" t="s">
        <v>1882</v>
      </c>
      <c r="R119" s="2851"/>
      <c r="S119" s="2851"/>
      <c r="T119" s="2851"/>
      <c r="U119" s="2851" t="s">
        <v>29</v>
      </c>
      <c r="V119" s="2851" t="s">
        <v>29</v>
      </c>
      <c r="W119" s="2851" t="s">
        <v>29</v>
      </c>
      <c r="X119" s="2851" t="s">
        <v>1882</v>
      </c>
      <c r="Y119" s="2851" t="s">
        <v>29</v>
      </c>
      <c r="Z119" s="2851" t="s">
        <v>29</v>
      </c>
      <c r="AA119" s="2851" t="s">
        <v>29</v>
      </c>
      <c r="AB119" s="2851" t="s">
        <v>29</v>
      </c>
      <c r="AC119" s="2851" t="s">
        <v>29</v>
      </c>
      <c r="AD119" s="2851" t="s">
        <v>29</v>
      </c>
      <c r="AE119" s="2851" t="s">
        <v>1882</v>
      </c>
      <c r="AF119" s="2851" t="s">
        <v>29</v>
      </c>
      <c r="AG119" s="2851" t="s">
        <v>29</v>
      </c>
      <c r="AH119" s="2851" t="s">
        <v>29</v>
      </c>
      <c r="AI119" s="2745">
        <f t="shared" si="13"/>
        <v>15</v>
      </c>
      <c r="AJ119" s="2745">
        <f t="shared" si="14"/>
        <v>3</v>
      </c>
      <c r="AK119" s="3060">
        <f t="shared" si="15"/>
        <v>0</v>
      </c>
      <c r="AL119" s="2853">
        <f t="shared" si="16"/>
        <v>0</v>
      </c>
      <c r="AM119" s="2745">
        <f t="shared" si="17"/>
        <v>18</v>
      </c>
      <c r="AN119" s="2854" t="e">
        <f>+VLOOKUP(C119,[1]Sheet1!$D$9:$E$122,2,0)</f>
        <v>#N/A</v>
      </c>
      <c r="AO119" s="2854" t="e">
        <f t="shared" si="18"/>
        <v>#N/A</v>
      </c>
      <c r="AP119" s="2746"/>
    </row>
    <row r="120" spans="1:42" ht="36.75" customHeight="1">
      <c r="A120" s="2851">
        <v>30</v>
      </c>
      <c r="B120" s="2812" t="s">
        <v>2259</v>
      </c>
      <c r="C120" s="2852"/>
      <c r="D120" s="3364" t="s">
        <v>452</v>
      </c>
      <c r="E120" s="2851"/>
      <c r="F120" s="2851"/>
      <c r="G120" s="2851"/>
      <c r="H120" s="2851"/>
      <c r="I120" s="2851"/>
      <c r="J120" s="2851"/>
      <c r="K120" s="2851"/>
      <c r="L120" s="2851"/>
      <c r="M120" s="2851"/>
      <c r="N120" s="2851" t="s">
        <v>29</v>
      </c>
      <c r="O120" s="2851" t="s">
        <v>29</v>
      </c>
      <c r="P120" s="2851" t="s">
        <v>29</v>
      </c>
      <c r="Q120" s="2851" t="s">
        <v>1882</v>
      </c>
      <c r="R120" s="2851"/>
      <c r="S120" s="2851"/>
      <c r="T120" s="2851"/>
      <c r="U120" s="2851" t="s">
        <v>29</v>
      </c>
      <c r="V120" s="2851" t="s">
        <v>29</v>
      </c>
      <c r="W120" s="2851" t="s">
        <v>29</v>
      </c>
      <c r="X120" s="2851" t="s">
        <v>1882</v>
      </c>
      <c r="Y120" s="2851" t="s">
        <v>29</v>
      </c>
      <c r="Z120" s="2851" t="s">
        <v>29</v>
      </c>
      <c r="AA120" s="2851" t="s">
        <v>29</v>
      </c>
      <c r="AB120" s="2851" t="s">
        <v>29</v>
      </c>
      <c r="AC120" s="2851" t="s">
        <v>29</v>
      </c>
      <c r="AD120" s="2851" t="s">
        <v>29</v>
      </c>
      <c r="AE120" s="2851" t="s">
        <v>1882</v>
      </c>
      <c r="AF120" s="2851" t="s">
        <v>29</v>
      </c>
      <c r="AG120" s="2851" t="s">
        <v>29</v>
      </c>
      <c r="AH120" s="2851" t="s">
        <v>29</v>
      </c>
      <c r="AI120" s="2745">
        <f t="shared" si="13"/>
        <v>15</v>
      </c>
      <c r="AJ120" s="2745">
        <f t="shared" si="14"/>
        <v>3</v>
      </c>
      <c r="AK120" s="3060">
        <f t="shared" si="15"/>
        <v>0</v>
      </c>
      <c r="AL120" s="2853">
        <f t="shared" si="16"/>
        <v>0</v>
      </c>
      <c r="AM120" s="2745">
        <f t="shared" si="17"/>
        <v>18</v>
      </c>
      <c r="AN120" s="2854"/>
      <c r="AO120" s="2854"/>
      <c r="AP120" s="2746"/>
    </row>
    <row r="121" spans="1:42" ht="36.75" customHeight="1">
      <c r="A121" s="2871">
        <v>31</v>
      </c>
      <c r="B121" s="2812" t="s">
        <v>2260</v>
      </c>
      <c r="C121" s="2852"/>
      <c r="D121" s="3364" t="s">
        <v>452</v>
      </c>
      <c r="E121" s="2851"/>
      <c r="F121" s="2851"/>
      <c r="G121" s="2851"/>
      <c r="H121" s="2851"/>
      <c r="I121" s="2851"/>
      <c r="J121" s="2851"/>
      <c r="K121" s="2851"/>
      <c r="L121" s="2851"/>
      <c r="M121" s="2851"/>
      <c r="N121" s="2851" t="s">
        <v>29</v>
      </c>
      <c r="O121" s="2851" t="s">
        <v>29</v>
      </c>
      <c r="P121" s="2851" t="s">
        <v>29</v>
      </c>
      <c r="Q121" s="2851" t="s">
        <v>1882</v>
      </c>
      <c r="R121" s="2851"/>
      <c r="S121" s="2851"/>
      <c r="T121" s="2851"/>
      <c r="U121" s="2851" t="s">
        <v>29</v>
      </c>
      <c r="V121" s="2851" t="s">
        <v>29</v>
      </c>
      <c r="W121" s="2851" t="s">
        <v>29</v>
      </c>
      <c r="X121" s="2851" t="s">
        <v>1882</v>
      </c>
      <c r="Y121" s="2851" t="s">
        <v>29</v>
      </c>
      <c r="Z121" s="2851" t="s">
        <v>29</v>
      </c>
      <c r="AA121" s="2851" t="s">
        <v>29</v>
      </c>
      <c r="AB121" s="2851" t="s">
        <v>29</v>
      </c>
      <c r="AC121" s="2851" t="s">
        <v>29</v>
      </c>
      <c r="AD121" s="2851" t="s">
        <v>29</v>
      </c>
      <c r="AE121" s="2851" t="s">
        <v>1882</v>
      </c>
      <c r="AF121" s="2851" t="s">
        <v>29</v>
      </c>
      <c r="AG121" s="2851" t="s">
        <v>29</v>
      </c>
      <c r="AH121" s="2851" t="s">
        <v>29</v>
      </c>
      <c r="AI121" s="2745">
        <f t="shared" si="13"/>
        <v>15</v>
      </c>
      <c r="AJ121" s="2745">
        <f t="shared" si="14"/>
        <v>3</v>
      </c>
      <c r="AK121" s="3060">
        <f t="shared" si="15"/>
        <v>0</v>
      </c>
      <c r="AL121" s="2853">
        <f t="shared" si="16"/>
        <v>0</v>
      </c>
      <c r="AM121" s="2745">
        <f t="shared" si="17"/>
        <v>18</v>
      </c>
      <c r="AN121" s="2854"/>
      <c r="AO121" s="2854"/>
      <c r="AP121" s="2746"/>
    </row>
    <row r="122" spans="1:42" ht="36.75" customHeight="1">
      <c r="A122" s="2851">
        <v>32</v>
      </c>
      <c r="B122" s="2812" t="s">
        <v>2261</v>
      </c>
      <c r="C122" s="2852"/>
      <c r="D122" s="3364" t="s">
        <v>452</v>
      </c>
      <c r="E122" s="2851"/>
      <c r="F122" s="2851"/>
      <c r="G122" s="2851"/>
      <c r="H122" s="2851"/>
      <c r="I122" s="2851"/>
      <c r="J122" s="2851"/>
      <c r="K122" s="2851"/>
      <c r="L122" s="2851"/>
      <c r="M122" s="2851"/>
      <c r="N122" s="2851"/>
      <c r="O122" s="2851" t="s">
        <v>29</v>
      </c>
      <c r="P122" s="2851"/>
      <c r="Q122" s="2851" t="s">
        <v>1882</v>
      </c>
      <c r="R122" s="2851"/>
      <c r="S122" s="2851"/>
      <c r="T122" s="2851"/>
      <c r="U122" s="2851" t="s">
        <v>29</v>
      </c>
      <c r="V122" s="2851" t="s">
        <v>29</v>
      </c>
      <c r="W122" s="2851" t="s">
        <v>29</v>
      </c>
      <c r="X122" s="2851" t="s">
        <v>1882</v>
      </c>
      <c r="Y122" s="2851" t="s">
        <v>29</v>
      </c>
      <c r="Z122" s="2851" t="s">
        <v>29</v>
      </c>
      <c r="AA122" s="2851" t="s">
        <v>29</v>
      </c>
      <c r="AB122" s="2851" t="s">
        <v>29</v>
      </c>
      <c r="AC122" s="2851" t="s">
        <v>29</v>
      </c>
      <c r="AD122" s="2851" t="s">
        <v>29</v>
      </c>
      <c r="AE122" s="2851" t="s">
        <v>1882</v>
      </c>
      <c r="AF122" s="2851" t="s">
        <v>29</v>
      </c>
      <c r="AG122" s="2851" t="s">
        <v>29</v>
      </c>
      <c r="AH122" s="2851" t="s">
        <v>29</v>
      </c>
      <c r="AI122" s="2745">
        <f t="shared" si="13"/>
        <v>13</v>
      </c>
      <c r="AJ122" s="2745">
        <f t="shared" si="14"/>
        <v>3</v>
      </c>
      <c r="AK122" s="3060">
        <f t="shared" si="15"/>
        <v>0</v>
      </c>
      <c r="AL122" s="2853">
        <f t="shared" si="16"/>
        <v>0</v>
      </c>
      <c r="AM122" s="2745">
        <f t="shared" ref="AM122:AM152" si="19">SUM(AI122:AL122)</f>
        <v>16</v>
      </c>
      <c r="AN122" s="2854"/>
      <c r="AO122" s="2854"/>
      <c r="AP122" s="2746"/>
    </row>
    <row r="123" spans="1:42" ht="36.75" customHeight="1">
      <c r="A123" s="2871">
        <v>33</v>
      </c>
      <c r="B123" s="2812" t="s">
        <v>1504</v>
      </c>
      <c r="C123" s="2852"/>
      <c r="D123" s="3364" t="s">
        <v>452</v>
      </c>
      <c r="E123" s="2851"/>
      <c r="F123" s="2851"/>
      <c r="G123" s="2851"/>
      <c r="H123" s="2851"/>
      <c r="I123" s="2851"/>
      <c r="J123" s="2851"/>
      <c r="K123" s="2851"/>
      <c r="L123" s="2851"/>
      <c r="M123" s="2851"/>
      <c r="N123" s="2851"/>
      <c r="O123" s="2851" t="s">
        <v>29</v>
      </c>
      <c r="P123" s="2851" t="s">
        <v>29</v>
      </c>
      <c r="Q123" s="2851" t="s">
        <v>1882</v>
      </c>
      <c r="R123" s="2851"/>
      <c r="S123" s="2851"/>
      <c r="T123" s="2851"/>
      <c r="U123" s="2851" t="s">
        <v>29</v>
      </c>
      <c r="V123" s="2851" t="s">
        <v>29</v>
      </c>
      <c r="W123" s="2851" t="s">
        <v>29</v>
      </c>
      <c r="X123" s="2851" t="s">
        <v>1882</v>
      </c>
      <c r="Y123" s="2851" t="s">
        <v>29</v>
      </c>
      <c r="Z123" s="2851" t="s">
        <v>29</v>
      </c>
      <c r="AA123" s="2851" t="s">
        <v>29</v>
      </c>
      <c r="AB123" s="2851" t="s">
        <v>29</v>
      </c>
      <c r="AC123" s="2851" t="s">
        <v>29</v>
      </c>
      <c r="AD123" s="2851" t="s">
        <v>29</v>
      </c>
      <c r="AE123" s="2851" t="s">
        <v>1882</v>
      </c>
      <c r="AF123" s="2851" t="s">
        <v>29</v>
      </c>
      <c r="AG123" s="2851" t="s">
        <v>29</v>
      </c>
      <c r="AH123" s="2851" t="s">
        <v>29</v>
      </c>
      <c r="AI123" s="2745">
        <f t="shared" si="13"/>
        <v>14</v>
      </c>
      <c r="AJ123" s="2745">
        <f t="shared" si="14"/>
        <v>3</v>
      </c>
      <c r="AK123" s="3060">
        <f t="shared" si="15"/>
        <v>0</v>
      </c>
      <c r="AL123" s="2853">
        <f t="shared" si="16"/>
        <v>0</v>
      </c>
      <c r="AM123" s="2745">
        <f t="shared" si="19"/>
        <v>17</v>
      </c>
      <c r="AN123" s="2854"/>
      <c r="AO123" s="2854"/>
      <c r="AP123" s="2746"/>
    </row>
    <row r="124" spans="1:42" ht="36.75" customHeight="1">
      <c r="A124" s="2851">
        <v>34</v>
      </c>
      <c r="B124" s="2812" t="s">
        <v>2262</v>
      </c>
      <c r="C124" s="2852"/>
      <c r="D124" s="3364" t="s">
        <v>452</v>
      </c>
      <c r="E124" s="2851"/>
      <c r="F124" s="2851"/>
      <c r="G124" s="2851"/>
      <c r="H124" s="2851"/>
      <c r="I124" s="2851"/>
      <c r="J124" s="2851"/>
      <c r="K124" s="2851"/>
      <c r="L124" s="2851"/>
      <c r="M124" s="2851"/>
      <c r="N124" s="2851"/>
      <c r="O124" s="2851"/>
      <c r="P124" s="2851"/>
      <c r="Q124" s="2851"/>
      <c r="R124" s="2851"/>
      <c r="S124" s="2851"/>
      <c r="T124" s="2851"/>
      <c r="U124" s="2851"/>
      <c r="V124" s="2851"/>
      <c r="W124" s="2851" t="s">
        <v>29</v>
      </c>
      <c r="X124" s="2851" t="s">
        <v>1882</v>
      </c>
      <c r="Y124" s="2851" t="s">
        <v>29</v>
      </c>
      <c r="Z124" s="2851" t="s">
        <v>29</v>
      </c>
      <c r="AA124" s="2851" t="s">
        <v>29</v>
      </c>
      <c r="AB124" s="2851" t="s">
        <v>29</v>
      </c>
      <c r="AC124" s="2851" t="s">
        <v>29</v>
      </c>
      <c r="AD124" s="2851" t="s">
        <v>29</v>
      </c>
      <c r="AE124" s="2851" t="s">
        <v>1882</v>
      </c>
      <c r="AF124" s="2851" t="s">
        <v>29</v>
      </c>
      <c r="AG124" s="2851" t="s">
        <v>29</v>
      </c>
      <c r="AH124" s="2851" t="s">
        <v>29</v>
      </c>
      <c r="AI124" s="2745">
        <f t="shared" si="13"/>
        <v>10</v>
      </c>
      <c r="AJ124" s="2745">
        <f t="shared" si="14"/>
        <v>2</v>
      </c>
      <c r="AK124" s="3060">
        <f t="shared" si="15"/>
        <v>0</v>
      </c>
      <c r="AL124" s="2853">
        <f t="shared" si="16"/>
        <v>0</v>
      </c>
      <c r="AM124" s="2745">
        <f t="shared" si="19"/>
        <v>12</v>
      </c>
      <c r="AN124" s="2854"/>
      <c r="AO124" s="2854"/>
      <c r="AP124" s="2746"/>
    </row>
    <row r="125" spans="1:42" ht="36.75" customHeight="1">
      <c r="A125" s="2871">
        <v>35</v>
      </c>
      <c r="B125" s="2812" t="s">
        <v>2263</v>
      </c>
      <c r="C125" s="2852"/>
      <c r="D125" s="3364" t="s">
        <v>452</v>
      </c>
      <c r="E125" s="2851"/>
      <c r="F125" s="2851"/>
      <c r="G125" s="2851"/>
      <c r="H125" s="2851"/>
      <c r="I125" s="2851"/>
      <c r="J125" s="2851"/>
      <c r="K125" s="2851"/>
      <c r="L125" s="2851"/>
      <c r="M125" s="2851"/>
      <c r="N125" s="2851"/>
      <c r="O125" s="2851"/>
      <c r="P125" s="2851"/>
      <c r="Q125" s="2851"/>
      <c r="R125" s="2851"/>
      <c r="S125" s="2851"/>
      <c r="T125" s="2851"/>
      <c r="U125" s="2851"/>
      <c r="V125" s="2851"/>
      <c r="W125" s="2851" t="s">
        <v>29</v>
      </c>
      <c r="X125" s="2851" t="s">
        <v>1882</v>
      </c>
      <c r="Y125" s="2851" t="s">
        <v>29</v>
      </c>
      <c r="Z125" s="2851" t="s">
        <v>29</v>
      </c>
      <c r="AA125" s="2851" t="s">
        <v>29</v>
      </c>
      <c r="AB125" s="2851" t="s">
        <v>29</v>
      </c>
      <c r="AC125" s="2851" t="s">
        <v>29</v>
      </c>
      <c r="AD125" s="2851" t="s">
        <v>29</v>
      </c>
      <c r="AE125" s="2851" t="s">
        <v>1882</v>
      </c>
      <c r="AF125" s="2851" t="s">
        <v>29</v>
      </c>
      <c r="AG125" s="2851" t="s">
        <v>29</v>
      </c>
      <c r="AH125" s="2851" t="s">
        <v>29</v>
      </c>
      <c r="AI125" s="2745">
        <f t="shared" si="13"/>
        <v>10</v>
      </c>
      <c r="AJ125" s="2745">
        <f t="shared" si="14"/>
        <v>2</v>
      </c>
      <c r="AK125" s="3060">
        <f t="shared" si="15"/>
        <v>0</v>
      </c>
      <c r="AL125" s="2853">
        <f t="shared" si="16"/>
        <v>0</v>
      </c>
      <c r="AM125" s="2745">
        <f t="shared" si="19"/>
        <v>12</v>
      </c>
      <c r="AN125" s="2854"/>
      <c r="AO125" s="2854"/>
      <c r="AP125" s="2746"/>
    </row>
    <row r="126" spans="1:42" ht="36.75" customHeight="1">
      <c r="A126" s="2851">
        <v>36</v>
      </c>
      <c r="B126" s="2812" t="s">
        <v>1491</v>
      </c>
      <c r="C126" s="2852"/>
      <c r="D126" s="3364" t="s">
        <v>452</v>
      </c>
      <c r="E126" s="2851"/>
      <c r="F126" s="2851"/>
      <c r="G126" s="2851"/>
      <c r="H126" s="2851"/>
      <c r="I126" s="2851"/>
      <c r="J126" s="2851"/>
      <c r="K126" s="2851"/>
      <c r="L126" s="2851"/>
      <c r="M126" s="2851"/>
      <c r="N126" s="2851"/>
      <c r="O126" s="2851"/>
      <c r="P126" s="2851" t="s">
        <v>29</v>
      </c>
      <c r="Q126" s="2851" t="s">
        <v>1882</v>
      </c>
      <c r="R126" s="2851"/>
      <c r="S126" s="2851"/>
      <c r="T126" s="2851"/>
      <c r="U126" s="2851" t="s">
        <v>29</v>
      </c>
      <c r="V126" s="2851" t="s">
        <v>29</v>
      </c>
      <c r="W126" s="2851" t="s">
        <v>29</v>
      </c>
      <c r="X126" s="2851" t="s">
        <v>1882</v>
      </c>
      <c r="Y126" s="2851" t="s">
        <v>29</v>
      </c>
      <c r="Z126" s="2851" t="s">
        <v>29</v>
      </c>
      <c r="AA126" s="2851" t="s">
        <v>29</v>
      </c>
      <c r="AB126" s="2851" t="s">
        <v>29</v>
      </c>
      <c r="AC126" s="2851" t="s">
        <v>29</v>
      </c>
      <c r="AD126" s="2851" t="s">
        <v>29</v>
      </c>
      <c r="AE126" s="2851" t="s">
        <v>1882</v>
      </c>
      <c r="AF126" s="2851" t="s">
        <v>29</v>
      </c>
      <c r="AG126" s="2851" t="s">
        <v>29</v>
      </c>
      <c r="AH126" s="2851" t="s">
        <v>29</v>
      </c>
      <c r="AI126" s="2745">
        <f t="shared" si="13"/>
        <v>13</v>
      </c>
      <c r="AJ126" s="2745">
        <f t="shared" si="14"/>
        <v>3</v>
      </c>
      <c r="AK126" s="3060">
        <f t="shared" si="15"/>
        <v>0</v>
      </c>
      <c r="AL126" s="2853">
        <f t="shared" si="16"/>
        <v>0</v>
      </c>
      <c r="AM126" s="2745">
        <f t="shared" si="19"/>
        <v>16</v>
      </c>
      <c r="AN126" s="2854"/>
      <c r="AO126" s="2854"/>
      <c r="AP126" s="2746"/>
    </row>
    <row r="127" spans="1:42" ht="36.75" customHeight="1">
      <c r="A127" s="2871">
        <v>37</v>
      </c>
      <c r="B127" s="2812" t="s">
        <v>1492</v>
      </c>
      <c r="C127" s="2852"/>
      <c r="D127" s="3364" t="s">
        <v>452</v>
      </c>
      <c r="E127" s="2851"/>
      <c r="F127" s="2851"/>
      <c r="G127" s="2851"/>
      <c r="H127" s="2851"/>
      <c r="I127" s="2851"/>
      <c r="J127" s="2851"/>
      <c r="K127" s="2851"/>
      <c r="L127" s="2851"/>
      <c r="M127" s="2851"/>
      <c r="N127" s="2851"/>
      <c r="O127" s="2851"/>
      <c r="P127" s="2851" t="s">
        <v>29</v>
      </c>
      <c r="Q127" s="2851" t="s">
        <v>1882</v>
      </c>
      <c r="R127" s="2851"/>
      <c r="S127" s="2851"/>
      <c r="T127" s="2851"/>
      <c r="U127" s="2851" t="s">
        <v>29</v>
      </c>
      <c r="V127" s="2851" t="s">
        <v>29</v>
      </c>
      <c r="W127" s="2851" t="s">
        <v>29</v>
      </c>
      <c r="X127" s="2851" t="s">
        <v>1882</v>
      </c>
      <c r="Y127" s="2851" t="s">
        <v>29</v>
      </c>
      <c r="Z127" s="2851" t="s">
        <v>29</v>
      </c>
      <c r="AA127" s="2851" t="s">
        <v>29</v>
      </c>
      <c r="AB127" s="2851" t="s">
        <v>29</v>
      </c>
      <c r="AC127" s="2851" t="s">
        <v>29</v>
      </c>
      <c r="AD127" s="2851" t="s">
        <v>29</v>
      </c>
      <c r="AE127" s="2851" t="s">
        <v>1882</v>
      </c>
      <c r="AF127" s="2851" t="s">
        <v>29</v>
      </c>
      <c r="AG127" s="2851" t="s">
        <v>29</v>
      </c>
      <c r="AH127" s="2851" t="s">
        <v>29</v>
      </c>
      <c r="AI127" s="2745">
        <f t="shared" si="13"/>
        <v>13</v>
      </c>
      <c r="AJ127" s="2745">
        <f t="shared" si="14"/>
        <v>3</v>
      </c>
      <c r="AK127" s="3060">
        <f t="shared" si="15"/>
        <v>0</v>
      </c>
      <c r="AL127" s="2853">
        <f t="shared" si="16"/>
        <v>0</v>
      </c>
      <c r="AM127" s="2745">
        <f t="shared" si="19"/>
        <v>16</v>
      </c>
      <c r="AN127" s="2854"/>
      <c r="AO127" s="2854"/>
      <c r="AP127" s="2746"/>
    </row>
    <row r="128" spans="1:42" ht="36.75" customHeight="1">
      <c r="A128" s="2851">
        <v>38</v>
      </c>
      <c r="B128" s="2812" t="s">
        <v>1712</v>
      </c>
      <c r="C128" s="2852"/>
      <c r="D128" s="3364" t="s">
        <v>452</v>
      </c>
      <c r="E128" s="2851"/>
      <c r="F128" s="2851"/>
      <c r="G128" s="2851"/>
      <c r="H128" s="2851"/>
      <c r="I128" s="2851"/>
      <c r="J128" s="2851"/>
      <c r="K128" s="2851"/>
      <c r="L128" s="2851"/>
      <c r="M128" s="2851"/>
      <c r="N128" s="2851"/>
      <c r="O128" s="2851" t="s">
        <v>29</v>
      </c>
      <c r="P128" s="2851" t="s">
        <v>29</v>
      </c>
      <c r="Q128" s="2851"/>
      <c r="R128" s="2851"/>
      <c r="S128" s="2851"/>
      <c r="T128" s="2851"/>
      <c r="U128" s="2851" t="s">
        <v>29</v>
      </c>
      <c r="V128" s="2851" t="s">
        <v>29</v>
      </c>
      <c r="W128" s="2851" t="s">
        <v>29</v>
      </c>
      <c r="X128" s="2851" t="s">
        <v>1882</v>
      </c>
      <c r="Y128" s="2851" t="s">
        <v>29</v>
      </c>
      <c r="Z128" s="2851" t="s">
        <v>29</v>
      </c>
      <c r="AA128" s="2851" t="s">
        <v>29</v>
      </c>
      <c r="AB128" s="2851" t="s">
        <v>29</v>
      </c>
      <c r="AC128" s="2851" t="s">
        <v>29</v>
      </c>
      <c r="AD128" s="2851" t="s">
        <v>29</v>
      </c>
      <c r="AE128" s="2851" t="s">
        <v>1882</v>
      </c>
      <c r="AF128" s="2851" t="s">
        <v>29</v>
      </c>
      <c r="AG128" s="2851" t="s">
        <v>29</v>
      </c>
      <c r="AH128" s="2851" t="s">
        <v>29</v>
      </c>
      <c r="AI128" s="2745">
        <f t="shared" si="13"/>
        <v>14</v>
      </c>
      <c r="AJ128" s="2745">
        <f t="shared" si="14"/>
        <v>2</v>
      </c>
      <c r="AK128" s="3060">
        <f t="shared" si="15"/>
        <v>0</v>
      </c>
      <c r="AL128" s="2853">
        <f t="shared" si="16"/>
        <v>0</v>
      </c>
      <c r="AM128" s="2745">
        <f t="shared" si="19"/>
        <v>16</v>
      </c>
      <c r="AN128" s="2854"/>
      <c r="AO128" s="2854"/>
      <c r="AP128" s="2746"/>
    </row>
    <row r="129" spans="1:42" ht="36.75" customHeight="1">
      <c r="A129" s="2871">
        <v>39</v>
      </c>
      <c r="B129" s="2812" t="s">
        <v>1538</v>
      </c>
      <c r="C129" s="2852"/>
      <c r="D129" s="3364" t="s">
        <v>452</v>
      </c>
      <c r="E129" s="2851"/>
      <c r="F129" s="2851"/>
      <c r="G129" s="2851"/>
      <c r="H129" s="2851"/>
      <c r="I129" s="2851"/>
      <c r="J129" s="2851"/>
      <c r="K129" s="2851"/>
      <c r="L129" s="2851"/>
      <c r="M129" s="2851"/>
      <c r="N129" s="2851" t="s">
        <v>29</v>
      </c>
      <c r="O129" s="2851" t="s">
        <v>29</v>
      </c>
      <c r="P129" s="2851" t="s">
        <v>29</v>
      </c>
      <c r="Q129" s="2851" t="s">
        <v>1882</v>
      </c>
      <c r="R129" s="2851"/>
      <c r="S129" s="2851"/>
      <c r="T129" s="2851"/>
      <c r="U129" s="2851" t="s">
        <v>29</v>
      </c>
      <c r="V129" s="2851" t="s">
        <v>29</v>
      </c>
      <c r="W129" s="2851" t="s">
        <v>29</v>
      </c>
      <c r="X129" s="2851" t="s">
        <v>1882</v>
      </c>
      <c r="Y129" s="2851" t="s">
        <v>29</v>
      </c>
      <c r="Z129" s="2851" t="s">
        <v>29</v>
      </c>
      <c r="AA129" s="2851" t="s">
        <v>29</v>
      </c>
      <c r="AB129" s="2851" t="s">
        <v>29</v>
      </c>
      <c r="AC129" s="2851" t="s">
        <v>29</v>
      </c>
      <c r="AD129" s="2851" t="s">
        <v>29</v>
      </c>
      <c r="AE129" s="2851" t="s">
        <v>1882</v>
      </c>
      <c r="AF129" s="2851" t="s">
        <v>29</v>
      </c>
      <c r="AG129" s="2851" t="s">
        <v>29</v>
      </c>
      <c r="AH129" s="2851" t="s">
        <v>29</v>
      </c>
      <c r="AI129" s="2745">
        <f t="shared" si="13"/>
        <v>15</v>
      </c>
      <c r="AJ129" s="2745">
        <f t="shared" si="14"/>
        <v>3</v>
      </c>
      <c r="AK129" s="3060">
        <f t="shared" si="15"/>
        <v>0</v>
      </c>
      <c r="AL129" s="2853">
        <f t="shared" si="16"/>
        <v>0</v>
      </c>
      <c r="AM129" s="2745">
        <f t="shared" si="19"/>
        <v>18</v>
      </c>
      <c r="AN129" s="2854"/>
      <c r="AO129" s="2854"/>
      <c r="AP129" s="2746"/>
    </row>
    <row r="130" spans="1:42" ht="36.75" customHeight="1">
      <c r="A130" s="2851">
        <v>40</v>
      </c>
      <c r="B130" s="2812" t="s">
        <v>2264</v>
      </c>
      <c r="C130" s="2852"/>
      <c r="D130" s="3364" t="s">
        <v>452</v>
      </c>
      <c r="E130" s="2851"/>
      <c r="F130" s="2851"/>
      <c r="G130" s="2851"/>
      <c r="H130" s="2851"/>
      <c r="I130" s="2851"/>
      <c r="J130" s="2851"/>
      <c r="K130" s="2851"/>
      <c r="L130" s="2851"/>
      <c r="M130" s="2851"/>
      <c r="N130" s="2851" t="s">
        <v>29</v>
      </c>
      <c r="O130" s="2851" t="s">
        <v>29</v>
      </c>
      <c r="P130" s="2851" t="s">
        <v>29</v>
      </c>
      <c r="Q130" s="2851" t="s">
        <v>1882</v>
      </c>
      <c r="R130" s="2851"/>
      <c r="S130" s="2851"/>
      <c r="T130" s="2851"/>
      <c r="U130" s="2851" t="s">
        <v>29</v>
      </c>
      <c r="V130" s="2851" t="s">
        <v>29</v>
      </c>
      <c r="W130" s="2851" t="s">
        <v>29</v>
      </c>
      <c r="X130" s="2851" t="s">
        <v>1882</v>
      </c>
      <c r="Y130" s="2851" t="s">
        <v>29</v>
      </c>
      <c r="Z130" s="2851" t="s">
        <v>29</v>
      </c>
      <c r="AA130" s="2851" t="s">
        <v>29</v>
      </c>
      <c r="AB130" s="2851" t="s">
        <v>29</v>
      </c>
      <c r="AC130" s="2851" t="s">
        <v>29</v>
      </c>
      <c r="AD130" s="2851" t="s">
        <v>29</v>
      </c>
      <c r="AE130" s="2851" t="s">
        <v>1882</v>
      </c>
      <c r="AF130" s="2851" t="s">
        <v>29</v>
      </c>
      <c r="AG130" s="2851" t="s">
        <v>29</v>
      </c>
      <c r="AH130" s="2851" t="s">
        <v>29</v>
      </c>
      <c r="AI130" s="2745">
        <f t="shared" si="13"/>
        <v>15</v>
      </c>
      <c r="AJ130" s="2745">
        <f t="shared" si="14"/>
        <v>3</v>
      </c>
      <c r="AK130" s="3060">
        <f t="shared" si="15"/>
        <v>0</v>
      </c>
      <c r="AL130" s="2853">
        <f t="shared" si="16"/>
        <v>0</v>
      </c>
      <c r="AM130" s="2745">
        <f t="shared" si="19"/>
        <v>18</v>
      </c>
      <c r="AN130" s="2854"/>
      <c r="AO130" s="2854"/>
      <c r="AP130" s="2746"/>
    </row>
    <row r="131" spans="1:42" ht="36.75" customHeight="1">
      <c r="A131" s="2871">
        <v>41</v>
      </c>
      <c r="B131" s="2812" t="s">
        <v>2265</v>
      </c>
      <c r="C131" s="2852"/>
      <c r="D131" s="3364" t="s">
        <v>452</v>
      </c>
      <c r="E131" s="2851"/>
      <c r="F131" s="2851"/>
      <c r="G131" s="2851"/>
      <c r="H131" s="2851"/>
      <c r="I131" s="2851"/>
      <c r="J131" s="2851"/>
      <c r="K131" s="2851"/>
      <c r="L131" s="2851"/>
      <c r="M131" s="2851"/>
      <c r="N131" s="2851" t="s">
        <v>29</v>
      </c>
      <c r="O131" s="2851" t="s">
        <v>29</v>
      </c>
      <c r="P131" s="2851" t="s">
        <v>29</v>
      </c>
      <c r="Q131" s="2851" t="s">
        <v>1882</v>
      </c>
      <c r="R131" s="2851"/>
      <c r="S131" s="2851"/>
      <c r="T131" s="2851"/>
      <c r="U131" s="2851" t="s">
        <v>29</v>
      </c>
      <c r="V131" s="2851" t="s">
        <v>29</v>
      </c>
      <c r="W131" s="2851" t="s">
        <v>29</v>
      </c>
      <c r="X131" s="2851" t="s">
        <v>1882</v>
      </c>
      <c r="Y131" s="2851" t="s">
        <v>29</v>
      </c>
      <c r="Z131" s="2851" t="s">
        <v>29</v>
      </c>
      <c r="AA131" s="2851" t="s">
        <v>29</v>
      </c>
      <c r="AB131" s="2851" t="s">
        <v>29</v>
      </c>
      <c r="AC131" s="2851" t="s">
        <v>29</v>
      </c>
      <c r="AD131" s="2851" t="s">
        <v>29</v>
      </c>
      <c r="AE131" s="2851" t="s">
        <v>1882</v>
      </c>
      <c r="AF131" s="2851" t="s">
        <v>29</v>
      </c>
      <c r="AG131" s="2851" t="s">
        <v>29</v>
      </c>
      <c r="AH131" s="2851" t="s">
        <v>29</v>
      </c>
      <c r="AI131" s="2745">
        <f t="shared" si="13"/>
        <v>15</v>
      </c>
      <c r="AJ131" s="2745">
        <f t="shared" si="14"/>
        <v>3</v>
      </c>
      <c r="AK131" s="3060">
        <f t="shared" si="15"/>
        <v>0</v>
      </c>
      <c r="AL131" s="2853">
        <f t="shared" si="16"/>
        <v>0</v>
      </c>
      <c r="AM131" s="2745">
        <f t="shared" si="19"/>
        <v>18</v>
      </c>
      <c r="AN131" s="2854"/>
      <c r="AO131" s="2854"/>
      <c r="AP131" s="2746"/>
    </row>
    <row r="132" spans="1:42" ht="36.75" customHeight="1">
      <c r="A132" s="2851">
        <v>42</v>
      </c>
      <c r="B132" s="2812" t="s">
        <v>2266</v>
      </c>
      <c r="C132" s="2852"/>
      <c r="D132" s="3364" t="s">
        <v>452</v>
      </c>
      <c r="E132" s="2851"/>
      <c r="F132" s="2851"/>
      <c r="G132" s="2851"/>
      <c r="H132" s="2851"/>
      <c r="I132" s="2851"/>
      <c r="J132" s="2851"/>
      <c r="K132" s="2851"/>
      <c r="L132" s="2851"/>
      <c r="M132" s="2851"/>
      <c r="N132" s="2851" t="s">
        <v>29</v>
      </c>
      <c r="O132" s="2851" t="s">
        <v>29</v>
      </c>
      <c r="P132" s="2851" t="s">
        <v>29</v>
      </c>
      <c r="Q132" s="2851" t="s">
        <v>1882</v>
      </c>
      <c r="R132" s="2851"/>
      <c r="S132" s="2851"/>
      <c r="T132" s="2851"/>
      <c r="U132" s="2851" t="s">
        <v>29</v>
      </c>
      <c r="V132" s="2851" t="s">
        <v>29</v>
      </c>
      <c r="W132" s="2851" t="s">
        <v>29</v>
      </c>
      <c r="X132" s="2851" t="s">
        <v>1882</v>
      </c>
      <c r="Y132" s="2851" t="s">
        <v>29</v>
      </c>
      <c r="Z132" s="2851" t="s">
        <v>29</v>
      </c>
      <c r="AA132" s="2851" t="s">
        <v>29</v>
      </c>
      <c r="AB132" s="2851" t="s">
        <v>29</v>
      </c>
      <c r="AC132" s="2851" t="s">
        <v>29</v>
      </c>
      <c r="AD132" s="2851" t="s">
        <v>29</v>
      </c>
      <c r="AE132" s="2851" t="s">
        <v>1882</v>
      </c>
      <c r="AF132" s="2851" t="s">
        <v>29</v>
      </c>
      <c r="AG132" s="2851" t="s">
        <v>29</v>
      </c>
      <c r="AH132" s="2851" t="s">
        <v>29</v>
      </c>
      <c r="AI132" s="2745">
        <f t="shared" si="13"/>
        <v>15</v>
      </c>
      <c r="AJ132" s="2745">
        <f t="shared" si="14"/>
        <v>3</v>
      </c>
      <c r="AK132" s="3060">
        <f t="shared" si="15"/>
        <v>0</v>
      </c>
      <c r="AL132" s="2853">
        <f t="shared" si="16"/>
        <v>0</v>
      </c>
      <c r="AM132" s="2745">
        <f t="shared" si="19"/>
        <v>18</v>
      </c>
      <c r="AN132" s="2854"/>
      <c r="AO132" s="2854"/>
      <c r="AP132" s="2746"/>
    </row>
    <row r="133" spans="1:42" ht="36.75" customHeight="1">
      <c r="A133" s="2871">
        <v>43</v>
      </c>
      <c r="B133" s="2812" t="s">
        <v>2267</v>
      </c>
      <c r="C133" s="2852"/>
      <c r="D133" s="3364" t="s">
        <v>452</v>
      </c>
      <c r="E133" s="2851"/>
      <c r="F133" s="2851"/>
      <c r="G133" s="2851"/>
      <c r="H133" s="2851"/>
      <c r="I133" s="2851"/>
      <c r="J133" s="2851"/>
      <c r="K133" s="2851"/>
      <c r="L133" s="2851"/>
      <c r="M133" s="2851"/>
      <c r="N133" s="2851"/>
      <c r="O133" s="2851"/>
      <c r="P133" s="2851"/>
      <c r="Q133" s="2851"/>
      <c r="R133" s="2851"/>
      <c r="S133" s="2851"/>
      <c r="T133" s="2851"/>
      <c r="U133" s="2851"/>
      <c r="V133" s="2851"/>
      <c r="W133" s="2851" t="s">
        <v>29</v>
      </c>
      <c r="X133" s="2851" t="s">
        <v>1882</v>
      </c>
      <c r="Y133" s="2851" t="s">
        <v>29</v>
      </c>
      <c r="Z133" s="2851"/>
      <c r="AA133" s="2851" t="s">
        <v>29</v>
      </c>
      <c r="AB133" s="2851"/>
      <c r="AC133" s="2851"/>
      <c r="AD133" s="2851" t="s">
        <v>29</v>
      </c>
      <c r="AE133" s="2851" t="s">
        <v>1882</v>
      </c>
      <c r="AF133" s="2851" t="s">
        <v>29</v>
      </c>
      <c r="AG133" s="2851" t="s">
        <v>29</v>
      </c>
      <c r="AH133" s="2851" t="s">
        <v>29</v>
      </c>
      <c r="AI133" s="2745">
        <f t="shared" si="13"/>
        <v>7</v>
      </c>
      <c r="AJ133" s="2745">
        <f t="shared" si="14"/>
        <v>2</v>
      </c>
      <c r="AK133" s="3060">
        <f t="shared" si="15"/>
        <v>0</v>
      </c>
      <c r="AL133" s="2853">
        <f t="shared" si="16"/>
        <v>0</v>
      </c>
      <c r="AM133" s="2745">
        <f t="shared" si="19"/>
        <v>9</v>
      </c>
      <c r="AN133" s="2854"/>
      <c r="AO133" s="2854"/>
      <c r="AP133" s="2746"/>
    </row>
    <row r="134" spans="1:42" ht="36.75" customHeight="1">
      <c r="A134" s="2851">
        <v>44</v>
      </c>
      <c r="B134" s="2812" t="s">
        <v>2268</v>
      </c>
      <c r="C134" s="2852"/>
      <c r="D134" s="3364" t="s">
        <v>452</v>
      </c>
      <c r="E134" s="2851"/>
      <c r="F134" s="2851"/>
      <c r="G134" s="2851"/>
      <c r="H134" s="2851"/>
      <c r="I134" s="2851"/>
      <c r="J134" s="2851"/>
      <c r="K134" s="2851"/>
      <c r="L134" s="2851"/>
      <c r="M134" s="2851"/>
      <c r="N134" s="2851"/>
      <c r="O134" s="2851"/>
      <c r="P134" s="2851" t="s">
        <v>29</v>
      </c>
      <c r="Q134" s="2851" t="s">
        <v>1882</v>
      </c>
      <c r="R134" s="2851"/>
      <c r="S134" s="2851"/>
      <c r="T134" s="2851"/>
      <c r="U134" s="2851" t="s">
        <v>29</v>
      </c>
      <c r="V134" s="2851" t="s">
        <v>29</v>
      </c>
      <c r="W134" s="2851" t="s">
        <v>29</v>
      </c>
      <c r="X134" s="2851" t="s">
        <v>1882</v>
      </c>
      <c r="Y134" s="2851" t="s">
        <v>29</v>
      </c>
      <c r="Z134" s="2851" t="s">
        <v>29</v>
      </c>
      <c r="AA134" s="2851" t="s">
        <v>29</v>
      </c>
      <c r="AB134" s="2851" t="s">
        <v>29</v>
      </c>
      <c r="AC134" s="2851" t="s">
        <v>29</v>
      </c>
      <c r="AD134" s="2851" t="s">
        <v>29</v>
      </c>
      <c r="AE134" s="2851" t="s">
        <v>1882</v>
      </c>
      <c r="AF134" s="2851" t="s">
        <v>29</v>
      </c>
      <c r="AG134" s="2851" t="s">
        <v>29</v>
      </c>
      <c r="AH134" s="2851" t="s">
        <v>29</v>
      </c>
      <c r="AI134" s="2745">
        <f t="shared" si="13"/>
        <v>13</v>
      </c>
      <c r="AJ134" s="2745">
        <f t="shared" si="14"/>
        <v>3</v>
      </c>
      <c r="AK134" s="3060">
        <f t="shared" si="15"/>
        <v>0</v>
      </c>
      <c r="AL134" s="2853">
        <f t="shared" si="16"/>
        <v>0</v>
      </c>
      <c r="AM134" s="2745">
        <f t="shared" si="19"/>
        <v>16</v>
      </c>
      <c r="AN134" s="2854"/>
      <c r="AO134" s="2854"/>
      <c r="AP134" s="2746"/>
    </row>
    <row r="135" spans="1:42" ht="36.75" customHeight="1">
      <c r="A135" s="2871">
        <v>45</v>
      </c>
      <c r="B135" s="2812" t="s">
        <v>2269</v>
      </c>
      <c r="C135" s="2852"/>
      <c r="D135" s="3364" t="s">
        <v>452</v>
      </c>
      <c r="E135" s="2851"/>
      <c r="F135" s="2851"/>
      <c r="G135" s="2851"/>
      <c r="H135" s="2851"/>
      <c r="I135" s="2851"/>
      <c r="J135" s="2851"/>
      <c r="K135" s="2851"/>
      <c r="L135" s="2851"/>
      <c r="M135" s="2851"/>
      <c r="N135" s="2851"/>
      <c r="O135" s="2851" t="s">
        <v>29</v>
      </c>
      <c r="P135" s="2851" t="s">
        <v>29</v>
      </c>
      <c r="Q135" s="2851" t="s">
        <v>1882</v>
      </c>
      <c r="R135" s="2851"/>
      <c r="S135" s="2851"/>
      <c r="T135" s="2851"/>
      <c r="U135" s="2851" t="s">
        <v>29</v>
      </c>
      <c r="V135" s="2851" t="s">
        <v>29</v>
      </c>
      <c r="W135" s="2851" t="s">
        <v>29</v>
      </c>
      <c r="X135" s="2851" t="s">
        <v>1882</v>
      </c>
      <c r="Y135" s="2851" t="s">
        <v>29</v>
      </c>
      <c r="Z135" s="2851" t="s">
        <v>29</v>
      </c>
      <c r="AA135" s="2851" t="s">
        <v>29</v>
      </c>
      <c r="AB135" s="2851" t="s">
        <v>29</v>
      </c>
      <c r="AC135" s="2851" t="s">
        <v>29</v>
      </c>
      <c r="AD135" s="2851" t="s">
        <v>29</v>
      </c>
      <c r="AE135" s="2851" t="s">
        <v>1882</v>
      </c>
      <c r="AF135" s="2851" t="s">
        <v>29</v>
      </c>
      <c r="AG135" s="2851" t="s">
        <v>29</v>
      </c>
      <c r="AH135" s="2851" t="s">
        <v>29</v>
      </c>
      <c r="AI135" s="2745">
        <f t="shared" si="13"/>
        <v>14</v>
      </c>
      <c r="AJ135" s="2745">
        <f t="shared" si="14"/>
        <v>3</v>
      </c>
      <c r="AK135" s="3060">
        <f t="shared" si="15"/>
        <v>0</v>
      </c>
      <c r="AL135" s="2853">
        <f t="shared" si="16"/>
        <v>0</v>
      </c>
      <c r="AM135" s="2745">
        <f t="shared" si="19"/>
        <v>17</v>
      </c>
      <c r="AN135" s="2854"/>
      <c r="AO135" s="2854"/>
      <c r="AP135" s="2746"/>
    </row>
    <row r="136" spans="1:42" ht="36.75" customHeight="1">
      <c r="A136" s="2851">
        <v>46</v>
      </c>
      <c r="B136" s="2812" t="s">
        <v>2270</v>
      </c>
      <c r="C136" s="2852"/>
      <c r="D136" s="3364" t="s">
        <v>452</v>
      </c>
      <c r="E136" s="2851"/>
      <c r="F136" s="2851"/>
      <c r="G136" s="2851"/>
      <c r="H136" s="2851"/>
      <c r="I136" s="2851"/>
      <c r="J136" s="2851"/>
      <c r="K136" s="2851"/>
      <c r="L136" s="2851"/>
      <c r="M136" s="2851"/>
      <c r="N136" s="2851"/>
      <c r="O136" s="2851" t="s">
        <v>29</v>
      </c>
      <c r="P136" s="2851" t="s">
        <v>29</v>
      </c>
      <c r="Q136" s="2851" t="s">
        <v>1882</v>
      </c>
      <c r="R136" s="2851"/>
      <c r="S136" s="2851"/>
      <c r="T136" s="2851"/>
      <c r="U136" s="2851" t="s">
        <v>29</v>
      </c>
      <c r="V136" s="2851" t="s">
        <v>29</v>
      </c>
      <c r="W136" s="2851" t="s">
        <v>29</v>
      </c>
      <c r="X136" s="2851" t="s">
        <v>1882</v>
      </c>
      <c r="Y136" s="2851" t="s">
        <v>29</v>
      </c>
      <c r="Z136" s="2851" t="s">
        <v>29</v>
      </c>
      <c r="AA136" s="2851" t="s">
        <v>29</v>
      </c>
      <c r="AB136" s="2851" t="s">
        <v>29</v>
      </c>
      <c r="AC136" s="2851" t="s">
        <v>29</v>
      </c>
      <c r="AD136" s="2851" t="s">
        <v>29</v>
      </c>
      <c r="AE136" s="2851" t="s">
        <v>1882</v>
      </c>
      <c r="AF136" s="2851" t="s">
        <v>29</v>
      </c>
      <c r="AG136" s="2851" t="s">
        <v>29</v>
      </c>
      <c r="AH136" s="2851" t="s">
        <v>29</v>
      </c>
      <c r="AI136" s="2745">
        <f t="shared" si="13"/>
        <v>14</v>
      </c>
      <c r="AJ136" s="2745">
        <f t="shared" si="14"/>
        <v>3</v>
      </c>
      <c r="AK136" s="3060">
        <f t="shared" si="15"/>
        <v>0</v>
      </c>
      <c r="AL136" s="2853">
        <f t="shared" si="16"/>
        <v>0</v>
      </c>
      <c r="AM136" s="2745">
        <f t="shared" si="19"/>
        <v>17</v>
      </c>
      <c r="AN136" s="2854"/>
      <c r="AO136" s="2854"/>
      <c r="AP136" s="2746"/>
    </row>
    <row r="137" spans="1:42" ht="36.75" customHeight="1">
      <c r="A137" s="2871">
        <v>47</v>
      </c>
      <c r="B137" s="2812" t="s">
        <v>486</v>
      </c>
      <c r="C137" s="2852"/>
      <c r="D137" s="3364" t="s">
        <v>452</v>
      </c>
      <c r="E137" s="2851"/>
      <c r="F137" s="2851"/>
      <c r="G137" s="2851"/>
      <c r="H137" s="2851"/>
      <c r="I137" s="2851"/>
      <c r="J137" s="2851"/>
      <c r="K137" s="2851"/>
      <c r="L137" s="2851"/>
      <c r="M137" s="2851"/>
      <c r="N137" s="2851"/>
      <c r="O137" s="2851"/>
      <c r="P137" s="2851"/>
      <c r="Q137" s="2851"/>
      <c r="R137" s="2851"/>
      <c r="S137" s="2851"/>
      <c r="T137" s="2851"/>
      <c r="U137" s="2851" t="s">
        <v>29</v>
      </c>
      <c r="V137" s="2851" t="s">
        <v>29</v>
      </c>
      <c r="W137" s="2851"/>
      <c r="X137" s="2851" t="s">
        <v>1882</v>
      </c>
      <c r="Y137" s="2851" t="s">
        <v>29</v>
      </c>
      <c r="Z137" s="2851" t="s">
        <v>29</v>
      </c>
      <c r="AA137" s="2851" t="s">
        <v>29</v>
      </c>
      <c r="AB137" s="2851" t="s">
        <v>29</v>
      </c>
      <c r="AC137" s="2851" t="s">
        <v>29</v>
      </c>
      <c r="AD137" s="2851" t="s">
        <v>29</v>
      </c>
      <c r="AE137" s="2851" t="s">
        <v>1882</v>
      </c>
      <c r="AF137" s="2851" t="s">
        <v>29</v>
      </c>
      <c r="AG137" s="2851" t="s">
        <v>29</v>
      </c>
      <c r="AH137" s="2851" t="s">
        <v>29</v>
      </c>
      <c r="AI137" s="2745">
        <f t="shared" si="13"/>
        <v>11</v>
      </c>
      <c r="AJ137" s="2745">
        <f t="shared" si="14"/>
        <v>2</v>
      </c>
      <c r="AK137" s="3060">
        <f t="shared" si="15"/>
        <v>0</v>
      </c>
      <c r="AL137" s="2853">
        <f t="shared" si="16"/>
        <v>0</v>
      </c>
      <c r="AM137" s="2745">
        <f t="shared" si="19"/>
        <v>13</v>
      </c>
      <c r="AN137" s="2854"/>
      <c r="AO137" s="2854"/>
      <c r="AP137" s="2746"/>
    </row>
    <row r="138" spans="1:42" ht="36.75" customHeight="1">
      <c r="A138" s="2851">
        <v>48</v>
      </c>
      <c r="B138" s="2812" t="s">
        <v>2271</v>
      </c>
      <c r="C138" s="2852"/>
      <c r="D138" s="3364" t="s">
        <v>452</v>
      </c>
      <c r="E138" s="2851"/>
      <c r="F138" s="2851"/>
      <c r="G138" s="2851"/>
      <c r="H138" s="2851"/>
      <c r="I138" s="2851"/>
      <c r="J138" s="2851"/>
      <c r="K138" s="2851"/>
      <c r="L138" s="2851"/>
      <c r="M138" s="2851"/>
      <c r="N138" s="2851"/>
      <c r="O138" s="2851"/>
      <c r="P138" s="2851" t="s">
        <v>29</v>
      </c>
      <c r="Q138" s="2851"/>
      <c r="R138" s="2851"/>
      <c r="S138" s="2851"/>
      <c r="T138" s="2851"/>
      <c r="U138" s="2851" t="s">
        <v>29</v>
      </c>
      <c r="V138" s="2851" t="s">
        <v>29</v>
      </c>
      <c r="W138" s="2851" t="s">
        <v>29</v>
      </c>
      <c r="X138" s="2851" t="s">
        <v>1882</v>
      </c>
      <c r="Y138" s="2851" t="s">
        <v>29</v>
      </c>
      <c r="Z138" s="2851" t="s">
        <v>29</v>
      </c>
      <c r="AA138" s="2851" t="s">
        <v>29</v>
      </c>
      <c r="AB138" s="2851" t="s">
        <v>29</v>
      </c>
      <c r="AC138" s="2851" t="s">
        <v>29</v>
      </c>
      <c r="AD138" s="2851"/>
      <c r="AE138" s="2851" t="s">
        <v>1882</v>
      </c>
      <c r="AF138" s="2851" t="s">
        <v>29</v>
      </c>
      <c r="AG138" s="2851" t="s">
        <v>29</v>
      </c>
      <c r="AH138" s="2851" t="s">
        <v>29</v>
      </c>
      <c r="AI138" s="2745">
        <f t="shared" si="13"/>
        <v>12</v>
      </c>
      <c r="AJ138" s="2745">
        <f t="shared" si="14"/>
        <v>2</v>
      </c>
      <c r="AK138" s="3060">
        <f t="shared" si="15"/>
        <v>0</v>
      </c>
      <c r="AL138" s="2853">
        <f t="shared" si="16"/>
        <v>0</v>
      </c>
      <c r="AM138" s="2745">
        <f t="shared" ref="AM138:AM142" si="20">SUM(AI138:AL138)</f>
        <v>14</v>
      </c>
      <c r="AN138" s="2854"/>
      <c r="AO138" s="2854"/>
      <c r="AP138" s="2746"/>
    </row>
    <row r="139" spans="1:42" ht="36.75" customHeight="1">
      <c r="A139" s="2871">
        <v>49</v>
      </c>
      <c r="B139" s="2812" t="s">
        <v>1229</v>
      </c>
      <c r="C139" s="2852"/>
      <c r="D139" s="3364" t="s">
        <v>452</v>
      </c>
      <c r="E139" s="2851"/>
      <c r="F139" s="2851"/>
      <c r="G139" s="2851"/>
      <c r="H139" s="2851"/>
      <c r="I139" s="2851"/>
      <c r="J139" s="2851"/>
      <c r="K139" s="2851"/>
      <c r="L139" s="2851"/>
      <c r="M139" s="2851"/>
      <c r="N139" s="2851"/>
      <c r="O139" s="2851" t="s">
        <v>29</v>
      </c>
      <c r="P139" s="2851"/>
      <c r="Q139" s="2851" t="s">
        <v>1882</v>
      </c>
      <c r="R139" s="2851"/>
      <c r="S139" s="2851"/>
      <c r="T139" s="2851"/>
      <c r="U139" s="2851" t="s">
        <v>29</v>
      </c>
      <c r="V139" s="2851" t="s">
        <v>29</v>
      </c>
      <c r="W139" s="2851" t="s">
        <v>29</v>
      </c>
      <c r="X139" s="2851" t="s">
        <v>1882</v>
      </c>
      <c r="Y139" s="2851" t="s">
        <v>29</v>
      </c>
      <c r="Z139" s="2851" t="s">
        <v>29</v>
      </c>
      <c r="AA139" s="2851" t="s">
        <v>29</v>
      </c>
      <c r="AB139" s="2851" t="s">
        <v>29</v>
      </c>
      <c r="AC139" s="2851" t="s">
        <v>29</v>
      </c>
      <c r="AD139" s="2851" t="s">
        <v>29</v>
      </c>
      <c r="AE139" s="2851" t="s">
        <v>1882</v>
      </c>
      <c r="AF139" s="2851" t="s">
        <v>29</v>
      </c>
      <c r="AG139" s="2851" t="s">
        <v>29</v>
      </c>
      <c r="AH139" s="2851" t="s">
        <v>29</v>
      </c>
      <c r="AI139" s="2745">
        <f t="shared" si="13"/>
        <v>13</v>
      </c>
      <c r="AJ139" s="2745">
        <f t="shared" si="14"/>
        <v>3</v>
      </c>
      <c r="AK139" s="3060">
        <f t="shared" si="15"/>
        <v>0</v>
      </c>
      <c r="AL139" s="2853">
        <f t="shared" si="16"/>
        <v>0</v>
      </c>
      <c r="AM139" s="2745">
        <f t="shared" si="20"/>
        <v>16</v>
      </c>
      <c r="AN139" s="2854"/>
      <c r="AO139" s="2854"/>
      <c r="AP139" s="2746"/>
    </row>
    <row r="140" spans="1:42" ht="36.75" customHeight="1">
      <c r="A140" s="2851">
        <v>50</v>
      </c>
      <c r="B140" s="2812" t="s">
        <v>1507</v>
      </c>
      <c r="C140" s="2852"/>
      <c r="D140" s="3364" t="s">
        <v>452</v>
      </c>
      <c r="E140" s="2851"/>
      <c r="F140" s="2851"/>
      <c r="G140" s="2851"/>
      <c r="H140" s="2851"/>
      <c r="I140" s="2851"/>
      <c r="J140" s="2851"/>
      <c r="K140" s="2851"/>
      <c r="L140" s="2851"/>
      <c r="M140" s="2851"/>
      <c r="N140" s="2851"/>
      <c r="O140" s="2851"/>
      <c r="P140" s="2851"/>
      <c r="Q140" s="2851" t="s">
        <v>1882</v>
      </c>
      <c r="R140" s="2851"/>
      <c r="S140" s="2851"/>
      <c r="T140" s="2851"/>
      <c r="U140" s="2851" t="s">
        <v>29</v>
      </c>
      <c r="V140" s="2851"/>
      <c r="W140" s="2851" t="s">
        <v>29</v>
      </c>
      <c r="X140" s="2851" t="s">
        <v>1882</v>
      </c>
      <c r="Y140" s="2851" t="s">
        <v>29</v>
      </c>
      <c r="Z140" s="2851"/>
      <c r="AA140" s="2851" t="s">
        <v>29</v>
      </c>
      <c r="AB140" s="2851" t="s">
        <v>29</v>
      </c>
      <c r="AC140" s="2851" t="s">
        <v>29</v>
      </c>
      <c r="AD140" s="2851"/>
      <c r="AE140" s="2851" t="s">
        <v>1882</v>
      </c>
      <c r="AF140" s="2851" t="s">
        <v>29</v>
      </c>
      <c r="AG140" s="2851" t="s">
        <v>29</v>
      </c>
      <c r="AH140" s="2851" t="s">
        <v>29</v>
      </c>
      <c r="AI140" s="2745">
        <f t="shared" si="13"/>
        <v>9</v>
      </c>
      <c r="AJ140" s="2745">
        <f t="shared" si="14"/>
        <v>3</v>
      </c>
      <c r="AK140" s="3060">
        <f t="shared" si="15"/>
        <v>0</v>
      </c>
      <c r="AL140" s="2853">
        <f t="shared" si="16"/>
        <v>0</v>
      </c>
      <c r="AM140" s="2745">
        <f t="shared" si="20"/>
        <v>12</v>
      </c>
      <c r="AN140" s="2854"/>
      <c r="AO140" s="2854"/>
      <c r="AP140" s="2746"/>
    </row>
    <row r="141" spans="1:42" ht="36.75" customHeight="1">
      <c r="A141" s="2871">
        <v>51</v>
      </c>
      <c r="B141" s="2812" t="s">
        <v>1706</v>
      </c>
      <c r="C141" s="2852"/>
      <c r="D141" s="3364" t="s">
        <v>452</v>
      </c>
      <c r="E141" s="2851"/>
      <c r="F141" s="2851"/>
      <c r="G141" s="2851"/>
      <c r="H141" s="2851"/>
      <c r="I141" s="2851"/>
      <c r="J141" s="2851"/>
      <c r="K141" s="2851"/>
      <c r="L141" s="2851"/>
      <c r="M141" s="2851"/>
      <c r="N141" s="2851"/>
      <c r="O141" s="2851"/>
      <c r="P141" s="2851" t="s">
        <v>29</v>
      </c>
      <c r="Q141" s="2851"/>
      <c r="R141" s="2851"/>
      <c r="S141" s="2851"/>
      <c r="T141" s="2851"/>
      <c r="U141" s="2851" t="s">
        <v>29</v>
      </c>
      <c r="V141" s="2851" t="s">
        <v>29</v>
      </c>
      <c r="W141" s="2851" t="s">
        <v>29</v>
      </c>
      <c r="X141" s="2851" t="s">
        <v>1882</v>
      </c>
      <c r="Y141" s="2851" t="s">
        <v>29</v>
      </c>
      <c r="Z141" s="2851" t="s">
        <v>29</v>
      </c>
      <c r="AA141" s="2851" t="s">
        <v>29</v>
      </c>
      <c r="AB141" s="2851" t="s">
        <v>29</v>
      </c>
      <c r="AC141" s="2851" t="s">
        <v>29</v>
      </c>
      <c r="AD141" s="2851" t="s">
        <v>29</v>
      </c>
      <c r="AE141" s="2851" t="s">
        <v>1882</v>
      </c>
      <c r="AF141" s="2851" t="s">
        <v>29</v>
      </c>
      <c r="AG141" s="2851" t="s">
        <v>29</v>
      </c>
      <c r="AH141" s="2851" t="s">
        <v>29</v>
      </c>
      <c r="AI141" s="2745">
        <f t="shared" si="13"/>
        <v>13</v>
      </c>
      <c r="AJ141" s="2745">
        <f t="shared" si="14"/>
        <v>2</v>
      </c>
      <c r="AK141" s="3060">
        <f t="shared" si="15"/>
        <v>0</v>
      </c>
      <c r="AL141" s="2853">
        <f t="shared" si="16"/>
        <v>0</v>
      </c>
      <c r="AM141" s="2745">
        <f t="shared" si="20"/>
        <v>15</v>
      </c>
      <c r="AN141" s="2854"/>
      <c r="AO141" s="2854"/>
      <c r="AP141" s="2746"/>
    </row>
    <row r="142" spans="1:42" ht="36.75" customHeight="1">
      <c r="A142" s="2851">
        <v>52</v>
      </c>
      <c r="B142" s="2812" t="s">
        <v>2272</v>
      </c>
      <c r="C142" s="2852"/>
      <c r="D142" s="3364" t="s">
        <v>452</v>
      </c>
      <c r="E142" s="2851"/>
      <c r="F142" s="2851"/>
      <c r="G142" s="2851"/>
      <c r="H142" s="2851"/>
      <c r="I142" s="2851"/>
      <c r="J142" s="2851"/>
      <c r="K142" s="2851"/>
      <c r="L142" s="2851"/>
      <c r="M142" s="2851"/>
      <c r="N142" s="2851"/>
      <c r="O142" s="2851"/>
      <c r="P142" s="2851" t="s">
        <v>29</v>
      </c>
      <c r="Q142" s="2851"/>
      <c r="R142" s="2851"/>
      <c r="S142" s="2851"/>
      <c r="T142" s="2851"/>
      <c r="U142" s="2851" t="s">
        <v>29</v>
      </c>
      <c r="V142" s="2851" t="s">
        <v>29</v>
      </c>
      <c r="W142" s="2851" t="s">
        <v>29</v>
      </c>
      <c r="X142" s="2851" t="s">
        <v>1882</v>
      </c>
      <c r="Y142" s="2851" t="s">
        <v>29</v>
      </c>
      <c r="Z142" s="2851" t="s">
        <v>29</v>
      </c>
      <c r="AA142" s="2851" t="s">
        <v>29</v>
      </c>
      <c r="AB142" s="2851" t="s">
        <v>29</v>
      </c>
      <c r="AC142" s="2851" t="s">
        <v>29</v>
      </c>
      <c r="AD142" s="2851" t="s">
        <v>29</v>
      </c>
      <c r="AE142" s="2851" t="s">
        <v>1882</v>
      </c>
      <c r="AF142" s="2851" t="s">
        <v>29</v>
      </c>
      <c r="AG142" s="2851" t="s">
        <v>29</v>
      </c>
      <c r="AH142" s="2851" t="s">
        <v>29</v>
      </c>
      <c r="AI142" s="2745">
        <f t="shared" si="13"/>
        <v>13</v>
      </c>
      <c r="AJ142" s="2745">
        <f t="shared" si="14"/>
        <v>2</v>
      </c>
      <c r="AK142" s="3060">
        <f t="shared" si="15"/>
        <v>0</v>
      </c>
      <c r="AL142" s="2853">
        <f t="shared" si="16"/>
        <v>0</v>
      </c>
      <c r="AM142" s="2745">
        <f t="shared" si="20"/>
        <v>15</v>
      </c>
      <c r="AN142" s="2854"/>
      <c r="AO142" s="2854"/>
      <c r="AP142" s="2746"/>
    </row>
    <row r="143" spans="1:42" ht="36.75" customHeight="1">
      <c r="A143" s="2871">
        <v>53</v>
      </c>
      <c r="B143" s="2812" t="s">
        <v>2273</v>
      </c>
      <c r="C143" s="2852"/>
      <c r="D143" s="3364" t="s">
        <v>452</v>
      </c>
      <c r="E143" s="2851"/>
      <c r="F143" s="2851"/>
      <c r="G143" s="2851"/>
      <c r="H143" s="2851"/>
      <c r="I143" s="2851"/>
      <c r="J143" s="2851"/>
      <c r="K143" s="2851"/>
      <c r="L143" s="2851"/>
      <c r="M143" s="2851"/>
      <c r="N143" s="2851"/>
      <c r="O143" s="2851"/>
      <c r="P143" s="2851"/>
      <c r="Q143" s="2851"/>
      <c r="R143" s="2851"/>
      <c r="S143" s="2851"/>
      <c r="T143" s="2851"/>
      <c r="U143" s="2851" t="s">
        <v>29</v>
      </c>
      <c r="V143" s="2851" t="s">
        <v>29</v>
      </c>
      <c r="W143" s="2851" t="s">
        <v>29</v>
      </c>
      <c r="X143" s="2851" t="s">
        <v>1882</v>
      </c>
      <c r="Y143" s="2851" t="s">
        <v>29</v>
      </c>
      <c r="Z143" s="2851" t="s">
        <v>29</v>
      </c>
      <c r="AA143" s="2851" t="s">
        <v>29</v>
      </c>
      <c r="AB143" s="2851" t="s">
        <v>29</v>
      </c>
      <c r="AC143" s="2851" t="s">
        <v>29</v>
      </c>
      <c r="AD143" s="2851" t="s">
        <v>29</v>
      </c>
      <c r="AE143" s="2851" t="s">
        <v>1882</v>
      </c>
      <c r="AF143" s="2851" t="s">
        <v>29</v>
      </c>
      <c r="AG143" s="2851" t="s">
        <v>29</v>
      </c>
      <c r="AH143" s="2851" t="s">
        <v>29</v>
      </c>
      <c r="AI143" s="2745">
        <f t="shared" si="13"/>
        <v>12</v>
      </c>
      <c r="AJ143" s="2745">
        <f t="shared" si="14"/>
        <v>2</v>
      </c>
      <c r="AK143" s="3060">
        <f t="shared" si="15"/>
        <v>0</v>
      </c>
      <c r="AL143" s="2853">
        <f t="shared" si="16"/>
        <v>0</v>
      </c>
      <c r="AM143" s="2745">
        <f t="shared" si="19"/>
        <v>14</v>
      </c>
      <c r="AN143" s="2854" t="e">
        <f>+VLOOKUP(C143,[1]Sheet1!$D$9:$E$122,2,0)</f>
        <v>#N/A</v>
      </c>
      <c r="AO143" s="2854" t="e">
        <f>+IF(AN143=B143,"0","1")</f>
        <v>#N/A</v>
      </c>
      <c r="AP143" s="2746"/>
    </row>
    <row r="144" spans="1:42" ht="36.75" customHeight="1">
      <c r="A144" s="2851">
        <v>54</v>
      </c>
      <c r="B144" s="2812" t="s">
        <v>2274</v>
      </c>
      <c r="C144" s="2852"/>
      <c r="D144" s="3364" t="s">
        <v>452</v>
      </c>
      <c r="E144" s="2851"/>
      <c r="F144" s="2851"/>
      <c r="G144" s="2851"/>
      <c r="H144" s="2851"/>
      <c r="I144" s="2851"/>
      <c r="J144" s="2851"/>
      <c r="K144" s="2851"/>
      <c r="L144" s="2851"/>
      <c r="M144" s="2851"/>
      <c r="N144" s="2851"/>
      <c r="O144" s="2851"/>
      <c r="P144" s="2851"/>
      <c r="Q144" s="2851" t="s">
        <v>1882</v>
      </c>
      <c r="R144" s="2851"/>
      <c r="S144" s="2851"/>
      <c r="T144" s="2851"/>
      <c r="U144" s="2851" t="s">
        <v>29</v>
      </c>
      <c r="V144" s="2851" t="s">
        <v>29</v>
      </c>
      <c r="W144" s="2851" t="s">
        <v>29</v>
      </c>
      <c r="X144" s="2851" t="s">
        <v>1882</v>
      </c>
      <c r="Y144" s="2851" t="s">
        <v>29</v>
      </c>
      <c r="Z144" s="2851" t="s">
        <v>29</v>
      </c>
      <c r="AA144" s="2851" t="s">
        <v>29</v>
      </c>
      <c r="AB144" s="2851" t="s">
        <v>29</v>
      </c>
      <c r="AC144" s="2851" t="s">
        <v>29</v>
      </c>
      <c r="AD144" s="2851" t="s">
        <v>29</v>
      </c>
      <c r="AE144" s="2851" t="s">
        <v>1882</v>
      </c>
      <c r="AF144" s="2851" t="s">
        <v>29</v>
      </c>
      <c r="AG144" s="2851" t="s">
        <v>29</v>
      </c>
      <c r="AH144" s="2851" t="s">
        <v>29</v>
      </c>
      <c r="AI144" s="2745">
        <f t="shared" si="13"/>
        <v>12</v>
      </c>
      <c r="AJ144" s="2745">
        <f t="shared" si="14"/>
        <v>3</v>
      </c>
      <c r="AK144" s="3060">
        <f t="shared" si="15"/>
        <v>0</v>
      </c>
      <c r="AL144" s="2853">
        <f t="shared" si="16"/>
        <v>0</v>
      </c>
      <c r="AM144" s="2745">
        <f t="shared" si="19"/>
        <v>15</v>
      </c>
      <c r="AN144" s="2854" t="e">
        <f>+VLOOKUP(C144,[1]Sheet1!$D$9:$E$122,2,0)</f>
        <v>#N/A</v>
      </c>
      <c r="AO144" s="2854" t="e">
        <f>+IF(AN144=B144,"0","1")</f>
        <v>#N/A</v>
      </c>
      <c r="AP144" s="2746"/>
    </row>
    <row r="145" spans="1:48" ht="36.75" customHeight="1">
      <c r="A145" s="2871">
        <v>55</v>
      </c>
      <c r="B145" s="2812" t="s">
        <v>2275</v>
      </c>
      <c r="C145" s="2852"/>
      <c r="D145" s="3364" t="s">
        <v>452</v>
      </c>
      <c r="E145" s="2851"/>
      <c r="F145" s="2851"/>
      <c r="G145" s="2851"/>
      <c r="H145" s="2851"/>
      <c r="I145" s="2851"/>
      <c r="J145" s="2851"/>
      <c r="K145" s="2851"/>
      <c r="L145" s="2851"/>
      <c r="M145" s="2851"/>
      <c r="N145" s="2851" t="s">
        <v>29</v>
      </c>
      <c r="O145" s="2851" t="s">
        <v>29</v>
      </c>
      <c r="P145" s="2851" t="s">
        <v>29</v>
      </c>
      <c r="Q145" s="2851" t="s">
        <v>1882</v>
      </c>
      <c r="R145" s="2851"/>
      <c r="S145" s="2851"/>
      <c r="T145" s="2851"/>
      <c r="U145" s="2851" t="s">
        <v>29</v>
      </c>
      <c r="V145" s="2851" t="s">
        <v>29</v>
      </c>
      <c r="W145" s="2851" t="s">
        <v>29</v>
      </c>
      <c r="X145" s="2851" t="s">
        <v>1882</v>
      </c>
      <c r="Y145" s="2851" t="s">
        <v>29</v>
      </c>
      <c r="Z145" s="2851" t="s">
        <v>29</v>
      </c>
      <c r="AA145" s="2851" t="s">
        <v>29</v>
      </c>
      <c r="AB145" s="2851" t="s">
        <v>29</v>
      </c>
      <c r="AC145" s="2851" t="s">
        <v>29</v>
      </c>
      <c r="AD145" s="2851" t="s">
        <v>29</v>
      </c>
      <c r="AE145" s="2851" t="s">
        <v>1882</v>
      </c>
      <c r="AF145" s="2851" t="s">
        <v>29</v>
      </c>
      <c r="AG145" s="2851" t="s">
        <v>29</v>
      </c>
      <c r="AH145" s="2851" t="s">
        <v>29</v>
      </c>
      <c r="AI145" s="2745">
        <f t="shared" si="13"/>
        <v>15</v>
      </c>
      <c r="AJ145" s="2745">
        <f t="shared" si="14"/>
        <v>3</v>
      </c>
      <c r="AK145" s="3060">
        <f t="shared" si="15"/>
        <v>0</v>
      </c>
      <c r="AL145" s="2853">
        <f t="shared" si="16"/>
        <v>0</v>
      </c>
      <c r="AM145" s="2745">
        <f t="shared" si="19"/>
        <v>18</v>
      </c>
      <c r="AN145" s="2854" t="e">
        <f>+VLOOKUP(C145,[1]Sheet1!$D$9:$E$122,2,0)</f>
        <v>#N/A</v>
      </c>
      <c r="AO145" s="2854" t="e">
        <f>+IF(AN145=B145,"0","1")</f>
        <v>#N/A</v>
      </c>
      <c r="AP145" s="2746"/>
    </row>
    <row r="146" spans="1:48" ht="36.75" customHeight="1">
      <c r="A146" s="2851">
        <v>56</v>
      </c>
      <c r="B146" s="2812" t="s">
        <v>2276</v>
      </c>
      <c r="C146" s="2852"/>
      <c r="D146" s="3364" t="s">
        <v>452</v>
      </c>
      <c r="E146" s="2851"/>
      <c r="F146" s="2851"/>
      <c r="G146" s="2851"/>
      <c r="H146" s="2851"/>
      <c r="I146" s="2851"/>
      <c r="J146" s="2851"/>
      <c r="K146" s="2851"/>
      <c r="L146" s="2851"/>
      <c r="M146" s="2851"/>
      <c r="N146" s="2851" t="s">
        <v>29</v>
      </c>
      <c r="O146" s="2851" t="s">
        <v>29</v>
      </c>
      <c r="P146" s="2851" t="s">
        <v>29</v>
      </c>
      <c r="Q146" s="2851" t="s">
        <v>1882</v>
      </c>
      <c r="R146" s="2851"/>
      <c r="S146" s="2851"/>
      <c r="T146" s="2851"/>
      <c r="U146" s="2851" t="s">
        <v>29</v>
      </c>
      <c r="V146" s="2851" t="s">
        <v>29</v>
      </c>
      <c r="W146" s="2851" t="s">
        <v>29</v>
      </c>
      <c r="X146" s="2851" t="s">
        <v>1882</v>
      </c>
      <c r="Y146" s="2851" t="s">
        <v>29</v>
      </c>
      <c r="Z146" s="2851" t="s">
        <v>29</v>
      </c>
      <c r="AA146" s="2851" t="s">
        <v>29</v>
      </c>
      <c r="AB146" s="2851" t="s">
        <v>29</v>
      </c>
      <c r="AC146" s="2851" t="s">
        <v>29</v>
      </c>
      <c r="AD146" s="2851" t="s">
        <v>29</v>
      </c>
      <c r="AE146" s="2851" t="s">
        <v>1882</v>
      </c>
      <c r="AF146" s="2851" t="s">
        <v>29</v>
      </c>
      <c r="AG146" s="2851" t="s">
        <v>29</v>
      </c>
      <c r="AH146" s="2851" t="s">
        <v>29</v>
      </c>
      <c r="AI146" s="2745">
        <f t="shared" si="13"/>
        <v>15</v>
      </c>
      <c r="AJ146" s="2745">
        <f t="shared" si="14"/>
        <v>3</v>
      </c>
      <c r="AK146" s="3060">
        <f t="shared" si="15"/>
        <v>0</v>
      </c>
      <c r="AL146" s="2853">
        <f t="shared" si="16"/>
        <v>0</v>
      </c>
      <c r="AM146" s="2745">
        <f t="shared" si="19"/>
        <v>18</v>
      </c>
      <c r="AN146" s="2854"/>
      <c r="AO146" s="2854"/>
      <c r="AP146" s="2746"/>
    </row>
    <row r="147" spans="1:48" ht="36.75" customHeight="1">
      <c r="A147" s="2871">
        <v>57</v>
      </c>
      <c r="B147" s="2812" t="s">
        <v>281</v>
      </c>
      <c r="C147" s="2852"/>
      <c r="D147" s="3364" t="s">
        <v>452</v>
      </c>
      <c r="E147" s="2851"/>
      <c r="F147" s="2851"/>
      <c r="G147" s="2851"/>
      <c r="H147" s="2851"/>
      <c r="I147" s="2851"/>
      <c r="J147" s="2851"/>
      <c r="K147" s="2851"/>
      <c r="L147" s="2851"/>
      <c r="M147" s="2851"/>
      <c r="N147" s="2851"/>
      <c r="O147" s="2851"/>
      <c r="P147" s="2851"/>
      <c r="Q147" s="2851"/>
      <c r="R147" s="2851"/>
      <c r="S147" s="2851"/>
      <c r="T147" s="2851"/>
      <c r="U147" s="2851" t="s">
        <v>29</v>
      </c>
      <c r="V147" s="2851" t="s">
        <v>29</v>
      </c>
      <c r="W147" s="2851" t="s">
        <v>29</v>
      </c>
      <c r="X147" s="2851"/>
      <c r="Y147" s="2851"/>
      <c r="Z147" s="2851"/>
      <c r="AA147" s="2851"/>
      <c r="AB147" s="2851"/>
      <c r="AC147" s="2851" t="s">
        <v>29</v>
      </c>
      <c r="AD147" s="2851" t="s">
        <v>29</v>
      </c>
      <c r="AE147" s="2851" t="s">
        <v>1882</v>
      </c>
      <c r="AF147" s="2851" t="s">
        <v>29</v>
      </c>
      <c r="AG147" s="2851" t="s">
        <v>29</v>
      </c>
      <c r="AH147" s="2851" t="s">
        <v>29</v>
      </c>
      <c r="AI147" s="2745">
        <f t="shared" si="13"/>
        <v>8</v>
      </c>
      <c r="AJ147" s="2745">
        <f t="shared" si="14"/>
        <v>1</v>
      </c>
      <c r="AK147" s="3060">
        <f t="shared" si="15"/>
        <v>0</v>
      </c>
      <c r="AL147" s="2853">
        <f t="shared" si="16"/>
        <v>0</v>
      </c>
      <c r="AM147" s="2745">
        <f t="shared" si="19"/>
        <v>9</v>
      </c>
      <c r="AN147" s="2854"/>
      <c r="AO147" s="2854"/>
      <c r="AP147" s="2746"/>
    </row>
    <row r="148" spans="1:48" ht="36.75" customHeight="1">
      <c r="A148" s="2851">
        <v>58</v>
      </c>
      <c r="B148" s="2812" t="s">
        <v>2277</v>
      </c>
      <c r="C148" s="2852"/>
      <c r="D148" s="3364" t="s">
        <v>452</v>
      </c>
      <c r="E148" s="2851"/>
      <c r="F148" s="2851"/>
      <c r="G148" s="2851"/>
      <c r="H148" s="2851"/>
      <c r="I148" s="2851"/>
      <c r="J148" s="2851"/>
      <c r="K148" s="2851"/>
      <c r="L148" s="2851"/>
      <c r="M148" s="2851"/>
      <c r="N148" s="2851"/>
      <c r="O148" s="2851"/>
      <c r="P148" s="2851"/>
      <c r="Q148" s="2851"/>
      <c r="R148" s="2851"/>
      <c r="S148" s="2851"/>
      <c r="T148" s="2851"/>
      <c r="U148" s="2851"/>
      <c r="V148" s="2851"/>
      <c r="W148" s="2851"/>
      <c r="X148" s="2851"/>
      <c r="Y148" s="2851"/>
      <c r="Z148" s="2851" t="s">
        <v>29</v>
      </c>
      <c r="AA148" s="2851"/>
      <c r="AB148" s="2851"/>
      <c r="AC148" s="2851"/>
      <c r="AD148" s="2851"/>
      <c r="AE148" s="2851"/>
      <c r="AF148" s="2851"/>
      <c r="AG148" s="2851"/>
      <c r="AH148" s="2851"/>
      <c r="AI148" s="2745">
        <f t="shared" si="13"/>
        <v>1</v>
      </c>
      <c r="AJ148" s="2745">
        <f t="shared" si="14"/>
        <v>0</v>
      </c>
      <c r="AK148" s="3060">
        <f t="shared" si="15"/>
        <v>0</v>
      </c>
      <c r="AL148" s="2853">
        <f t="shared" si="16"/>
        <v>0</v>
      </c>
      <c r="AM148" s="2745">
        <f t="shared" si="19"/>
        <v>1</v>
      </c>
      <c r="AN148" s="2854"/>
      <c r="AO148" s="2854"/>
      <c r="AP148" s="2746"/>
    </row>
    <row r="149" spans="1:48" ht="36.75" customHeight="1">
      <c r="A149" s="2871">
        <v>59</v>
      </c>
      <c r="B149" s="2812" t="s">
        <v>1698</v>
      </c>
      <c r="C149" s="2852"/>
      <c r="D149" s="3364" t="s">
        <v>452</v>
      </c>
      <c r="E149" s="2851"/>
      <c r="F149" s="2851"/>
      <c r="G149" s="2851"/>
      <c r="H149" s="2851"/>
      <c r="I149" s="2851"/>
      <c r="J149" s="2851"/>
      <c r="K149" s="2851"/>
      <c r="L149" s="2851"/>
      <c r="M149" s="2851"/>
      <c r="N149" s="2851"/>
      <c r="O149" s="2851" t="s">
        <v>29</v>
      </c>
      <c r="P149" s="2851" t="s">
        <v>29</v>
      </c>
      <c r="Q149" s="2851"/>
      <c r="R149" s="2851"/>
      <c r="S149" s="2851"/>
      <c r="T149" s="2851"/>
      <c r="U149" s="2851" t="s">
        <v>29</v>
      </c>
      <c r="V149" s="2851" t="s">
        <v>29</v>
      </c>
      <c r="W149" s="2851" t="s">
        <v>29</v>
      </c>
      <c r="X149" s="2851" t="s">
        <v>1882</v>
      </c>
      <c r="Y149" s="2851" t="s">
        <v>29</v>
      </c>
      <c r="Z149" s="2851" t="s">
        <v>29</v>
      </c>
      <c r="AA149" s="2851" t="s">
        <v>29</v>
      </c>
      <c r="AB149" s="2851" t="s">
        <v>29</v>
      </c>
      <c r="AC149" s="2851" t="s">
        <v>29</v>
      </c>
      <c r="AD149" s="2851" t="s">
        <v>29</v>
      </c>
      <c r="AE149" s="2851" t="s">
        <v>1882</v>
      </c>
      <c r="AF149" s="2851" t="s">
        <v>29</v>
      </c>
      <c r="AG149" s="2851" t="s">
        <v>29</v>
      </c>
      <c r="AH149" s="2851" t="s">
        <v>29</v>
      </c>
      <c r="AI149" s="2745">
        <f t="shared" si="13"/>
        <v>14</v>
      </c>
      <c r="AJ149" s="2745">
        <f t="shared" si="14"/>
        <v>2</v>
      </c>
      <c r="AK149" s="3060">
        <f t="shared" si="15"/>
        <v>0</v>
      </c>
      <c r="AL149" s="2853">
        <f t="shared" si="16"/>
        <v>0</v>
      </c>
      <c r="AM149" s="2745">
        <f t="shared" si="19"/>
        <v>16</v>
      </c>
      <c r="AN149" s="2854"/>
      <c r="AO149" s="2854"/>
      <c r="AP149" s="2746"/>
    </row>
    <row r="150" spans="1:48" ht="36.75" customHeight="1">
      <c r="A150" s="2851">
        <v>60</v>
      </c>
      <c r="B150" s="2812" t="s">
        <v>2278</v>
      </c>
      <c r="C150" s="2852"/>
      <c r="D150" s="3364" t="s">
        <v>452</v>
      </c>
      <c r="E150" s="2851"/>
      <c r="F150" s="2851"/>
      <c r="G150" s="2851"/>
      <c r="H150" s="2851"/>
      <c r="I150" s="2851"/>
      <c r="J150" s="2851"/>
      <c r="K150" s="2851"/>
      <c r="L150" s="2851"/>
      <c r="M150" s="2851"/>
      <c r="N150" s="2851"/>
      <c r="O150" s="2851"/>
      <c r="P150" s="2851"/>
      <c r="Q150" s="2851"/>
      <c r="R150" s="2851"/>
      <c r="S150" s="2851"/>
      <c r="T150" s="2851"/>
      <c r="U150" s="2851" t="s">
        <v>29</v>
      </c>
      <c r="V150" s="2851" t="s">
        <v>29</v>
      </c>
      <c r="W150" s="2851" t="s">
        <v>29</v>
      </c>
      <c r="X150" s="2851" t="s">
        <v>1882</v>
      </c>
      <c r="Y150" s="2851" t="s">
        <v>29</v>
      </c>
      <c r="Z150" s="2851" t="s">
        <v>29</v>
      </c>
      <c r="AA150" s="2851" t="s">
        <v>29</v>
      </c>
      <c r="AB150" s="2851" t="s">
        <v>29</v>
      </c>
      <c r="AC150" s="2851" t="s">
        <v>29</v>
      </c>
      <c r="AD150" s="2851" t="s">
        <v>29</v>
      </c>
      <c r="AE150" s="2851" t="s">
        <v>1882</v>
      </c>
      <c r="AF150" s="2851" t="s">
        <v>29</v>
      </c>
      <c r="AG150" s="2851" t="s">
        <v>29</v>
      </c>
      <c r="AH150" s="2851" t="s">
        <v>29</v>
      </c>
      <c r="AI150" s="2745">
        <f t="shared" si="13"/>
        <v>12</v>
      </c>
      <c r="AJ150" s="2745">
        <f t="shared" si="14"/>
        <v>2</v>
      </c>
      <c r="AK150" s="3060">
        <f t="shared" si="15"/>
        <v>0</v>
      </c>
      <c r="AL150" s="2853">
        <f t="shared" si="16"/>
        <v>0</v>
      </c>
      <c r="AM150" s="2745">
        <f t="shared" si="19"/>
        <v>14</v>
      </c>
      <c r="AN150" s="2854"/>
      <c r="AO150" s="2854"/>
      <c r="AP150" s="2746"/>
    </row>
    <row r="151" spans="1:48" ht="36.75" customHeight="1">
      <c r="A151" s="2871">
        <v>61</v>
      </c>
      <c r="B151" s="2812" t="s">
        <v>243</v>
      </c>
      <c r="C151" s="2852"/>
      <c r="D151" s="3364" t="s">
        <v>452</v>
      </c>
      <c r="E151" s="2851"/>
      <c r="F151" s="2851"/>
      <c r="G151" s="2851"/>
      <c r="H151" s="2851"/>
      <c r="I151" s="2851"/>
      <c r="J151" s="2851"/>
      <c r="K151" s="2851"/>
      <c r="L151" s="2851"/>
      <c r="M151" s="2851"/>
      <c r="N151" s="2851"/>
      <c r="O151" s="2851" t="s">
        <v>29</v>
      </c>
      <c r="P151" s="2851"/>
      <c r="Q151" s="2851"/>
      <c r="R151" s="2851"/>
      <c r="S151" s="2851"/>
      <c r="T151" s="2851"/>
      <c r="U151" s="2851" t="s">
        <v>29</v>
      </c>
      <c r="V151" s="2851"/>
      <c r="W151" s="2851" t="s">
        <v>29</v>
      </c>
      <c r="X151" s="2851" t="s">
        <v>1882</v>
      </c>
      <c r="Y151" s="2851" t="s">
        <v>29</v>
      </c>
      <c r="Z151" s="2851" t="s">
        <v>29</v>
      </c>
      <c r="AA151" s="2851"/>
      <c r="AB151" s="2851" t="s">
        <v>29</v>
      </c>
      <c r="AC151" s="2851"/>
      <c r="AD151" s="2851" t="s">
        <v>29</v>
      </c>
      <c r="AE151" s="2851" t="s">
        <v>1882</v>
      </c>
      <c r="AF151" s="2851" t="s">
        <v>29</v>
      </c>
      <c r="AG151" s="2851" t="s">
        <v>29</v>
      </c>
      <c r="AH151" s="2851" t="s">
        <v>29</v>
      </c>
      <c r="AI151" s="2745">
        <f t="shared" si="13"/>
        <v>10</v>
      </c>
      <c r="AJ151" s="2745">
        <f t="shared" si="14"/>
        <v>2</v>
      </c>
      <c r="AK151" s="3060">
        <f t="shared" si="15"/>
        <v>0</v>
      </c>
      <c r="AL151" s="2853">
        <f t="shared" si="16"/>
        <v>0</v>
      </c>
      <c r="AM151" s="2745">
        <f t="shared" si="19"/>
        <v>12</v>
      </c>
      <c r="AN151" s="2854"/>
      <c r="AO151" s="2854"/>
      <c r="AP151" s="2746"/>
    </row>
    <row r="152" spans="1:48" ht="36.75" customHeight="1">
      <c r="A152" s="2851">
        <v>62</v>
      </c>
      <c r="B152" s="2812" t="s">
        <v>842</v>
      </c>
      <c r="C152" s="2852"/>
      <c r="D152" s="3364" t="s">
        <v>452</v>
      </c>
      <c r="E152" s="2851"/>
      <c r="F152" s="2851"/>
      <c r="G152" s="2851"/>
      <c r="H152" s="2851"/>
      <c r="I152" s="2851"/>
      <c r="J152" s="2851"/>
      <c r="K152" s="2851"/>
      <c r="L152" s="2851"/>
      <c r="M152" s="2851"/>
      <c r="N152" s="2851"/>
      <c r="O152" s="2851"/>
      <c r="P152" s="2851"/>
      <c r="Q152" s="2851"/>
      <c r="R152" s="2851"/>
      <c r="S152" s="2851"/>
      <c r="T152" s="2851"/>
      <c r="U152" s="2851" t="s">
        <v>29</v>
      </c>
      <c r="V152" s="2851" t="s">
        <v>29</v>
      </c>
      <c r="W152" s="2851"/>
      <c r="X152" s="2851"/>
      <c r="Y152" s="2851"/>
      <c r="Z152" s="2851" t="s">
        <v>29</v>
      </c>
      <c r="AA152" s="2851" t="s">
        <v>29</v>
      </c>
      <c r="AB152" s="2851"/>
      <c r="AC152" s="2851"/>
      <c r="AD152" s="2851"/>
      <c r="AE152" s="2851" t="s">
        <v>1882</v>
      </c>
      <c r="AF152" s="2851" t="s">
        <v>29</v>
      </c>
      <c r="AG152" s="2851" t="s">
        <v>29</v>
      </c>
      <c r="AH152" s="2851" t="s">
        <v>29</v>
      </c>
      <c r="AI152" s="2745">
        <f t="shared" si="13"/>
        <v>7</v>
      </c>
      <c r="AJ152" s="2745">
        <f t="shared" si="14"/>
        <v>1</v>
      </c>
      <c r="AK152" s="3060">
        <f t="shared" si="15"/>
        <v>0</v>
      </c>
      <c r="AL152" s="2853">
        <f t="shared" si="16"/>
        <v>0</v>
      </c>
      <c r="AM152" s="2745">
        <f t="shared" si="19"/>
        <v>8</v>
      </c>
      <c r="AN152" s="2854"/>
      <c r="AO152" s="2854"/>
      <c r="AP152" s="2746"/>
    </row>
    <row r="153" spans="1:48" ht="36.75" customHeight="1">
      <c r="A153" s="3912" t="s">
        <v>1864</v>
      </c>
      <c r="B153" s="3912"/>
      <c r="C153" s="2876"/>
      <c r="D153" s="3367"/>
      <c r="E153" s="3182">
        <f t="shared" ref="E153:AH153" si="21">COUNTIF(E91:E152,"X")+COUNTIF(E91:E152,"cn")+COUNTIF(E91:E152,"D")+COUNTIF(E91:E152,"DCN")</f>
        <v>0</v>
      </c>
      <c r="F153" s="3182">
        <f t="shared" si="21"/>
        <v>0</v>
      </c>
      <c r="G153" s="3182">
        <f t="shared" si="21"/>
        <v>0</v>
      </c>
      <c r="H153" s="3182">
        <f t="shared" si="21"/>
        <v>0</v>
      </c>
      <c r="I153" s="3182">
        <f t="shared" si="21"/>
        <v>0</v>
      </c>
      <c r="J153" s="3182">
        <f t="shared" si="21"/>
        <v>0</v>
      </c>
      <c r="K153" s="3182">
        <f t="shared" si="21"/>
        <v>0</v>
      </c>
      <c r="L153" s="3182">
        <f t="shared" si="21"/>
        <v>0</v>
      </c>
      <c r="M153" s="3182">
        <f t="shared" si="21"/>
        <v>0</v>
      </c>
      <c r="N153" s="3182">
        <f t="shared" si="21"/>
        <v>17</v>
      </c>
      <c r="O153" s="3182">
        <f t="shared" si="21"/>
        <v>33</v>
      </c>
      <c r="P153" s="3182">
        <f t="shared" si="21"/>
        <v>36</v>
      </c>
      <c r="Q153" s="3182">
        <f t="shared" si="21"/>
        <v>38</v>
      </c>
      <c r="R153" s="3182">
        <f t="shared" si="21"/>
        <v>0</v>
      </c>
      <c r="S153" s="3182">
        <f t="shared" si="21"/>
        <v>0</v>
      </c>
      <c r="T153" s="3182">
        <f t="shared" si="21"/>
        <v>0</v>
      </c>
      <c r="U153" s="3182">
        <f t="shared" si="21"/>
        <v>53</v>
      </c>
      <c r="V153" s="3182">
        <f t="shared" si="21"/>
        <v>51</v>
      </c>
      <c r="W153" s="3182">
        <f t="shared" si="21"/>
        <v>59</v>
      </c>
      <c r="X153" s="3182">
        <f t="shared" si="21"/>
        <v>58</v>
      </c>
      <c r="Y153" s="3182">
        <f t="shared" si="21"/>
        <v>56</v>
      </c>
      <c r="Z153" s="3182">
        <f t="shared" si="21"/>
        <v>59</v>
      </c>
      <c r="AA153" s="3182">
        <f t="shared" si="21"/>
        <v>59</v>
      </c>
      <c r="AB153" s="3182">
        <f t="shared" si="21"/>
        <v>58</v>
      </c>
      <c r="AC153" s="3182">
        <f t="shared" si="21"/>
        <v>56</v>
      </c>
      <c r="AD153" s="3182">
        <f t="shared" si="21"/>
        <v>58</v>
      </c>
      <c r="AE153" s="3182">
        <f t="shared" si="21"/>
        <v>61</v>
      </c>
      <c r="AF153" s="3182">
        <f t="shared" si="21"/>
        <v>61</v>
      </c>
      <c r="AG153" s="3182">
        <f t="shared" si="21"/>
        <v>61</v>
      </c>
      <c r="AH153" s="3182">
        <f t="shared" si="21"/>
        <v>61</v>
      </c>
      <c r="AI153" s="3182">
        <f>+SUM(AI91:AI152)</f>
        <v>778</v>
      </c>
      <c r="AJ153" s="3182">
        <f>+SUM(AJ91:AJ152)</f>
        <v>157</v>
      </c>
      <c r="AK153" s="3182">
        <f>+SUM(AK91:AK152)</f>
        <v>0</v>
      </c>
      <c r="AL153" s="3182">
        <f>+SUM(AL91:AL152)</f>
        <v>0</v>
      </c>
      <c r="AM153" s="3182">
        <f>+SUM(AM91:AM152)</f>
        <v>935</v>
      </c>
      <c r="AP153" s="2856"/>
      <c r="AQ153" s="2870">
        <f>+AM153+AM178</f>
        <v>1167</v>
      </c>
      <c r="AR153" s="2857">
        <f>+AI153+AI178</f>
        <v>981</v>
      </c>
      <c r="AS153" s="2857">
        <v>61</v>
      </c>
      <c r="AT153" s="2857">
        <f>+AK153+AK178</f>
        <v>0</v>
      </c>
      <c r="AU153" s="2857">
        <f>+AL153+AL178</f>
        <v>0</v>
      </c>
      <c r="AV153" s="2857">
        <f>+AM153+AM178</f>
        <v>1167</v>
      </c>
    </row>
    <row r="154" spans="1:48" ht="36.75" customHeight="1">
      <c r="A154" s="3061">
        <v>1</v>
      </c>
      <c r="B154" s="2878" t="s">
        <v>2279</v>
      </c>
      <c r="C154" s="3390"/>
      <c r="D154" s="3365" t="s">
        <v>452</v>
      </c>
      <c r="E154" s="2861"/>
      <c r="F154" s="2861"/>
      <c r="G154" s="3286"/>
      <c r="H154" s="2861"/>
      <c r="I154" s="2861"/>
      <c r="J154" s="2861"/>
      <c r="K154" s="2861"/>
      <c r="L154" s="2861"/>
      <c r="M154" s="2861"/>
      <c r="N154" s="3284"/>
      <c r="O154" s="2861"/>
      <c r="P154" s="2861"/>
      <c r="Q154" s="2861"/>
      <c r="R154" s="2861"/>
      <c r="S154" s="2861"/>
      <c r="T154" s="2861"/>
      <c r="U154" s="2861"/>
      <c r="V154" s="2861"/>
      <c r="W154" s="2861"/>
      <c r="X154" s="2861"/>
      <c r="Y154" s="2861"/>
      <c r="Z154" s="2861"/>
      <c r="AA154" s="2861"/>
      <c r="AB154" s="2861" t="s">
        <v>29</v>
      </c>
      <c r="AC154" s="2861" t="s">
        <v>29</v>
      </c>
      <c r="AD154" s="2861" t="s">
        <v>29</v>
      </c>
      <c r="AE154" s="2861"/>
      <c r="AF154" s="2861"/>
      <c r="AG154" s="2861" t="s">
        <v>29</v>
      </c>
      <c r="AH154" s="2861"/>
      <c r="AI154" s="2880">
        <f>+COUNTIF(E154:AH154,"X")</f>
        <v>4</v>
      </c>
      <c r="AJ154" s="2880">
        <f>+COUNTIF(E154:AH154,"CN")</f>
        <v>0</v>
      </c>
      <c r="AK154" s="2862">
        <f>+COUNTIF(E154:AH154,"D")</f>
        <v>0</v>
      </c>
      <c r="AL154" s="2862">
        <f>+COUNTIF(E154:AH154,"DCN")</f>
        <v>0</v>
      </c>
      <c r="AM154" s="2880">
        <f t="shared" ref="AM154:AM177" si="22">+SUM(AI154:AL154)</f>
        <v>4</v>
      </c>
      <c r="AN154" s="2863" t="e">
        <f>+VLOOKUP(C154,[1]Sheet1!$D$9:$E$122,2,0)</f>
        <v>#N/A</v>
      </c>
      <c r="AO154" s="2863" t="e">
        <f>+IF(AN154=B154,"0","1")</f>
        <v>#N/A</v>
      </c>
      <c r="AP154" s="2875"/>
      <c r="AQ154" s="2846">
        <v>4</v>
      </c>
      <c r="AR154" s="2846">
        <f>+AQ154-AM154</f>
        <v>0</v>
      </c>
    </row>
    <row r="155" spans="1:48" ht="36.75" customHeight="1">
      <c r="A155" s="3061">
        <v>2</v>
      </c>
      <c r="B155" s="2812" t="s">
        <v>1514</v>
      </c>
      <c r="C155" s="2852"/>
      <c r="D155" s="3364" t="s">
        <v>452</v>
      </c>
      <c r="E155" s="2851"/>
      <c r="F155" s="2851"/>
      <c r="G155" s="2851"/>
      <c r="H155" s="2851"/>
      <c r="I155" s="2851"/>
      <c r="J155" s="2851"/>
      <c r="K155" s="2851"/>
      <c r="L155" s="2851"/>
      <c r="M155" s="2851"/>
      <c r="N155" s="3285"/>
      <c r="O155" s="2851"/>
      <c r="P155" s="2851"/>
      <c r="Q155" s="2851"/>
      <c r="R155" s="2851"/>
      <c r="S155" s="2851"/>
      <c r="T155" s="2851"/>
      <c r="U155" s="2851"/>
      <c r="V155" s="2851"/>
      <c r="W155" s="2851"/>
      <c r="X155" s="2851"/>
      <c r="Y155" s="2851"/>
      <c r="Z155" s="2851" t="s">
        <v>29</v>
      </c>
      <c r="AA155" s="2851"/>
      <c r="AB155" s="2851" t="s">
        <v>29</v>
      </c>
      <c r="AC155" s="2851" t="s">
        <v>29</v>
      </c>
      <c r="AD155" s="2861" t="s">
        <v>29</v>
      </c>
      <c r="AE155" s="2861" t="s">
        <v>1882</v>
      </c>
      <c r="AF155" s="2861" t="s">
        <v>29</v>
      </c>
      <c r="AG155" s="2851" t="s">
        <v>29</v>
      </c>
      <c r="AH155" s="2851" t="s">
        <v>29</v>
      </c>
      <c r="AI155" s="2880">
        <f t="shared" ref="AI155:AI177" si="23">+COUNTIF(E155:AH155,"X")</f>
        <v>7</v>
      </c>
      <c r="AJ155" s="2880">
        <f t="shared" ref="AJ155:AJ177" si="24">+COUNTIF(E155:AH155,"CN")</f>
        <v>1</v>
      </c>
      <c r="AK155" s="2862">
        <f t="shared" ref="AK155:AK177" si="25">+COUNTIF(E155:AH155,"D")</f>
        <v>0</v>
      </c>
      <c r="AL155" s="2862">
        <f t="shared" ref="AL155:AL177" si="26">+COUNTIF(E155:AH155,"DCN")</f>
        <v>0</v>
      </c>
      <c r="AM155" s="2880">
        <f t="shared" si="22"/>
        <v>8</v>
      </c>
      <c r="AN155" s="2854" t="e">
        <f>+VLOOKUP(C155,[1]Sheet1!$D$9:$E$122,2,0)</f>
        <v>#N/A</v>
      </c>
      <c r="AO155" s="2854" t="e">
        <f>+IF(AN155=B155,"0","1")</f>
        <v>#N/A</v>
      </c>
      <c r="AP155" s="2746"/>
      <c r="AQ155" s="2846">
        <v>8</v>
      </c>
      <c r="AR155" s="2846">
        <f t="shared" ref="AR155:AR177" si="27">+AQ155-AM155</f>
        <v>0</v>
      </c>
    </row>
    <row r="156" spans="1:48" ht="36.75" customHeight="1">
      <c r="A156" s="3061">
        <v>3</v>
      </c>
      <c r="B156" s="2812" t="s">
        <v>2280</v>
      </c>
      <c r="C156" s="2852"/>
      <c r="D156" s="3364" t="s">
        <v>452</v>
      </c>
      <c r="E156" s="2851"/>
      <c r="F156" s="2851"/>
      <c r="G156" s="2851"/>
      <c r="H156" s="2851"/>
      <c r="I156" s="2851"/>
      <c r="J156" s="2851"/>
      <c r="K156" s="2851"/>
      <c r="L156" s="2851"/>
      <c r="M156" s="2851"/>
      <c r="N156" s="3283"/>
      <c r="O156" s="2851"/>
      <c r="P156" s="2851"/>
      <c r="Q156" s="2851"/>
      <c r="R156" s="2851"/>
      <c r="S156" s="2851"/>
      <c r="T156" s="2851"/>
      <c r="U156" s="2851"/>
      <c r="V156" s="2851"/>
      <c r="W156" s="2851" t="s">
        <v>29</v>
      </c>
      <c r="X156" s="2851"/>
      <c r="Y156" s="2851" t="s">
        <v>29</v>
      </c>
      <c r="Z156" s="2851" t="s">
        <v>29</v>
      </c>
      <c r="AA156" s="2851" t="s">
        <v>29</v>
      </c>
      <c r="AB156" s="2851" t="s">
        <v>29</v>
      </c>
      <c r="AC156" s="2851" t="s">
        <v>29</v>
      </c>
      <c r="AD156" s="2861" t="s">
        <v>29</v>
      </c>
      <c r="AE156" s="2861"/>
      <c r="AF156" s="2861" t="s">
        <v>29</v>
      </c>
      <c r="AG156" s="2851" t="s">
        <v>29</v>
      </c>
      <c r="AH156" s="2851" t="s">
        <v>29</v>
      </c>
      <c r="AI156" s="2880">
        <f t="shared" si="23"/>
        <v>10</v>
      </c>
      <c r="AJ156" s="2880">
        <f t="shared" si="24"/>
        <v>0</v>
      </c>
      <c r="AK156" s="2862">
        <f t="shared" si="25"/>
        <v>0</v>
      </c>
      <c r="AL156" s="2862">
        <f t="shared" si="26"/>
        <v>0</v>
      </c>
      <c r="AM156" s="2880">
        <f t="shared" si="22"/>
        <v>10</v>
      </c>
      <c r="AN156" s="2854" t="e">
        <f>+VLOOKUP(C156,[1]Sheet1!$D$9:$E$122,2,0)</f>
        <v>#N/A</v>
      </c>
      <c r="AO156" s="2854" t="e">
        <f>+IF(AN156=B156,"0","1")</f>
        <v>#N/A</v>
      </c>
      <c r="AP156" s="2746"/>
      <c r="AQ156" s="2846">
        <v>10</v>
      </c>
      <c r="AR156" s="2846">
        <f t="shared" si="27"/>
        <v>0</v>
      </c>
    </row>
    <row r="157" spans="1:48" ht="36.75" customHeight="1">
      <c r="A157" s="3061">
        <v>4</v>
      </c>
      <c r="B157" s="2812" t="s">
        <v>2281</v>
      </c>
      <c r="C157" s="2852"/>
      <c r="D157" s="3364" t="s">
        <v>452</v>
      </c>
      <c r="E157" s="2851"/>
      <c r="F157" s="2851"/>
      <c r="G157" s="2851"/>
      <c r="H157" s="2851"/>
      <c r="I157" s="2851"/>
      <c r="J157" s="2851"/>
      <c r="K157" s="2851"/>
      <c r="L157" s="2851"/>
      <c r="M157" s="2851"/>
      <c r="N157" s="3283"/>
      <c r="O157" s="2851"/>
      <c r="P157" s="2851"/>
      <c r="Q157" s="2851"/>
      <c r="R157" s="2851"/>
      <c r="S157" s="2851"/>
      <c r="T157" s="2851"/>
      <c r="U157" s="2851"/>
      <c r="V157" s="2851"/>
      <c r="W157" s="2851"/>
      <c r="X157" s="2851"/>
      <c r="Y157" s="2851" t="s">
        <v>29</v>
      </c>
      <c r="Z157" s="2851" t="s">
        <v>29</v>
      </c>
      <c r="AA157" s="2851" t="s">
        <v>29</v>
      </c>
      <c r="AB157" s="2851" t="s">
        <v>29</v>
      </c>
      <c r="AC157" s="2851" t="s">
        <v>29</v>
      </c>
      <c r="AD157" s="2861" t="s">
        <v>29</v>
      </c>
      <c r="AE157" s="2861" t="s">
        <v>1882</v>
      </c>
      <c r="AF157" s="2861" t="s">
        <v>29</v>
      </c>
      <c r="AG157" s="2851"/>
      <c r="AH157" s="2851" t="s">
        <v>29</v>
      </c>
      <c r="AI157" s="2880">
        <f t="shared" si="23"/>
        <v>8</v>
      </c>
      <c r="AJ157" s="2880">
        <f t="shared" si="24"/>
        <v>1</v>
      </c>
      <c r="AK157" s="2862">
        <f t="shared" si="25"/>
        <v>0</v>
      </c>
      <c r="AL157" s="2862">
        <f t="shared" si="26"/>
        <v>0</v>
      </c>
      <c r="AM157" s="2880">
        <f t="shared" si="22"/>
        <v>9</v>
      </c>
      <c r="AN157" s="2854" t="e">
        <f>+VLOOKUP(C157,[1]Sheet1!$D$9:$E$122,2,0)</f>
        <v>#N/A</v>
      </c>
      <c r="AO157" s="2854" t="e">
        <f>+IF(AN157=B157,"0","1")</f>
        <v>#N/A</v>
      </c>
      <c r="AP157" s="2746"/>
      <c r="AQ157" s="2846">
        <v>9</v>
      </c>
      <c r="AR157" s="2846">
        <f t="shared" si="27"/>
        <v>0</v>
      </c>
    </row>
    <row r="158" spans="1:48" ht="36.75" customHeight="1">
      <c r="A158" s="3061">
        <v>5</v>
      </c>
      <c r="B158" s="2812" t="s">
        <v>2282</v>
      </c>
      <c r="C158" s="2852"/>
      <c r="D158" s="3364" t="s">
        <v>452</v>
      </c>
      <c r="E158" s="2851"/>
      <c r="F158" s="2851"/>
      <c r="G158" s="2851"/>
      <c r="H158" s="2851"/>
      <c r="I158" s="2851"/>
      <c r="J158" s="2851"/>
      <c r="K158" s="2851"/>
      <c r="L158" s="2851"/>
      <c r="M158" s="2851"/>
      <c r="N158" s="3283"/>
      <c r="O158" s="2851"/>
      <c r="P158" s="2851"/>
      <c r="Q158" s="2851"/>
      <c r="R158" s="2851"/>
      <c r="S158" s="2851"/>
      <c r="T158" s="2851"/>
      <c r="U158" s="2851"/>
      <c r="V158" s="2851"/>
      <c r="W158" s="2851"/>
      <c r="X158" s="2851"/>
      <c r="Y158" s="2851"/>
      <c r="Z158" s="2851" t="s">
        <v>29</v>
      </c>
      <c r="AA158" s="2851" t="s">
        <v>29</v>
      </c>
      <c r="AB158" s="2851" t="s">
        <v>29</v>
      </c>
      <c r="AC158" s="2851" t="s">
        <v>29</v>
      </c>
      <c r="AD158" s="2861" t="s">
        <v>29</v>
      </c>
      <c r="AE158" s="2861" t="s">
        <v>1882</v>
      </c>
      <c r="AF158" s="2861" t="s">
        <v>29</v>
      </c>
      <c r="AG158" s="2851"/>
      <c r="AH158" s="2851" t="s">
        <v>29</v>
      </c>
      <c r="AI158" s="2880">
        <f t="shared" si="23"/>
        <v>7</v>
      </c>
      <c r="AJ158" s="2880">
        <f t="shared" si="24"/>
        <v>1</v>
      </c>
      <c r="AK158" s="2862">
        <f t="shared" si="25"/>
        <v>0</v>
      </c>
      <c r="AL158" s="2862">
        <f t="shared" si="26"/>
        <v>0</v>
      </c>
      <c r="AM158" s="2880">
        <f t="shared" si="22"/>
        <v>8</v>
      </c>
      <c r="AN158" s="2854"/>
      <c r="AO158" s="2854"/>
      <c r="AP158" s="2746"/>
      <c r="AQ158" s="2846">
        <v>8</v>
      </c>
      <c r="AR158" s="2846">
        <f t="shared" si="27"/>
        <v>0</v>
      </c>
    </row>
    <row r="159" spans="1:48" ht="36.75" customHeight="1">
      <c r="A159" s="3061">
        <v>6</v>
      </c>
      <c r="B159" s="2812" t="s">
        <v>2283</v>
      </c>
      <c r="C159" s="2852"/>
      <c r="D159" s="3364" t="s">
        <v>452</v>
      </c>
      <c r="E159" s="2851"/>
      <c r="F159" s="2851"/>
      <c r="G159" s="2851"/>
      <c r="H159" s="2851"/>
      <c r="I159" s="2851"/>
      <c r="J159" s="2851"/>
      <c r="K159" s="2851"/>
      <c r="L159" s="2851"/>
      <c r="M159" s="2851"/>
      <c r="N159" s="3283"/>
      <c r="O159" s="2851"/>
      <c r="P159" s="2851"/>
      <c r="Q159" s="2851"/>
      <c r="R159" s="2851"/>
      <c r="S159" s="2851"/>
      <c r="T159" s="2851"/>
      <c r="U159" s="2851"/>
      <c r="V159" s="2851"/>
      <c r="W159" s="2851"/>
      <c r="X159" s="2851"/>
      <c r="Y159" s="2851"/>
      <c r="Z159" s="2851" t="s">
        <v>29</v>
      </c>
      <c r="AA159" s="2851" t="s">
        <v>29</v>
      </c>
      <c r="AB159" s="2851" t="s">
        <v>29</v>
      </c>
      <c r="AC159" s="2851" t="s">
        <v>29</v>
      </c>
      <c r="AD159" s="2861" t="s">
        <v>29</v>
      </c>
      <c r="AE159" s="2861" t="s">
        <v>1882</v>
      </c>
      <c r="AF159" s="2861" t="s">
        <v>29</v>
      </c>
      <c r="AG159" s="2851"/>
      <c r="AH159" s="2851" t="s">
        <v>29</v>
      </c>
      <c r="AI159" s="2880">
        <f t="shared" si="23"/>
        <v>7</v>
      </c>
      <c r="AJ159" s="2880">
        <f t="shared" si="24"/>
        <v>1</v>
      </c>
      <c r="AK159" s="2862">
        <f t="shared" si="25"/>
        <v>0</v>
      </c>
      <c r="AL159" s="2862">
        <f t="shared" si="26"/>
        <v>0</v>
      </c>
      <c r="AM159" s="2880">
        <f t="shared" si="22"/>
        <v>8</v>
      </c>
      <c r="AN159" s="2854"/>
      <c r="AO159" s="2854"/>
      <c r="AP159" s="2746"/>
      <c r="AQ159" s="2846">
        <v>8</v>
      </c>
      <c r="AR159" s="2846">
        <f t="shared" si="27"/>
        <v>0</v>
      </c>
    </row>
    <row r="160" spans="1:48" ht="36.75" customHeight="1">
      <c r="A160" s="3061">
        <v>7</v>
      </c>
      <c r="B160" s="2812" t="s">
        <v>847</v>
      </c>
      <c r="C160" s="2852"/>
      <c r="D160" s="3364" t="s">
        <v>452</v>
      </c>
      <c r="E160" s="2851"/>
      <c r="F160" s="2851"/>
      <c r="G160" s="2851"/>
      <c r="H160" s="2851"/>
      <c r="I160" s="2851"/>
      <c r="J160" s="2851"/>
      <c r="K160" s="2851"/>
      <c r="L160" s="2851"/>
      <c r="M160" s="2851"/>
      <c r="N160" s="3283"/>
      <c r="O160" s="2851"/>
      <c r="P160" s="2851"/>
      <c r="Q160" s="2851"/>
      <c r="R160" s="2851"/>
      <c r="S160" s="2851"/>
      <c r="T160" s="2851"/>
      <c r="U160" s="2851"/>
      <c r="V160" s="2851"/>
      <c r="W160" s="2851"/>
      <c r="X160" s="2851" t="s">
        <v>1882</v>
      </c>
      <c r="Y160" s="2851" t="s">
        <v>29</v>
      </c>
      <c r="Z160" s="2851" t="s">
        <v>29</v>
      </c>
      <c r="AA160" s="2851" t="s">
        <v>29</v>
      </c>
      <c r="AB160" s="2851" t="s">
        <v>29</v>
      </c>
      <c r="AC160" s="2851" t="s">
        <v>29</v>
      </c>
      <c r="AD160" s="2861" t="s">
        <v>29</v>
      </c>
      <c r="AE160" s="2861" t="s">
        <v>1882</v>
      </c>
      <c r="AF160" s="2861" t="s">
        <v>29</v>
      </c>
      <c r="AG160" s="2851" t="s">
        <v>29</v>
      </c>
      <c r="AH160" s="2851" t="s">
        <v>29</v>
      </c>
      <c r="AI160" s="2880">
        <f t="shared" si="23"/>
        <v>9</v>
      </c>
      <c r="AJ160" s="2880">
        <f t="shared" si="24"/>
        <v>2</v>
      </c>
      <c r="AK160" s="2862">
        <f t="shared" si="25"/>
        <v>0</v>
      </c>
      <c r="AL160" s="2862">
        <f t="shared" si="26"/>
        <v>0</v>
      </c>
      <c r="AM160" s="2880">
        <f t="shared" si="22"/>
        <v>11</v>
      </c>
      <c r="AN160" s="2854"/>
      <c r="AO160" s="2854"/>
      <c r="AP160" s="2746"/>
      <c r="AQ160" s="2846">
        <v>11</v>
      </c>
      <c r="AR160" s="2846">
        <f t="shared" si="27"/>
        <v>0</v>
      </c>
    </row>
    <row r="161" spans="1:44" ht="36.75" customHeight="1">
      <c r="A161" s="3061">
        <v>8</v>
      </c>
      <c r="B161" s="2812" t="s">
        <v>288</v>
      </c>
      <c r="C161" s="2852"/>
      <c r="D161" s="3364" t="s">
        <v>452</v>
      </c>
      <c r="E161" s="2851"/>
      <c r="F161" s="2851"/>
      <c r="G161" s="2851"/>
      <c r="H161" s="2851"/>
      <c r="I161" s="2851"/>
      <c r="J161" s="2851"/>
      <c r="K161" s="2851"/>
      <c r="L161" s="2851"/>
      <c r="M161" s="2851"/>
      <c r="N161" s="3283"/>
      <c r="O161" s="2851"/>
      <c r="P161" s="2851"/>
      <c r="Q161" s="2851"/>
      <c r="R161" s="2851"/>
      <c r="S161" s="2851"/>
      <c r="T161" s="2851"/>
      <c r="U161" s="2851"/>
      <c r="V161" s="2851"/>
      <c r="W161" s="2851"/>
      <c r="X161" s="2851" t="s">
        <v>1882</v>
      </c>
      <c r="Y161" s="2851"/>
      <c r="Z161" s="2851" t="s">
        <v>29</v>
      </c>
      <c r="AA161" s="2851" t="s">
        <v>29</v>
      </c>
      <c r="AB161" s="2851" t="s">
        <v>29</v>
      </c>
      <c r="AC161" s="2851" t="s">
        <v>29</v>
      </c>
      <c r="AD161" s="2861" t="s">
        <v>29</v>
      </c>
      <c r="AE161" s="2861" t="s">
        <v>1882</v>
      </c>
      <c r="AF161" s="2861" t="s">
        <v>29</v>
      </c>
      <c r="AG161" s="2851" t="s">
        <v>29</v>
      </c>
      <c r="AH161" s="2851" t="s">
        <v>29</v>
      </c>
      <c r="AI161" s="2880">
        <f t="shared" si="23"/>
        <v>8</v>
      </c>
      <c r="AJ161" s="2880">
        <f t="shared" si="24"/>
        <v>2</v>
      </c>
      <c r="AK161" s="2862">
        <f t="shared" si="25"/>
        <v>0</v>
      </c>
      <c r="AL161" s="2862">
        <f t="shared" si="26"/>
        <v>0</v>
      </c>
      <c r="AM161" s="2880">
        <f t="shared" si="22"/>
        <v>10</v>
      </c>
      <c r="AN161" s="2854"/>
      <c r="AO161" s="2854"/>
      <c r="AP161" s="2746"/>
      <c r="AQ161" s="2846">
        <v>10</v>
      </c>
      <c r="AR161" s="2846">
        <f t="shared" si="27"/>
        <v>0</v>
      </c>
    </row>
    <row r="162" spans="1:44" ht="36.75" customHeight="1">
      <c r="A162" s="3061">
        <v>9</v>
      </c>
      <c r="B162" s="2812" t="s">
        <v>1206</v>
      </c>
      <c r="C162" s="2852"/>
      <c r="D162" s="3364" t="s">
        <v>452</v>
      </c>
      <c r="E162" s="2851"/>
      <c r="F162" s="2851"/>
      <c r="G162" s="2851"/>
      <c r="H162" s="2851"/>
      <c r="I162" s="2851"/>
      <c r="J162" s="2851"/>
      <c r="K162" s="2851"/>
      <c r="L162" s="2851"/>
      <c r="M162" s="2851"/>
      <c r="N162" s="3283"/>
      <c r="O162" s="2851"/>
      <c r="P162" s="2851"/>
      <c r="Q162" s="2851"/>
      <c r="R162" s="2851"/>
      <c r="S162" s="2851"/>
      <c r="T162" s="2851"/>
      <c r="U162" s="2851"/>
      <c r="V162" s="2851"/>
      <c r="W162" s="2851"/>
      <c r="X162" s="2851" t="s">
        <v>1882</v>
      </c>
      <c r="Y162" s="2851" t="s">
        <v>29</v>
      </c>
      <c r="Z162" s="2851" t="s">
        <v>29</v>
      </c>
      <c r="AA162" s="2851" t="s">
        <v>29</v>
      </c>
      <c r="AB162" s="2851" t="s">
        <v>29</v>
      </c>
      <c r="AC162" s="2851" t="s">
        <v>29</v>
      </c>
      <c r="AD162" s="2861" t="s">
        <v>29</v>
      </c>
      <c r="AE162" s="2861" t="s">
        <v>1882</v>
      </c>
      <c r="AF162" s="2861" t="s">
        <v>29</v>
      </c>
      <c r="AG162" s="2851" t="s">
        <v>29</v>
      </c>
      <c r="AH162" s="2851" t="s">
        <v>29</v>
      </c>
      <c r="AI162" s="2880">
        <f t="shared" si="23"/>
        <v>9</v>
      </c>
      <c r="AJ162" s="2880">
        <f t="shared" si="24"/>
        <v>2</v>
      </c>
      <c r="AK162" s="2862">
        <f t="shared" si="25"/>
        <v>0</v>
      </c>
      <c r="AL162" s="2862">
        <f t="shared" si="26"/>
        <v>0</v>
      </c>
      <c r="AM162" s="2880">
        <f t="shared" si="22"/>
        <v>11</v>
      </c>
      <c r="AN162" s="2854"/>
      <c r="AO162" s="2854"/>
      <c r="AP162" s="2746"/>
      <c r="AQ162" s="2846">
        <v>11</v>
      </c>
      <c r="AR162" s="2846">
        <f t="shared" si="27"/>
        <v>0</v>
      </c>
    </row>
    <row r="163" spans="1:44" ht="36.75" customHeight="1">
      <c r="A163" s="3061">
        <v>10</v>
      </c>
      <c r="B163" s="2812" t="s">
        <v>2284</v>
      </c>
      <c r="C163" s="2852"/>
      <c r="D163" s="3364" t="s">
        <v>452</v>
      </c>
      <c r="E163" s="2851"/>
      <c r="F163" s="2851"/>
      <c r="G163" s="2851"/>
      <c r="H163" s="2851"/>
      <c r="I163" s="2851"/>
      <c r="J163" s="2851"/>
      <c r="K163" s="2851"/>
      <c r="L163" s="2851"/>
      <c r="M163" s="2851"/>
      <c r="N163" s="3283"/>
      <c r="O163" s="2851"/>
      <c r="P163" s="2851"/>
      <c r="Q163" s="2851"/>
      <c r="R163" s="2851"/>
      <c r="S163" s="2851"/>
      <c r="T163" s="2851"/>
      <c r="U163" s="2851"/>
      <c r="V163" s="2851"/>
      <c r="W163" s="2851"/>
      <c r="X163" s="2851"/>
      <c r="Y163" s="2851" t="s">
        <v>29</v>
      </c>
      <c r="Z163" s="2851" t="s">
        <v>29</v>
      </c>
      <c r="AA163" s="2851" t="s">
        <v>29</v>
      </c>
      <c r="AB163" s="2851" t="s">
        <v>29</v>
      </c>
      <c r="AC163" s="2851" t="s">
        <v>29</v>
      </c>
      <c r="AD163" s="2861" t="s">
        <v>29</v>
      </c>
      <c r="AE163" s="2861" t="s">
        <v>1882</v>
      </c>
      <c r="AF163" s="2861" t="s">
        <v>29</v>
      </c>
      <c r="AG163" s="2851" t="s">
        <v>29</v>
      </c>
      <c r="AH163" s="2851" t="s">
        <v>29</v>
      </c>
      <c r="AI163" s="2880">
        <f t="shared" si="23"/>
        <v>9</v>
      </c>
      <c r="AJ163" s="2880">
        <f t="shared" si="24"/>
        <v>1</v>
      </c>
      <c r="AK163" s="2862">
        <f t="shared" si="25"/>
        <v>0</v>
      </c>
      <c r="AL163" s="2862">
        <f t="shared" si="26"/>
        <v>0</v>
      </c>
      <c r="AM163" s="2880">
        <f t="shared" si="22"/>
        <v>10</v>
      </c>
      <c r="AN163" s="2854"/>
      <c r="AO163" s="2854"/>
      <c r="AP163" s="2746"/>
      <c r="AQ163" s="2846">
        <v>10</v>
      </c>
      <c r="AR163" s="2846">
        <f t="shared" si="27"/>
        <v>0</v>
      </c>
    </row>
    <row r="164" spans="1:44" ht="36.75" customHeight="1">
      <c r="A164" s="3061">
        <v>11</v>
      </c>
      <c r="B164" s="2812" t="s">
        <v>2285</v>
      </c>
      <c r="C164" s="2852"/>
      <c r="D164" s="3364" t="s">
        <v>452</v>
      </c>
      <c r="E164" s="2851"/>
      <c r="F164" s="2851"/>
      <c r="G164" s="2851"/>
      <c r="H164" s="2851"/>
      <c r="I164" s="2851"/>
      <c r="J164" s="2851"/>
      <c r="K164" s="2851"/>
      <c r="L164" s="2851"/>
      <c r="M164" s="2851"/>
      <c r="N164" s="3283"/>
      <c r="O164" s="2851"/>
      <c r="P164" s="2851"/>
      <c r="Q164" s="2851"/>
      <c r="R164" s="2851"/>
      <c r="S164" s="2851"/>
      <c r="T164" s="2851"/>
      <c r="U164" s="2851"/>
      <c r="V164" s="2851"/>
      <c r="W164" s="2851"/>
      <c r="X164" s="2851" t="s">
        <v>1882</v>
      </c>
      <c r="Y164" s="2851" t="s">
        <v>29</v>
      </c>
      <c r="Z164" s="2851" t="s">
        <v>29</v>
      </c>
      <c r="AA164" s="2851" t="s">
        <v>29</v>
      </c>
      <c r="AB164" s="2851" t="s">
        <v>29</v>
      </c>
      <c r="AC164" s="2851" t="s">
        <v>29</v>
      </c>
      <c r="AD164" s="2861" t="s">
        <v>29</v>
      </c>
      <c r="AE164" s="2861" t="s">
        <v>1882</v>
      </c>
      <c r="AF164" s="2861" t="s">
        <v>29</v>
      </c>
      <c r="AG164" s="2851" t="s">
        <v>29</v>
      </c>
      <c r="AH164" s="2851" t="s">
        <v>29</v>
      </c>
      <c r="AI164" s="2880">
        <f t="shared" si="23"/>
        <v>9</v>
      </c>
      <c r="AJ164" s="2880">
        <f t="shared" si="24"/>
        <v>2</v>
      </c>
      <c r="AK164" s="2862">
        <f t="shared" si="25"/>
        <v>0</v>
      </c>
      <c r="AL164" s="2862">
        <f t="shared" si="26"/>
        <v>0</v>
      </c>
      <c r="AM164" s="2880">
        <f t="shared" si="22"/>
        <v>11</v>
      </c>
      <c r="AN164" s="2854"/>
      <c r="AO164" s="2854"/>
      <c r="AP164" s="2746"/>
      <c r="AQ164" s="2846">
        <v>11</v>
      </c>
      <c r="AR164" s="2846">
        <f t="shared" si="27"/>
        <v>0</v>
      </c>
    </row>
    <row r="165" spans="1:44" ht="36.75" customHeight="1">
      <c r="A165" s="3061">
        <v>12</v>
      </c>
      <c r="B165" s="2812" t="s">
        <v>2286</v>
      </c>
      <c r="C165" s="2852"/>
      <c r="D165" s="3364" t="s">
        <v>452</v>
      </c>
      <c r="E165" s="2851"/>
      <c r="F165" s="2851"/>
      <c r="G165" s="2851"/>
      <c r="H165" s="2851"/>
      <c r="I165" s="2851"/>
      <c r="J165" s="2851"/>
      <c r="K165" s="2851"/>
      <c r="L165" s="2851"/>
      <c r="M165" s="2851"/>
      <c r="N165" s="3283"/>
      <c r="O165" s="2851"/>
      <c r="P165" s="2851"/>
      <c r="Q165" s="2851"/>
      <c r="R165" s="2851"/>
      <c r="S165" s="2851"/>
      <c r="T165" s="2851"/>
      <c r="U165" s="2851"/>
      <c r="V165" s="2851"/>
      <c r="W165" s="2851"/>
      <c r="X165" s="2851" t="s">
        <v>1882</v>
      </c>
      <c r="Y165" s="2851" t="s">
        <v>29</v>
      </c>
      <c r="Z165" s="2851" t="s">
        <v>29</v>
      </c>
      <c r="AA165" s="2851" t="s">
        <v>29</v>
      </c>
      <c r="AB165" s="2851" t="s">
        <v>29</v>
      </c>
      <c r="AC165" s="2851" t="s">
        <v>29</v>
      </c>
      <c r="AD165" s="2861" t="s">
        <v>29</v>
      </c>
      <c r="AE165" s="2861" t="s">
        <v>1882</v>
      </c>
      <c r="AF165" s="2861" t="s">
        <v>29</v>
      </c>
      <c r="AG165" s="2851" t="s">
        <v>29</v>
      </c>
      <c r="AH165" s="2851" t="s">
        <v>29</v>
      </c>
      <c r="AI165" s="2880">
        <f t="shared" si="23"/>
        <v>9</v>
      </c>
      <c r="AJ165" s="2880">
        <f t="shared" si="24"/>
        <v>2</v>
      </c>
      <c r="AK165" s="2862">
        <f t="shared" si="25"/>
        <v>0</v>
      </c>
      <c r="AL165" s="2862">
        <f t="shared" si="26"/>
        <v>0</v>
      </c>
      <c r="AM165" s="2880">
        <f t="shared" si="22"/>
        <v>11</v>
      </c>
      <c r="AN165" s="2854"/>
      <c r="AO165" s="2854"/>
      <c r="AP165" s="2746"/>
      <c r="AQ165" s="2846">
        <v>11</v>
      </c>
      <c r="AR165" s="2846">
        <f t="shared" si="27"/>
        <v>0</v>
      </c>
    </row>
    <row r="166" spans="1:44" ht="36.75" customHeight="1">
      <c r="A166" s="3061">
        <v>13</v>
      </c>
      <c r="B166" s="2812" t="s">
        <v>2287</v>
      </c>
      <c r="C166" s="2852"/>
      <c r="D166" s="3364" t="s">
        <v>452</v>
      </c>
      <c r="E166" s="2851"/>
      <c r="F166" s="2851"/>
      <c r="G166" s="2851"/>
      <c r="H166" s="2851"/>
      <c r="I166" s="2851"/>
      <c r="J166" s="2851"/>
      <c r="K166" s="2851"/>
      <c r="L166" s="2851"/>
      <c r="M166" s="2851"/>
      <c r="N166" s="3283"/>
      <c r="O166" s="2851"/>
      <c r="P166" s="2851"/>
      <c r="Q166" s="2851"/>
      <c r="R166" s="2851"/>
      <c r="S166" s="2851"/>
      <c r="T166" s="2851"/>
      <c r="U166" s="2851"/>
      <c r="V166" s="2851"/>
      <c r="W166" s="2851" t="s">
        <v>29</v>
      </c>
      <c r="X166" s="2851" t="s">
        <v>1882</v>
      </c>
      <c r="Y166" s="2851" t="s">
        <v>29</v>
      </c>
      <c r="Z166" s="2851" t="s">
        <v>29</v>
      </c>
      <c r="AA166" s="2851" t="s">
        <v>29</v>
      </c>
      <c r="AB166" s="2851" t="s">
        <v>29</v>
      </c>
      <c r="AC166" s="2851" t="s">
        <v>29</v>
      </c>
      <c r="AD166" s="2861" t="s">
        <v>29</v>
      </c>
      <c r="AE166" s="2861"/>
      <c r="AF166" s="2861" t="s">
        <v>29</v>
      </c>
      <c r="AG166" s="2851" t="s">
        <v>29</v>
      </c>
      <c r="AH166" s="2851" t="s">
        <v>29</v>
      </c>
      <c r="AI166" s="2880">
        <f t="shared" si="23"/>
        <v>10</v>
      </c>
      <c r="AJ166" s="2880">
        <f t="shared" si="24"/>
        <v>1</v>
      </c>
      <c r="AK166" s="2862">
        <f t="shared" si="25"/>
        <v>0</v>
      </c>
      <c r="AL166" s="2862">
        <f t="shared" si="26"/>
        <v>0</v>
      </c>
      <c r="AM166" s="2880">
        <f t="shared" si="22"/>
        <v>11</v>
      </c>
      <c r="AN166" s="2854" t="e">
        <f>+VLOOKUP(C166,[1]Sheet1!$D$9:$E$122,2,0)</f>
        <v>#N/A</v>
      </c>
      <c r="AO166" s="2854" t="e">
        <f>+IF(AN166=B166,"0","1")</f>
        <v>#N/A</v>
      </c>
      <c r="AP166" s="2746"/>
      <c r="AQ166" s="2846">
        <v>11</v>
      </c>
      <c r="AR166" s="2846">
        <f t="shared" si="27"/>
        <v>0</v>
      </c>
    </row>
    <row r="167" spans="1:44" ht="36.75" customHeight="1">
      <c r="A167" s="3061">
        <v>14</v>
      </c>
      <c r="B167" s="2812" t="s">
        <v>1207</v>
      </c>
      <c r="C167" s="2852"/>
      <c r="D167" s="3364" t="s">
        <v>452</v>
      </c>
      <c r="E167" s="2851"/>
      <c r="F167" s="2851"/>
      <c r="G167" s="2851"/>
      <c r="H167" s="2851"/>
      <c r="I167" s="2851"/>
      <c r="J167" s="2851"/>
      <c r="K167" s="2851"/>
      <c r="L167" s="2851"/>
      <c r="M167" s="2851"/>
      <c r="N167" s="3283"/>
      <c r="O167" s="2851"/>
      <c r="P167" s="2851"/>
      <c r="Q167" s="2851"/>
      <c r="R167" s="2851"/>
      <c r="S167" s="2851"/>
      <c r="T167" s="2851"/>
      <c r="U167" s="2851"/>
      <c r="V167" s="2851"/>
      <c r="W167" s="2851"/>
      <c r="X167" s="2851"/>
      <c r="Y167" s="2851" t="s">
        <v>29</v>
      </c>
      <c r="Z167" s="2851" t="s">
        <v>29</v>
      </c>
      <c r="AA167" s="2851" t="s">
        <v>29</v>
      </c>
      <c r="AB167" s="2851" t="s">
        <v>29</v>
      </c>
      <c r="AC167" s="2851" t="s">
        <v>29</v>
      </c>
      <c r="AD167" s="2861"/>
      <c r="AE167" s="2861" t="s">
        <v>1882</v>
      </c>
      <c r="AF167" s="2861" t="s">
        <v>29</v>
      </c>
      <c r="AG167" s="2851" t="s">
        <v>29</v>
      </c>
      <c r="AH167" s="2851" t="s">
        <v>29</v>
      </c>
      <c r="AI167" s="2880">
        <f t="shared" si="23"/>
        <v>8</v>
      </c>
      <c r="AJ167" s="2880">
        <f t="shared" si="24"/>
        <v>1</v>
      </c>
      <c r="AK167" s="2862">
        <f t="shared" si="25"/>
        <v>0</v>
      </c>
      <c r="AL167" s="2862">
        <f t="shared" si="26"/>
        <v>0</v>
      </c>
      <c r="AM167" s="2880">
        <f t="shared" si="22"/>
        <v>9</v>
      </c>
      <c r="AN167" s="2854" t="e">
        <f>+VLOOKUP(C167,[1]Sheet1!$D$9:$E$122,2,0)</f>
        <v>#N/A</v>
      </c>
      <c r="AO167" s="2854" t="e">
        <f>+IF(AN167=B167,"0","1")</f>
        <v>#N/A</v>
      </c>
      <c r="AP167" s="2746"/>
      <c r="AQ167" s="2846">
        <v>9</v>
      </c>
      <c r="AR167" s="2846">
        <f t="shared" si="27"/>
        <v>0</v>
      </c>
    </row>
    <row r="168" spans="1:44" ht="36.75" customHeight="1">
      <c r="A168" s="3061">
        <v>15</v>
      </c>
      <c r="B168" s="2812" t="s">
        <v>2288</v>
      </c>
      <c r="C168" s="2852"/>
      <c r="D168" s="3364" t="s">
        <v>452</v>
      </c>
      <c r="E168" s="2851"/>
      <c r="F168" s="2851"/>
      <c r="G168" s="2851"/>
      <c r="H168" s="2851"/>
      <c r="I168" s="2851"/>
      <c r="J168" s="2851"/>
      <c r="K168" s="2851"/>
      <c r="L168" s="2851"/>
      <c r="M168" s="2851"/>
      <c r="N168" s="3283"/>
      <c r="O168" s="2851"/>
      <c r="P168" s="2851"/>
      <c r="Q168" s="2851"/>
      <c r="R168" s="2851"/>
      <c r="S168" s="2851"/>
      <c r="T168" s="2851"/>
      <c r="U168" s="2851"/>
      <c r="V168" s="2851"/>
      <c r="W168" s="2851"/>
      <c r="X168" s="2851"/>
      <c r="Y168" s="2851"/>
      <c r="Z168" s="2851"/>
      <c r="AA168" s="2851"/>
      <c r="AB168" s="2851" t="s">
        <v>29</v>
      </c>
      <c r="AC168" s="2851" t="s">
        <v>29</v>
      </c>
      <c r="AD168" s="2861" t="s">
        <v>29</v>
      </c>
      <c r="AE168" s="2861" t="s">
        <v>1882</v>
      </c>
      <c r="AF168" s="2861" t="s">
        <v>29</v>
      </c>
      <c r="AG168" s="2851" t="s">
        <v>29</v>
      </c>
      <c r="AH168" s="2851" t="s">
        <v>29</v>
      </c>
      <c r="AI168" s="2880">
        <f t="shared" si="23"/>
        <v>6</v>
      </c>
      <c r="AJ168" s="2880">
        <f t="shared" si="24"/>
        <v>1</v>
      </c>
      <c r="AK168" s="2862">
        <f t="shared" si="25"/>
        <v>0</v>
      </c>
      <c r="AL168" s="2862">
        <f t="shared" si="26"/>
        <v>0</v>
      </c>
      <c r="AM168" s="2880">
        <f t="shared" si="22"/>
        <v>7</v>
      </c>
      <c r="AN168" s="2854"/>
      <c r="AO168" s="2854"/>
      <c r="AP168" s="2746"/>
      <c r="AQ168" s="2846">
        <v>7</v>
      </c>
      <c r="AR168" s="2846">
        <f t="shared" si="27"/>
        <v>0</v>
      </c>
    </row>
    <row r="169" spans="1:44" ht="36.75" customHeight="1">
      <c r="A169" s="3061">
        <v>16</v>
      </c>
      <c r="B169" s="2812" t="s">
        <v>1511</v>
      </c>
      <c r="C169" s="2852"/>
      <c r="D169" s="3364" t="s">
        <v>452</v>
      </c>
      <c r="E169" s="2851"/>
      <c r="F169" s="2851"/>
      <c r="G169" s="2851"/>
      <c r="H169" s="2851"/>
      <c r="I169" s="2851"/>
      <c r="J169" s="2851"/>
      <c r="K169" s="2851"/>
      <c r="L169" s="2851"/>
      <c r="M169" s="2851"/>
      <c r="N169" s="3283"/>
      <c r="O169" s="2851"/>
      <c r="P169" s="2851"/>
      <c r="Q169" s="2851"/>
      <c r="R169" s="2851"/>
      <c r="S169" s="2851"/>
      <c r="T169" s="2851"/>
      <c r="U169" s="2851"/>
      <c r="V169" s="2851"/>
      <c r="W169" s="2851" t="s">
        <v>29</v>
      </c>
      <c r="X169" s="2851"/>
      <c r="Y169" s="2851" t="s">
        <v>29</v>
      </c>
      <c r="Z169" s="2851" t="s">
        <v>29</v>
      </c>
      <c r="AA169" s="2851" t="s">
        <v>29</v>
      </c>
      <c r="AB169" s="2851" t="s">
        <v>29</v>
      </c>
      <c r="AC169" s="2851" t="s">
        <v>29</v>
      </c>
      <c r="AD169" s="2861" t="s">
        <v>29</v>
      </c>
      <c r="AE169" s="2861" t="s">
        <v>1882</v>
      </c>
      <c r="AF169" s="2861" t="s">
        <v>29</v>
      </c>
      <c r="AG169" s="2851" t="s">
        <v>29</v>
      </c>
      <c r="AH169" s="2851" t="s">
        <v>29</v>
      </c>
      <c r="AI169" s="2880">
        <f t="shared" si="23"/>
        <v>10</v>
      </c>
      <c r="AJ169" s="2880">
        <f t="shared" si="24"/>
        <v>1</v>
      </c>
      <c r="AK169" s="2862">
        <f t="shared" si="25"/>
        <v>0</v>
      </c>
      <c r="AL169" s="2862">
        <f t="shared" si="26"/>
        <v>0</v>
      </c>
      <c r="AM169" s="2880">
        <f t="shared" si="22"/>
        <v>11</v>
      </c>
      <c r="AN169" s="2854"/>
      <c r="AO169" s="2854"/>
      <c r="AP169" s="2746"/>
      <c r="AQ169" s="2846">
        <v>11</v>
      </c>
      <c r="AR169" s="2846">
        <f t="shared" si="27"/>
        <v>0</v>
      </c>
    </row>
    <row r="170" spans="1:44" ht="36.75" customHeight="1">
      <c r="A170" s="3061">
        <v>17</v>
      </c>
      <c r="B170" s="2812" t="s">
        <v>1513</v>
      </c>
      <c r="C170" s="2852"/>
      <c r="D170" s="3364" t="s">
        <v>452</v>
      </c>
      <c r="E170" s="2851"/>
      <c r="F170" s="2851"/>
      <c r="G170" s="2851"/>
      <c r="H170" s="2851"/>
      <c r="I170" s="2851"/>
      <c r="J170" s="2851"/>
      <c r="K170" s="2851"/>
      <c r="L170" s="2851"/>
      <c r="M170" s="2851"/>
      <c r="N170" s="3283"/>
      <c r="O170" s="2851"/>
      <c r="P170" s="2851"/>
      <c r="Q170" s="2851"/>
      <c r="R170" s="2851"/>
      <c r="S170" s="2851"/>
      <c r="T170" s="2851"/>
      <c r="U170" s="2851"/>
      <c r="V170" s="2851"/>
      <c r="W170" s="2851"/>
      <c r="X170" s="2851" t="s">
        <v>1882</v>
      </c>
      <c r="Y170" s="2851" t="s">
        <v>29</v>
      </c>
      <c r="Z170" s="2851" t="s">
        <v>29</v>
      </c>
      <c r="AA170" s="2851" t="s">
        <v>29</v>
      </c>
      <c r="AB170" s="2851" t="s">
        <v>29</v>
      </c>
      <c r="AC170" s="2851"/>
      <c r="AD170" s="2861" t="s">
        <v>29</v>
      </c>
      <c r="AE170" s="2861" t="s">
        <v>1882</v>
      </c>
      <c r="AF170" s="2861" t="s">
        <v>29</v>
      </c>
      <c r="AG170" s="2851" t="s">
        <v>29</v>
      </c>
      <c r="AH170" s="2851" t="s">
        <v>29</v>
      </c>
      <c r="AI170" s="2880">
        <f t="shared" si="23"/>
        <v>8</v>
      </c>
      <c r="AJ170" s="2880">
        <f t="shared" si="24"/>
        <v>2</v>
      </c>
      <c r="AK170" s="2862">
        <f t="shared" si="25"/>
        <v>0</v>
      </c>
      <c r="AL170" s="2862">
        <f t="shared" si="26"/>
        <v>0</v>
      </c>
      <c r="AM170" s="2880">
        <f t="shared" si="22"/>
        <v>10</v>
      </c>
      <c r="AN170" s="2854"/>
      <c r="AO170" s="2854"/>
      <c r="AP170" s="2746"/>
      <c r="AQ170" s="2846">
        <v>10</v>
      </c>
      <c r="AR170" s="2846">
        <f t="shared" si="27"/>
        <v>0</v>
      </c>
    </row>
    <row r="171" spans="1:44" ht="36.75" customHeight="1">
      <c r="A171" s="3061">
        <v>18</v>
      </c>
      <c r="B171" s="2812" t="s">
        <v>1268</v>
      </c>
      <c r="C171" s="2852"/>
      <c r="D171" s="3364" t="s">
        <v>452</v>
      </c>
      <c r="E171" s="2851"/>
      <c r="F171" s="2851"/>
      <c r="G171" s="2851"/>
      <c r="H171" s="2851"/>
      <c r="I171" s="2851"/>
      <c r="J171" s="2851"/>
      <c r="K171" s="2851"/>
      <c r="L171" s="2851"/>
      <c r="M171" s="2851"/>
      <c r="N171" s="3283"/>
      <c r="O171" s="2851"/>
      <c r="P171" s="2851"/>
      <c r="Q171" s="2851"/>
      <c r="R171" s="2851"/>
      <c r="S171" s="2851"/>
      <c r="T171" s="2851"/>
      <c r="U171" s="2851"/>
      <c r="V171" s="2851"/>
      <c r="W171" s="2851" t="s">
        <v>29</v>
      </c>
      <c r="X171" s="2851"/>
      <c r="Y171" s="2851" t="s">
        <v>29</v>
      </c>
      <c r="Z171" s="2851" t="s">
        <v>29</v>
      </c>
      <c r="AA171" s="2851" t="s">
        <v>29</v>
      </c>
      <c r="AB171" s="2851" t="s">
        <v>29</v>
      </c>
      <c r="AC171" s="2851" t="s">
        <v>29</v>
      </c>
      <c r="AD171" s="2861" t="s">
        <v>29</v>
      </c>
      <c r="AE171" s="2861"/>
      <c r="AF171" s="2861" t="s">
        <v>29</v>
      </c>
      <c r="AG171" s="2851" t="s">
        <v>29</v>
      </c>
      <c r="AH171" s="2851" t="s">
        <v>29</v>
      </c>
      <c r="AI171" s="2880">
        <f t="shared" si="23"/>
        <v>10</v>
      </c>
      <c r="AJ171" s="2880">
        <f t="shared" si="24"/>
        <v>0</v>
      </c>
      <c r="AK171" s="2862">
        <f t="shared" si="25"/>
        <v>0</v>
      </c>
      <c r="AL171" s="2862">
        <f t="shared" si="26"/>
        <v>0</v>
      </c>
      <c r="AM171" s="2880">
        <f t="shared" si="22"/>
        <v>10</v>
      </c>
      <c r="AN171" s="2854"/>
      <c r="AO171" s="2854"/>
      <c r="AP171" s="2746"/>
      <c r="AQ171" s="2846">
        <v>10</v>
      </c>
      <c r="AR171" s="2846">
        <f t="shared" si="27"/>
        <v>0</v>
      </c>
    </row>
    <row r="172" spans="1:44" ht="36.75" customHeight="1">
      <c r="A172" s="3061">
        <v>19</v>
      </c>
      <c r="B172" s="2812" t="s">
        <v>2289</v>
      </c>
      <c r="C172" s="2852"/>
      <c r="D172" s="3364" t="s">
        <v>452</v>
      </c>
      <c r="E172" s="2851"/>
      <c r="F172" s="2851"/>
      <c r="G172" s="2851"/>
      <c r="H172" s="2851"/>
      <c r="I172" s="2851"/>
      <c r="J172" s="2851"/>
      <c r="K172" s="2851"/>
      <c r="L172" s="2851"/>
      <c r="M172" s="2851"/>
      <c r="N172" s="3283"/>
      <c r="O172" s="2851"/>
      <c r="P172" s="2851"/>
      <c r="Q172" s="2851"/>
      <c r="R172" s="2851"/>
      <c r="S172" s="2851"/>
      <c r="T172" s="2851"/>
      <c r="U172" s="2851"/>
      <c r="V172" s="2851"/>
      <c r="W172" s="2851" t="s">
        <v>29</v>
      </c>
      <c r="X172" s="2851" t="s">
        <v>1882</v>
      </c>
      <c r="Y172" s="2851" t="s">
        <v>29</v>
      </c>
      <c r="Z172" s="2851" t="s">
        <v>29</v>
      </c>
      <c r="AA172" s="2851" t="s">
        <v>29</v>
      </c>
      <c r="AB172" s="2851" t="s">
        <v>29</v>
      </c>
      <c r="AC172" s="2851" t="s">
        <v>29</v>
      </c>
      <c r="AD172" s="2861" t="s">
        <v>29</v>
      </c>
      <c r="AE172" s="2861" t="s">
        <v>1882</v>
      </c>
      <c r="AF172" s="2861" t="s">
        <v>29</v>
      </c>
      <c r="AG172" s="2851"/>
      <c r="AH172" s="2851" t="s">
        <v>29</v>
      </c>
      <c r="AI172" s="2880">
        <f t="shared" si="23"/>
        <v>9</v>
      </c>
      <c r="AJ172" s="2880">
        <f t="shared" si="24"/>
        <v>2</v>
      </c>
      <c r="AK172" s="2862">
        <f t="shared" si="25"/>
        <v>0</v>
      </c>
      <c r="AL172" s="2862">
        <f t="shared" si="26"/>
        <v>0</v>
      </c>
      <c r="AM172" s="2880">
        <f t="shared" si="22"/>
        <v>11</v>
      </c>
      <c r="AN172" s="2854"/>
      <c r="AO172" s="2854"/>
      <c r="AP172" s="2746"/>
      <c r="AQ172" s="2846">
        <v>11</v>
      </c>
      <c r="AR172" s="2846">
        <f t="shared" si="27"/>
        <v>0</v>
      </c>
    </row>
    <row r="173" spans="1:44" ht="36.75" customHeight="1">
      <c r="A173" s="3061">
        <v>20</v>
      </c>
      <c r="B173" s="2812" t="s">
        <v>2290</v>
      </c>
      <c r="C173" s="2852"/>
      <c r="D173" s="3364" t="s">
        <v>452</v>
      </c>
      <c r="E173" s="2851"/>
      <c r="F173" s="2851"/>
      <c r="G173" s="2851"/>
      <c r="H173" s="2851"/>
      <c r="I173" s="2851"/>
      <c r="J173" s="2851"/>
      <c r="K173" s="2851"/>
      <c r="L173" s="2851"/>
      <c r="M173" s="2851"/>
      <c r="N173" s="3283"/>
      <c r="O173" s="2851"/>
      <c r="P173" s="2851"/>
      <c r="Q173" s="2851"/>
      <c r="R173" s="2851"/>
      <c r="S173" s="2851"/>
      <c r="T173" s="2851"/>
      <c r="U173" s="2851"/>
      <c r="V173" s="2851"/>
      <c r="W173" s="2851"/>
      <c r="X173" s="2851"/>
      <c r="Y173" s="2851"/>
      <c r="Z173" s="2851" t="s">
        <v>29</v>
      </c>
      <c r="AA173" s="2851" t="s">
        <v>29</v>
      </c>
      <c r="AB173" s="2851" t="s">
        <v>29</v>
      </c>
      <c r="AC173" s="2851"/>
      <c r="AD173" s="2861" t="s">
        <v>29</v>
      </c>
      <c r="AE173" s="2861" t="s">
        <v>1882</v>
      </c>
      <c r="AF173" s="2861" t="s">
        <v>29</v>
      </c>
      <c r="AG173" s="2851" t="s">
        <v>29</v>
      </c>
      <c r="AH173" s="2851" t="s">
        <v>29</v>
      </c>
      <c r="AI173" s="2880">
        <f t="shared" si="23"/>
        <v>7</v>
      </c>
      <c r="AJ173" s="2880">
        <f t="shared" si="24"/>
        <v>1</v>
      </c>
      <c r="AK173" s="2862">
        <f t="shared" si="25"/>
        <v>0</v>
      </c>
      <c r="AL173" s="2862">
        <f t="shared" si="26"/>
        <v>0</v>
      </c>
      <c r="AM173" s="2880">
        <f t="shared" si="22"/>
        <v>8</v>
      </c>
      <c r="AN173" s="2854"/>
      <c r="AO173" s="2854"/>
      <c r="AP173" s="2746"/>
      <c r="AQ173" s="2846">
        <v>8</v>
      </c>
      <c r="AR173" s="2846">
        <f t="shared" si="27"/>
        <v>0</v>
      </c>
    </row>
    <row r="174" spans="1:44" ht="36.75" customHeight="1">
      <c r="A174" s="3061">
        <v>21</v>
      </c>
      <c r="B174" s="2812" t="s">
        <v>2291</v>
      </c>
      <c r="C174" s="2852"/>
      <c r="D174" s="3364" t="s">
        <v>452</v>
      </c>
      <c r="E174" s="2851"/>
      <c r="F174" s="2851"/>
      <c r="G174" s="2851"/>
      <c r="H174" s="2851"/>
      <c r="I174" s="2851"/>
      <c r="J174" s="2851"/>
      <c r="K174" s="2851"/>
      <c r="L174" s="2851"/>
      <c r="M174" s="2851"/>
      <c r="N174" s="3283"/>
      <c r="O174" s="2851"/>
      <c r="P174" s="2851"/>
      <c r="Q174" s="2851"/>
      <c r="R174" s="2851"/>
      <c r="S174" s="2851"/>
      <c r="T174" s="2851"/>
      <c r="U174" s="2851"/>
      <c r="V174" s="2851"/>
      <c r="W174" s="2851" t="s">
        <v>29</v>
      </c>
      <c r="X174" s="2851"/>
      <c r="Y174" s="2851" t="s">
        <v>29</v>
      </c>
      <c r="Z174" s="2851" t="s">
        <v>29</v>
      </c>
      <c r="AA174" s="2851" t="s">
        <v>29</v>
      </c>
      <c r="AB174" s="2851" t="s">
        <v>29</v>
      </c>
      <c r="AC174" s="2851" t="s">
        <v>29</v>
      </c>
      <c r="AD174" s="2861" t="s">
        <v>29</v>
      </c>
      <c r="AE174" s="2861" t="s">
        <v>1882</v>
      </c>
      <c r="AF174" s="2861" t="s">
        <v>29</v>
      </c>
      <c r="AG174" s="2851" t="s">
        <v>29</v>
      </c>
      <c r="AH174" s="2851" t="s">
        <v>29</v>
      </c>
      <c r="AI174" s="2880">
        <f t="shared" si="23"/>
        <v>10</v>
      </c>
      <c r="AJ174" s="2880">
        <f t="shared" si="24"/>
        <v>1</v>
      </c>
      <c r="AK174" s="2862">
        <f t="shared" si="25"/>
        <v>0</v>
      </c>
      <c r="AL174" s="2862">
        <f t="shared" si="26"/>
        <v>0</v>
      </c>
      <c r="AM174" s="2880">
        <f t="shared" si="22"/>
        <v>11</v>
      </c>
      <c r="AN174" s="2854"/>
      <c r="AO174" s="2854"/>
      <c r="AP174" s="2746"/>
      <c r="AQ174" s="2846">
        <v>11</v>
      </c>
      <c r="AR174" s="2846">
        <f t="shared" si="27"/>
        <v>0</v>
      </c>
    </row>
    <row r="175" spans="1:44" ht="36.75" customHeight="1">
      <c r="A175" s="3061">
        <v>22</v>
      </c>
      <c r="B175" s="2812" t="s">
        <v>2292</v>
      </c>
      <c r="C175" s="2852"/>
      <c r="D175" s="3364" t="s">
        <v>452</v>
      </c>
      <c r="E175" s="2851"/>
      <c r="F175" s="2851"/>
      <c r="G175" s="2851"/>
      <c r="H175" s="2851"/>
      <c r="I175" s="2851"/>
      <c r="J175" s="2851"/>
      <c r="K175" s="2851"/>
      <c r="L175" s="2851"/>
      <c r="M175" s="2851"/>
      <c r="N175" s="3283"/>
      <c r="O175" s="2851"/>
      <c r="P175" s="2851"/>
      <c r="Q175" s="2851"/>
      <c r="R175" s="2851"/>
      <c r="S175" s="2851"/>
      <c r="T175" s="2851"/>
      <c r="U175" s="2851"/>
      <c r="V175" s="2851"/>
      <c r="W175" s="2851" t="s">
        <v>29</v>
      </c>
      <c r="X175" s="2851" t="s">
        <v>1882</v>
      </c>
      <c r="Y175" s="2851" t="s">
        <v>29</v>
      </c>
      <c r="Z175" s="2851" t="s">
        <v>29</v>
      </c>
      <c r="AA175" s="2851" t="s">
        <v>29</v>
      </c>
      <c r="AB175" s="2851" t="s">
        <v>29</v>
      </c>
      <c r="AC175" s="2851" t="s">
        <v>29</v>
      </c>
      <c r="AD175" s="2861"/>
      <c r="AE175" s="2861" t="s">
        <v>1882</v>
      </c>
      <c r="AF175" s="2861" t="s">
        <v>29</v>
      </c>
      <c r="AG175" s="2851" t="s">
        <v>29</v>
      </c>
      <c r="AH175" s="2851" t="s">
        <v>29</v>
      </c>
      <c r="AI175" s="2880">
        <f t="shared" si="23"/>
        <v>9</v>
      </c>
      <c r="AJ175" s="2880">
        <f t="shared" si="24"/>
        <v>2</v>
      </c>
      <c r="AK175" s="2862">
        <f t="shared" si="25"/>
        <v>0</v>
      </c>
      <c r="AL175" s="2862">
        <f t="shared" si="26"/>
        <v>0</v>
      </c>
      <c r="AM175" s="2880">
        <f t="shared" si="22"/>
        <v>11</v>
      </c>
      <c r="AN175" s="2854"/>
      <c r="AO175" s="2854"/>
      <c r="AP175" s="2746"/>
      <c r="AQ175" s="2846">
        <v>11</v>
      </c>
      <c r="AR175" s="2846">
        <f t="shared" si="27"/>
        <v>0</v>
      </c>
    </row>
    <row r="176" spans="1:44" ht="36.75" customHeight="1">
      <c r="A176" s="3061">
        <v>23</v>
      </c>
      <c r="B176" s="2812" t="s">
        <v>2293</v>
      </c>
      <c r="C176" s="2852"/>
      <c r="D176" s="3364" t="s">
        <v>452</v>
      </c>
      <c r="E176" s="2851"/>
      <c r="F176" s="2851"/>
      <c r="G176" s="2851"/>
      <c r="H176" s="2851"/>
      <c r="I176" s="2851"/>
      <c r="J176" s="2851"/>
      <c r="K176" s="2851"/>
      <c r="L176" s="2851"/>
      <c r="M176" s="2851"/>
      <c r="N176" s="3283"/>
      <c r="O176" s="2851"/>
      <c r="P176" s="2851"/>
      <c r="Q176" s="2851"/>
      <c r="R176" s="2851"/>
      <c r="S176" s="2851"/>
      <c r="T176" s="2851"/>
      <c r="U176" s="2851"/>
      <c r="V176" s="2851"/>
      <c r="W176" s="2851" t="s">
        <v>29</v>
      </c>
      <c r="X176" s="2851" t="s">
        <v>1882</v>
      </c>
      <c r="Y176" s="2851" t="s">
        <v>29</v>
      </c>
      <c r="Z176" s="2851" t="s">
        <v>29</v>
      </c>
      <c r="AA176" s="2851" t="s">
        <v>29</v>
      </c>
      <c r="AB176" s="2851" t="s">
        <v>29</v>
      </c>
      <c r="AC176" s="2851" t="s">
        <v>29</v>
      </c>
      <c r="AD176" s="2861" t="s">
        <v>29</v>
      </c>
      <c r="AE176" s="2861" t="s">
        <v>1882</v>
      </c>
      <c r="AF176" s="2861" t="s">
        <v>29</v>
      </c>
      <c r="AG176" s="2851" t="s">
        <v>29</v>
      </c>
      <c r="AH176" s="2851" t="s">
        <v>29</v>
      </c>
      <c r="AI176" s="2880">
        <f t="shared" si="23"/>
        <v>10</v>
      </c>
      <c r="AJ176" s="2880">
        <f t="shared" si="24"/>
        <v>2</v>
      </c>
      <c r="AK176" s="2862">
        <f t="shared" si="25"/>
        <v>0</v>
      </c>
      <c r="AL176" s="2862">
        <f t="shared" si="26"/>
        <v>0</v>
      </c>
      <c r="AM176" s="2880">
        <f t="shared" si="22"/>
        <v>12</v>
      </c>
      <c r="AN176" s="2854"/>
      <c r="AO176" s="2854"/>
      <c r="AP176" s="2746"/>
      <c r="AQ176" s="2846">
        <v>12</v>
      </c>
      <c r="AR176" s="2846">
        <f t="shared" si="27"/>
        <v>0</v>
      </c>
    </row>
    <row r="177" spans="1:44" ht="36.75" customHeight="1">
      <c r="A177" s="3061">
        <v>24</v>
      </c>
      <c r="B177" s="3492" t="s">
        <v>1253</v>
      </c>
      <c r="C177" s="2852"/>
      <c r="D177" s="3364" t="s">
        <v>452</v>
      </c>
      <c r="E177" s="2851"/>
      <c r="F177" s="2851"/>
      <c r="G177" s="2851"/>
      <c r="H177" s="2851"/>
      <c r="I177" s="2851"/>
      <c r="J177" s="2851"/>
      <c r="K177" s="2851"/>
      <c r="L177" s="2851"/>
      <c r="M177" s="2851"/>
      <c r="N177" s="3283"/>
      <c r="O177" s="2851"/>
      <c r="P177" s="2851"/>
      <c r="Q177" s="2851"/>
      <c r="R177" s="2851"/>
      <c r="S177" s="2851"/>
      <c r="T177" s="2851"/>
      <c r="U177" s="2851"/>
      <c r="V177" s="2851"/>
      <c r="W177" s="2851" t="s">
        <v>29</v>
      </c>
      <c r="X177" s="2851"/>
      <c r="Y177" s="2851" t="s">
        <v>29</v>
      </c>
      <c r="Z177" s="2851" t="s">
        <v>29</v>
      </c>
      <c r="AA177" s="2851" t="s">
        <v>29</v>
      </c>
      <c r="AB177" s="2851" t="s">
        <v>29</v>
      </c>
      <c r="AC177" s="2851" t="s">
        <v>29</v>
      </c>
      <c r="AD177" s="2861" t="s">
        <v>29</v>
      </c>
      <c r="AE177" s="2861"/>
      <c r="AF177" s="2861" t="s">
        <v>29</v>
      </c>
      <c r="AG177" s="2851" t="s">
        <v>29</v>
      </c>
      <c r="AH177" s="2851" t="s">
        <v>29</v>
      </c>
      <c r="AI177" s="2880">
        <f t="shared" si="23"/>
        <v>10</v>
      </c>
      <c r="AJ177" s="2880">
        <f t="shared" si="24"/>
        <v>0</v>
      </c>
      <c r="AK177" s="2862">
        <f t="shared" si="25"/>
        <v>0</v>
      </c>
      <c r="AL177" s="2862">
        <f t="shared" si="26"/>
        <v>0</v>
      </c>
      <c r="AM177" s="2880">
        <f t="shared" si="22"/>
        <v>10</v>
      </c>
      <c r="AN177" s="2854"/>
      <c r="AO177" s="2854"/>
      <c r="AP177" s="2746"/>
      <c r="AQ177" s="2846">
        <v>10</v>
      </c>
      <c r="AR177" s="2846">
        <f t="shared" si="27"/>
        <v>0</v>
      </c>
    </row>
    <row r="178" spans="1:44" ht="36.75" customHeight="1">
      <c r="A178" s="3912" t="s">
        <v>1865</v>
      </c>
      <c r="B178" s="3912"/>
      <c r="C178" s="2866"/>
      <c r="D178" s="3368"/>
      <c r="E178" s="2867">
        <f t="shared" ref="E178:W178" si="28">COUNTIF(E154:E177,"X")+COUNTIF(E154:E177,"cn")+COUNTIF(E154:E177,"D")+COUNTIF(E154:E177,"DCN")</f>
        <v>0</v>
      </c>
      <c r="F178" s="2867">
        <f t="shared" si="28"/>
        <v>0</v>
      </c>
      <c r="G178" s="2867">
        <f t="shared" si="28"/>
        <v>0</v>
      </c>
      <c r="H178" s="2867">
        <f t="shared" si="28"/>
        <v>0</v>
      </c>
      <c r="I178" s="2867">
        <f t="shared" si="28"/>
        <v>0</v>
      </c>
      <c r="J178" s="2867">
        <f t="shared" si="28"/>
        <v>0</v>
      </c>
      <c r="K178" s="2867">
        <f t="shared" si="28"/>
        <v>0</v>
      </c>
      <c r="L178" s="2867">
        <f t="shared" si="28"/>
        <v>0</v>
      </c>
      <c r="M178" s="2867">
        <f t="shared" si="28"/>
        <v>0</v>
      </c>
      <c r="N178" s="2867">
        <f t="shared" si="28"/>
        <v>0</v>
      </c>
      <c r="O178" s="2867">
        <f t="shared" si="28"/>
        <v>0</v>
      </c>
      <c r="P178" s="2867">
        <f t="shared" si="28"/>
        <v>0</v>
      </c>
      <c r="Q178" s="2867">
        <f t="shared" si="28"/>
        <v>0</v>
      </c>
      <c r="R178" s="2867">
        <f t="shared" si="28"/>
        <v>0</v>
      </c>
      <c r="S178" s="2867">
        <f t="shared" si="28"/>
        <v>0</v>
      </c>
      <c r="T178" s="2867">
        <f t="shared" si="28"/>
        <v>0</v>
      </c>
      <c r="U178" s="2867">
        <f t="shared" si="28"/>
        <v>0</v>
      </c>
      <c r="V178" s="2867">
        <f t="shared" si="28"/>
        <v>0</v>
      </c>
      <c r="W178" s="2867">
        <f t="shared" si="28"/>
        <v>9</v>
      </c>
      <c r="X178" s="2867">
        <f>COUNTIF(X154:X177,"X")+COUNTIF(X154:X177,"cn")+COUNTIF(X154:X177,"D")+COUNTIF(X154:X177,"DCN")</f>
        <v>10</v>
      </c>
      <c r="Y178" s="2867">
        <f t="shared" ref="Y178:AH178" si="29">COUNTIF(Y154:Y177,"X")+COUNTIF(Y154:Y177,"cn")+COUNTIF(Y154:Y177,"D")+COUNTIF(Y154:Y177,"DCN")</f>
        <v>17</v>
      </c>
      <c r="Z178" s="2867">
        <f t="shared" si="29"/>
        <v>22</v>
      </c>
      <c r="AA178" s="2867">
        <f t="shared" si="29"/>
        <v>21</v>
      </c>
      <c r="AB178" s="2867">
        <f t="shared" si="29"/>
        <v>24</v>
      </c>
      <c r="AC178" s="2867">
        <f t="shared" si="29"/>
        <v>22</v>
      </c>
      <c r="AD178" s="2867">
        <f t="shared" si="29"/>
        <v>22</v>
      </c>
      <c r="AE178" s="2867">
        <f t="shared" si="29"/>
        <v>19</v>
      </c>
      <c r="AF178" s="2867">
        <f t="shared" si="29"/>
        <v>23</v>
      </c>
      <c r="AG178" s="2867">
        <f t="shared" si="29"/>
        <v>20</v>
      </c>
      <c r="AH178" s="2867">
        <f t="shared" si="29"/>
        <v>23</v>
      </c>
      <c r="AI178" s="2877">
        <f t="shared" ref="AI178:AP178" si="30">+SUM(AI154:AI177)</f>
        <v>203</v>
      </c>
      <c r="AJ178" s="2877">
        <f t="shared" si="30"/>
        <v>29</v>
      </c>
      <c r="AK178" s="2877">
        <f t="shared" si="30"/>
        <v>0</v>
      </c>
      <c r="AL178" s="2877">
        <f t="shared" si="30"/>
        <v>0</v>
      </c>
      <c r="AM178" s="2877">
        <f>+SUM(AM154:AM177)</f>
        <v>232</v>
      </c>
      <c r="AN178" s="2877" t="e">
        <f t="shared" si="30"/>
        <v>#N/A</v>
      </c>
      <c r="AO178" s="2877" t="e">
        <f t="shared" si="30"/>
        <v>#N/A</v>
      </c>
      <c r="AP178" s="2877">
        <f t="shared" si="30"/>
        <v>0</v>
      </c>
    </row>
    <row r="179" spans="1:44" ht="36.75" customHeight="1">
      <c r="A179" s="2861">
        <v>1</v>
      </c>
      <c r="B179" s="2878" t="s">
        <v>1216</v>
      </c>
      <c r="C179" s="2879"/>
      <c r="D179" s="3369" t="s">
        <v>453</v>
      </c>
      <c r="E179" s="2851"/>
      <c r="F179" s="2851"/>
      <c r="G179" s="2851"/>
      <c r="H179" s="2851"/>
      <c r="I179" s="2851"/>
      <c r="J179" s="2851"/>
      <c r="K179" s="2851"/>
      <c r="L179" s="2851"/>
      <c r="M179" s="2851"/>
      <c r="N179" s="2851"/>
      <c r="O179" s="2851"/>
      <c r="P179" s="2851"/>
      <c r="Q179" s="2851"/>
      <c r="R179" s="2851"/>
      <c r="S179" s="2851"/>
      <c r="T179" s="2851"/>
      <c r="U179" s="2851"/>
      <c r="V179" s="2851"/>
      <c r="W179" s="2851"/>
      <c r="X179" s="2851"/>
      <c r="Y179" s="2851"/>
      <c r="Z179" s="2851" t="s">
        <v>29</v>
      </c>
      <c r="AA179" s="2851" t="s">
        <v>29</v>
      </c>
      <c r="AB179" s="2851" t="s">
        <v>29</v>
      </c>
      <c r="AC179" s="2851"/>
      <c r="AD179" s="2851" t="s">
        <v>29</v>
      </c>
      <c r="AE179" s="2851"/>
      <c r="AF179" s="2851" t="s">
        <v>29</v>
      </c>
      <c r="AG179" s="2851"/>
      <c r="AH179" s="2851" t="s">
        <v>29</v>
      </c>
      <c r="AI179" s="2880">
        <f t="shared" ref="AI179:AI208" si="31">+COUNTIF(E179:AH179,"X")</f>
        <v>6</v>
      </c>
      <c r="AJ179" s="2880">
        <f t="shared" ref="AJ179:AJ208" si="32">+COUNTIF(E179:AH179,"CN")</f>
        <v>0</v>
      </c>
      <c r="AK179" s="3059">
        <f t="shared" ref="AK179:AK208" si="33">+COUNTIF(E179:AH179,"D")</f>
        <v>0</v>
      </c>
      <c r="AL179" s="2874">
        <f t="shared" ref="AL179:AL208" si="34">+COUNTIF(E179:AH179,"DCN")</f>
        <v>0</v>
      </c>
      <c r="AM179" s="2880">
        <f t="shared" ref="AM179:AM208" si="35">SUM(AI179:AL179)</f>
        <v>6</v>
      </c>
      <c r="AN179" s="2863" t="e">
        <f>+VLOOKUP(C179,[1]Sheet1!$D$9:$E$122,2,0)</f>
        <v>#N/A</v>
      </c>
      <c r="AO179" s="2863" t="e">
        <f t="shared" ref="AO179:AO189" si="36">+IF(AN179=B179,"0","1")</f>
        <v>#N/A</v>
      </c>
      <c r="AP179" s="2875"/>
    </row>
    <row r="180" spans="1:44" ht="36.75" customHeight="1">
      <c r="A180" s="2851">
        <v>2</v>
      </c>
      <c r="B180" s="2812" t="s">
        <v>351</v>
      </c>
      <c r="C180" s="2881"/>
      <c r="D180" s="3370" t="s">
        <v>453</v>
      </c>
      <c r="E180" s="2851"/>
      <c r="F180" s="2851"/>
      <c r="G180" s="2851"/>
      <c r="H180" s="2851"/>
      <c r="I180" s="2851"/>
      <c r="J180" s="2851"/>
      <c r="K180" s="2851"/>
      <c r="L180" s="2851" t="s">
        <v>29</v>
      </c>
      <c r="M180" s="2851"/>
      <c r="N180" s="2851"/>
      <c r="O180" s="2851"/>
      <c r="P180" s="2851"/>
      <c r="Q180" s="2851"/>
      <c r="R180" s="2851"/>
      <c r="S180" s="2851"/>
      <c r="T180" s="2851"/>
      <c r="U180" s="2851" t="s">
        <v>29</v>
      </c>
      <c r="V180" s="2851" t="s">
        <v>29</v>
      </c>
      <c r="W180" s="2851" t="s">
        <v>29</v>
      </c>
      <c r="X180" s="2851" t="s">
        <v>1882</v>
      </c>
      <c r="Y180" s="2851"/>
      <c r="Z180" s="2851" t="s">
        <v>29</v>
      </c>
      <c r="AA180" s="2851" t="s">
        <v>29</v>
      </c>
      <c r="AB180" s="2851" t="s">
        <v>29</v>
      </c>
      <c r="AC180" s="2851" t="s">
        <v>29</v>
      </c>
      <c r="AD180" s="2851" t="s">
        <v>29</v>
      </c>
      <c r="AE180" s="2851" t="s">
        <v>1882</v>
      </c>
      <c r="AF180" s="2851" t="s">
        <v>29</v>
      </c>
      <c r="AG180" s="2851"/>
      <c r="AH180" s="2851" t="s">
        <v>29</v>
      </c>
      <c r="AI180" s="2880">
        <f t="shared" si="31"/>
        <v>11</v>
      </c>
      <c r="AJ180" s="2880">
        <f t="shared" si="32"/>
        <v>2</v>
      </c>
      <c r="AK180" s="3060">
        <f t="shared" si="33"/>
        <v>0</v>
      </c>
      <c r="AL180" s="2853">
        <f t="shared" si="34"/>
        <v>0</v>
      </c>
      <c r="AM180" s="2880">
        <f t="shared" si="35"/>
        <v>13</v>
      </c>
      <c r="AN180" s="2854" t="e">
        <f>+VLOOKUP(C180,[1]Sheet1!$D$9:$E$122,2,0)</f>
        <v>#N/A</v>
      </c>
      <c r="AO180" s="2854" t="e">
        <f t="shared" si="36"/>
        <v>#N/A</v>
      </c>
      <c r="AP180" s="2746"/>
    </row>
    <row r="181" spans="1:44" ht="36.75" customHeight="1">
      <c r="A181" s="2861">
        <v>3</v>
      </c>
      <c r="B181" s="2812" t="s">
        <v>334</v>
      </c>
      <c r="C181" s="2881"/>
      <c r="D181" s="3370" t="s">
        <v>453</v>
      </c>
      <c r="E181" s="2851"/>
      <c r="F181" s="2851"/>
      <c r="G181" s="2851"/>
      <c r="H181" s="2851"/>
      <c r="I181" s="2851" t="s">
        <v>29</v>
      </c>
      <c r="J181" s="2851"/>
      <c r="K181" s="2851" t="s">
        <v>29</v>
      </c>
      <c r="L181" s="2851" t="s">
        <v>29</v>
      </c>
      <c r="M181" s="2851" t="s">
        <v>29</v>
      </c>
      <c r="N181" s="2851"/>
      <c r="O181" s="2851" t="s">
        <v>29</v>
      </c>
      <c r="P181" s="2851"/>
      <c r="Q181" s="2851"/>
      <c r="R181" s="2851"/>
      <c r="S181" s="2851"/>
      <c r="T181" s="2851"/>
      <c r="U181" s="2851" t="s">
        <v>29</v>
      </c>
      <c r="V181" s="2851" t="s">
        <v>29</v>
      </c>
      <c r="W181" s="2851" t="s">
        <v>29</v>
      </c>
      <c r="X181" s="2851" t="s">
        <v>1882</v>
      </c>
      <c r="Y181" s="2851" t="s">
        <v>29</v>
      </c>
      <c r="Z181" s="2851" t="s">
        <v>29</v>
      </c>
      <c r="AA181" s="2851" t="s">
        <v>29</v>
      </c>
      <c r="AB181" s="2851" t="s">
        <v>29</v>
      </c>
      <c r="AC181" s="2851" t="s">
        <v>29</v>
      </c>
      <c r="AD181" s="2851" t="s">
        <v>29</v>
      </c>
      <c r="AE181" s="2851" t="s">
        <v>1882</v>
      </c>
      <c r="AF181" s="2851" t="s">
        <v>29</v>
      </c>
      <c r="AG181" s="2851" t="s">
        <v>29</v>
      </c>
      <c r="AH181" s="2851" t="s">
        <v>29</v>
      </c>
      <c r="AI181" s="2880">
        <f t="shared" si="31"/>
        <v>17</v>
      </c>
      <c r="AJ181" s="2880">
        <f t="shared" si="32"/>
        <v>2</v>
      </c>
      <c r="AK181" s="3060">
        <f t="shared" si="33"/>
        <v>0</v>
      </c>
      <c r="AL181" s="2853">
        <f t="shared" si="34"/>
        <v>0</v>
      </c>
      <c r="AM181" s="2880">
        <f t="shared" si="35"/>
        <v>19</v>
      </c>
      <c r="AN181" s="2854" t="e">
        <f>+VLOOKUP(C181,[1]Sheet1!$D$9:$E$122,2,0)</f>
        <v>#N/A</v>
      </c>
      <c r="AO181" s="2854" t="e">
        <f t="shared" si="36"/>
        <v>#N/A</v>
      </c>
      <c r="AP181" s="2746"/>
    </row>
    <row r="182" spans="1:44" ht="36.75" customHeight="1">
      <c r="A182" s="2851">
        <v>4</v>
      </c>
      <c r="B182" s="2812" t="s">
        <v>1218</v>
      </c>
      <c r="C182" s="2881"/>
      <c r="D182" s="3370" t="s">
        <v>453</v>
      </c>
      <c r="E182" s="2851"/>
      <c r="F182" s="2851"/>
      <c r="G182" s="2851"/>
      <c r="H182" s="2851"/>
      <c r="I182" s="2851"/>
      <c r="J182" s="2851"/>
      <c r="K182" s="2851" t="s">
        <v>29</v>
      </c>
      <c r="L182" s="2851" t="s">
        <v>29</v>
      </c>
      <c r="M182" s="2851" t="s">
        <v>29</v>
      </c>
      <c r="N182" s="2851"/>
      <c r="O182" s="2851"/>
      <c r="P182" s="2851"/>
      <c r="Q182" s="2851"/>
      <c r="R182" s="2851"/>
      <c r="S182" s="2851"/>
      <c r="T182" s="2851"/>
      <c r="U182" s="2851" t="s">
        <v>29</v>
      </c>
      <c r="V182" s="2851" t="s">
        <v>29</v>
      </c>
      <c r="W182" s="2851" t="s">
        <v>29</v>
      </c>
      <c r="X182" s="2851" t="s">
        <v>1882</v>
      </c>
      <c r="Y182" s="2851" t="s">
        <v>29</v>
      </c>
      <c r="Z182" s="2851" t="s">
        <v>29</v>
      </c>
      <c r="AA182" s="2851" t="s">
        <v>29</v>
      </c>
      <c r="AB182" s="2851" t="s">
        <v>29</v>
      </c>
      <c r="AC182" s="2851" t="s">
        <v>29</v>
      </c>
      <c r="AD182" s="2851" t="s">
        <v>29</v>
      </c>
      <c r="AE182" s="2851" t="s">
        <v>1882</v>
      </c>
      <c r="AF182" s="2851" t="s">
        <v>29</v>
      </c>
      <c r="AG182" s="2851" t="s">
        <v>29</v>
      </c>
      <c r="AH182" s="2851" t="s">
        <v>29</v>
      </c>
      <c r="AI182" s="2880">
        <f t="shared" si="31"/>
        <v>15</v>
      </c>
      <c r="AJ182" s="2880">
        <f t="shared" si="32"/>
        <v>2</v>
      </c>
      <c r="AK182" s="3060">
        <f t="shared" si="33"/>
        <v>0</v>
      </c>
      <c r="AL182" s="2853">
        <f t="shared" si="34"/>
        <v>0</v>
      </c>
      <c r="AM182" s="2880">
        <f t="shared" si="35"/>
        <v>17</v>
      </c>
      <c r="AN182" s="2854" t="e">
        <f>+VLOOKUP(C182,[1]Sheet1!$D$9:$E$122,2,0)</f>
        <v>#N/A</v>
      </c>
      <c r="AO182" s="2854" t="e">
        <f t="shared" si="36"/>
        <v>#N/A</v>
      </c>
      <c r="AP182" s="2746"/>
    </row>
    <row r="183" spans="1:44" ht="36.75" customHeight="1">
      <c r="A183" s="2861">
        <v>5</v>
      </c>
      <c r="B183" s="2812" t="s">
        <v>1517</v>
      </c>
      <c r="C183" s="2881"/>
      <c r="D183" s="3370" t="s">
        <v>453</v>
      </c>
      <c r="E183" s="2851"/>
      <c r="F183" s="2851"/>
      <c r="G183" s="2851"/>
      <c r="H183" s="2851"/>
      <c r="I183" s="2851"/>
      <c r="J183" s="2851"/>
      <c r="K183" s="2851"/>
      <c r="L183" s="2851"/>
      <c r="M183" s="2851"/>
      <c r="N183" s="2851"/>
      <c r="O183" s="2851"/>
      <c r="P183" s="2851"/>
      <c r="Q183" s="2851"/>
      <c r="R183" s="2851"/>
      <c r="S183" s="2851"/>
      <c r="T183" s="2851"/>
      <c r="U183" s="2851"/>
      <c r="V183" s="2851"/>
      <c r="W183" s="2851"/>
      <c r="X183" s="2851"/>
      <c r="Y183" s="2851" t="s">
        <v>29</v>
      </c>
      <c r="Z183" s="2851"/>
      <c r="AA183" s="2851"/>
      <c r="AB183" s="2851"/>
      <c r="AC183" s="2851" t="s">
        <v>29</v>
      </c>
      <c r="AD183" s="2851" t="s">
        <v>29</v>
      </c>
      <c r="AE183" s="2851" t="s">
        <v>1882</v>
      </c>
      <c r="AF183" s="2851" t="s">
        <v>29</v>
      </c>
      <c r="AG183" s="2851" t="s">
        <v>29</v>
      </c>
      <c r="AH183" s="2851" t="s">
        <v>29</v>
      </c>
      <c r="AI183" s="2880">
        <f t="shared" si="31"/>
        <v>6</v>
      </c>
      <c r="AJ183" s="2880">
        <f t="shared" si="32"/>
        <v>1</v>
      </c>
      <c r="AK183" s="3060">
        <f t="shared" si="33"/>
        <v>0</v>
      </c>
      <c r="AL183" s="2853">
        <f t="shared" si="34"/>
        <v>0</v>
      </c>
      <c r="AM183" s="2880">
        <f t="shared" si="35"/>
        <v>7</v>
      </c>
      <c r="AN183" s="2854" t="e">
        <f>+VLOOKUP(C183,[1]Sheet1!$D$9:$E$122,2,0)</f>
        <v>#N/A</v>
      </c>
      <c r="AO183" s="2854" t="e">
        <f t="shared" si="36"/>
        <v>#N/A</v>
      </c>
      <c r="AP183" s="2746"/>
    </row>
    <row r="184" spans="1:44" ht="36.75" customHeight="1">
      <c r="A184" s="2851">
        <v>6</v>
      </c>
      <c r="B184" s="2812" t="s">
        <v>1217</v>
      </c>
      <c r="C184" s="2881"/>
      <c r="D184" s="3370" t="s">
        <v>453</v>
      </c>
      <c r="E184" s="2851"/>
      <c r="F184" s="2851"/>
      <c r="G184" s="2851"/>
      <c r="H184" s="2851"/>
      <c r="I184" s="2851"/>
      <c r="J184" s="2851"/>
      <c r="K184" s="2851"/>
      <c r="L184" s="2851" t="s">
        <v>29</v>
      </c>
      <c r="M184" s="2851"/>
      <c r="N184" s="2851"/>
      <c r="O184" s="2851"/>
      <c r="P184" s="2851"/>
      <c r="Q184" s="2851"/>
      <c r="R184" s="2851"/>
      <c r="S184" s="2851"/>
      <c r="T184" s="2851"/>
      <c r="U184" s="2851"/>
      <c r="V184" s="2851"/>
      <c r="W184" s="2851" t="s">
        <v>29</v>
      </c>
      <c r="X184" s="2851" t="s">
        <v>1882</v>
      </c>
      <c r="Y184" s="2851"/>
      <c r="Z184" s="2851"/>
      <c r="AA184" s="2851" t="s">
        <v>29</v>
      </c>
      <c r="AB184" s="2851" t="s">
        <v>29</v>
      </c>
      <c r="AC184" s="2851"/>
      <c r="AD184" s="2851"/>
      <c r="AE184" s="2851" t="s">
        <v>1882</v>
      </c>
      <c r="AF184" s="2851" t="s">
        <v>29</v>
      </c>
      <c r="AG184" s="2851" t="s">
        <v>29</v>
      </c>
      <c r="AH184" s="2851" t="s">
        <v>29</v>
      </c>
      <c r="AI184" s="2880">
        <f t="shared" si="31"/>
        <v>7</v>
      </c>
      <c r="AJ184" s="2880">
        <f t="shared" si="32"/>
        <v>2</v>
      </c>
      <c r="AK184" s="3060">
        <f t="shared" si="33"/>
        <v>0</v>
      </c>
      <c r="AL184" s="2853">
        <f t="shared" si="34"/>
        <v>0</v>
      </c>
      <c r="AM184" s="2880">
        <f t="shared" si="35"/>
        <v>9</v>
      </c>
      <c r="AN184" s="2854" t="e">
        <f>+VLOOKUP(C184,[1]Sheet1!$D$9:$E$122,2,0)</f>
        <v>#N/A</v>
      </c>
      <c r="AO184" s="2854" t="e">
        <f t="shared" si="36"/>
        <v>#N/A</v>
      </c>
      <c r="AP184" s="2746"/>
    </row>
    <row r="185" spans="1:44" ht="36.75" customHeight="1">
      <c r="A185" s="2861">
        <v>7</v>
      </c>
      <c r="B185" s="2882" t="s">
        <v>1545</v>
      </c>
      <c r="C185" s="2881"/>
      <c r="D185" s="3370" t="s">
        <v>453</v>
      </c>
      <c r="E185" s="2851"/>
      <c r="F185" s="2851"/>
      <c r="G185" s="2851"/>
      <c r="H185" s="2851"/>
      <c r="I185" s="2851"/>
      <c r="J185" s="2851"/>
      <c r="K185" s="2851" t="s">
        <v>29</v>
      </c>
      <c r="L185" s="2851"/>
      <c r="M185" s="2851"/>
      <c r="N185" s="2851"/>
      <c r="O185" s="2851"/>
      <c r="P185" s="2851"/>
      <c r="Q185" s="2851"/>
      <c r="R185" s="2851"/>
      <c r="S185" s="2851"/>
      <c r="T185" s="2851"/>
      <c r="U185" s="2851"/>
      <c r="V185" s="2851"/>
      <c r="W185" s="2851"/>
      <c r="X185" s="2851"/>
      <c r="Y185" s="2851"/>
      <c r="Z185" s="2851" t="s">
        <v>29</v>
      </c>
      <c r="AA185" s="2851" t="s">
        <v>29</v>
      </c>
      <c r="AB185" s="2851" t="s">
        <v>29</v>
      </c>
      <c r="AC185" s="2851"/>
      <c r="AD185" s="2851" t="s">
        <v>29</v>
      </c>
      <c r="AE185" s="2851" t="s">
        <v>1882</v>
      </c>
      <c r="AF185" s="2851" t="s">
        <v>29</v>
      </c>
      <c r="AG185" s="2851"/>
      <c r="AH185" s="2851"/>
      <c r="AI185" s="2880">
        <f t="shared" si="31"/>
        <v>6</v>
      </c>
      <c r="AJ185" s="2880">
        <f t="shared" si="32"/>
        <v>1</v>
      </c>
      <c r="AK185" s="3060">
        <f t="shared" si="33"/>
        <v>0</v>
      </c>
      <c r="AL185" s="2853">
        <f t="shared" si="34"/>
        <v>0</v>
      </c>
      <c r="AM185" s="2880">
        <f t="shared" si="35"/>
        <v>7</v>
      </c>
      <c r="AN185" s="2854" t="e">
        <f>+VLOOKUP(C185,[1]Sheet1!$D$9:$E$122,2,0)</f>
        <v>#N/A</v>
      </c>
      <c r="AO185" s="2854" t="e">
        <f t="shared" si="36"/>
        <v>#N/A</v>
      </c>
      <c r="AP185" s="2746"/>
    </row>
    <row r="186" spans="1:44" ht="36.75" customHeight="1">
      <c r="A186" s="2851">
        <v>8</v>
      </c>
      <c r="B186" s="2812" t="s">
        <v>152</v>
      </c>
      <c r="C186" s="2881"/>
      <c r="D186" s="3370" t="s">
        <v>453</v>
      </c>
      <c r="E186" s="2851"/>
      <c r="F186" s="2851"/>
      <c r="G186" s="2851"/>
      <c r="H186" s="2851"/>
      <c r="I186" s="2851"/>
      <c r="J186" s="2851"/>
      <c r="K186" s="2851"/>
      <c r="L186" s="2851"/>
      <c r="M186" s="2851"/>
      <c r="N186" s="2851"/>
      <c r="O186" s="2851"/>
      <c r="P186" s="2851"/>
      <c r="Q186" s="2851"/>
      <c r="R186" s="2851"/>
      <c r="S186" s="2851"/>
      <c r="T186" s="2851"/>
      <c r="U186" s="2851"/>
      <c r="V186" s="2851"/>
      <c r="W186" s="2851"/>
      <c r="X186" s="2851"/>
      <c r="Y186" s="2851"/>
      <c r="Z186" s="2851"/>
      <c r="AA186" s="2851"/>
      <c r="AB186" s="2851"/>
      <c r="AC186" s="2851"/>
      <c r="AD186" s="2851" t="s">
        <v>29</v>
      </c>
      <c r="AE186" s="2851" t="s">
        <v>1882</v>
      </c>
      <c r="AF186" s="2851" t="s">
        <v>29</v>
      </c>
      <c r="AG186" s="2851" t="s">
        <v>29</v>
      </c>
      <c r="AH186" s="2851"/>
      <c r="AI186" s="2880">
        <f t="shared" si="31"/>
        <v>3</v>
      </c>
      <c r="AJ186" s="2880">
        <f t="shared" si="32"/>
        <v>1</v>
      </c>
      <c r="AK186" s="3060">
        <f t="shared" si="33"/>
        <v>0</v>
      </c>
      <c r="AL186" s="2853">
        <f t="shared" si="34"/>
        <v>0</v>
      </c>
      <c r="AM186" s="2880">
        <f t="shared" si="35"/>
        <v>4</v>
      </c>
      <c r="AN186" s="2854" t="e">
        <f>+VLOOKUP(C186,[1]Sheet1!$D$9:$E$122,2,0)</f>
        <v>#N/A</v>
      </c>
      <c r="AO186" s="2854" t="e">
        <f t="shared" si="36"/>
        <v>#N/A</v>
      </c>
      <c r="AP186" s="2746"/>
    </row>
    <row r="187" spans="1:44" ht="36.75" customHeight="1">
      <c r="A187" s="2861">
        <v>9</v>
      </c>
      <c r="B187" s="2812" t="s">
        <v>571</v>
      </c>
      <c r="C187" s="2881"/>
      <c r="D187" s="3370" t="s">
        <v>453</v>
      </c>
      <c r="E187" s="2851"/>
      <c r="F187" s="2851"/>
      <c r="G187" s="2851"/>
      <c r="H187" s="2851"/>
      <c r="I187" s="2851"/>
      <c r="J187" s="2851"/>
      <c r="K187" s="2851"/>
      <c r="L187" s="2851"/>
      <c r="M187" s="2851"/>
      <c r="N187" s="2851"/>
      <c r="O187" s="2851"/>
      <c r="P187" s="2851"/>
      <c r="Q187" s="2851"/>
      <c r="R187" s="2851"/>
      <c r="S187" s="2851"/>
      <c r="T187" s="2851"/>
      <c r="U187" s="2851"/>
      <c r="V187" s="2851"/>
      <c r="W187" s="2851" t="s">
        <v>29</v>
      </c>
      <c r="X187" s="2851" t="s">
        <v>1882</v>
      </c>
      <c r="Y187" s="2851"/>
      <c r="Z187" s="2851" t="s">
        <v>29</v>
      </c>
      <c r="AA187" s="2851" t="s">
        <v>29</v>
      </c>
      <c r="AB187" s="2851" t="s">
        <v>29</v>
      </c>
      <c r="AC187" s="2851" t="s">
        <v>29</v>
      </c>
      <c r="AD187" s="2851"/>
      <c r="AE187" s="2851" t="s">
        <v>1882</v>
      </c>
      <c r="AF187" s="2851" t="s">
        <v>29</v>
      </c>
      <c r="AG187" s="2851" t="s">
        <v>29</v>
      </c>
      <c r="AH187" s="2851"/>
      <c r="AI187" s="2880">
        <f t="shared" si="31"/>
        <v>7</v>
      </c>
      <c r="AJ187" s="2880">
        <f t="shared" si="32"/>
        <v>2</v>
      </c>
      <c r="AK187" s="3060">
        <f t="shared" si="33"/>
        <v>0</v>
      </c>
      <c r="AL187" s="2853">
        <f t="shared" si="34"/>
        <v>0</v>
      </c>
      <c r="AM187" s="2880">
        <f t="shared" si="35"/>
        <v>9</v>
      </c>
      <c r="AN187" s="2854" t="e">
        <f>+VLOOKUP(C187,[1]Sheet1!$D$9:$E$122,2,0)</f>
        <v>#N/A</v>
      </c>
      <c r="AO187" s="2854" t="e">
        <f t="shared" si="36"/>
        <v>#N/A</v>
      </c>
      <c r="AP187" s="2746"/>
    </row>
    <row r="188" spans="1:44" ht="36.75" customHeight="1">
      <c r="A188" s="2851">
        <v>10</v>
      </c>
      <c r="B188" s="2812" t="s">
        <v>1219</v>
      </c>
      <c r="C188" s="2881"/>
      <c r="D188" s="3370" t="s">
        <v>453</v>
      </c>
      <c r="E188" s="2851"/>
      <c r="F188" s="2851"/>
      <c r="G188" s="2851"/>
      <c r="H188" s="2851"/>
      <c r="I188" s="2851"/>
      <c r="J188" s="2851"/>
      <c r="K188" s="2851"/>
      <c r="L188" s="2851" t="s">
        <v>29</v>
      </c>
      <c r="M188" s="2851" t="s">
        <v>29</v>
      </c>
      <c r="N188" s="2851"/>
      <c r="O188" s="2851"/>
      <c r="P188" s="2851"/>
      <c r="Q188" s="2851"/>
      <c r="R188" s="2851"/>
      <c r="S188" s="2851"/>
      <c r="T188" s="2851"/>
      <c r="U188" s="2851"/>
      <c r="V188" s="2851" t="s">
        <v>29</v>
      </c>
      <c r="W188" s="2851" t="s">
        <v>29</v>
      </c>
      <c r="X188" s="2851" t="s">
        <v>1882</v>
      </c>
      <c r="Y188" s="2851"/>
      <c r="Z188" s="2851" t="s">
        <v>29</v>
      </c>
      <c r="AA188" s="2851" t="s">
        <v>29</v>
      </c>
      <c r="AB188" s="2851" t="s">
        <v>29</v>
      </c>
      <c r="AC188" s="2851" t="s">
        <v>29</v>
      </c>
      <c r="AD188" s="2851" t="s">
        <v>29</v>
      </c>
      <c r="AE188" s="2851" t="s">
        <v>1882</v>
      </c>
      <c r="AF188" s="2851" t="s">
        <v>29</v>
      </c>
      <c r="AG188" s="2851" t="s">
        <v>29</v>
      </c>
      <c r="AH188" s="2851" t="s">
        <v>29</v>
      </c>
      <c r="AI188" s="2880">
        <f t="shared" si="31"/>
        <v>12</v>
      </c>
      <c r="AJ188" s="2880">
        <f t="shared" si="32"/>
        <v>2</v>
      </c>
      <c r="AK188" s="3060">
        <f t="shared" si="33"/>
        <v>0</v>
      </c>
      <c r="AL188" s="2853">
        <f t="shared" si="34"/>
        <v>0</v>
      </c>
      <c r="AM188" s="2880">
        <f t="shared" si="35"/>
        <v>14</v>
      </c>
      <c r="AN188" s="2854" t="e">
        <f>+VLOOKUP(C188,[1]Sheet1!$D$9:$E$122,2,0)</f>
        <v>#N/A</v>
      </c>
      <c r="AO188" s="2854" t="e">
        <f t="shared" si="36"/>
        <v>#N/A</v>
      </c>
      <c r="AP188" s="2746"/>
    </row>
    <row r="189" spans="1:44" ht="36.75" customHeight="1">
      <c r="A189" s="2861">
        <v>11</v>
      </c>
      <c r="B189" s="2812" t="s">
        <v>853</v>
      </c>
      <c r="C189" s="2881"/>
      <c r="D189" s="3370" t="s">
        <v>453</v>
      </c>
      <c r="E189" s="2851"/>
      <c r="F189" s="2851"/>
      <c r="G189" s="2851"/>
      <c r="H189" s="2851"/>
      <c r="I189" s="2851"/>
      <c r="J189" s="2851"/>
      <c r="K189" s="2851"/>
      <c r="L189" s="2851"/>
      <c r="M189" s="2851"/>
      <c r="N189" s="2851"/>
      <c r="O189" s="2851"/>
      <c r="P189" s="2851"/>
      <c r="Q189" s="2851"/>
      <c r="R189" s="2851"/>
      <c r="S189" s="2851"/>
      <c r="T189" s="2851"/>
      <c r="U189" s="2851"/>
      <c r="V189" s="2851"/>
      <c r="W189" s="2851"/>
      <c r="X189" s="2851"/>
      <c r="Y189" s="2851"/>
      <c r="Z189" s="2851"/>
      <c r="AA189" s="2851"/>
      <c r="AB189" s="2851" t="s">
        <v>29</v>
      </c>
      <c r="AC189" s="2851"/>
      <c r="AD189" s="2851"/>
      <c r="AE189" s="2851" t="s">
        <v>1882</v>
      </c>
      <c r="AF189" s="2851" t="s">
        <v>29</v>
      </c>
      <c r="AG189" s="2851" t="s">
        <v>29</v>
      </c>
      <c r="AH189" s="2851" t="s">
        <v>29</v>
      </c>
      <c r="AI189" s="2880">
        <f t="shared" si="31"/>
        <v>4</v>
      </c>
      <c r="AJ189" s="2880">
        <f t="shared" si="32"/>
        <v>1</v>
      </c>
      <c r="AK189" s="3060">
        <f t="shared" si="33"/>
        <v>0</v>
      </c>
      <c r="AL189" s="2853">
        <f t="shared" si="34"/>
        <v>0</v>
      </c>
      <c r="AM189" s="2880">
        <f t="shared" si="35"/>
        <v>5</v>
      </c>
      <c r="AN189" s="2854" t="e">
        <f>+VLOOKUP(C189,[1]Sheet1!$D$9:$E$122,2,0)</f>
        <v>#N/A</v>
      </c>
      <c r="AO189" s="2854" t="e">
        <f t="shared" si="36"/>
        <v>#N/A</v>
      </c>
      <c r="AP189" s="2746"/>
    </row>
    <row r="190" spans="1:44" ht="36.75" customHeight="1">
      <c r="A190" s="2851">
        <v>12</v>
      </c>
      <c r="B190" s="2812" t="s">
        <v>1220</v>
      </c>
      <c r="C190" s="2881"/>
      <c r="D190" s="3370" t="s">
        <v>453</v>
      </c>
      <c r="E190" s="2851"/>
      <c r="F190" s="2851"/>
      <c r="G190" s="2851"/>
      <c r="H190" s="2851"/>
      <c r="I190" s="2851" t="s">
        <v>29</v>
      </c>
      <c r="J190" s="2851"/>
      <c r="K190" s="2851"/>
      <c r="L190" s="2851" t="s">
        <v>29</v>
      </c>
      <c r="M190" s="2851" t="s">
        <v>29</v>
      </c>
      <c r="N190" s="2851"/>
      <c r="O190" s="2851"/>
      <c r="P190" s="2851"/>
      <c r="Q190" s="2851"/>
      <c r="R190" s="2851"/>
      <c r="S190" s="2851"/>
      <c r="T190" s="2851"/>
      <c r="U190" s="2851"/>
      <c r="V190" s="2851" t="s">
        <v>29</v>
      </c>
      <c r="W190" s="2851" t="s">
        <v>29</v>
      </c>
      <c r="X190" s="2851" t="s">
        <v>1882</v>
      </c>
      <c r="Y190" s="2851" t="s">
        <v>29</v>
      </c>
      <c r="Z190" s="2851" t="s">
        <v>29</v>
      </c>
      <c r="AA190" s="2851" t="s">
        <v>29</v>
      </c>
      <c r="AB190" s="2851" t="s">
        <v>29</v>
      </c>
      <c r="AC190" s="2851" t="s">
        <v>29</v>
      </c>
      <c r="AD190" s="2851" t="s">
        <v>29</v>
      </c>
      <c r="AE190" s="2851" t="s">
        <v>1882</v>
      </c>
      <c r="AF190" s="2851" t="s">
        <v>29</v>
      </c>
      <c r="AG190" s="2851" t="s">
        <v>29</v>
      </c>
      <c r="AH190" s="2851" t="s">
        <v>29</v>
      </c>
      <c r="AI190" s="2880">
        <f t="shared" si="31"/>
        <v>14</v>
      </c>
      <c r="AJ190" s="2880">
        <f t="shared" si="32"/>
        <v>2</v>
      </c>
      <c r="AK190" s="3060">
        <f t="shared" si="33"/>
        <v>0</v>
      </c>
      <c r="AL190" s="2853">
        <f t="shared" si="34"/>
        <v>0</v>
      </c>
      <c r="AM190" s="2880">
        <f t="shared" si="35"/>
        <v>16</v>
      </c>
      <c r="AN190" s="2854"/>
      <c r="AO190" s="2854"/>
      <c r="AP190" s="2746"/>
    </row>
    <row r="191" spans="1:44" ht="36.75" customHeight="1">
      <c r="A191" s="2861">
        <v>13</v>
      </c>
      <c r="B191" s="2812" t="s">
        <v>1221</v>
      </c>
      <c r="C191" s="2881"/>
      <c r="D191" s="3370" t="s">
        <v>453</v>
      </c>
      <c r="E191" s="2851"/>
      <c r="F191" s="2851"/>
      <c r="G191" s="2851"/>
      <c r="H191" s="2851"/>
      <c r="I191" s="2851"/>
      <c r="J191" s="2851"/>
      <c r="K191" s="2851" t="s">
        <v>29</v>
      </c>
      <c r="L191" s="2851" t="s">
        <v>29</v>
      </c>
      <c r="M191" s="2851" t="s">
        <v>29</v>
      </c>
      <c r="N191" s="2851"/>
      <c r="O191" s="2851"/>
      <c r="P191" s="2851"/>
      <c r="Q191" s="2851" t="s">
        <v>1882</v>
      </c>
      <c r="R191" s="2851"/>
      <c r="S191" s="2851"/>
      <c r="T191" s="2851"/>
      <c r="U191" s="2851"/>
      <c r="V191" s="2851"/>
      <c r="W191" s="2851"/>
      <c r="X191" s="2851" t="s">
        <v>1882</v>
      </c>
      <c r="Y191" s="2851"/>
      <c r="Z191" s="2851"/>
      <c r="AA191" s="2851" t="s">
        <v>29</v>
      </c>
      <c r="AB191" s="2851" t="s">
        <v>29</v>
      </c>
      <c r="AC191" s="2851" t="s">
        <v>29</v>
      </c>
      <c r="AD191" s="2851" t="s">
        <v>29</v>
      </c>
      <c r="AE191" s="2851" t="s">
        <v>1882</v>
      </c>
      <c r="AF191" s="2851" t="s">
        <v>29</v>
      </c>
      <c r="AG191" s="2851" t="s">
        <v>29</v>
      </c>
      <c r="AH191" s="2851" t="s">
        <v>29</v>
      </c>
      <c r="AI191" s="2880">
        <f t="shared" si="31"/>
        <v>10</v>
      </c>
      <c r="AJ191" s="2880">
        <f t="shared" si="32"/>
        <v>3</v>
      </c>
      <c r="AK191" s="3060">
        <f t="shared" si="33"/>
        <v>0</v>
      </c>
      <c r="AL191" s="2853">
        <f t="shared" si="34"/>
        <v>0</v>
      </c>
      <c r="AM191" s="2880">
        <f t="shared" si="35"/>
        <v>13</v>
      </c>
      <c r="AN191" s="2854"/>
      <c r="AO191" s="2854"/>
      <c r="AP191" s="2746"/>
    </row>
    <row r="192" spans="1:44" ht="36.75" customHeight="1">
      <c r="A192" s="2851">
        <v>14</v>
      </c>
      <c r="B192" s="2812" t="s">
        <v>1222</v>
      </c>
      <c r="C192" s="2881"/>
      <c r="D192" s="3370" t="s">
        <v>453</v>
      </c>
      <c r="E192" s="2851"/>
      <c r="F192" s="2851"/>
      <c r="G192" s="2851"/>
      <c r="H192" s="2851"/>
      <c r="I192" s="2851"/>
      <c r="J192" s="2851"/>
      <c r="K192" s="2851"/>
      <c r="L192" s="2851"/>
      <c r="M192" s="2851"/>
      <c r="N192" s="2851"/>
      <c r="O192" s="2851"/>
      <c r="P192" s="2851"/>
      <c r="Q192" s="2851"/>
      <c r="R192" s="2851"/>
      <c r="S192" s="2851"/>
      <c r="T192" s="2851"/>
      <c r="U192" s="2851"/>
      <c r="V192" s="2851"/>
      <c r="W192" s="2851" t="s">
        <v>29</v>
      </c>
      <c r="X192" s="2851" t="s">
        <v>1882</v>
      </c>
      <c r="Y192" s="2851"/>
      <c r="Z192" s="2851"/>
      <c r="AA192" s="2851"/>
      <c r="AB192" s="2851"/>
      <c r="AC192" s="2851"/>
      <c r="AD192" s="2851"/>
      <c r="AE192" s="2851"/>
      <c r="AF192" s="2851" t="s">
        <v>29</v>
      </c>
      <c r="AG192" s="2851" t="s">
        <v>29</v>
      </c>
      <c r="AH192" s="2851" t="s">
        <v>29</v>
      </c>
      <c r="AI192" s="2880">
        <f t="shared" si="31"/>
        <v>4</v>
      </c>
      <c r="AJ192" s="2880">
        <f t="shared" si="32"/>
        <v>1</v>
      </c>
      <c r="AK192" s="3060">
        <f t="shared" si="33"/>
        <v>0</v>
      </c>
      <c r="AL192" s="2853">
        <f t="shared" si="34"/>
        <v>0</v>
      </c>
      <c r="AM192" s="2880">
        <f t="shared" si="35"/>
        <v>5</v>
      </c>
      <c r="AN192" s="2854"/>
      <c r="AO192" s="2854"/>
      <c r="AP192" s="2746"/>
    </row>
    <row r="193" spans="1:42" ht="36.75" customHeight="1">
      <c r="A193" s="2861">
        <v>15</v>
      </c>
      <c r="B193" s="2812" t="s">
        <v>1223</v>
      </c>
      <c r="C193" s="2881"/>
      <c r="D193" s="3370" t="s">
        <v>453</v>
      </c>
      <c r="E193" s="2851"/>
      <c r="F193" s="2851"/>
      <c r="G193" s="2851"/>
      <c r="H193" s="2851"/>
      <c r="I193" s="2851"/>
      <c r="J193" s="2851"/>
      <c r="K193" s="2851" t="s">
        <v>29</v>
      </c>
      <c r="L193" s="2851"/>
      <c r="M193" s="2851"/>
      <c r="N193" s="2851"/>
      <c r="O193" s="2851"/>
      <c r="P193" s="2851"/>
      <c r="Q193" s="2851"/>
      <c r="R193" s="2851"/>
      <c r="S193" s="2851"/>
      <c r="T193" s="2851"/>
      <c r="U193" s="2851"/>
      <c r="V193" s="2851"/>
      <c r="W193" s="2851" t="s">
        <v>29</v>
      </c>
      <c r="X193" s="2851" t="s">
        <v>1882</v>
      </c>
      <c r="Y193" s="2851" t="s">
        <v>29</v>
      </c>
      <c r="Z193" s="2851" t="s">
        <v>29</v>
      </c>
      <c r="AA193" s="2851" t="s">
        <v>29</v>
      </c>
      <c r="AB193" s="2851" t="s">
        <v>29</v>
      </c>
      <c r="AC193" s="2851" t="s">
        <v>29</v>
      </c>
      <c r="AD193" s="2851" t="s">
        <v>29</v>
      </c>
      <c r="AE193" s="2851" t="s">
        <v>1882</v>
      </c>
      <c r="AF193" s="2851" t="s">
        <v>29</v>
      </c>
      <c r="AG193" s="2851" t="s">
        <v>29</v>
      </c>
      <c r="AH193" s="2851" t="s">
        <v>29</v>
      </c>
      <c r="AI193" s="2880">
        <f t="shared" si="31"/>
        <v>11</v>
      </c>
      <c r="AJ193" s="2880">
        <f t="shared" si="32"/>
        <v>2</v>
      </c>
      <c r="AK193" s="3060">
        <f t="shared" si="33"/>
        <v>0</v>
      </c>
      <c r="AL193" s="2853">
        <f t="shared" si="34"/>
        <v>0</v>
      </c>
      <c r="AM193" s="2880">
        <f t="shared" si="35"/>
        <v>13</v>
      </c>
      <c r="AN193" s="2854"/>
      <c r="AO193" s="2854"/>
      <c r="AP193" s="2746"/>
    </row>
    <row r="194" spans="1:42" ht="36.75" customHeight="1">
      <c r="A194" s="2851">
        <v>16</v>
      </c>
      <c r="B194" s="2812" t="s">
        <v>1224</v>
      </c>
      <c r="C194" s="2881"/>
      <c r="D194" s="3370" t="s">
        <v>453</v>
      </c>
      <c r="E194" s="2851"/>
      <c r="F194" s="2851"/>
      <c r="G194" s="2851"/>
      <c r="H194" s="2851"/>
      <c r="I194" s="2851"/>
      <c r="J194" s="2851"/>
      <c r="K194" s="2851"/>
      <c r="L194" s="2851"/>
      <c r="M194" s="2851"/>
      <c r="N194" s="2851"/>
      <c r="O194" s="2851"/>
      <c r="P194" s="2851"/>
      <c r="Q194" s="2851"/>
      <c r="R194" s="2851"/>
      <c r="S194" s="2851"/>
      <c r="T194" s="2851"/>
      <c r="U194" s="2851"/>
      <c r="V194" s="2851"/>
      <c r="W194" s="2851"/>
      <c r="X194" s="2851"/>
      <c r="Y194" s="2851"/>
      <c r="Z194" s="2851"/>
      <c r="AA194" s="2851" t="s">
        <v>29</v>
      </c>
      <c r="AB194" s="2851" t="s">
        <v>29</v>
      </c>
      <c r="AC194" s="2851"/>
      <c r="AD194" s="2851"/>
      <c r="AE194" s="2851" t="s">
        <v>1882</v>
      </c>
      <c r="AF194" s="2851" t="s">
        <v>29</v>
      </c>
      <c r="AG194" s="2851" t="s">
        <v>29</v>
      </c>
      <c r="AH194" s="2851" t="s">
        <v>29</v>
      </c>
      <c r="AI194" s="2880">
        <f t="shared" si="31"/>
        <v>5</v>
      </c>
      <c r="AJ194" s="2880">
        <f t="shared" si="32"/>
        <v>1</v>
      </c>
      <c r="AK194" s="3060">
        <f t="shared" si="33"/>
        <v>0</v>
      </c>
      <c r="AL194" s="2853">
        <f t="shared" si="34"/>
        <v>0</v>
      </c>
      <c r="AM194" s="2880">
        <f t="shared" si="35"/>
        <v>6</v>
      </c>
      <c r="AN194" s="2854"/>
      <c r="AO194" s="2854"/>
      <c r="AP194" s="2746"/>
    </row>
    <row r="195" spans="1:42" ht="36.75" customHeight="1">
      <c r="A195" s="2861">
        <v>17</v>
      </c>
      <c r="B195" s="2812" t="s">
        <v>1546</v>
      </c>
      <c r="C195" s="2881"/>
      <c r="D195" s="3370" t="s">
        <v>453</v>
      </c>
      <c r="E195" s="2851"/>
      <c r="F195" s="2851"/>
      <c r="G195" s="2851"/>
      <c r="H195" s="2851"/>
      <c r="I195" s="2851"/>
      <c r="J195" s="2851"/>
      <c r="K195" s="2851"/>
      <c r="L195" s="2851"/>
      <c r="M195" s="2851"/>
      <c r="N195" s="2851"/>
      <c r="O195" s="2851"/>
      <c r="P195" s="2851"/>
      <c r="Q195" s="2851"/>
      <c r="R195" s="2851"/>
      <c r="S195" s="2851"/>
      <c r="T195" s="2851"/>
      <c r="U195" s="2851"/>
      <c r="V195" s="2851" t="s">
        <v>29</v>
      </c>
      <c r="W195" s="2851" t="s">
        <v>29</v>
      </c>
      <c r="X195" s="2851" t="s">
        <v>1882</v>
      </c>
      <c r="Y195" s="2851" t="s">
        <v>29</v>
      </c>
      <c r="Z195" s="2851" t="s">
        <v>29</v>
      </c>
      <c r="AA195" s="2851" t="s">
        <v>29</v>
      </c>
      <c r="AB195" s="2851" t="s">
        <v>29</v>
      </c>
      <c r="AC195" s="2851" t="s">
        <v>29</v>
      </c>
      <c r="AD195" s="2851" t="s">
        <v>29</v>
      </c>
      <c r="AE195" s="2851" t="s">
        <v>1882</v>
      </c>
      <c r="AF195" s="2851" t="s">
        <v>29</v>
      </c>
      <c r="AG195" s="2851" t="s">
        <v>29</v>
      </c>
      <c r="AH195" s="2851" t="s">
        <v>29</v>
      </c>
      <c r="AI195" s="2880">
        <f t="shared" si="31"/>
        <v>11</v>
      </c>
      <c r="AJ195" s="2880">
        <f t="shared" si="32"/>
        <v>2</v>
      </c>
      <c r="AK195" s="3060">
        <f t="shared" si="33"/>
        <v>0</v>
      </c>
      <c r="AL195" s="2853">
        <f t="shared" si="34"/>
        <v>0</v>
      </c>
      <c r="AM195" s="2880">
        <f t="shared" si="35"/>
        <v>13</v>
      </c>
      <c r="AN195" s="2854"/>
      <c r="AO195" s="2854"/>
      <c r="AP195" s="2746"/>
    </row>
    <row r="196" spans="1:42" ht="36.75" customHeight="1">
      <c r="A196" s="2851">
        <v>18</v>
      </c>
      <c r="B196" s="2812" t="s">
        <v>1226</v>
      </c>
      <c r="C196" s="2881"/>
      <c r="D196" s="3370" t="s">
        <v>453</v>
      </c>
      <c r="E196" s="2851"/>
      <c r="F196" s="2851"/>
      <c r="G196" s="2851"/>
      <c r="H196" s="2851"/>
      <c r="I196" s="2851"/>
      <c r="J196" s="2851"/>
      <c r="K196" s="2851"/>
      <c r="L196" s="2851"/>
      <c r="M196" s="2851"/>
      <c r="N196" s="2851"/>
      <c r="O196" s="2851"/>
      <c r="P196" s="2851"/>
      <c r="Q196" s="2851"/>
      <c r="R196" s="2851"/>
      <c r="S196" s="2851"/>
      <c r="T196" s="2851"/>
      <c r="U196" s="2851" t="s">
        <v>29</v>
      </c>
      <c r="V196" s="2851" t="s">
        <v>29</v>
      </c>
      <c r="W196" s="2851" t="s">
        <v>29</v>
      </c>
      <c r="X196" s="2851" t="s">
        <v>1882</v>
      </c>
      <c r="Y196" s="2851" t="s">
        <v>29</v>
      </c>
      <c r="Z196" s="2851" t="s">
        <v>29</v>
      </c>
      <c r="AA196" s="2851" t="s">
        <v>29</v>
      </c>
      <c r="AB196" s="2851" t="s">
        <v>29</v>
      </c>
      <c r="AC196" s="2851" t="s">
        <v>29</v>
      </c>
      <c r="AD196" s="2851"/>
      <c r="AE196" s="2851" t="s">
        <v>1882</v>
      </c>
      <c r="AF196" s="2851" t="s">
        <v>29</v>
      </c>
      <c r="AG196" s="2851" t="s">
        <v>29</v>
      </c>
      <c r="AH196" s="2851" t="s">
        <v>29</v>
      </c>
      <c r="AI196" s="2880">
        <f t="shared" si="31"/>
        <v>11</v>
      </c>
      <c r="AJ196" s="2880">
        <f t="shared" si="32"/>
        <v>2</v>
      </c>
      <c r="AK196" s="3060">
        <f t="shared" si="33"/>
        <v>0</v>
      </c>
      <c r="AL196" s="2853">
        <f t="shared" si="34"/>
        <v>0</v>
      </c>
      <c r="AM196" s="2880">
        <f t="shared" si="35"/>
        <v>13</v>
      </c>
      <c r="AN196" s="2854"/>
      <c r="AO196" s="2854"/>
      <c r="AP196" s="2746"/>
    </row>
    <row r="197" spans="1:42" ht="36.75" customHeight="1">
      <c r="A197" s="2861">
        <v>19</v>
      </c>
      <c r="B197" s="2812" t="s">
        <v>861</v>
      </c>
      <c r="C197" s="2881"/>
      <c r="D197" s="3370" t="s">
        <v>453</v>
      </c>
      <c r="E197" s="2851"/>
      <c r="F197" s="2851"/>
      <c r="G197" s="2851"/>
      <c r="H197" s="2851"/>
      <c r="I197" s="2851"/>
      <c r="J197" s="2851"/>
      <c r="K197" s="2851"/>
      <c r="L197" s="2851"/>
      <c r="M197" s="2851"/>
      <c r="N197" s="2851"/>
      <c r="O197" s="2851"/>
      <c r="P197" s="2851"/>
      <c r="Q197" s="2851"/>
      <c r="R197" s="2851"/>
      <c r="S197" s="2851"/>
      <c r="T197" s="2851"/>
      <c r="U197" s="2851"/>
      <c r="V197" s="2851" t="s">
        <v>29</v>
      </c>
      <c r="W197" s="2851"/>
      <c r="X197" s="2851"/>
      <c r="Y197" s="2851"/>
      <c r="Z197" s="2851"/>
      <c r="AA197" s="2851"/>
      <c r="AB197" s="2851" t="s">
        <v>29</v>
      </c>
      <c r="AC197" s="2851" t="s">
        <v>29</v>
      </c>
      <c r="AD197" s="2851" t="s">
        <v>29</v>
      </c>
      <c r="AE197" s="2851" t="s">
        <v>1882</v>
      </c>
      <c r="AF197" s="2851" t="s">
        <v>29</v>
      </c>
      <c r="AG197" s="2851"/>
      <c r="AH197" s="2851" t="s">
        <v>29</v>
      </c>
      <c r="AI197" s="2880">
        <f t="shared" si="31"/>
        <v>6</v>
      </c>
      <c r="AJ197" s="2880">
        <f t="shared" si="32"/>
        <v>1</v>
      </c>
      <c r="AK197" s="3060">
        <f t="shared" si="33"/>
        <v>0</v>
      </c>
      <c r="AL197" s="2853">
        <f t="shared" si="34"/>
        <v>0</v>
      </c>
      <c r="AM197" s="2880">
        <f t="shared" si="35"/>
        <v>7</v>
      </c>
      <c r="AN197" s="2854"/>
      <c r="AO197" s="2854"/>
      <c r="AP197" s="2746"/>
    </row>
    <row r="198" spans="1:42" ht="36.75" customHeight="1">
      <c r="A198" s="2851">
        <v>20</v>
      </c>
      <c r="B198" s="2812" t="s">
        <v>486</v>
      </c>
      <c r="C198" s="2881"/>
      <c r="D198" s="3370" t="s">
        <v>453</v>
      </c>
      <c r="E198" s="2851"/>
      <c r="F198" s="2851"/>
      <c r="G198" s="2851"/>
      <c r="H198" s="2851"/>
      <c r="I198" s="2851"/>
      <c r="J198" s="2851"/>
      <c r="K198" s="2851"/>
      <c r="L198" s="2851"/>
      <c r="M198" s="2851"/>
      <c r="N198" s="2851"/>
      <c r="O198" s="2851"/>
      <c r="P198" s="2851"/>
      <c r="Q198" s="2851"/>
      <c r="R198" s="2851"/>
      <c r="S198" s="2851"/>
      <c r="T198" s="2851"/>
      <c r="U198" s="2851"/>
      <c r="V198" s="2851"/>
      <c r="W198" s="2851" t="s">
        <v>29</v>
      </c>
      <c r="X198" s="2851" t="s">
        <v>1882</v>
      </c>
      <c r="Y198" s="2851" t="s">
        <v>29</v>
      </c>
      <c r="Z198" s="2851" t="s">
        <v>29</v>
      </c>
      <c r="AA198" s="2851" t="s">
        <v>29</v>
      </c>
      <c r="AB198" s="2851" t="s">
        <v>29</v>
      </c>
      <c r="AC198" s="2851" t="s">
        <v>29</v>
      </c>
      <c r="AD198" s="2851" t="s">
        <v>29</v>
      </c>
      <c r="AE198" s="2851" t="s">
        <v>1882</v>
      </c>
      <c r="AF198" s="2851" t="s">
        <v>29</v>
      </c>
      <c r="AG198" s="2851" t="s">
        <v>29</v>
      </c>
      <c r="AH198" s="2851" t="s">
        <v>29</v>
      </c>
      <c r="AI198" s="2880">
        <f t="shared" si="31"/>
        <v>10</v>
      </c>
      <c r="AJ198" s="2880">
        <f t="shared" si="32"/>
        <v>2</v>
      </c>
      <c r="AK198" s="3060">
        <f t="shared" si="33"/>
        <v>0</v>
      </c>
      <c r="AL198" s="2853">
        <f t="shared" si="34"/>
        <v>0</v>
      </c>
      <c r="AM198" s="2880">
        <f t="shared" si="35"/>
        <v>12</v>
      </c>
      <c r="AN198" s="2854" t="e">
        <f>+VLOOKUP(C198,[1]Sheet1!$D$9:$E$122,2,0)</f>
        <v>#N/A</v>
      </c>
      <c r="AO198" s="2854" t="e">
        <f>+IF(AN198=B198,"0","1")</f>
        <v>#N/A</v>
      </c>
      <c r="AP198" s="2746"/>
    </row>
    <row r="199" spans="1:42" ht="36.75" customHeight="1">
      <c r="A199" s="2861">
        <v>21</v>
      </c>
      <c r="B199" s="2812" t="s">
        <v>836</v>
      </c>
      <c r="C199" s="2881"/>
      <c r="D199" s="3370" t="s">
        <v>453</v>
      </c>
      <c r="E199" s="2851"/>
      <c r="F199" s="2851"/>
      <c r="G199" s="2851"/>
      <c r="H199" s="2851"/>
      <c r="I199" s="2851"/>
      <c r="J199" s="2851"/>
      <c r="K199" s="2851"/>
      <c r="L199" s="2851"/>
      <c r="M199" s="2851"/>
      <c r="N199" s="2851"/>
      <c r="O199" s="2851"/>
      <c r="P199" s="2851"/>
      <c r="Q199" s="2851"/>
      <c r="R199" s="2851"/>
      <c r="S199" s="2851"/>
      <c r="T199" s="2851"/>
      <c r="U199" s="2851"/>
      <c r="V199" s="2851"/>
      <c r="W199" s="2851"/>
      <c r="X199" s="2851"/>
      <c r="Y199" s="2851"/>
      <c r="Z199" s="2851"/>
      <c r="AA199" s="2851" t="s">
        <v>29</v>
      </c>
      <c r="AB199" s="2851"/>
      <c r="AC199" s="2851"/>
      <c r="AD199" s="2851"/>
      <c r="AE199" s="2851"/>
      <c r="AF199" s="2851"/>
      <c r="AG199" s="2851"/>
      <c r="AH199" s="2851"/>
      <c r="AI199" s="2880">
        <f t="shared" si="31"/>
        <v>1</v>
      </c>
      <c r="AJ199" s="2880">
        <f t="shared" si="32"/>
        <v>0</v>
      </c>
      <c r="AK199" s="3060">
        <f t="shared" si="33"/>
        <v>0</v>
      </c>
      <c r="AL199" s="2853">
        <f t="shared" si="34"/>
        <v>0</v>
      </c>
      <c r="AM199" s="2880">
        <f t="shared" si="35"/>
        <v>1</v>
      </c>
      <c r="AN199" s="2854" t="e">
        <f>+VLOOKUP(C199,[1]Sheet1!$D$9:$E$122,2,0)</f>
        <v>#N/A</v>
      </c>
      <c r="AO199" s="2854" t="e">
        <f>+IF(AN199=B199,"0","1")</f>
        <v>#N/A</v>
      </c>
      <c r="AP199" s="2746"/>
    </row>
    <row r="200" spans="1:42" ht="36.75" customHeight="1">
      <c r="A200" s="2851">
        <v>22</v>
      </c>
      <c r="B200" s="2865" t="s">
        <v>1227</v>
      </c>
      <c r="C200" s="2851"/>
      <c r="D200" s="3370" t="s">
        <v>453</v>
      </c>
      <c r="E200" s="2851"/>
      <c r="F200" s="2851"/>
      <c r="G200" s="2851"/>
      <c r="H200" s="2851"/>
      <c r="I200" s="2851"/>
      <c r="J200" s="2851"/>
      <c r="K200" s="2851" t="s">
        <v>29</v>
      </c>
      <c r="L200" s="2851"/>
      <c r="M200" s="2851"/>
      <c r="N200" s="2851"/>
      <c r="O200" s="2851"/>
      <c r="P200" s="2851"/>
      <c r="Q200" s="2851"/>
      <c r="R200" s="2851"/>
      <c r="S200" s="2851"/>
      <c r="T200" s="2851"/>
      <c r="U200" s="2851"/>
      <c r="V200" s="2851"/>
      <c r="W200" s="2851"/>
      <c r="X200" s="2851" t="s">
        <v>1882</v>
      </c>
      <c r="Y200" s="2851" t="s">
        <v>29</v>
      </c>
      <c r="Z200" s="2851" t="s">
        <v>29</v>
      </c>
      <c r="AA200" s="2851" t="s">
        <v>29</v>
      </c>
      <c r="AB200" s="2851" t="s">
        <v>29</v>
      </c>
      <c r="AC200" s="2851" t="s">
        <v>29</v>
      </c>
      <c r="AD200" s="2851" t="s">
        <v>29</v>
      </c>
      <c r="AE200" s="2851" t="s">
        <v>1882</v>
      </c>
      <c r="AF200" s="2851" t="s">
        <v>29</v>
      </c>
      <c r="AG200" s="2851" t="s">
        <v>29</v>
      </c>
      <c r="AH200" s="2851" t="s">
        <v>29</v>
      </c>
      <c r="AI200" s="2880">
        <f t="shared" si="31"/>
        <v>10</v>
      </c>
      <c r="AJ200" s="2880">
        <f t="shared" si="32"/>
        <v>2</v>
      </c>
      <c r="AK200" s="3060">
        <f t="shared" si="33"/>
        <v>0</v>
      </c>
      <c r="AL200" s="2853">
        <f t="shared" si="34"/>
        <v>0</v>
      </c>
      <c r="AM200" s="2880">
        <f t="shared" si="35"/>
        <v>12</v>
      </c>
      <c r="AN200" s="2854"/>
      <c r="AO200" s="2854"/>
      <c r="AP200" s="2746"/>
    </row>
    <row r="201" spans="1:42" ht="36.75" customHeight="1">
      <c r="A201" s="2861">
        <v>23</v>
      </c>
      <c r="B201" s="2865" t="s">
        <v>1228</v>
      </c>
      <c r="C201" s="2851"/>
      <c r="D201" s="3370" t="s">
        <v>453</v>
      </c>
      <c r="E201" s="2851"/>
      <c r="F201" s="2851"/>
      <c r="G201" s="2851"/>
      <c r="H201" s="2851"/>
      <c r="I201" s="2851"/>
      <c r="J201" s="2851"/>
      <c r="K201" s="2851"/>
      <c r="L201" s="2851"/>
      <c r="M201" s="2851"/>
      <c r="N201" s="2851"/>
      <c r="O201" s="2851"/>
      <c r="P201" s="2851"/>
      <c r="Q201" s="2851"/>
      <c r="R201" s="2851"/>
      <c r="S201" s="2851"/>
      <c r="T201" s="2851"/>
      <c r="U201" s="2851" t="s">
        <v>29</v>
      </c>
      <c r="V201" s="2851" t="s">
        <v>29</v>
      </c>
      <c r="W201" s="2851" t="s">
        <v>29</v>
      </c>
      <c r="X201" s="2851" t="s">
        <v>1882</v>
      </c>
      <c r="Y201" s="2851"/>
      <c r="Z201" s="2851" t="s">
        <v>29</v>
      </c>
      <c r="AA201" s="2851" t="s">
        <v>29</v>
      </c>
      <c r="AB201" s="2851" t="s">
        <v>29</v>
      </c>
      <c r="AC201" s="2851" t="s">
        <v>29</v>
      </c>
      <c r="AD201" s="2851" t="s">
        <v>29</v>
      </c>
      <c r="AE201" s="2851" t="s">
        <v>1882</v>
      </c>
      <c r="AF201" s="2851" t="s">
        <v>29</v>
      </c>
      <c r="AG201" s="2851" t="s">
        <v>29</v>
      </c>
      <c r="AH201" s="2851" t="s">
        <v>29</v>
      </c>
      <c r="AI201" s="2880">
        <f t="shared" si="31"/>
        <v>11</v>
      </c>
      <c r="AJ201" s="2880">
        <f t="shared" si="32"/>
        <v>2</v>
      </c>
      <c r="AK201" s="3060">
        <f t="shared" si="33"/>
        <v>0</v>
      </c>
      <c r="AL201" s="2853">
        <f t="shared" si="34"/>
        <v>0</v>
      </c>
      <c r="AM201" s="2880">
        <f t="shared" si="35"/>
        <v>13</v>
      </c>
      <c r="AN201" s="2854"/>
      <c r="AO201" s="2854"/>
      <c r="AP201" s="2746"/>
    </row>
    <row r="202" spans="1:42" ht="36.75" customHeight="1">
      <c r="A202" s="2851">
        <v>24</v>
      </c>
      <c r="B202" s="2865" t="s">
        <v>1229</v>
      </c>
      <c r="C202" s="2883"/>
      <c r="D202" s="3370" t="s">
        <v>453</v>
      </c>
      <c r="E202" s="2851"/>
      <c r="F202" s="2851"/>
      <c r="G202" s="2851"/>
      <c r="H202" s="2851"/>
      <c r="I202" s="2851"/>
      <c r="J202" s="2851"/>
      <c r="K202" s="2851"/>
      <c r="L202" s="2851"/>
      <c r="M202" s="2851"/>
      <c r="N202" s="2851"/>
      <c r="O202" s="2851"/>
      <c r="P202" s="2851"/>
      <c r="Q202" s="2851"/>
      <c r="R202" s="2851"/>
      <c r="S202" s="2851"/>
      <c r="T202" s="2851"/>
      <c r="U202" s="2851"/>
      <c r="V202" s="2851" t="s">
        <v>29</v>
      </c>
      <c r="W202" s="2851"/>
      <c r="X202" s="2851" t="s">
        <v>1882</v>
      </c>
      <c r="Y202" s="2851"/>
      <c r="Z202" s="2851"/>
      <c r="AA202" s="2851" t="s">
        <v>29</v>
      </c>
      <c r="AB202" s="2851" t="s">
        <v>29</v>
      </c>
      <c r="AC202" s="2851"/>
      <c r="AD202" s="2851" t="s">
        <v>29</v>
      </c>
      <c r="AE202" s="2851" t="s">
        <v>1882</v>
      </c>
      <c r="AF202" s="2851" t="s">
        <v>29</v>
      </c>
      <c r="AG202" s="2851"/>
      <c r="AH202" s="2851" t="s">
        <v>29</v>
      </c>
      <c r="AI202" s="2880">
        <f t="shared" si="31"/>
        <v>6</v>
      </c>
      <c r="AJ202" s="2880">
        <f t="shared" si="32"/>
        <v>2</v>
      </c>
      <c r="AK202" s="3060">
        <f t="shared" si="33"/>
        <v>0</v>
      </c>
      <c r="AL202" s="2853">
        <f t="shared" si="34"/>
        <v>0</v>
      </c>
      <c r="AM202" s="2880">
        <f t="shared" si="35"/>
        <v>8</v>
      </c>
      <c r="AN202" s="2884"/>
      <c r="AO202" s="2884"/>
      <c r="AP202" s="3500"/>
    </row>
    <row r="203" spans="1:42" ht="36.75" customHeight="1">
      <c r="A203" s="2861">
        <v>25</v>
      </c>
      <c r="B203" s="2865" t="s">
        <v>1518</v>
      </c>
      <c r="C203" s="2883"/>
      <c r="D203" s="3370" t="s">
        <v>453</v>
      </c>
      <c r="E203" s="2851"/>
      <c r="F203" s="2851"/>
      <c r="G203" s="2851"/>
      <c r="H203" s="2851"/>
      <c r="I203" s="2851"/>
      <c r="J203" s="2851"/>
      <c r="K203" s="2851"/>
      <c r="L203" s="2851"/>
      <c r="M203" s="2851"/>
      <c r="N203" s="2851"/>
      <c r="O203" s="2851"/>
      <c r="P203" s="2851"/>
      <c r="Q203" s="2851" t="s">
        <v>1882</v>
      </c>
      <c r="R203" s="2851"/>
      <c r="S203" s="2851"/>
      <c r="T203" s="2851"/>
      <c r="U203" s="2851"/>
      <c r="V203" s="2851"/>
      <c r="W203" s="2851"/>
      <c r="X203" s="2851" t="s">
        <v>1882</v>
      </c>
      <c r="Y203" s="2851" t="s">
        <v>29</v>
      </c>
      <c r="Z203" s="2851" t="s">
        <v>29</v>
      </c>
      <c r="AA203" s="2851" t="s">
        <v>29</v>
      </c>
      <c r="AB203" s="2851" t="s">
        <v>29</v>
      </c>
      <c r="AC203" s="2851" t="s">
        <v>29</v>
      </c>
      <c r="AD203" s="2851" t="s">
        <v>29</v>
      </c>
      <c r="AE203" s="2851" t="s">
        <v>1882</v>
      </c>
      <c r="AF203" s="2851" t="s">
        <v>29</v>
      </c>
      <c r="AG203" s="2851" t="s">
        <v>29</v>
      </c>
      <c r="AH203" s="2851" t="s">
        <v>29</v>
      </c>
      <c r="AI203" s="2880">
        <f t="shared" si="31"/>
        <v>9</v>
      </c>
      <c r="AJ203" s="2880">
        <f t="shared" si="32"/>
        <v>3</v>
      </c>
      <c r="AK203" s="3060">
        <f t="shared" si="33"/>
        <v>0</v>
      </c>
      <c r="AL203" s="2853">
        <f t="shared" si="34"/>
        <v>0</v>
      </c>
      <c r="AM203" s="2880">
        <f t="shared" si="35"/>
        <v>12</v>
      </c>
      <c r="AN203" s="2884"/>
      <c r="AO203" s="2884"/>
      <c r="AP203" s="3500"/>
    </row>
    <row r="204" spans="1:42" ht="36.75" customHeight="1">
      <c r="A204" s="2851">
        <v>26</v>
      </c>
      <c r="B204" s="2865" t="s">
        <v>1519</v>
      </c>
      <c r="C204" s="2883"/>
      <c r="D204" s="3370" t="s">
        <v>453</v>
      </c>
      <c r="E204" s="2851"/>
      <c r="F204" s="2851"/>
      <c r="G204" s="2851"/>
      <c r="H204" s="2851"/>
      <c r="I204" s="2851"/>
      <c r="J204" s="2851"/>
      <c r="K204" s="2851" t="s">
        <v>29</v>
      </c>
      <c r="L204" s="2851"/>
      <c r="M204" s="2851"/>
      <c r="N204" s="2851"/>
      <c r="O204" s="2851"/>
      <c r="P204" s="2851"/>
      <c r="Q204" s="2851"/>
      <c r="R204" s="2851"/>
      <c r="S204" s="2851"/>
      <c r="T204" s="2851"/>
      <c r="U204" s="2851" t="s">
        <v>29</v>
      </c>
      <c r="V204" s="2851" t="s">
        <v>29</v>
      </c>
      <c r="W204" s="2851" t="s">
        <v>29</v>
      </c>
      <c r="X204" s="2851"/>
      <c r="Y204" s="2851"/>
      <c r="Z204" s="2851"/>
      <c r="AA204" s="2851" t="s">
        <v>29</v>
      </c>
      <c r="AB204" s="2851" t="s">
        <v>29</v>
      </c>
      <c r="AC204" s="2851" t="s">
        <v>29</v>
      </c>
      <c r="AD204" s="2851" t="s">
        <v>29</v>
      </c>
      <c r="AE204" s="2851" t="s">
        <v>1882</v>
      </c>
      <c r="AF204" s="2851" t="s">
        <v>29</v>
      </c>
      <c r="AG204" s="2851" t="s">
        <v>29</v>
      </c>
      <c r="AH204" s="2851" t="s">
        <v>29</v>
      </c>
      <c r="AI204" s="2880">
        <f t="shared" si="31"/>
        <v>11</v>
      </c>
      <c r="AJ204" s="2880">
        <f t="shared" si="32"/>
        <v>1</v>
      </c>
      <c r="AK204" s="3060">
        <f t="shared" si="33"/>
        <v>0</v>
      </c>
      <c r="AL204" s="2853">
        <f t="shared" si="34"/>
        <v>0</v>
      </c>
      <c r="AM204" s="2880">
        <f t="shared" si="35"/>
        <v>12</v>
      </c>
      <c r="AN204" s="2884"/>
      <c r="AO204" s="2884"/>
      <c r="AP204" s="3500"/>
    </row>
    <row r="205" spans="1:42" ht="36.75" customHeight="1">
      <c r="A205" s="2861">
        <v>27</v>
      </c>
      <c r="B205" s="2865" t="s">
        <v>1520</v>
      </c>
      <c r="C205" s="2883"/>
      <c r="D205" s="3370" t="s">
        <v>453</v>
      </c>
      <c r="E205" s="2851"/>
      <c r="F205" s="2851"/>
      <c r="G205" s="2851"/>
      <c r="H205" s="2851"/>
      <c r="I205" s="2851"/>
      <c r="J205" s="2851"/>
      <c r="K205" s="2851" t="s">
        <v>29</v>
      </c>
      <c r="L205" s="2851"/>
      <c r="M205" s="2851"/>
      <c r="N205" s="2851"/>
      <c r="O205" s="2851"/>
      <c r="P205" s="2851"/>
      <c r="Q205" s="2851" t="s">
        <v>1882</v>
      </c>
      <c r="R205" s="2851"/>
      <c r="S205" s="2851"/>
      <c r="T205" s="2851"/>
      <c r="U205" s="2851" t="s">
        <v>29</v>
      </c>
      <c r="V205" s="2851"/>
      <c r="W205" s="2851" t="s">
        <v>29</v>
      </c>
      <c r="X205" s="2851"/>
      <c r="Y205" s="2851" t="s">
        <v>29</v>
      </c>
      <c r="Z205" s="2851" t="s">
        <v>29</v>
      </c>
      <c r="AA205" s="2851" t="s">
        <v>29</v>
      </c>
      <c r="AB205" s="2851" t="s">
        <v>29</v>
      </c>
      <c r="AC205" s="2851" t="s">
        <v>29</v>
      </c>
      <c r="AD205" s="2851" t="s">
        <v>29</v>
      </c>
      <c r="AE205" s="2851" t="s">
        <v>1882</v>
      </c>
      <c r="AF205" s="2851" t="s">
        <v>29</v>
      </c>
      <c r="AG205" s="2851" t="s">
        <v>29</v>
      </c>
      <c r="AH205" s="2851" t="s">
        <v>29</v>
      </c>
      <c r="AI205" s="2880">
        <f t="shared" si="31"/>
        <v>12</v>
      </c>
      <c r="AJ205" s="2880">
        <f t="shared" si="32"/>
        <v>2</v>
      </c>
      <c r="AK205" s="3060">
        <f t="shared" si="33"/>
        <v>0</v>
      </c>
      <c r="AL205" s="2853">
        <f t="shared" si="34"/>
        <v>0</v>
      </c>
      <c r="AM205" s="2880">
        <f t="shared" si="35"/>
        <v>14</v>
      </c>
      <c r="AN205" s="2884"/>
      <c r="AO205" s="2884"/>
      <c r="AP205" s="3500"/>
    </row>
    <row r="206" spans="1:42" ht="36.75" customHeight="1">
      <c r="A206" s="2851">
        <v>28</v>
      </c>
      <c r="B206" s="2865" t="s">
        <v>1521</v>
      </c>
      <c r="C206" s="2883"/>
      <c r="D206" s="3370" t="s">
        <v>453</v>
      </c>
      <c r="E206" s="2851"/>
      <c r="F206" s="2851"/>
      <c r="G206" s="2851"/>
      <c r="H206" s="2851"/>
      <c r="I206" s="2851"/>
      <c r="J206" s="2851"/>
      <c r="K206" s="2851"/>
      <c r="L206" s="2851"/>
      <c r="M206" s="2851"/>
      <c r="N206" s="2851"/>
      <c r="O206" s="2851"/>
      <c r="P206" s="2851"/>
      <c r="Q206" s="2851"/>
      <c r="R206" s="2851"/>
      <c r="S206" s="2851"/>
      <c r="T206" s="2851"/>
      <c r="U206" s="2851"/>
      <c r="V206" s="2851"/>
      <c r="W206" s="2851" t="s">
        <v>29</v>
      </c>
      <c r="X206" s="2851" t="s">
        <v>1882</v>
      </c>
      <c r="Y206" s="2851"/>
      <c r="Z206" s="2851"/>
      <c r="AA206" s="2851" t="s">
        <v>29</v>
      </c>
      <c r="AB206" s="2851" t="s">
        <v>29</v>
      </c>
      <c r="AC206" s="2851" t="s">
        <v>29</v>
      </c>
      <c r="AD206" s="2851" t="s">
        <v>29</v>
      </c>
      <c r="AE206" s="2851" t="s">
        <v>1882</v>
      </c>
      <c r="AF206" s="2851" t="s">
        <v>29</v>
      </c>
      <c r="AG206" s="2851" t="s">
        <v>29</v>
      </c>
      <c r="AH206" s="2851" t="s">
        <v>29</v>
      </c>
      <c r="AI206" s="2880">
        <f t="shared" si="31"/>
        <v>8</v>
      </c>
      <c r="AJ206" s="2880">
        <f t="shared" si="32"/>
        <v>2</v>
      </c>
      <c r="AK206" s="3060">
        <f t="shared" si="33"/>
        <v>0</v>
      </c>
      <c r="AL206" s="2853">
        <f t="shared" si="34"/>
        <v>0</v>
      </c>
      <c r="AM206" s="2880">
        <f t="shared" si="35"/>
        <v>10</v>
      </c>
      <c r="AN206" s="2884"/>
      <c r="AO206" s="2884"/>
      <c r="AP206" s="3500"/>
    </row>
    <row r="207" spans="1:42" ht="36.75" customHeight="1">
      <c r="A207" s="2861">
        <v>29</v>
      </c>
      <c r="B207" s="2865" t="s">
        <v>1522</v>
      </c>
      <c r="C207" s="2883"/>
      <c r="D207" s="3370" t="s">
        <v>453</v>
      </c>
      <c r="E207" s="2851"/>
      <c r="F207" s="2851"/>
      <c r="G207" s="2851"/>
      <c r="H207" s="2851"/>
      <c r="I207" s="2851"/>
      <c r="J207" s="2851"/>
      <c r="K207" s="2851"/>
      <c r="L207" s="2851"/>
      <c r="M207" s="2851" t="s">
        <v>29</v>
      </c>
      <c r="N207" s="2851" t="s">
        <v>29</v>
      </c>
      <c r="O207" s="2851" t="s">
        <v>29</v>
      </c>
      <c r="P207" s="2851"/>
      <c r="Q207" s="2851" t="s">
        <v>1882</v>
      </c>
      <c r="R207" s="2851"/>
      <c r="S207" s="2851"/>
      <c r="T207" s="2851"/>
      <c r="U207" s="2851"/>
      <c r="V207" s="2851"/>
      <c r="W207" s="2851" t="s">
        <v>29</v>
      </c>
      <c r="X207" s="2851" t="s">
        <v>1882</v>
      </c>
      <c r="Y207" s="2851"/>
      <c r="Z207" s="2851" t="s">
        <v>29</v>
      </c>
      <c r="AA207" s="2851" t="s">
        <v>29</v>
      </c>
      <c r="AB207" s="2851" t="s">
        <v>29</v>
      </c>
      <c r="AC207" s="2851" t="s">
        <v>29</v>
      </c>
      <c r="AD207" s="2851" t="s">
        <v>29</v>
      </c>
      <c r="AE207" s="2851" t="s">
        <v>1882</v>
      </c>
      <c r="AF207" s="2851" t="s">
        <v>29</v>
      </c>
      <c r="AG207" s="2851" t="s">
        <v>29</v>
      </c>
      <c r="AH207" s="2851" t="s">
        <v>29</v>
      </c>
      <c r="AI207" s="2880">
        <f t="shared" si="31"/>
        <v>12</v>
      </c>
      <c r="AJ207" s="2880">
        <f t="shared" si="32"/>
        <v>3</v>
      </c>
      <c r="AK207" s="3060">
        <f t="shared" si="33"/>
        <v>0</v>
      </c>
      <c r="AL207" s="2853">
        <f t="shared" si="34"/>
        <v>0</v>
      </c>
      <c r="AM207" s="2880">
        <f t="shared" si="35"/>
        <v>15</v>
      </c>
      <c r="AN207" s="2884"/>
      <c r="AO207" s="2884"/>
      <c r="AP207" s="3500"/>
    </row>
    <row r="208" spans="1:42" ht="36.75" customHeight="1">
      <c r="A208" s="2851">
        <v>30</v>
      </c>
      <c r="B208" s="2865" t="s">
        <v>1230</v>
      </c>
      <c r="C208" s="2883"/>
      <c r="D208" s="3370" t="s">
        <v>453</v>
      </c>
      <c r="E208" s="2851"/>
      <c r="F208" s="2851"/>
      <c r="G208" s="2851"/>
      <c r="H208" s="2851"/>
      <c r="I208" s="2851" t="s">
        <v>29</v>
      </c>
      <c r="J208" s="2851"/>
      <c r="K208" s="2851" t="s">
        <v>29</v>
      </c>
      <c r="L208" s="2851" t="s">
        <v>29</v>
      </c>
      <c r="M208" s="2851" t="s">
        <v>29</v>
      </c>
      <c r="N208" s="2851" t="s">
        <v>29</v>
      </c>
      <c r="O208" s="2851" t="s">
        <v>29</v>
      </c>
      <c r="P208" s="2851"/>
      <c r="Q208" s="2851" t="s">
        <v>1882</v>
      </c>
      <c r="R208" s="2851"/>
      <c r="S208" s="2851"/>
      <c r="T208" s="2851"/>
      <c r="U208" s="2851"/>
      <c r="V208" s="2851" t="s">
        <v>29</v>
      </c>
      <c r="W208" s="2851"/>
      <c r="X208" s="2851"/>
      <c r="Y208" s="2851" t="s">
        <v>29</v>
      </c>
      <c r="Z208" s="2851" t="s">
        <v>29</v>
      </c>
      <c r="AA208" s="2851" t="s">
        <v>29</v>
      </c>
      <c r="AB208" s="2851" t="s">
        <v>29</v>
      </c>
      <c r="AC208" s="2851"/>
      <c r="AD208" s="2851" t="s">
        <v>29</v>
      </c>
      <c r="AE208" s="2851" t="s">
        <v>1882</v>
      </c>
      <c r="AF208" s="2851" t="s">
        <v>29</v>
      </c>
      <c r="AG208" s="2851" t="s">
        <v>29</v>
      </c>
      <c r="AH208" s="2851" t="s">
        <v>29</v>
      </c>
      <c r="AI208" s="2880">
        <f t="shared" si="31"/>
        <v>15</v>
      </c>
      <c r="AJ208" s="2880">
        <f t="shared" si="32"/>
        <v>2</v>
      </c>
      <c r="AK208" s="3060">
        <f t="shared" si="33"/>
        <v>0</v>
      </c>
      <c r="AL208" s="2853">
        <f t="shared" si="34"/>
        <v>0</v>
      </c>
      <c r="AM208" s="2880">
        <f t="shared" si="35"/>
        <v>17</v>
      </c>
      <c r="AN208" s="2884"/>
      <c r="AO208" s="2884"/>
      <c r="AP208" s="2885"/>
    </row>
    <row r="209" spans="1:44" ht="36.75" customHeight="1">
      <c r="A209" s="3913" t="s">
        <v>453</v>
      </c>
      <c r="B209" s="3914"/>
      <c r="C209" s="2886"/>
      <c r="D209" s="3371"/>
      <c r="E209" s="2867">
        <f t="shared" ref="E209:AH209" si="37">COUNTIF(E179:E208,"X")+COUNTIF(E179:E208,"cn")+COUNTIF(E179:E208,"D")+COUNTIF(E179:E208,"DCN")</f>
        <v>0</v>
      </c>
      <c r="F209" s="2867">
        <f t="shared" si="37"/>
        <v>0</v>
      </c>
      <c r="G209" s="2867">
        <f t="shared" si="37"/>
        <v>0</v>
      </c>
      <c r="H209" s="2867">
        <f t="shared" si="37"/>
        <v>0</v>
      </c>
      <c r="I209" s="2867">
        <f t="shared" si="37"/>
        <v>3</v>
      </c>
      <c r="J209" s="2867">
        <f t="shared" si="37"/>
        <v>0</v>
      </c>
      <c r="K209" s="2867">
        <f t="shared" si="37"/>
        <v>9</v>
      </c>
      <c r="L209" s="2867">
        <f t="shared" si="37"/>
        <v>8</v>
      </c>
      <c r="M209" s="2867">
        <f t="shared" si="37"/>
        <v>7</v>
      </c>
      <c r="N209" s="2867">
        <f>COUNTIF(N179:N208,"X")+COUNTIF(N179:N208,"cn")+COUNTIF(N179:N208,"D")+COUNTIF(N179:N208,"DCN")</f>
        <v>2</v>
      </c>
      <c r="O209" s="2867">
        <f t="shared" si="37"/>
        <v>3</v>
      </c>
      <c r="P209" s="2867">
        <f t="shared" si="37"/>
        <v>0</v>
      </c>
      <c r="Q209" s="2867">
        <f t="shared" si="37"/>
        <v>5</v>
      </c>
      <c r="R209" s="2867">
        <f t="shared" si="37"/>
        <v>0</v>
      </c>
      <c r="S209" s="2867">
        <f t="shared" si="37"/>
        <v>0</v>
      </c>
      <c r="T209" s="2867">
        <f t="shared" si="37"/>
        <v>0</v>
      </c>
      <c r="U209" s="2867">
        <f t="shared" si="37"/>
        <v>7</v>
      </c>
      <c r="V209" s="2867">
        <f t="shared" si="37"/>
        <v>12</v>
      </c>
      <c r="W209" s="2867">
        <f t="shared" si="37"/>
        <v>17</v>
      </c>
      <c r="X209" s="2867">
        <f t="shared" si="37"/>
        <v>19</v>
      </c>
      <c r="Y209" s="2867">
        <f t="shared" si="37"/>
        <v>12</v>
      </c>
      <c r="Z209" s="2867">
        <f t="shared" si="37"/>
        <v>18</v>
      </c>
      <c r="AA209" s="2867">
        <f t="shared" si="37"/>
        <v>25</v>
      </c>
      <c r="AB209" s="2867">
        <f t="shared" si="37"/>
        <v>26</v>
      </c>
      <c r="AC209" s="2867">
        <f t="shared" si="37"/>
        <v>20</v>
      </c>
      <c r="AD209" s="2867">
        <f t="shared" si="37"/>
        <v>23</v>
      </c>
      <c r="AE209" s="2867">
        <f t="shared" si="37"/>
        <v>27</v>
      </c>
      <c r="AF209" s="2867">
        <f t="shared" si="37"/>
        <v>29</v>
      </c>
      <c r="AG209" s="2867">
        <f t="shared" si="37"/>
        <v>24</v>
      </c>
      <c r="AH209" s="2867">
        <f t="shared" si="37"/>
        <v>26</v>
      </c>
      <c r="AI209" s="3661">
        <f>SUBTOTAL(9,AI179:AI208)</f>
        <v>271</v>
      </c>
      <c r="AJ209" s="3661">
        <f>SUBTOTAL(9,AJ179:AJ208)</f>
        <v>51</v>
      </c>
      <c r="AK209" s="3661">
        <f>SUBTOTAL(9,AK179:AK208)</f>
        <v>0</v>
      </c>
      <c r="AL209" s="3661">
        <f>SUBTOTAL(9,AL179:AL208)</f>
        <v>0</v>
      </c>
      <c r="AM209" s="3661">
        <f>SUBTOTAL(9,AM179:AM208)</f>
        <v>322</v>
      </c>
      <c r="AP209" s="2888"/>
    </row>
    <row r="210" spans="1:44" ht="36.75" customHeight="1">
      <c r="A210" s="3915" t="s">
        <v>61</v>
      </c>
      <c r="B210" s="3916"/>
      <c r="C210" s="2889"/>
      <c r="D210" s="3372"/>
      <c r="E210" s="3179">
        <f t="shared" ref="E210:AM210" si="38">+E209+E178+E153+E90+E46</f>
        <v>0</v>
      </c>
      <c r="F210" s="3179">
        <f t="shared" si="38"/>
        <v>0</v>
      </c>
      <c r="G210" s="3179">
        <f t="shared" si="38"/>
        <v>0</v>
      </c>
      <c r="H210" s="3179">
        <f t="shared" si="38"/>
        <v>0</v>
      </c>
      <c r="I210" s="3179">
        <f t="shared" si="38"/>
        <v>3</v>
      </c>
      <c r="J210" s="3179">
        <f t="shared" si="38"/>
        <v>0</v>
      </c>
      <c r="K210" s="3179">
        <f t="shared" si="38"/>
        <v>9</v>
      </c>
      <c r="L210" s="3179">
        <f t="shared" si="38"/>
        <v>8</v>
      </c>
      <c r="M210" s="3179">
        <f t="shared" si="38"/>
        <v>7</v>
      </c>
      <c r="N210" s="3179">
        <f t="shared" si="38"/>
        <v>50</v>
      </c>
      <c r="O210" s="3179">
        <f t="shared" si="38"/>
        <v>67</v>
      </c>
      <c r="P210" s="3179">
        <f t="shared" si="38"/>
        <v>67</v>
      </c>
      <c r="Q210" s="3179">
        <f t="shared" si="38"/>
        <v>109</v>
      </c>
      <c r="R210" s="3179">
        <f t="shared" si="38"/>
        <v>0</v>
      </c>
      <c r="S210" s="3179">
        <f t="shared" si="38"/>
        <v>0</v>
      </c>
      <c r="T210" s="3179">
        <f t="shared" si="38"/>
        <v>0</v>
      </c>
      <c r="U210" s="3179">
        <f t="shared" si="38"/>
        <v>134</v>
      </c>
      <c r="V210" s="3179">
        <f t="shared" si="38"/>
        <v>138</v>
      </c>
      <c r="W210" s="3179">
        <f t="shared" si="38"/>
        <v>160</v>
      </c>
      <c r="X210" s="3179">
        <f t="shared" si="38"/>
        <v>162</v>
      </c>
      <c r="Y210" s="3179">
        <f t="shared" si="38"/>
        <v>159</v>
      </c>
      <c r="Z210" s="3179">
        <f t="shared" si="38"/>
        <v>173</v>
      </c>
      <c r="AA210" s="3179">
        <f t="shared" si="38"/>
        <v>178</v>
      </c>
      <c r="AB210" s="3179">
        <f t="shared" si="38"/>
        <v>181</v>
      </c>
      <c r="AC210" s="3179">
        <f t="shared" si="38"/>
        <v>173</v>
      </c>
      <c r="AD210" s="3179">
        <f t="shared" si="38"/>
        <v>176</v>
      </c>
      <c r="AE210" s="3179">
        <f t="shared" si="38"/>
        <v>179</v>
      </c>
      <c r="AF210" s="3179">
        <f t="shared" si="38"/>
        <v>186</v>
      </c>
      <c r="AG210" s="3179">
        <f t="shared" si="38"/>
        <v>178</v>
      </c>
      <c r="AH210" s="3179">
        <f t="shared" si="38"/>
        <v>184</v>
      </c>
      <c r="AI210" s="3391">
        <f t="shared" si="38"/>
        <v>2231</v>
      </c>
      <c r="AJ210" s="3391">
        <f t="shared" si="38"/>
        <v>450</v>
      </c>
      <c r="AK210" s="3391">
        <f t="shared" si="38"/>
        <v>0</v>
      </c>
      <c r="AL210" s="3391">
        <f t="shared" si="38"/>
        <v>0</v>
      </c>
      <c r="AM210" s="3391">
        <f t="shared" si="38"/>
        <v>2681</v>
      </c>
      <c r="AN210" s="2890" t="e">
        <f>SUBTOTAL(9,AN12:AN209)</f>
        <v>#N/A</v>
      </c>
      <c r="AO210" s="2891" t="e">
        <f>SUBTOTAL(9,AO12:AO209)</f>
        <v>#N/A</v>
      </c>
      <c r="AP210" s="2856"/>
      <c r="AQ210" s="3485">
        <v>2697</v>
      </c>
      <c r="AR210" s="3485"/>
    </row>
    <row r="211" spans="1:44" ht="15" customHeight="1">
      <c r="A211" s="3922" t="s">
        <v>92</v>
      </c>
      <c r="B211" s="3922"/>
      <c r="D211" s="3493" t="s">
        <v>29</v>
      </c>
      <c r="E211" s="3917" t="s">
        <v>2108</v>
      </c>
      <c r="F211" s="3917"/>
      <c r="G211" s="3917"/>
      <c r="H211" s="3917"/>
      <c r="I211" s="3917"/>
      <c r="J211" s="3917"/>
      <c r="K211" s="3917"/>
      <c r="W211" s="2870"/>
      <c r="AF211" s="3918" t="s">
        <v>2296</v>
      </c>
      <c r="AG211" s="3918"/>
      <c r="AH211" s="3918"/>
      <c r="AI211" s="3918"/>
      <c r="AJ211" s="3918"/>
      <c r="AK211" s="3918"/>
      <c r="AL211" s="3918"/>
      <c r="AM211" s="3918"/>
      <c r="AN211" s="3918"/>
      <c r="AO211" s="3918"/>
      <c r="AP211" s="3918"/>
      <c r="AQ211" s="3178"/>
      <c r="AR211" s="3178"/>
    </row>
    <row r="212" spans="1:44" ht="15" customHeight="1">
      <c r="D212" s="3493"/>
      <c r="E212" s="3919"/>
      <c r="F212" s="3919"/>
      <c r="G212" s="3919"/>
      <c r="H212" s="3919"/>
      <c r="I212" s="3919"/>
      <c r="J212" s="3919"/>
      <c r="K212" s="3919"/>
      <c r="AQ212" s="3485"/>
      <c r="AR212" s="3485"/>
    </row>
    <row r="213" spans="1:44" ht="10.5" customHeight="1">
      <c r="E213" s="3919"/>
      <c r="F213" s="3919"/>
      <c r="G213" s="3919"/>
      <c r="H213" s="3919"/>
      <c r="I213" s="3919"/>
      <c r="J213" s="3919"/>
      <c r="K213" s="3919"/>
      <c r="L213" s="2892"/>
      <c r="M213" s="2892"/>
      <c r="N213" s="2892"/>
      <c r="O213" s="2892"/>
      <c r="P213" s="2892"/>
      <c r="Q213" s="2892"/>
      <c r="R213" s="2892"/>
      <c r="S213" s="2892"/>
      <c r="T213" s="2892"/>
      <c r="U213" s="2892"/>
      <c r="V213" s="2892"/>
      <c r="W213" s="2892"/>
      <c r="X213" s="2892"/>
      <c r="Y213" s="2892"/>
      <c r="Z213" s="2892"/>
      <c r="AA213" s="2892"/>
      <c r="AB213" s="2892"/>
      <c r="AC213" s="2892"/>
      <c r="AD213" s="2892"/>
      <c r="AE213" s="2892"/>
      <c r="AF213" s="2892"/>
      <c r="AP213" s="2870"/>
      <c r="AQ213" s="3485"/>
      <c r="AR213" s="3485"/>
    </row>
    <row r="214" spans="1:44">
      <c r="A214" s="3920" t="s">
        <v>84</v>
      </c>
      <c r="B214" s="3920"/>
      <c r="C214" s="3920"/>
      <c r="D214" s="3920"/>
      <c r="E214" s="3920"/>
      <c r="F214" s="3920"/>
      <c r="G214" s="3921" t="s">
        <v>1884</v>
      </c>
      <c r="H214" s="3921"/>
      <c r="I214" s="3921"/>
      <c r="J214" s="3921"/>
      <c r="K214" s="3921"/>
      <c r="L214" s="3921"/>
      <c r="M214" s="3920" t="s">
        <v>1362</v>
      </c>
      <c r="N214" s="3920"/>
      <c r="O214" s="3920"/>
      <c r="P214" s="3920"/>
      <c r="Q214" s="3920"/>
      <c r="R214" s="3772"/>
      <c r="S214" s="3921" t="s">
        <v>20</v>
      </c>
      <c r="T214" s="3921"/>
      <c r="U214" s="3921"/>
      <c r="V214" s="3921"/>
      <c r="W214" s="3921"/>
      <c r="X214" s="3921" t="s">
        <v>1874</v>
      </c>
      <c r="Y214" s="3921"/>
      <c r="Z214" s="3921"/>
      <c r="AA214" s="3921"/>
      <c r="AB214" s="3921"/>
      <c r="AC214" s="3923" t="s">
        <v>1885</v>
      </c>
      <c r="AD214" s="3923"/>
      <c r="AE214" s="3923"/>
      <c r="AF214" s="3923"/>
      <c r="AG214" s="3923"/>
      <c r="AH214" s="3923"/>
      <c r="AI214" s="3921" t="s">
        <v>21</v>
      </c>
      <c r="AJ214" s="3921"/>
      <c r="AK214" s="3921"/>
      <c r="AL214" s="3921"/>
      <c r="AM214" s="3921"/>
      <c r="AN214" s="3921"/>
      <c r="AO214" s="3921"/>
      <c r="AP214" s="3921"/>
      <c r="AR214" s="3360"/>
    </row>
    <row r="215" spans="1:44">
      <c r="G215" s="2850"/>
      <c r="H215" s="2850"/>
      <c r="I215" s="2850"/>
      <c r="J215" s="2850"/>
      <c r="K215" s="2850"/>
      <c r="L215" s="2850"/>
      <c r="M215" s="2850"/>
      <c r="N215" s="2850"/>
      <c r="O215" s="2850"/>
      <c r="P215" s="2850"/>
      <c r="Q215" s="2850"/>
      <c r="R215" s="2850"/>
      <c r="S215" s="2850"/>
      <c r="T215" s="2850"/>
      <c r="U215" s="2850"/>
      <c r="V215" s="2850"/>
      <c r="W215" s="2850"/>
      <c r="X215" s="2850"/>
      <c r="Y215" s="2850"/>
      <c r="Z215" s="2850"/>
      <c r="AA215" s="2850"/>
      <c r="AB215" s="2850"/>
      <c r="AC215" s="2850"/>
      <c r="AD215" s="2850"/>
      <c r="AE215" s="2850"/>
      <c r="AF215" s="2850"/>
      <c r="AG215" s="2850"/>
      <c r="AH215" s="2850"/>
      <c r="AI215" s="3526"/>
      <c r="AJ215" s="3526"/>
      <c r="AK215" s="3526"/>
      <c r="AL215" s="3526"/>
      <c r="AM215" s="3526"/>
    </row>
    <row r="216" spans="1:44">
      <c r="AL216" s="3526"/>
      <c r="AM216" s="3184"/>
    </row>
    <row r="217" spans="1:44">
      <c r="E217" s="2870"/>
      <c r="AJ217" s="3527"/>
      <c r="AL217" s="3526"/>
      <c r="AM217" s="3526"/>
    </row>
    <row r="218" spans="1:44" ht="69" customHeight="1">
      <c r="J218" s="2870"/>
      <c r="AI218" s="2846"/>
      <c r="AJ218" s="2846"/>
      <c r="AK218" s="2846"/>
      <c r="AL218" s="3526"/>
      <c r="AM218" s="3526"/>
      <c r="AR218" s="3361"/>
    </row>
    <row r="219" spans="1:44">
      <c r="AL219" s="3526"/>
      <c r="AM219" s="3526"/>
    </row>
    <row r="220" spans="1:44">
      <c r="AL220" s="3526"/>
      <c r="AM220" s="3526"/>
    </row>
    <row r="221" spans="1:44">
      <c r="AL221" s="3526"/>
      <c r="AM221" s="3526"/>
    </row>
    <row r="222" spans="1:44">
      <c r="AL222" s="3526"/>
      <c r="AM222" s="3526"/>
    </row>
    <row r="223" spans="1:44">
      <c r="D223" s="3373"/>
      <c r="AL223" s="3526"/>
      <c r="AM223" s="3526"/>
      <c r="AN223" s="3062"/>
      <c r="AO223" s="3062"/>
      <c r="AP223" s="3062"/>
    </row>
    <row r="224" spans="1:44">
      <c r="D224" s="3373"/>
      <c r="AL224" s="3526"/>
      <c r="AM224" s="3526"/>
      <c r="AN224" s="3062"/>
      <c r="AO224" s="3062"/>
      <c r="AP224" s="3062"/>
    </row>
    <row r="225" spans="4:42">
      <c r="AL225" s="3526"/>
      <c r="AM225" s="3526"/>
      <c r="AN225" s="3062"/>
      <c r="AO225" s="3062"/>
      <c r="AP225" s="3062"/>
    </row>
    <row r="226" spans="4:42">
      <c r="AL226" s="3185">
        <f>+AL210+AL223</f>
        <v>0</v>
      </c>
      <c r="AM226" s="3526"/>
      <c r="AN226" s="3062"/>
      <c r="AO226" s="3062"/>
      <c r="AP226" s="3062"/>
    </row>
    <row r="227" spans="4:42">
      <c r="AL227" s="3063"/>
      <c r="AM227" s="3063"/>
      <c r="AN227" s="3062"/>
      <c r="AO227" s="3062"/>
      <c r="AP227" s="3062"/>
    </row>
    <row r="228" spans="4:42">
      <c r="AM228" s="2846"/>
    </row>
    <row r="229" spans="4:42">
      <c r="AM229" s="2846"/>
    </row>
    <row r="230" spans="4:42">
      <c r="D230" s="2846"/>
      <c r="AI230" s="2846"/>
      <c r="AJ230" s="2846"/>
      <c r="AK230" s="2846"/>
      <c r="AL230" s="2846"/>
      <c r="AM230" s="2846"/>
    </row>
  </sheetData>
  <autoFilter ref="A11:AR11"/>
  <mergeCells count="35">
    <mergeCell ref="E211:K211"/>
    <mergeCell ref="AF211:AP211"/>
    <mergeCell ref="E212:K212"/>
    <mergeCell ref="E213:K213"/>
    <mergeCell ref="A214:F214"/>
    <mergeCell ref="G214:L214"/>
    <mergeCell ref="AI214:AP214"/>
    <mergeCell ref="A211:B211"/>
    <mergeCell ref="M214:Q214"/>
    <mergeCell ref="S214:W214"/>
    <mergeCell ref="X214:AB214"/>
    <mergeCell ref="AC214:AH214"/>
    <mergeCell ref="A90:B90"/>
    <mergeCell ref="A153:B153"/>
    <mergeCell ref="A178:B178"/>
    <mergeCell ref="A209:B209"/>
    <mergeCell ref="A210:B210"/>
    <mergeCell ref="A46:D46"/>
    <mergeCell ref="A10:A11"/>
    <mergeCell ref="B10:B11"/>
    <mergeCell ref="C10:C11"/>
    <mergeCell ref="D10:D11"/>
    <mergeCell ref="E10:AH10"/>
    <mergeCell ref="AI10:AI11"/>
    <mergeCell ref="A1:AP1"/>
    <mergeCell ref="A2:AP2"/>
    <mergeCell ref="A3:AP3"/>
    <mergeCell ref="A4:G4"/>
    <mergeCell ref="A5:G5"/>
    <mergeCell ref="A8:AM8"/>
    <mergeCell ref="AJ10:AJ11"/>
    <mergeCell ref="AK10:AK11"/>
    <mergeCell ref="AL10:AL11"/>
    <mergeCell ref="AM10:AM11"/>
    <mergeCell ref="AP10:AP11"/>
  </mergeCells>
  <pageMargins left="0.19685039370078741" right="0.19685039370078741" top="0.74803149606299213" bottom="0.31496062992125984" header="0.31496062992125984" footer="0.31496062992125984"/>
  <pageSetup paperSize="9" scale="58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38"/>
  <sheetViews>
    <sheetView showGridLines="0" topLeftCell="K4" zoomScaleNormal="100" zoomScaleSheetLayoutView="78" workbookViewId="0">
      <pane ySplit="8" topLeftCell="A19" activePane="bottomLeft" state="frozen"/>
      <selection activeCell="A4" sqref="A4"/>
      <selection pane="bottomLeft" activeCell="AA26" sqref="AA26"/>
    </sheetView>
  </sheetViews>
  <sheetFormatPr defaultColWidth="9.140625" defaultRowHeight="16.5"/>
  <cols>
    <col min="1" max="1" width="4.140625" style="2846" customWidth="1"/>
    <col min="2" max="2" width="22.28515625" style="2846" customWidth="1"/>
    <col min="3" max="3" width="34" style="2846" hidden="1" customWidth="1"/>
    <col min="4" max="4" width="6.5703125" style="3363" customWidth="1"/>
    <col min="5" max="9" width="5.7109375" style="2846" customWidth="1"/>
    <col min="10" max="10" width="6.140625" style="2846" customWidth="1"/>
    <col min="11" max="14" width="5.7109375" style="2846" customWidth="1"/>
    <col min="15" max="15" width="5.5703125" style="2846" customWidth="1"/>
    <col min="16" max="18" width="5.7109375" style="2846" customWidth="1"/>
    <col min="19" max="19" width="5.85546875" style="2846" customWidth="1"/>
    <col min="20" max="20" width="6.140625" style="2846" customWidth="1"/>
    <col min="21" max="22" width="6.5703125" style="2846" customWidth="1"/>
    <col min="23" max="23" width="6.28515625" style="2846" customWidth="1"/>
    <col min="24" max="24" width="6.42578125" style="2846" customWidth="1"/>
    <col min="25" max="25" width="5.85546875" style="2846" customWidth="1"/>
    <col min="26" max="26" width="5.5703125" style="2846" customWidth="1"/>
    <col min="27" max="27" width="6.140625" style="2846" customWidth="1"/>
    <col min="28" max="28" width="6.42578125" style="2846" customWidth="1"/>
    <col min="29" max="29" width="6.140625" style="2846" customWidth="1"/>
    <col min="30" max="30" width="6.5703125" style="2846" customWidth="1"/>
    <col min="31" max="31" width="5.85546875" style="2846" customWidth="1"/>
    <col min="32" max="32" width="5.7109375" style="2846" customWidth="1"/>
    <col min="33" max="33" width="5.85546875" style="2846" customWidth="1"/>
    <col min="34" max="34" width="6.140625" style="2846" customWidth="1"/>
    <col min="35" max="35" width="7.42578125" style="3550" customWidth="1"/>
    <col min="36" max="36" width="7.5703125" style="3550" hidden="1" customWidth="1"/>
    <col min="37" max="37" width="8.42578125" style="3550" hidden="1" customWidth="1"/>
    <col min="38" max="38" width="11.5703125" style="3550" customWidth="1"/>
    <col min="39" max="39" width="9.140625" style="2846" hidden="1" customWidth="1"/>
    <col min="40" max="40" width="0.42578125" style="2846" hidden="1" customWidth="1"/>
    <col min="41" max="41" width="15.28515625" style="2846" customWidth="1"/>
    <col min="42" max="42" width="10.5703125" style="2846" bestFit="1" customWidth="1"/>
    <col min="43" max="43" width="19.140625" style="2846" bestFit="1" customWidth="1"/>
    <col min="44" max="16384" width="9.140625" style="2846"/>
  </cols>
  <sheetData>
    <row r="1" spans="1:41">
      <c r="A1" s="3899" t="s">
        <v>23</v>
      </c>
      <c r="B1" s="3899"/>
      <c r="C1" s="3899"/>
      <c r="D1" s="3899"/>
      <c r="E1" s="3899"/>
      <c r="F1" s="3899"/>
      <c r="G1" s="3899"/>
      <c r="H1" s="3899"/>
      <c r="I1" s="3899"/>
      <c r="J1" s="3899"/>
      <c r="K1" s="3899"/>
      <c r="L1" s="3899"/>
      <c r="M1" s="3899"/>
      <c r="N1" s="3899"/>
      <c r="O1" s="3899"/>
      <c r="P1" s="3899"/>
      <c r="Q1" s="3899"/>
      <c r="R1" s="3899"/>
      <c r="S1" s="3899"/>
      <c r="T1" s="3899"/>
      <c r="U1" s="3899"/>
      <c r="V1" s="3899"/>
      <c r="W1" s="3899"/>
      <c r="X1" s="3899"/>
      <c r="Y1" s="3899"/>
      <c r="Z1" s="3899"/>
      <c r="AA1" s="3899"/>
      <c r="AB1" s="3899"/>
      <c r="AC1" s="3899"/>
      <c r="AD1" s="3899"/>
      <c r="AE1" s="3899"/>
      <c r="AF1" s="3899"/>
      <c r="AG1" s="3899"/>
      <c r="AH1" s="3899"/>
      <c r="AI1" s="3899"/>
      <c r="AJ1" s="3899"/>
      <c r="AK1" s="3899"/>
      <c r="AL1" s="3899"/>
      <c r="AM1" s="3899"/>
      <c r="AN1" s="3899"/>
      <c r="AO1" s="3899"/>
    </row>
    <row r="2" spans="1:41">
      <c r="A2" s="3899" t="s">
        <v>45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3899"/>
      <c r="O2" s="3899"/>
      <c r="P2" s="3899"/>
      <c r="Q2" s="3899"/>
      <c r="R2" s="3899"/>
      <c r="S2" s="3899"/>
      <c r="T2" s="3899"/>
      <c r="U2" s="3899"/>
      <c r="V2" s="3899"/>
      <c r="W2" s="3899"/>
      <c r="X2" s="3899"/>
      <c r="Y2" s="3899"/>
      <c r="Z2" s="3899"/>
      <c r="AA2" s="3899"/>
      <c r="AB2" s="3899"/>
      <c r="AC2" s="3899"/>
      <c r="AD2" s="3899"/>
      <c r="AE2" s="3899"/>
      <c r="AF2" s="3899"/>
      <c r="AG2" s="3899"/>
      <c r="AH2" s="3899"/>
      <c r="AI2" s="3899"/>
      <c r="AJ2" s="3899"/>
      <c r="AK2" s="3899"/>
      <c r="AL2" s="3899"/>
      <c r="AM2" s="3899"/>
      <c r="AN2" s="3899"/>
      <c r="AO2" s="3899"/>
    </row>
    <row r="3" spans="1:41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  <c r="R3" s="3900"/>
      <c r="S3" s="3900"/>
      <c r="T3" s="3900"/>
      <c r="U3" s="3900"/>
      <c r="V3" s="3900"/>
      <c r="W3" s="3900"/>
      <c r="X3" s="3900"/>
      <c r="Y3" s="3900"/>
      <c r="Z3" s="3900"/>
      <c r="AA3" s="3900"/>
      <c r="AB3" s="3900"/>
      <c r="AC3" s="3900"/>
      <c r="AD3" s="3900"/>
      <c r="AE3" s="3900"/>
      <c r="AF3" s="3900"/>
      <c r="AG3" s="3900"/>
      <c r="AH3" s="3900"/>
      <c r="AI3" s="3900"/>
      <c r="AJ3" s="3900"/>
      <c r="AK3" s="3900"/>
      <c r="AL3" s="3900"/>
      <c r="AM3" s="3900"/>
      <c r="AN3" s="3900"/>
      <c r="AO3" s="3900"/>
    </row>
    <row r="4" spans="1:41">
      <c r="A4" s="3901" t="s">
        <v>1855</v>
      </c>
      <c r="B4" s="3901"/>
      <c r="C4" s="3901"/>
      <c r="D4" s="3901"/>
      <c r="E4" s="3901"/>
      <c r="F4" s="3901"/>
      <c r="G4" s="3901"/>
      <c r="H4" s="2847"/>
      <c r="I4" s="2847"/>
      <c r="J4" s="2847"/>
      <c r="K4" s="2847"/>
      <c r="L4" s="2847"/>
      <c r="M4" s="2847"/>
      <c r="N4" s="2847"/>
      <c r="O4" s="2847"/>
      <c r="P4" s="2847"/>
      <c r="Q4" s="2847"/>
      <c r="R4" s="2847"/>
      <c r="S4" s="2847"/>
      <c r="T4" s="2847"/>
      <c r="U4" s="2847"/>
      <c r="V4" s="2847"/>
      <c r="W4" s="2847"/>
      <c r="X4" s="2847"/>
      <c r="Y4" s="3546"/>
      <c r="Z4" s="3546"/>
      <c r="AA4" s="3546"/>
      <c r="AB4" s="3546"/>
      <c r="AC4" s="3546"/>
      <c r="AD4" s="3546"/>
      <c r="AE4" s="3546"/>
      <c r="AF4" s="3546"/>
      <c r="AG4" s="3546"/>
      <c r="AH4" s="3546"/>
      <c r="AI4" s="3546"/>
      <c r="AJ4" s="3546"/>
      <c r="AK4" s="3546"/>
      <c r="AL4" s="3546"/>
    </row>
    <row r="5" spans="1:41">
      <c r="A5" s="3902" t="s">
        <v>90</v>
      </c>
      <c r="B5" s="3902"/>
      <c r="C5" s="3902"/>
      <c r="D5" s="3902"/>
      <c r="E5" s="3902"/>
      <c r="F5" s="3902"/>
      <c r="G5" s="3902"/>
      <c r="H5" s="2847"/>
      <c r="I5" s="2847"/>
      <c r="J5" s="2847"/>
      <c r="K5" s="2847"/>
      <c r="L5" s="2847"/>
      <c r="M5" s="2847"/>
      <c r="N5" s="2847"/>
      <c r="O5" s="2847"/>
      <c r="P5" s="2847"/>
      <c r="Q5" s="2847"/>
      <c r="R5" s="2847"/>
      <c r="S5" s="2847"/>
      <c r="T5" s="2847"/>
      <c r="U5" s="2847"/>
      <c r="V5" s="2847"/>
      <c r="W5" s="2847"/>
      <c r="X5" s="2847"/>
      <c r="Y5" s="3546"/>
      <c r="Z5" s="3546"/>
      <c r="AA5" s="3546"/>
      <c r="AB5" s="3546"/>
      <c r="AC5" s="3546"/>
      <c r="AD5" s="3546"/>
      <c r="AE5" s="3546"/>
      <c r="AF5" s="3546"/>
      <c r="AG5" s="3546"/>
      <c r="AH5" s="3546"/>
      <c r="AI5" s="3546"/>
      <c r="AJ5" s="3546"/>
      <c r="AK5" s="3546"/>
      <c r="AL5" s="3546"/>
    </row>
    <row r="6" spans="1:41">
      <c r="A6" s="3544"/>
      <c r="B6" s="3544"/>
      <c r="C6" s="3544"/>
      <c r="D6" s="3545"/>
      <c r="E6" s="3544"/>
      <c r="F6" s="3544"/>
      <c r="G6" s="3544"/>
      <c r="H6" s="2847"/>
      <c r="I6" s="2847"/>
      <c r="J6" s="2847"/>
      <c r="K6" s="2847"/>
      <c r="L6" s="2847"/>
      <c r="M6" s="2847"/>
      <c r="N6" s="2847"/>
      <c r="O6" s="2847"/>
      <c r="P6" s="2847"/>
      <c r="Q6" s="2847"/>
      <c r="R6" s="2847"/>
      <c r="S6" s="2847"/>
      <c r="T6" s="2847"/>
      <c r="U6" s="2847"/>
      <c r="V6" s="2847"/>
      <c r="W6" s="2847"/>
      <c r="X6" s="2847"/>
      <c r="Y6" s="3546"/>
      <c r="Z6" s="3546"/>
      <c r="AA6" s="3546"/>
      <c r="AB6" s="3546"/>
      <c r="AC6" s="3546"/>
      <c r="AD6" s="3546"/>
      <c r="AE6" s="3546"/>
      <c r="AF6" s="3546"/>
      <c r="AG6" s="3546"/>
      <c r="AH6" s="3546"/>
      <c r="AI6" s="3546"/>
      <c r="AJ6" s="3546"/>
      <c r="AK6" s="3546"/>
      <c r="AL6" s="3546"/>
    </row>
    <row r="7" spans="1:41" ht="3" customHeight="1">
      <c r="A7" s="3544"/>
      <c r="B7" s="2847"/>
      <c r="C7" s="2847"/>
      <c r="D7" s="3362"/>
      <c r="E7" s="2847"/>
      <c r="F7" s="2847"/>
      <c r="G7" s="2847"/>
      <c r="H7" s="2847"/>
      <c r="I7" s="2847"/>
      <c r="J7" s="2848"/>
      <c r="K7" s="2847"/>
      <c r="L7" s="2847"/>
      <c r="M7" s="2847"/>
      <c r="N7" s="2847"/>
      <c r="O7" s="2847"/>
      <c r="P7" s="2847"/>
      <c r="Q7" s="2848"/>
      <c r="R7" s="2847"/>
      <c r="S7" s="2847"/>
      <c r="T7" s="2847"/>
      <c r="U7" s="2847"/>
      <c r="V7" s="2847"/>
      <c r="W7" s="2847"/>
      <c r="X7" s="2848"/>
      <c r="Y7" s="2847"/>
      <c r="Z7" s="2847"/>
      <c r="AA7" s="2847"/>
      <c r="AB7" s="2847"/>
      <c r="AC7" s="2847"/>
      <c r="AD7" s="2847"/>
      <c r="AE7" s="2848"/>
      <c r="AF7" s="2847"/>
      <c r="AG7" s="2847"/>
      <c r="AH7" s="2847"/>
      <c r="AI7" s="3544"/>
      <c r="AJ7" s="3544"/>
      <c r="AK7" s="3544"/>
      <c r="AL7" s="3544"/>
    </row>
    <row r="8" spans="1:41">
      <c r="A8" s="3902" t="s">
        <v>2300</v>
      </c>
      <c r="B8" s="3902"/>
      <c r="C8" s="3902"/>
      <c r="D8" s="3902"/>
      <c r="E8" s="3902"/>
      <c r="F8" s="3902"/>
      <c r="G8" s="3902"/>
      <c r="H8" s="3902"/>
      <c r="I8" s="3902"/>
      <c r="J8" s="3902"/>
      <c r="K8" s="3902"/>
      <c r="L8" s="3902"/>
      <c r="M8" s="3902"/>
      <c r="N8" s="3902"/>
      <c r="O8" s="3902"/>
      <c r="P8" s="3902"/>
      <c r="Q8" s="3902"/>
      <c r="R8" s="3902"/>
      <c r="S8" s="3902"/>
      <c r="T8" s="3902"/>
      <c r="U8" s="3902"/>
      <c r="V8" s="3902"/>
      <c r="W8" s="3902"/>
      <c r="X8" s="3902"/>
      <c r="Y8" s="3902"/>
      <c r="Z8" s="3902"/>
      <c r="AA8" s="3902"/>
      <c r="AB8" s="3902"/>
      <c r="AC8" s="3902"/>
      <c r="AD8" s="3902"/>
      <c r="AE8" s="3902"/>
      <c r="AF8" s="3902"/>
      <c r="AG8" s="3902"/>
      <c r="AH8" s="3902"/>
      <c r="AI8" s="3902"/>
      <c r="AJ8" s="3902"/>
      <c r="AK8" s="3902"/>
      <c r="AL8" s="3902"/>
    </row>
    <row r="9" spans="1:41" ht="8.25" customHeight="1">
      <c r="A9" s="3526"/>
    </row>
    <row r="10" spans="1:41" ht="16.5" customHeight="1">
      <c r="A10" s="3906" t="s">
        <v>932</v>
      </c>
      <c r="B10" s="3906" t="s">
        <v>1</v>
      </c>
      <c r="C10" s="3906" t="s">
        <v>163</v>
      </c>
      <c r="D10" s="3908" t="s">
        <v>1880</v>
      </c>
      <c r="E10" s="3896" t="s">
        <v>2109</v>
      </c>
      <c r="F10" s="3897"/>
      <c r="G10" s="3897"/>
      <c r="H10" s="3897"/>
      <c r="I10" s="3897"/>
      <c r="J10" s="3897"/>
      <c r="K10" s="3897"/>
      <c r="L10" s="3897"/>
      <c r="M10" s="3897"/>
      <c r="N10" s="3897"/>
      <c r="O10" s="3897"/>
      <c r="P10" s="3897"/>
      <c r="Q10" s="3897"/>
      <c r="R10" s="3897"/>
      <c r="S10" s="3897"/>
      <c r="T10" s="3897"/>
      <c r="U10" s="3897"/>
      <c r="V10" s="3897"/>
      <c r="W10" s="3897"/>
      <c r="X10" s="3897"/>
      <c r="Y10" s="3897"/>
      <c r="Z10" s="3897"/>
      <c r="AA10" s="3897"/>
      <c r="AB10" s="3897"/>
      <c r="AC10" s="3897"/>
      <c r="AD10" s="3897"/>
      <c r="AE10" s="3897"/>
      <c r="AF10" s="3897"/>
      <c r="AG10" s="3897"/>
      <c r="AH10" s="3897"/>
      <c r="AI10" s="3898" t="s">
        <v>2168</v>
      </c>
      <c r="AJ10" s="3898" t="s">
        <v>2074</v>
      </c>
      <c r="AK10" s="3898" t="s">
        <v>1881</v>
      </c>
      <c r="AL10" s="3898" t="s">
        <v>26</v>
      </c>
      <c r="AM10" s="2849"/>
      <c r="AN10" s="2849"/>
      <c r="AO10" s="3903" t="s">
        <v>1938</v>
      </c>
    </row>
    <row r="11" spans="1:41" s="2850" customFormat="1" ht="119.25" customHeight="1">
      <c r="A11" s="3907"/>
      <c r="B11" s="3907"/>
      <c r="C11" s="3907"/>
      <c r="D11" s="3909"/>
      <c r="E11" s="3547">
        <v>1</v>
      </c>
      <c r="F11" s="3547">
        <v>2</v>
      </c>
      <c r="G11" s="3547">
        <v>3</v>
      </c>
      <c r="H11" s="3547">
        <v>4</v>
      </c>
      <c r="I11" s="3547">
        <v>5</v>
      </c>
      <c r="J11" s="3547">
        <v>6</v>
      </c>
      <c r="K11" s="3547">
        <v>7</v>
      </c>
      <c r="L11" s="3547">
        <v>8</v>
      </c>
      <c r="M11" s="3547">
        <v>9</v>
      </c>
      <c r="N11" s="3547">
        <v>10</v>
      </c>
      <c r="O11" s="3547">
        <v>11</v>
      </c>
      <c r="P11" s="3547">
        <v>12</v>
      </c>
      <c r="Q11" s="3547">
        <v>13</v>
      </c>
      <c r="R11" s="3547">
        <v>14</v>
      </c>
      <c r="S11" s="3547">
        <v>15</v>
      </c>
      <c r="T11" s="3547">
        <v>16</v>
      </c>
      <c r="U11" s="3547">
        <v>17</v>
      </c>
      <c r="V11" s="3547">
        <v>18</v>
      </c>
      <c r="W11" s="3547">
        <v>19</v>
      </c>
      <c r="X11" s="3547">
        <v>20</v>
      </c>
      <c r="Y11" s="3547">
        <v>21</v>
      </c>
      <c r="Z11" s="3547">
        <v>22</v>
      </c>
      <c r="AA11" s="3547">
        <v>23</v>
      </c>
      <c r="AB11" s="3547">
        <v>24</v>
      </c>
      <c r="AC11" s="3547">
        <v>25</v>
      </c>
      <c r="AD11" s="3547">
        <v>26</v>
      </c>
      <c r="AE11" s="3547">
        <v>27</v>
      </c>
      <c r="AF11" s="3547">
        <v>28</v>
      </c>
      <c r="AG11" s="3547">
        <v>29</v>
      </c>
      <c r="AH11" s="3547">
        <v>30</v>
      </c>
      <c r="AI11" s="3898"/>
      <c r="AJ11" s="3898"/>
      <c r="AK11" s="3898"/>
      <c r="AL11" s="3898"/>
      <c r="AM11" s="3546"/>
      <c r="AN11" s="3546"/>
      <c r="AO11" s="3904"/>
    </row>
    <row r="12" spans="1:41" ht="30" customHeight="1">
      <c r="A12" s="3370">
        <v>1</v>
      </c>
      <c r="B12" s="2865" t="s">
        <v>2226</v>
      </c>
      <c r="C12" s="2852"/>
      <c r="D12" s="3364" t="s">
        <v>451</v>
      </c>
      <c r="E12" s="2883"/>
      <c r="F12" s="2883"/>
      <c r="G12" s="2851"/>
      <c r="H12" s="2883"/>
      <c r="I12" s="2883"/>
      <c r="J12" s="2883"/>
      <c r="K12" s="2883"/>
      <c r="L12" s="2883"/>
      <c r="M12" s="2883"/>
      <c r="N12" s="2851"/>
      <c r="O12" s="2883"/>
      <c r="P12" s="2883"/>
      <c r="Q12" s="2883"/>
      <c r="R12" s="2883"/>
      <c r="S12" s="2883"/>
      <c r="T12" s="2883"/>
      <c r="U12" s="2883" t="s">
        <v>29</v>
      </c>
      <c r="V12" s="2883" t="s">
        <v>29</v>
      </c>
      <c r="W12" s="2883" t="s">
        <v>29</v>
      </c>
      <c r="X12" s="2883" t="s">
        <v>29</v>
      </c>
      <c r="Y12" s="2883" t="s">
        <v>29</v>
      </c>
      <c r="Z12" s="2883" t="s">
        <v>29</v>
      </c>
      <c r="AA12" s="2883" t="s">
        <v>29</v>
      </c>
      <c r="AB12" s="2851" t="s">
        <v>29</v>
      </c>
      <c r="AC12" s="2883" t="s">
        <v>29</v>
      </c>
      <c r="AD12" s="2883" t="s">
        <v>29</v>
      </c>
      <c r="AE12" s="2883" t="s">
        <v>29</v>
      </c>
      <c r="AF12" s="2883" t="s">
        <v>29</v>
      </c>
      <c r="AG12" s="2883" t="s">
        <v>29</v>
      </c>
      <c r="AH12" s="2883" t="s">
        <v>29</v>
      </c>
      <c r="AI12" s="2853">
        <f t="shared" ref="AI12:AI16" si="0">+COUNTIF(E12:AH12,"X")</f>
        <v>14</v>
      </c>
      <c r="AJ12" s="3060"/>
      <c r="AK12" s="2853"/>
      <c r="AL12" s="2853">
        <f t="shared" ref="AL12:AL17" si="1">+SUM(AI12:AK12)</f>
        <v>14</v>
      </c>
      <c r="AM12" s="2854"/>
      <c r="AN12" s="2854"/>
      <c r="AO12" s="2746"/>
    </row>
    <row r="13" spans="1:41" ht="30" customHeight="1">
      <c r="A13" s="3713">
        <v>2</v>
      </c>
      <c r="B13" s="2865" t="s">
        <v>2227</v>
      </c>
      <c r="C13" s="2852"/>
      <c r="D13" s="3365" t="s">
        <v>451</v>
      </c>
      <c r="E13" s="2883"/>
      <c r="F13" s="2883"/>
      <c r="G13" s="2851"/>
      <c r="H13" s="2883"/>
      <c r="I13" s="2883"/>
      <c r="J13" s="2883"/>
      <c r="K13" s="2883"/>
      <c r="L13" s="2883"/>
      <c r="M13" s="2883"/>
      <c r="N13" s="2851"/>
      <c r="O13" s="2883"/>
      <c r="P13" s="2883"/>
      <c r="Q13" s="2883"/>
      <c r="R13" s="2883"/>
      <c r="S13" s="2883"/>
      <c r="T13" s="2883"/>
      <c r="U13" s="2883" t="s">
        <v>29</v>
      </c>
      <c r="V13" s="2883" t="s">
        <v>29</v>
      </c>
      <c r="W13" s="2883" t="s">
        <v>29</v>
      </c>
      <c r="X13" s="2883" t="s">
        <v>29</v>
      </c>
      <c r="Y13" s="2883" t="s">
        <v>29</v>
      </c>
      <c r="Z13" s="2883" t="s">
        <v>29</v>
      </c>
      <c r="AA13" s="2883" t="s">
        <v>29</v>
      </c>
      <c r="AB13" s="2851" t="s">
        <v>29</v>
      </c>
      <c r="AC13" s="2883" t="s">
        <v>29</v>
      </c>
      <c r="AD13" s="2883" t="s">
        <v>29</v>
      </c>
      <c r="AE13" s="2883" t="s">
        <v>29</v>
      </c>
      <c r="AF13" s="2883" t="s">
        <v>29</v>
      </c>
      <c r="AG13" s="2883" t="s">
        <v>29</v>
      </c>
      <c r="AH13" s="2883" t="s">
        <v>29</v>
      </c>
      <c r="AI13" s="2853">
        <f t="shared" si="0"/>
        <v>14</v>
      </c>
      <c r="AJ13" s="3060"/>
      <c r="AK13" s="2853"/>
      <c r="AL13" s="2853">
        <f t="shared" si="1"/>
        <v>14</v>
      </c>
      <c r="AM13" s="2854"/>
      <c r="AN13" s="2854"/>
      <c r="AO13" s="2746"/>
    </row>
    <row r="14" spans="1:41" ht="30" customHeight="1">
      <c r="A14" s="3370">
        <v>3</v>
      </c>
      <c r="B14" s="2865" t="s">
        <v>2228</v>
      </c>
      <c r="C14" s="2852"/>
      <c r="D14" s="3364" t="s">
        <v>451</v>
      </c>
      <c r="E14" s="2883"/>
      <c r="F14" s="2883"/>
      <c r="G14" s="2851"/>
      <c r="H14" s="2883"/>
      <c r="I14" s="2883"/>
      <c r="J14" s="2883"/>
      <c r="K14" s="2883"/>
      <c r="L14" s="2883"/>
      <c r="M14" s="2883"/>
      <c r="N14" s="2851"/>
      <c r="O14" s="2883"/>
      <c r="P14" s="2883"/>
      <c r="Q14" s="2883"/>
      <c r="R14" s="2883"/>
      <c r="S14" s="2883"/>
      <c r="T14" s="2883"/>
      <c r="U14" s="2883" t="s">
        <v>29</v>
      </c>
      <c r="V14" s="2883" t="s">
        <v>29</v>
      </c>
      <c r="W14" s="2883" t="s">
        <v>29</v>
      </c>
      <c r="X14" s="2883" t="s">
        <v>29</v>
      </c>
      <c r="Y14" s="2883" t="s">
        <v>29</v>
      </c>
      <c r="Z14" s="2883" t="s">
        <v>29</v>
      </c>
      <c r="AA14" s="2883" t="s">
        <v>29</v>
      </c>
      <c r="AB14" s="2851" t="s">
        <v>29</v>
      </c>
      <c r="AC14" s="2883" t="s">
        <v>29</v>
      </c>
      <c r="AD14" s="2883" t="s">
        <v>29</v>
      </c>
      <c r="AE14" s="2883" t="s">
        <v>29</v>
      </c>
      <c r="AF14" s="2883" t="s">
        <v>29</v>
      </c>
      <c r="AG14" s="2883" t="s">
        <v>29</v>
      </c>
      <c r="AH14" s="2883" t="s">
        <v>29</v>
      </c>
      <c r="AI14" s="2853">
        <f t="shared" si="0"/>
        <v>14</v>
      </c>
      <c r="AJ14" s="3060"/>
      <c r="AK14" s="2853"/>
      <c r="AL14" s="2853">
        <f t="shared" si="1"/>
        <v>14</v>
      </c>
      <c r="AM14" s="2854"/>
      <c r="AN14" s="2854"/>
      <c r="AO14" s="2746"/>
    </row>
    <row r="15" spans="1:41" ht="30" customHeight="1">
      <c r="A15" s="3713">
        <v>4</v>
      </c>
      <c r="B15" s="2865" t="s">
        <v>2229</v>
      </c>
      <c r="C15" s="2852"/>
      <c r="D15" s="3365" t="s">
        <v>451</v>
      </c>
      <c r="E15" s="2883"/>
      <c r="F15" s="2883"/>
      <c r="G15" s="2851"/>
      <c r="H15" s="2883"/>
      <c r="I15" s="2883"/>
      <c r="J15" s="2883"/>
      <c r="K15" s="2883"/>
      <c r="L15" s="2883"/>
      <c r="M15" s="2883"/>
      <c r="N15" s="2851"/>
      <c r="O15" s="2883"/>
      <c r="P15" s="2883"/>
      <c r="Q15" s="2883"/>
      <c r="R15" s="2883"/>
      <c r="S15" s="2883"/>
      <c r="T15" s="2883"/>
      <c r="U15" s="2883" t="s">
        <v>29</v>
      </c>
      <c r="V15" s="2883" t="s">
        <v>29</v>
      </c>
      <c r="W15" s="2883" t="s">
        <v>29</v>
      </c>
      <c r="X15" s="2883" t="s">
        <v>29</v>
      </c>
      <c r="Y15" s="2883" t="s">
        <v>29</v>
      </c>
      <c r="Z15" s="2883" t="s">
        <v>29</v>
      </c>
      <c r="AA15" s="2883" t="s">
        <v>29</v>
      </c>
      <c r="AB15" s="2851" t="s">
        <v>29</v>
      </c>
      <c r="AC15" s="2883" t="s">
        <v>29</v>
      </c>
      <c r="AD15" s="2883" t="s">
        <v>29</v>
      </c>
      <c r="AE15" s="2883" t="s">
        <v>29</v>
      </c>
      <c r="AF15" s="2883" t="s">
        <v>29</v>
      </c>
      <c r="AG15" s="2883" t="s">
        <v>29</v>
      </c>
      <c r="AH15" s="2883" t="s">
        <v>29</v>
      </c>
      <c r="AI15" s="2853">
        <f t="shared" si="0"/>
        <v>14</v>
      </c>
      <c r="AJ15" s="3060"/>
      <c r="AK15" s="2853"/>
      <c r="AL15" s="2853">
        <f t="shared" si="1"/>
        <v>14</v>
      </c>
      <c r="AM15" s="2854"/>
      <c r="AN15" s="2854"/>
      <c r="AO15" s="2746"/>
    </row>
    <row r="16" spans="1:41" ht="30" customHeight="1">
      <c r="A16" s="3370">
        <v>5</v>
      </c>
      <c r="B16" s="2865" t="s">
        <v>2230</v>
      </c>
      <c r="C16" s="2852"/>
      <c r="D16" s="3364" t="s">
        <v>451</v>
      </c>
      <c r="E16" s="2883"/>
      <c r="F16" s="2883"/>
      <c r="G16" s="2851"/>
      <c r="H16" s="2883"/>
      <c r="I16" s="2883"/>
      <c r="J16" s="2883"/>
      <c r="K16" s="2883"/>
      <c r="L16" s="2883"/>
      <c r="M16" s="2883"/>
      <c r="N16" s="2851"/>
      <c r="O16" s="2883"/>
      <c r="P16" s="2883"/>
      <c r="Q16" s="2883"/>
      <c r="R16" s="2883"/>
      <c r="S16" s="2883"/>
      <c r="T16" s="2883"/>
      <c r="U16" s="2883"/>
      <c r="V16" s="2883"/>
      <c r="W16" s="2883"/>
      <c r="X16" s="2883"/>
      <c r="Y16" s="2883"/>
      <c r="Z16" s="2883"/>
      <c r="AA16" s="2883"/>
      <c r="AB16" s="2851"/>
      <c r="AC16" s="2883" t="s">
        <v>29</v>
      </c>
      <c r="AD16" s="2883" t="s">
        <v>29</v>
      </c>
      <c r="AE16" s="2883" t="s">
        <v>29</v>
      </c>
      <c r="AF16" s="2883" t="s">
        <v>29</v>
      </c>
      <c r="AG16" s="2883" t="s">
        <v>29</v>
      </c>
      <c r="AH16" s="2883" t="s">
        <v>29</v>
      </c>
      <c r="AI16" s="2853">
        <f t="shared" si="0"/>
        <v>6</v>
      </c>
      <c r="AJ16" s="3060"/>
      <c r="AK16" s="2853"/>
      <c r="AL16" s="2853">
        <f t="shared" si="1"/>
        <v>6</v>
      </c>
      <c r="AM16" s="2854"/>
      <c r="AN16" s="2854"/>
      <c r="AO16" s="2746"/>
    </row>
    <row r="17" spans="1:43" ht="30" customHeight="1">
      <c r="A17" s="3713">
        <v>6</v>
      </c>
      <c r="B17" s="2865" t="s">
        <v>2231</v>
      </c>
      <c r="C17" s="2852"/>
      <c r="D17" s="3365" t="s">
        <v>451</v>
      </c>
      <c r="E17" s="2883"/>
      <c r="F17" s="2883"/>
      <c r="G17" s="2851"/>
      <c r="H17" s="2883"/>
      <c r="I17" s="2883"/>
      <c r="J17" s="2883"/>
      <c r="K17" s="2883"/>
      <c r="L17" s="2883"/>
      <c r="M17" s="2883"/>
      <c r="N17" s="2851"/>
      <c r="O17" s="2883"/>
      <c r="P17" s="2883"/>
      <c r="Q17" s="2883"/>
      <c r="R17" s="2883"/>
      <c r="S17" s="2883"/>
      <c r="T17" s="2883"/>
      <c r="U17" s="2883"/>
      <c r="V17" s="2883"/>
      <c r="W17" s="2883"/>
      <c r="X17" s="2883"/>
      <c r="Y17" s="2883"/>
      <c r="Z17" s="2883"/>
      <c r="AA17" s="2883"/>
      <c r="AB17" s="2851"/>
      <c r="AC17" s="2883" t="s">
        <v>29</v>
      </c>
      <c r="AD17" s="2883" t="s">
        <v>29</v>
      </c>
      <c r="AE17" s="2883" t="s">
        <v>29</v>
      </c>
      <c r="AF17" s="2883" t="s">
        <v>29</v>
      </c>
      <c r="AG17" s="2883" t="s">
        <v>29</v>
      </c>
      <c r="AH17" s="2883" t="s">
        <v>29</v>
      </c>
      <c r="AI17" s="2853">
        <f>+COUNTIF(E17:AH17,"X")</f>
        <v>6</v>
      </c>
      <c r="AJ17" s="3060">
        <f>+COUNTIF(E17:AH17,"D")</f>
        <v>0</v>
      </c>
      <c r="AK17" s="2853">
        <f>+COUNTIF(E17:AH17,"DCN")</f>
        <v>0</v>
      </c>
      <c r="AL17" s="2853">
        <f t="shared" si="1"/>
        <v>6</v>
      </c>
      <c r="AM17" s="2854"/>
      <c r="AN17" s="2854"/>
      <c r="AO17" s="2746"/>
    </row>
    <row r="18" spans="1:43" ht="30" customHeight="1">
      <c r="A18" s="3915" t="s">
        <v>61</v>
      </c>
      <c r="B18" s="3916"/>
      <c r="C18" s="2889"/>
      <c r="D18" s="3372"/>
      <c r="E18" s="3179">
        <f>COUNTIF(E12:E17,"x")</f>
        <v>0</v>
      </c>
      <c r="F18" s="3179">
        <f t="shared" ref="F18:AH18" si="2">COUNTIF(F12:F17,"x")</f>
        <v>0</v>
      </c>
      <c r="G18" s="3179">
        <f t="shared" si="2"/>
        <v>0</v>
      </c>
      <c r="H18" s="3179">
        <f t="shared" si="2"/>
        <v>0</v>
      </c>
      <c r="I18" s="3179">
        <f t="shared" si="2"/>
        <v>0</v>
      </c>
      <c r="J18" s="3179">
        <f t="shared" si="2"/>
        <v>0</v>
      </c>
      <c r="K18" s="3179">
        <f t="shared" si="2"/>
        <v>0</v>
      </c>
      <c r="L18" s="3179">
        <f t="shared" si="2"/>
        <v>0</v>
      </c>
      <c r="M18" s="3179">
        <f t="shared" si="2"/>
        <v>0</v>
      </c>
      <c r="N18" s="3179">
        <f t="shared" si="2"/>
        <v>0</v>
      </c>
      <c r="O18" s="3179">
        <f t="shared" si="2"/>
        <v>0</v>
      </c>
      <c r="P18" s="3179">
        <f t="shared" si="2"/>
        <v>0</v>
      </c>
      <c r="Q18" s="3179">
        <f t="shared" si="2"/>
        <v>0</v>
      </c>
      <c r="R18" s="3179">
        <f t="shared" si="2"/>
        <v>0</v>
      </c>
      <c r="S18" s="3179">
        <f t="shared" si="2"/>
        <v>0</v>
      </c>
      <c r="T18" s="3179">
        <f t="shared" si="2"/>
        <v>0</v>
      </c>
      <c r="U18" s="3179">
        <f t="shared" si="2"/>
        <v>4</v>
      </c>
      <c r="V18" s="3179">
        <f t="shared" si="2"/>
        <v>4</v>
      </c>
      <c r="W18" s="3179">
        <f t="shared" si="2"/>
        <v>4</v>
      </c>
      <c r="X18" s="3179">
        <f t="shared" si="2"/>
        <v>4</v>
      </c>
      <c r="Y18" s="3179">
        <f t="shared" si="2"/>
        <v>4</v>
      </c>
      <c r="Z18" s="3179">
        <f t="shared" si="2"/>
        <v>4</v>
      </c>
      <c r="AA18" s="3179">
        <f t="shared" si="2"/>
        <v>4</v>
      </c>
      <c r="AB18" s="3179">
        <f t="shared" si="2"/>
        <v>4</v>
      </c>
      <c r="AC18" s="3179">
        <f t="shared" si="2"/>
        <v>6</v>
      </c>
      <c r="AD18" s="3179">
        <f t="shared" si="2"/>
        <v>6</v>
      </c>
      <c r="AE18" s="3179">
        <f t="shared" si="2"/>
        <v>6</v>
      </c>
      <c r="AF18" s="3179">
        <f t="shared" si="2"/>
        <v>6</v>
      </c>
      <c r="AG18" s="3179">
        <f t="shared" si="2"/>
        <v>6</v>
      </c>
      <c r="AH18" s="3179">
        <f t="shared" si="2"/>
        <v>6</v>
      </c>
      <c r="AI18" s="3391">
        <f>+SUM(AI12:AI17)</f>
        <v>68</v>
      </c>
      <c r="AJ18" s="3391">
        <f t="shared" ref="AJ18:AL18" si="3">+SUM(AJ12:AJ17)</f>
        <v>0</v>
      </c>
      <c r="AK18" s="3391">
        <f t="shared" si="3"/>
        <v>0</v>
      </c>
      <c r="AL18" s="3391">
        <f t="shared" si="3"/>
        <v>68</v>
      </c>
      <c r="AM18" s="2890">
        <f>SUBTOTAL(9,AM12:AM17)</f>
        <v>0</v>
      </c>
      <c r="AN18" s="2891">
        <f>SUBTOTAL(9,AN12:AN17)</f>
        <v>0</v>
      </c>
      <c r="AO18" s="2856"/>
      <c r="AP18" s="3485"/>
      <c r="AQ18" s="3485"/>
    </row>
    <row r="19" spans="1:43" ht="15" customHeight="1">
      <c r="A19" s="3922" t="s">
        <v>92</v>
      </c>
      <c r="B19" s="3922"/>
      <c r="D19" s="3493" t="s">
        <v>29</v>
      </c>
      <c r="E19" s="3917" t="s">
        <v>2108</v>
      </c>
      <c r="F19" s="3917"/>
      <c r="G19" s="3917"/>
      <c r="H19" s="3917"/>
      <c r="I19" s="3917"/>
      <c r="J19" s="3917"/>
      <c r="K19" s="3917"/>
      <c r="W19" s="2870"/>
      <c r="AF19" s="3918" t="s">
        <v>2296</v>
      </c>
      <c r="AG19" s="3918"/>
      <c r="AH19" s="3918"/>
      <c r="AI19" s="3918"/>
      <c r="AJ19" s="3918"/>
      <c r="AK19" s="3918"/>
      <c r="AL19" s="3918"/>
      <c r="AM19" s="3918"/>
      <c r="AN19" s="3918"/>
      <c r="AO19" s="3918"/>
      <c r="AP19" s="3178"/>
      <c r="AQ19" s="3178"/>
    </row>
    <row r="20" spans="1:43" ht="15" customHeight="1">
      <c r="D20" s="3493"/>
      <c r="E20" s="3919"/>
      <c r="F20" s="3919"/>
      <c r="G20" s="3919"/>
      <c r="H20" s="3919"/>
      <c r="I20" s="3919"/>
      <c r="J20" s="3919"/>
      <c r="K20" s="3919"/>
      <c r="AP20" s="3485"/>
      <c r="AQ20" s="3485"/>
    </row>
    <row r="21" spans="1:43">
      <c r="E21" s="3919"/>
      <c r="F21" s="3919"/>
      <c r="G21" s="3919"/>
      <c r="H21" s="3919"/>
      <c r="I21" s="3919"/>
      <c r="J21" s="3919"/>
      <c r="K21" s="3919"/>
      <c r="L21" s="2892"/>
      <c r="M21" s="2892"/>
      <c r="N21" s="2892"/>
      <c r="O21" s="2892"/>
      <c r="P21" s="2892"/>
      <c r="Q21" s="2892"/>
      <c r="R21" s="2892"/>
      <c r="S21" s="2892"/>
      <c r="T21" s="2892"/>
      <c r="U21" s="2892"/>
      <c r="V21" s="2892"/>
      <c r="W21" s="2892"/>
      <c r="X21" s="2892"/>
      <c r="Y21" s="2892"/>
      <c r="Z21" s="2892"/>
      <c r="AA21" s="2892"/>
      <c r="AB21" s="2892"/>
      <c r="AC21" s="2892"/>
      <c r="AD21" s="2892"/>
      <c r="AE21" s="2892"/>
      <c r="AF21" s="2892"/>
      <c r="AO21" s="2870"/>
      <c r="AP21" s="3485"/>
      <c r="AQ21" s="3485"/>
    </row>
    <row r="22" spans="1:43">
      <c r="A22" s="3920" t="s">
        <v>84</v>
      </c>
      <c r="B22" s="3920"/>
      <c r="C22" s="3920"/>
      <c r="D22" s="3920"/>
      <c r="E22" s="3920"/>
      <c r="F22" s="3920"/>
      <c r="G22" s="3921" t="s">
        <v>1884</v>
      </c>
      <c r="H22" s="3921"/>
      <c r="I22" s="3921"/>
      <c r="J22" s="3921"/>
      <c r="K22" s="3921"/>
      <c r="L22" s="3921"/>
      <c r="M22" s="3920" t="s">
        <v>1362</v>
      </c>
      <c r="N22" s="3920"/>
      <c r="O22" s="3920"/>
      <c r="P22" s="3920"/>
      <c r="R22" s="3921" t="s">
        <v>20</v>
      </c>
      <c r="S22" s="3921"/>
      <c r="T22" s="3921"/>
      <c r="U22" s="3921"/>
      <c r="V22" s="3921"/>
      <c r="W22" s="3921" t="s">
        <v>1874</v>
      </c>
      <c r="X22" s="3921"/>
      <c r="Y22" s="3921"/>
      <c r="Z22" s="3921"/>
      <c r="AA22" s="3921"/>
      <c r="AB22" s="3923" t="s">
        <v>1885</v>
      </c>
      <c r="AC22" s="3923"/>
      <c r="AD22" s="3923"/>
      <c r="AE22" s="3923"/>
      <c r="AF22" s="3923"/>
      <c r="AG22" s="3923"/>
      <c r="AH22" s="3921" t="s">
        <v>21</v>
      </c>
      <c r="AI22" s="3921"/>
      <c r="AJ22" s="3921"/>
      <c r="AK22" s="3921"/>
      <c r="AL22" s="3921"/>
      <c r="AM22" s="3921"/>
      <c r="AN22" s="3921"/>
      <c r="AO22" s="3921"/>
      <c r="AQ22" s="3360"/>
    </row>
    <row r="23" spans="1:43">
      <c r="G23" s="2850"/>
      <c r="H23" s="2850"/>
      <c r="I23" s="2850"/>
      <c r="J23" s="2850"/>
      <c r="K23" s="2850"/>
      <c r="L23" s="2850"/>
      <c r="M23" s="2850"/>
      <c r="N23" s="2850"/>
      <c r="O23" s="2850"/>
      <c r="P23" s="2850"/>
      <c r="Q23" s="2850"/>
      <c r="R23" s="2850"/>
      <c r="S23" s="2850"/>
      <c r="T23" s="2850"/>
      <c r="U23" s="2850"/>
      <c r="V23" s="2850"/>
      <c r="W23" s="2850"/>
      <c r="X23" s="2850"/>
      <c r="Y23" s="2850"/>
      <c r="Z23" s="2850"/>
      <c r="AA23" s="2850"/>
      <c r="AB23" s="2850"/>
      <c r="AC23" s="2850"/>
      <c r="AD23" s="2850"/>
      <c r="AE23" s="2850"/>
      <c r="AF23" s="2850"/>
      <c r="AG23" s="2850"/>
      <c r="AH23" s="2850"/>
      <c r="AI23" s="3526"/>
      <c r="AJ23" s="3526"/>
      <c r="AK23" s="3526"/>
      <c r="AL23" s="3526"/>
    </row>
    <row r="24" spans="1:43">
      <c r="AK24" s="3526"/>
      <c r="AL24" s="3184"/>
    </row>
    <row r="25" spans="1:43">
      <c r="E25" s="2870"/>
      <c r="AK25" s="3526"/>
      <c r="AL25" s="3526"/>
    </row>
    <row r="26" spans="1:43" ht="69" customHeight="1">
      <c r="J26" s="2870"/>
      <c r="AI26" s="2846"/>
      <c r="AJ26" s="2846"/>
      <c r="AK26" s="3526"/>
      <c r="AL26" s="3526"/>
      <c r="AQ26" s="3361"/>
    </row>
    <row r="27" spans="1:43">
      <c r="AK27" s="3526"/>
      <c r="AL27" s="3526"/>
    </row>
    <row r="28" spans="1:43">
      <c r="AK28" s="3526"/>
      <c r="AL28" s="3526"/>
    </row>
    <row r="29" spans="1:43">
      <c r="AK29" s="3526"/>
      <c r="AL29" s="3526"/>
    </row>
    <row r="30" spans="1:43">
      <c r="AK30" s="3526"/>
      <c r="AL30" s="3526"/>
    </row>
    <row r="31" spans="1:43">
      <c r="D31" s="3373"/>
      <c r="AK31" s="3526"/>
      <c r="AL31" s="3526"/>
      <c r="AM31" s="3062"/>
      <c r="AN31" s="3062"/>
      <c r="AO31" s="3062"/>
    </row>
    <row r="32" spans="1:43">
      <c r="D32" s="3373"/>
      <c r="AK32" s="3526"/>
      <c r="AL32" s="3526"/>
      <c r="AM32" s="3062"/>
      <c r="AN32" s="3062"/>
      <c r="AO32" s="3062"/>
    </row>
    <row r="33" spans="4:41">
      <c r="AK33" s="3526"/>
      <c r="AL33" s="3526"/>
      <c r="AM33" s="3062"/>
      <c r="AN33" s="3062"/>
      <c r="AO33" s="3062"/>
    </row>
    <row r="34" spans="4:41">
      <c r="AK34" s="3185">
        <f>+AK18+AK31</f>
        <v>0</v>
      </c>
      <c r="AL34" s="3526"/>
      <c r="AM34" s="3062"/>
      <c r="AN34" s="3062"/>
      <c r="AO34" s="3062"/>
    </row>
    <row r="35" spans="4:41">
      <c r="AK35" s="3063"/>
      <c r="AL35" s="3063"/>
      <c r="AM35" s="3062"/>
      <c r="AN35" s="3062"/>
      <c r="AO35" s="3062"/>
    </row>
    <row r="36" spans="4:41">
      <c r="AL36" s="2846"/>
    </row>
    <row r="37" spans="4:41">
      <c r="AL37" s="2846"/>
    </row>
    <row r="38" spans="4:41">
      <c r="D38" s="2846"/>
      <c r="AI38" s="2846"/>
      <c r="AJ38" s="2846"/>
      <c r="AK38" s="2846"/>
      <c r="AL38" s="2846"/>
    </row>
  </sheetData>
  <autoFilter ref="A11:AQ11"/>
  <mergeCells count="29">
    <mergeCell ref="E10:AH10"/>
    <mergeCell ref="AI10:AI11"/>
    <mergeCell ref="A1:AO1"/>
    <mergeCell ref="A2:AO2"/>
    <mergeCell ref="A3:AO3"/>
    <mergeCell ref="A4:G4"/>
    <mergeCell ref="A5:G5"/>
    <mergeCell ref="A8:AL8"/>
    <mergeCell ref="AJ10:AJ11"/>
    <mergeCell ref="AK10:AK11"/>
    <mergeCell ref="AL10:AL11"/>
    <mergeCell ref="AO10:AO11"/>
    <mergeCell ref="A10:A11"/>
    <mergeCell ref="B10:B11"/>
    <mergeCell ref="C10:C11"/>
    <mergeCell ref="D10:D11"/>
    <mergeCell ref="A18:B18"/>
    <mergeCell ref="E19:K19"/>
    <mergeCell ref="AF19:AO19"/>
    <mergeCell ref="E20:K20"/>
    <mergeCell ref="E21:K21"/>
    <mergeCell ref="A19:B19"/>
    <mergeCell ref="AB22:AG22"/>
    <mergeCell ref="AH22:AO22"/>
    <mergeCell ref="A22:F22"/>
    <mergeCell ref="G22:L22"/>
    <mergeCell ref="M22:P22"/>
    <mergeCell ref="R22:V22"/>
    <mergeCell ref="W22:AA22"/>
  </mergeCells>
  <pageMargins left="0.19685039370078741" right="0.19685039370078741" top="0.74803149606299213" bottom="0.31496062992125984" header="0.31496062992125984" footer="0.31496062992125984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466"/>
  <sheetViews>
    <sheetView topLeftCell="A65" workbookViewId="0">
      <selection activeCell="AG64" sqref="AG64"/>
    </sheetView>
  </sheetViews>
  <sheetFormatPr defaultColWidth="8.85546875" defaultRowHeight="16.5"/>
  <cols>
    <col min="1" max="1" width="7.140625" style="3305" customWidth="1"/>
    <col min="2" max="2" width="24.42578125" style="3305" customWidth="1"/>
    <col min="3" max="31" width="5.7109375" style="3324" hidden="1" customWidth="1"/>
    <col min="32" max="32" width="1.140625" style="3324" hidden="1" customWidth="1"/>
    <col min="33" max="33" width="17.28515625" style="3324" customWidth="1"/>
    <col min="34" max="34" width="13" style="3305" customWidth="1"/>
    <col min="35" max="35" width="16.5703125" style="3305" customWidth="1"/>
    <col min="36" max="36" width="28.42578125" style="3305" customWidth="1"/>
    <col min="37" max="38" width="8.85546875" style="3305"/>
    <col min="39" max="39" width="10.28515625" style="3305" bestFit="1" customWidth="1"/>
    <col min="40" max="244" width="8.85546875" style="3305"/>
    <col min="245" max="245" width="4.28515625" style="3305" customWidth="1"/>
    <col min="246" max="246" width="9.140625" style="3305" customWidth="1"/>
    <col min="247" max="247" width="16.7109375" style="3305" customWidth="1"/>
    <col min="248" max="249" width="3.28515625" style="3305" customWidth="1"/>
    <col min="250" max="255" width="3.85546875" style="3305" customWidth="1"/>
    <col min="256" max="256" width="4.28515625" style="3305" customWidth="1"/>
    <col min="257" max="260" width="4.140625" style="3305" customWidth="1"/>
    <col min="261" max="262" width="3.85546875" style="3305" customWidth="1"/>
    <col min="263" max="264" width="3.28515625" style="3305" customWidth="1"/>
    <col min="265" max="267" width="3.85546875" style="3305" customWidth="1"/>
    <col min="268" max="268" width="4" style="3305" customWidth="1"/>
    <col min="269" max="269" width="3.85546875" style="3305" customWidth="1"/>
    <col min="270" max="270" width="3.28515625" style="3305" customWidth="1"/>
    <col min="271" max="276" width="3.85546875" style="3305" customWidth="1"/>
    <col min="277" max="278" width="3.28515625" style="3305" customWidth="1"/>
    <col min="279" max="279" width="8" style="3305" customWidth="1"/>
    <col min="280" max="280" width="7.5703125" style="3305" customWidth="1"/>
    <col min="281" max="281" width="7.140625" style="3305" customWidth="1"/>
    <col min="282" max="282" width="9.28515625" style="3305" bestFit="1" customWidth="1"/>
    <col min="283" max="283" width="9.42578125" style="3305" bestFit="1" customWidth="1"/>
    <col min="284" max="500" width="8.85546875" style="3305"/>
    <col min="501" max="501" width="4.28515625" style="3305" customWidth="1"/>
    <col min="502" max="502" width="9.140625" style="3305" customWidth="1"/>
    <col min="503" max="503" width="16.7109375" style="3305" customWidth="1"/>
    <col min="504" max="505" width="3.28515625" style="3305" customWidth="1"/>
    <col min="506" max="511" width="3.85546875" style="3305" customWidth="1"/>
    <col min="512" max="512" width="4.28515625" style="3305" customWidth="1"/>
    <col min="513" max="516" width="4.140625" style="3305" customWidth="1"/>
    <col min="517" max="518" width="3.85546875" style="3305" customWidth="1"/>
    <col min="519" max="520" width="3.28515625" style="3305" customWidth="1"/>
    <col min="521" max="523" width="3.85546875" style="3305" customWidth="1"/>
    <col min="524" max="524" width="4" style="3305" customWidth="1"/>
    <col min="525" max="525" width="3.85546875" style="3305" customWidth="1"/>
    <col min="526" max="526" width="3.28515625" style="3305" customWidth="1"/>
    <col min="527" max="532" width="3.85546875" style="3305" customWidth="1"/>
    <col min="533" max="534" width="3.28515625" style="3305" customWidth="1"/>
    <col min="535" max="535" width="8" style="3305" customWidth="1"/>
    <col min="536" max="536" width="7.5703125" style="3305" customWidth="1"/>
    <col min="537" max="537" width="7.140625" style="3305" customWidth="1"/>
    <col min="538" max="538" width="9.28515625" style="3305" bestFit="1" customWidth="1"/>
    <col min="539" max="539" width="9.42578125" style="3305" bestFit="1" customWidth="1"/>
    <col min="540" max="756" width="8.85546875" style="3305"/>
    <col min="757" max="757" width="4.28515625" style="3305" customWidth="1"/>
    <col min="758" max="758" width="9.140625" style="3305" customWidth="1"/>
    <col min="759" max="759" width="16.7109375" style="3305" customWidth="1"/>
    <col min="760" max="761" width="3.28515625" style="3305" customWidth="1"/>
    <col min="762" max="767" width="3.85546875" style="3305" customWidth="1"/>
    <col min="768" max="768" width="4.28515625" style="3305" customWidth="1"/>
    <col min="769" max="772" width="4.140625" style="3305" customWidth="1"/>
    <col min="773" max="774" width="3.85546875" style="3305" customWidth="1"/>
    <col min="775" max="776" width="3.28515625" style="3305" customWidth="1"/>
    <col min="777" max="779" width="3.85546875" style="3305" customWidth="1"/>
    <col min="780" max="780" width="4" style="3305" customWidth="1"/>
    <col min="781" max="781" width="3.85546875" style="3305" customWidth="1"/>
    <col min="782" max="782" width="3.28515625" style="3305" customWidth="1"/>
    <col min="783" max="788" width="3.85546875" style="3305" customWidth="1"/>
    <col min="789" max="790" width="3.28515625" style="3305" customWidth="1"/>
    <col min="791" max="791" width="8" style="3305" customWidth="1"/>
    <col min="792" max="792" width="7.5703125" style="3305" customWidth="1"/>
    <col min="793" max="793" width="7.140625" style="3305" customWidth="1"/>
    <col min="794" max="794" width="9.28515625" style="3305" bestFit="1" customWidth="1"/>
    <col min="795" max="795" width="9.42578125" style="3305" bestFit="1" customWidth="1"/>
    <col min="796" max="1012" width="8.85546875" style="3305"/>
    <col min="1013" max="1013" width="4.28515625" style="3305" customWidth="1"/>
    <col min="1014" max="1014" width="9.140625" style="3305" customWidth="1"/>
    <col min="1015" max="1015" width="16.7109375" style="3305" customWidth="1"/>
    <col min="1016" max="1017" width="3.28515625" style="3305" customWidth="1"/>
    <col min="1018" max="1023" width="3.85546875" style="3305" customWidth="1"/>
    <col min="1024" max="1024" width="4.28515625" style="3305" customWidth="1"/>
    <col min="1025" max="1028" width="4.140625" style="3305" customWidth="1"/>
    <col min="1029" max="1030" width="3.85546875" style="3305" customWidth="1"/>
    <col min="1031" max="1032" width="3.28515625" style="3305" customWidth="1"/>
    <col min="1033" max="1035" width="3.85546875" style="3305" customWidth="1"/>
    <col min="1036" max="1036" width="4" style="3305" customWidth="1"/>
    <col min="1037" max="1037" width="3.85546875" style="3305" customWidth="1"/>
    <col min="1038" max="1038" width="3.28515625" style="3305" customWidth="1"/>
    <col min="1039" max="1044" width="3.85546875" style="3305" customWidth="1"/>
    <col min="1045" max="1046" width="3.28515625" style="3305" customWidth="1"/>
    <col min="1047" max="1047" width="8" style="3305" customWidth="1"/>
    <col min="1048" max="1048" width="7.5703125" style="3305" customWidth="1"/>
    <col min="1049" max="1049" width="7.140625" style="3305" customWidth="1"/>
    <col min="1050" max="1050" width="9.28515625" style="3305" bestFit="1" customWidth="1"/>
    <col min="1051" max="1051" width="9.42578125" style="3305" bestFit="1" customWidth="1"/>
    <col min="1052" max="1268" width="8.85546875" style="3305"/>
    <col min="1269" max="1269" width="4.28515625" style="3305" customWidth="1"/>
    <col min="1270" max="1270" width="9.140625" style="3305" customWidth="1"/>
    <col min="1271" max="1271" width="16.7109375" style="3305" customWidth="1"/>
    <col min="1272" max="1273" width="3.28515625" style="3305" customWidth="1"/>
    <col min="1274" max="1279" width="3.85546875" style="3305" customWidth="1"/>
    <col min="1280" max="1280" width="4.28515625" style="3305" customWidth="1"/>
    <col min="1281" max="1284" width="4.140625" style="3305" customWidth="1"/>
    <col min="1285" max="1286" width="3.85546875" style="3305" customWidth="1"/>
    <col min="1287" max="1288" width="3.28515625" style="3305" customWidth="1"/>
    <col min="1289" max="1291" width="3.85546875" style="3305" customWidth="1"/>
    <col min="1292" max="1292" width="4" style="3305" customWidth="1"/>
    <col min="1293" max="1293" width="3.85546875" style="3305" customWidth="1"/>
    <col min="1294" max="1294" width="3.28515625" style="3305" customWidth="1"/>
    <col min="1295" max="1300" width="3.85546875" style="3305" customWidth="1"/>
    <col min="1301" max="1302" width="3.28515625" style="3305" customWidth="1"/>
    <col min="1303" max="1303" width="8" style="3305" customWidth="1"/>
    <col min="1304" max="1304" width="7.5703125" style="3305" customWidth="1"/>
    <col min="1305" max="1305" width="7.140625" style="3305" customWidth="1"/>
    <col min="1306" max="1306" width="9.28515625" style="3305" bestFit="1" customWidth="1"/>
    <col min="1307" max="1307" width="9.42578125" style="3305" bestFit="1" customWidth="1"/>
    <col min="1308" max="1524" width="8.85546875" style="3305"/>
    <col min="1525" max="1525" width="4.28515625" style="3305" customWidth="1"/>
    <col min="1526" max="1526" width="9.140625" style="3305" customWidth="1"/>
    <col min="1527" max="1527" width="16.7109375" style="3305" customWidth="1"/>
    <col min="1528" max="1529" width="3.28515625" style="3305" customWidth="1"/>
    <col min="1530" max="1535" width="3.85546875" style="3305" customWidth="1"/>
    <col min="1536" max="1536" width="4.28515625" style="3305" customWidth="1"/>
    <col min="1537" max="1540" width="4.140625" style="3305" customWidth="1"/>
    <col min="1541" max="1542" width="3.85546875" style="3305" customWidth="1"/>
    <col min="1543" max="1544" width="3.28515625" style="3305" customWidth="1"/>
    <col min="1545" max="1547" width="3.85546875" style="3305" customWidth="1"/>
    <col min="1548" max="1548" width="4" style="3305" customWidth="1"/>
    <col min="1549" max="1549" width="3.85546875" style="3305" customWidth="1"/>
    <col min="1550" max="1550" width="3.28515625" style="3305" customWidth="1"/>
    <col min="1551" max="1556" width="3.85546875" style="3305" customWidth="1"/>
    <col min="1557" max="1558" width="3.28515625" style="3305" customWidth="1"/>
    <col min="1559" max="1559" width="8" style="3305" customWidth="1"/>
    <col min="1560" max="1560" width="7.5703125" style="3305" customWidth="1"/>
    <col min="1561" max="1561" width="7.140625" style="3305" customWidth="1"/>
    <col min="1562" max="1562" width="9.28515625" style="3305" bestFit="1" customWidth="1"/>
    <col min="1563" max="1563" width="9.42578125" style="3305" bestFit="1" customWidth="1"/>
    <col min="1564" max="1780" width="8.85546875" style="3305"/>
    <col min="1781" max="1781" width="4.28515625" style="3305" customWidth="1"/>
    <col min="1782" max="1782" width="9.140625" style="3305" customWidth="1"/>
    <col min="1783" max="1783" width="16.7109375" style="3305" customWidth="1"/>
    <col min="1784" max="1785" width="3.28515625" style="3305" customWidth="1"/>
    <col min="1786" max="1791" width="3.85546875" style="3305" customWidth="1"/>
    <col min="1792" max="1792" width="4.28515625" style="3305" customWidth="1"/>
    <col min="1793" max="1796" width="4.140625" style="3305" customWidth="1"/>
    <col min="1797" max="1798" width="3.85546875" style="3305" customWidth="1"/>
    <col min="1799" max="1800" width="3.28515625" style="3305" customWidth="1"/>
    <col min="1801" max="1803" width="3.85546875" style="3305" customWidth="1"/>
    <col min="1804" max="1804" width="4" style="3305" customWidth="1"/>
    <col min="1805" max="1805" width="3.85546875" style="3305" customWidth="1"/>
    <col min="1806" max="1806" width="3.28515625" style="3305" customWidth="1"/>
    <col min="1807" max="1812" width="3.85546875" style="3305" customWidth="1"/>
    <col min="1813" max="1814" width="3.28515625" style="3305" customWidth="1"/>
    <col min="1815" max="1815" width="8" style="3305" customWidth="1"/>
    <col min="1816" max="1816" width="7.5703125" style="3305" customWidth="1"/>
    <col min="1817" max="1817" width="7.140625" style="3305" customWidth="1"/>
    <col min="1818" max="1818" width="9.28515625" style="3305" bestFit="1" customWidth="1"/>
    <col min="1819" max="1819" width="9.42578125" style="3305" bestFit="1" customWidth="1"/>
    <col min="1820" max="2036" width="8.85546875" style="3305"/>
    <col min="2037" max="2037" width="4.28515625" style="3305" customWidth="1"/>
    <col min="2038" max="2038" width="9.140625" style="3305" customWidth="1"/>
    <col min="2039" max="2039" width="16.7109375" style="3305" customWidth="1"/>
    <col min="2040" max="2041" width="3.28515625" style="3305" customWidth="1"/>
    <col min="2042" max="2047" width="3.85546875" style="3305" customWidth="1"/>
    <col min="2048" max="2048" width="4.28515625" style="3305" customWidth="1"/>
    <col min="2049" max="2052" width="4.140625" style="3305" customWidth="1"/>
    <col min="2053" max="2054" width="3.85546875" style="3305" customWidth="1"/>
    <col min="2055" max="2056" width="3.28515625" style="3305" customWidth="1"/>
    <col min="2057" max="2059" width="3.85546875" style="3305" customWidth="1"/>
    <col min="2060" max="2060" width="4" style="3305" customWidth="1"/>
    <col min="2061" max="2061" width="3.85546875" style="3305" customWidth="1"/>
    <col min="2062" max="2062" width="3.28515625" style="3305" customWidth="1"/>
    <col min="2063" max="2068" width="3.85546875" style="3305" customWidth="1"/>
    <col min="2069" max="2070" width="3.28515625" style="3305" customWidth="1"/>
    <col min="2071" max="2071" width="8" style="3305" customWidth="1"/>
    <col min="2072" max="2072" width="7.5703125" style="3305" customWidth="1"/>
    <col min="2073" max="2073" width="7.140625" style="3305" customWidth="1"/>
    <col min="2074" max="2074" width="9.28515625" style="3305" bestFit="1" customWidth="1"/>
    <col min="2075" max="2075" width="9.42578125" style="3305" bestFit="1" customWidth="1"/>
    <col min="2076" max="2292" width="8.85546875" style="3305"/>
    <col min="2293" max="2293" width="4.28515625" style="3305" customWidth="1"/>
    <col min="2294" max="2294" width="9.140625" style="3305" customWidth="1"/>
    <col min="2295" max="2295" width="16.7109375" style="3305" customWidth="1"/>
    <col min="2296" max="2297" width="3.28515625" style="3305" customWidth="1"/>
    <col min="2298" max="2303" width="3.85546875" style="3305" customWidth="1"/>
    <col min="2304" max="2304" width="4.28515625" style="3305" customWidth="1"/>
    <col min="2305" max="2308" width="4.140625" style="3305" customWidth="1"/>
    <col min="2309" max="2310" width="3.85546875" style="3305" customWidth="1"/>
    <col min="2311" max="2312" width="3.28515625" style="3305" customWidth="1"/>
    <col min="2313" max="2315" width="3.85546875" style="3305" customWidth="1"/>
    <col min="2316" max="2316" width="4" style="3305" customWidth="1"/>
    <col min="2317" max="2317" width="3.85546875" style="3305" customWidth="1"/>
    <col min="2318" max="2318" width="3.28515625" style="3305" customWidth="1"/>
    <col min="2319" max="2324" width="3.85546875" style="3305" customWidth="1"/>
    <col min="2325" max="2326" width="3.28515625" style="3305" customWidth="1"/>
    <col min="2327" max="2327" width="8" style="3305" customWidth="1"/>
    <col min="2328" max="2328" width="7.5703125" style="3305" customWidth="1"/>
    <col min="2329" max="2329" width="7.140625" style="3305" customWidth="1"/>
    <col min="2330" max="2330" width="9.28515625" style="3305" bestFit="1" customWidth="1"/>
    <col min="2331" max="2331" width="9.42578125" style="3305" bestFit="1" customWidth="1"/>
    <col min="2332" max="2548" width="8.85546875" style="3305"/>
    <col min="2549" max="2549" width="4.28515625" style="3305" customWidth="1"/>
    <col min="2550" max="2550" width="9.140625" style="3305" customWidth="1"/>
    <col min="2551" max="2551" width="16.7109375" style="3305" customWidth="1"/>
    <col min="2552" max="2553" width="3.28515625" style="3305" customWidth="1"/>
    <col min="2554" max="2559" width="3.85546875" style="3305" customWidth="1"/>
    <col min="2560" max="2560" width="4.28515625" style="3305" customWidth="1"/>
    <col min="2561" max="2564" width="4.140625" style="3305" customWidth="1"/>
    <col min="2565" max="2566" width="3.85546875" style="3305" customWidth="1"/>
    <col min="2567" max="2568" width="3.28515625" style="3305" customWidth="1"/>
    <col min="2569" max="2571" width="3.85546875" style="3305" customWidth="1"/>
    <col min="2572" max="2572" width="4" style="3305" customWidth="1"/>
    <col min="2573" max="2573" width="3.85546875" style="3305" customWidth="1"/>
    <col min="2574" max="2574" width="3.28515625" style="3305" customWidth="1"/>
    <col min="2575" max="2580" width="3.85546875" style="3305" customWidth="1"/>
    <col min="2581" max="2582" width="3.28515625" style="3305" customWidth="1"/>
    <col min="2583" max="2583" width="8" style="3305" customWidth="1"/>
    <col min="2584" max="2584" width="7.5703125" style="3305" customWidth="1"/>
    <col min="2585" max="2585" width="7.140625" style="3305" customWidth="1"/>
    <col min="2586" max="2586" width="9.28515625" style="3305" bestFit="1" customWidth="1"/>
    <col min="2587" max="2587" width="9.42578125" style="3305" bestFit="1" customWidth="1"/>
    <col min="2588" max="2804" width="8.85546875" style="3305"/>
    <col min="2805" max="2805" width="4.28515625" style="3305" customWidth="1"/>
    <col min="2806" max="2806" width="9.140625" style="3305" customWidth="1"/>
    <col min="2807" max="2807" width="16.7109375" style="3305" customWidth="1"/>
    <col min="2808" max="2809" width="3.28515625" style="3305" customWidth="1"/>
    <col min="2810" max="2815" width="3.85546875" style="3305" customWidth="1"/>
    <col min="2816" max="2816" width="4.28515625" style="3305" customWidth="1"/>
    <col min="2817" max="2820" width="4.140625" style="3305" customWidth="1"/>
    <col min="2821" max="2822" width="3.85546875" style="3305" customWidth="1"/>
    <col min="2823" max="2824" width="3.28515625" style="3305" customWidth="1"/>
    <col min="2825" max="2827" width="3.85546875" style="3305" customWidth="1"/>
    <col min="2828" max="2828" width="4" style="3305" customWidth="1"/>
    <col min="2829" max="2829" width="3.85546875" style="3305" customWidth="1"/>
    <col min="2830" max="2830" width="3.28515625" style="3305" customWidth="1"/>
    <col min="2831" max="2836" width="3.85546875" style="3305" customWidth="1"/>
    <col min="2837" max="2838" width="3.28515625" style="3305" customWidth="1"/>
    <col min="2839" max="2839" width="8" style="3305" customWidth="1"/>
    <col min="2840" max="2840" width="7.5703125" style="3305" customWidth="1"/>
    <col min="2841" max="2841" width="7.140625" style="3305" customWidth="1"/>
    <col min="2842" max="2842" width="9.28515625" style="3305" bestFit="1" customWidth="1"/>
    <col min="2843" max="2843" width="9.42578125" style="3305" bestFit="1" customWidth="1"/>
    <col min="2844" max="3060" width="8.85546875" style="3305"/>
    <col min="3061" max="3061" width="4.28515625" style="3305" customWidth="1"/>
    <col min="3062" max="3062" width="9.140625" style="3305" customWidth="1"/>
    <col min="3063" max="3063" width="16.7109375" style="3305" customWidth="1"/>
    <col min="3064" max="3065" width="3.28515625" style="3305" customWidth="1"/>
    <col min="3066" max="3071" width="3.85546875" style="3305" customWidth="1"/>
    <col min="3072" max="3072" width="4.28515625" style="3305" customWidth="1"/>
    <col min="3073" max="3076" width="4.140625" style="3305" customWidth="1"/>
    <col min="3077" max="3078" width="3.85546875" style="3305" customWidth="1"/>
    <col min="3079" max="3080" width="3.28515625" style="3305" customWidth="1"/>
    <col min="3081" max="3083" width="3.85546875" style="3305" customWidth="1"/>
    <col min="3084" max="3084" width="4" style="3305" customWidth="1"/>
    <col min="3085" max="3085" width="3.85546875" style="3305" customWidth="1"/>
    <col min="3086" max="3086" width="3.28515625" style="3305" customWidth="1"/>
    <col min="3087" max="3092" width="3.85546875" style="3305" customWidth="1"/>
    <col min="3093" max="3094" width="3.28515625" style="3305" customWidth="1"/>
    <col min="3095" max="3095" width="8" style="3305" customWidth="1"/>
    <col min="3096" max="3096" width="7.5703125" style="3305" customWidth="1"/>
    <col min="3097" max="3097" width="7.140625" style="3305" customWidth="1"/>
    <col min="3098" max="3098" width="9.28515625" style="3305" bestFit="1" customWidth="1"/>
    <col min="3099" max="3099" width="9.42578125" style="3305" bestFit="1" customWidth="1"/>
    <col min="3100" max="3316" width="8.85546875" style="3305"/>
    <col min="3317" max="3317" width="4.28515625" style="3305" customWidth="1"/>
    <col min="3318" max="3318" width="9.140625" style="3305" customWidth="1"/>
    <col min="3319" max="3319" width="16.7109375" style="3305" customWidth="1"/>
    <col min="3320" max="3321" width="3.28515625" style="3305" customWidth="1"/>
    <col min="3322" max="3327" width="3.85546875" style="3305" customWidth="1"/>
    <col min="3328" max="3328" width="4.28515625" style="3305" customWidth="1"/>
    <col min="3329" max="3332" width="4.140625" style="3305" customWidth="1"/>
    <col min="3333" max="3334" width="3.85546875" style="3305" customWidth="1"/>
    <col min="3335" max="3336" width="3.28515625" style="3305" customWidth="1"/>
    <col min="3337" max="3339" width="3.85546875" style="3305" customWidth="1"/>
    <col min="3340" max="3340" width="4" style="3305" customWidth="1"/>
    <col min="3341" max="3341" width="3.85546875" style="3305" customWidth="1"/>
    <col min="3342" max="3342" width="3.28515625" style="3305" customWidth="1"/>
    <col min="3343" max="3348" width="3.85546875" style="3305" customWidth="1"/>
    <col min="3349" max="3350" width="3.28515625" style="3305" customWidth="1"/>
    <col min="3351" max="3351" width="8" style="3305" customWidth="1"/>
    <col min="3352" max="3352" width="7.5703125" style="3305" customWidth="1"/>
    <col min="3353" max="3353" width="7.140625" style="3305" customWidth="1"/>
    <col min="3354" max="3354" width="9.28515625" style="3305" bestFit="1" customWidth="1"/>
    <col min="3355" max="3355" width="9.42578125" style="3305" bestFit="1" customWidth="1"/>
    <col min="3356" max="3572" width="8.85546875" style="3305"/>
    <col min="3573" max="3573" width="4.28515625" style="3305" customWidth="1"/>
    <col min="3574" max="3574" width="9.140625" style="3305" customWidth="1"/>
    <col min="3575" max="3575" width="16.7109375" style="3305" customWidth="1"/>
    <col min="3576" max="3577" width="3.28515625" style="3305" customWidth="1"/>
    <col min="3578" max="3583" width="3.85546875" style="3305" customWidth="1"/>
    <col min="3584" max="3584" width="4.28515625" style="3305" customWidth="1"/>
    <col min="3585" max="3588" width="4.140625" style="3305" customWidth="1"/>
    <col min="3589" max="3590" width="3.85546875" style="3305" customWidth="1"/>
    <col min="3591" max="3592" width="3.28515625" style="3305" customWidth="1"/>
    <col min="3593" max="3595" width="3.85546875" style="3305" customWidth="1"/>
    <col min="3596" max="3596" width="4" style="3305" customWidth="1"/>
    <col min="3597" max="3597" width="3.85546875" style="3305" customWidth="1"/>
    <col min="3598" max="3598" width="3.28515625" style="3305" customWidth="1"/>
    <col min="3599" max="3604" width="3.85546875" style="3305" customWidth="1"/>
    <col min="3605" max="3606" width="3.28515625" style="3305" customWidth="1"/>
    <col min="3607" max="3607" width="8" style="3305" customWidth="1"/>
    <col min="3608" max="3608" width="7.5703125" style="3305" customWidth="1"/>
    <col min="3609" max="3609" width="7.140625" style="3305" customWidth="1"/>
    <col min="3610" max="3610" width="9.28515625" style="3305" bestFit="1" customWidth="1"/>
    <col min="3611" max="3611" width="9.42578125" style="3305" bestFit="1" customWidth="1"/>
    <col min="3612" max="3828" width="8.85546875" style="3305"/>
    <col min="3829" max="3829" width="4.28515625" style="3305" customWidth="1"/>
    <col min="3830" max="3830" width="9.140625" style="3305" customWidth="1"/>
    <col min="3831" max="3831" width="16.7109375" style="3305" customWidth="1"/>
    <col min="3832" max="3833" width="3.28515625" style="3305" customWidth="1"/>
    <col min="3834" max="3839" width="3.85546875" style="3305" customWidth="1"/>
    <col min="3840" max="3840" width="4.28515625" style="3305" customWidth="1"/>
    <col min="3841" max="3844" width="4.140625" style="3305" customWidth="1"/>
    <col min="3845" max="3846" width="3.85546875" style="3305" customWidth="1"/>
    <col min="3847" max="3848" width="3.28515625" style="3305" customWidth="1"/>
    <col min="3849" max="3851" width="3.85546875" style="3305" customWidth="1"/>
    <col min="3852" max="3852" width="4" style="3305" customWidth="1"/>
    <col min="3853" max="3853" width="3.85546875" style="3305" customWidth="1"/>
    <col min="3854" max="3854" width="3.28515625" style="3305" customWidth="1"/>
    <col min="3855" max="3860" width="3.85546875" style="3305" customWidth="1"/>
    <col min="3861" max="3862" width="3.28515625" style="3305" customWidth="1"/>
    <col min="3863" max="3863" width="8" style="3305" customWidth="1"/>
    <col min="3864" max="3864" width="7.5703125" style="3305" customWidth="1"/>
    <col min="3865" max="3865" width="7.140625" style="3305" customWidth="1"/>
    <col min="3866" max="3866" width="9.28515625" style="3305" bestFit="1" customWidth="1"/>
    <col min="3867" max="3867" width="9.42578125" style="3305" bestFit="1" customWidth="1"/>
    <col min="3868" max="4084" width="8.85546875" style="3305"/>
    <col min="4085" max="4085" width="4.28515625" style="3305" customWidth="1"/>
    <col min="4086" max="4086" width="9.140625" style="3305" customWidth="1"/>
    <col min="4087" max="4087" width="16.7109375" style="3305" customWidth="1"/>
    <col min="4088" max="4089" width="3.28515625" style="3305" customWidth="1"/>
    <col min="4090" max="4095" width="3.85546875" style="3305" customWidth="1"/>
    <col min="4096" max="4096" width="4.28515625" style="3305" customWidth="1"/>
    <col min="4097" max="4100" width="4.140625" style="3305" customWidth="1"/>
    <col min="4101" max="4102" width="3.85546875" style="3305" customWidth="1"/>
    <col min="4103" max="4104" width="3.28515625" style="3305" customWidth="1"/>
    <col min="4105" max="4107" width="3.85546875" style="3305" customWidth="1"/>
    <col min="4108" max="4108" width="4" style="3305" customWidth="1"/>
    <col min="4109" max="4109" width="3.85546875" style="3305" customWidth="1"/>
    <col min="4110" max="4110" width="3.28515625" style="3305" customWidth="1"/>
    <col min="4111" max="4116" width="3.85546875" style="3305" customWidth="1"/>
    <col min="4117" max="4118" width="3.28515625" style="3305" customWidth="1"/>
    <col min="4119" max="4119" width="8" style="3305" customWidth="1"/>
    <col min="4120" max="4120" width="7.5703125" style="3305" customWidth="1"/>
    <col min="4121" max="4121" width="7.140625" style="3305" customWidth="1"/>
    <col min="4122" max="4122" width="9.28515625" style="3305" bestFit="1" customWidth="1"/>
    <col min="4123" max="4123" width="9.42578125" style="3305" bestFit="1" customWidth="1"/>
    <col min="4124" max="4340" width="8.85546875" style="3305"/>
    <col min="4341" max="4341" width="4.28515625" style="3305" customWidth="1"/>
    <col min="4342" max="4342" width="9.140625" style="3305" customWidth="1"/>
    <col min="4343" max="4343" width="16.7109375" style="3305" customWidth="1"/>
    <col min="4344" max="4345" width="3.28515625" style="3305" customWidth="1"/>
    <col min="4346" max="4351" width="3.85546875" style="3305" customWidth="1"/>
    <col min="4352" max="4352" width="4.28515625" style="3305" customWidth="1"/>
    <col min="4353" max="4356" width="4.140625" style="3305" customWidth="1"/>
    <col min="4357" max="4358" width="3.85546875" style="3305" customWidth="1"/>
    <col min="4359" max="4360" width="3.28515625" style="3305" customWidth="1"/>
    <col min="4361" max="4363" width="3.85546875" style="3305" customWidth="1"/>
    <col min="4364" max="4364" width="4" style="3305" customWidth="1"/>
    <col min="4365" max="4365" width="3.85546875" style="3305" customWidth="1"/>
    <col min="4366" max="4366" width="3.28515625" style="3305" customWidth="1"/>
    <col min="4367" max="4372" width="3.85546875" style="3305" customWidth="1"/>
    <col min="4373" max="4374" width="3.28515625" style="3305" customWidth="1"/>
    <col min="4375" max="4375" width="8" style="3305" customWidth="1"/>
    <col min="4376" max="4376" width="7.5703125" style="3305" customWidth="1"/>
    <col min="4377" max="4377" width="7.140625" style="3305" customWidth="1"/>
    <col min="4378" max="4378" width="9.28515625" style="3305" bestFit="1" customWidth="1"/>
    <col min="4379" max="4379" width="9.42578125" style="3305" bestFit="1" customWidth="1"/>
    <col min="4380" max="4596" width="8.85546875" style="3305"/>
    <col min="4597" max="4597" width="4.28515625" style="3305" customWidth="1"/>
    <col min="4598" max="4598" width="9.140625" style="3305" customWidth="1"/>
    <col min="4599" max="4599" width="16.7109375" style="3305" customWidth="1"/>
    <col min="4600" max="4601" width="3.28515625" style="3305" customWidth="1"/>
    <col min="4602" max="4607" width="3.85546875" style="3305" customWidth="1"/>
    <col min="4608" max="4608" width="4.28515625" style="3305" customWidth="1"/>
    <col min="4609" max="4612" width="4.140625" style="3305" customWidth="1"/>
    <col min="4613" max="4614" width="3.85546875" style="3305" customWidth="1"/>
    <col min="4615" max="4616" width="3.28515625" style="3305" customWidth="1"/>
    <col min="4617" max="4619" width="3.85546875" style="3305" customWidth="1"/>
    <col min="4620" max="4620" width="4" style="3305" customWidth="1"/>
    <col min="4621" max="4621" width="3.85546875" style="3305" customWidth="1"/>
    <col min="4622" max="4622" width="3.28515625" style="3305" customWidth="1"/>
    <col min="4623" max="4628" width="3.85546875" style="3305" customWidth="1"/>
    <col min="4629" max="4630" width="3.28515625" style="3305" customWidth="1"/>
    <col min="4631" max="4631" width="8" style="3305" customWidth="1"/>
    <col min="4632" max="4632" width="7.5703125" style="3305" customWidth="1"/>
    <col min="4633" max="4633" width="7.140625" style="3305" customWidth="1"/>
    <col min="4634" max="4634" width="9.28515625" style="3305" bestFit="1" customWidth="1"/>
    <col min="4635" max="4635" width="9.42578125" style="3305" bestFit="1" customWidth="1"/>
    <col min="4636" max="4852" width="8.85546875" style="3305"/>
    <col min="4853" max="4853" width="4.28515625" style="3305" customWidth="1"/>
    <col min="4854" max="4854" width="9.140625" style="3305" customWidth="1"/>
    <col min="4855" max="4855" width="16.7109375" style="3305" customWidth="1"/>
    <col min="4856" max="4857" width="3.28515625" style="3305" customWidth="1"/>
    <col min="4858" max="4863" width="3.85546875" style="3305" customWidth="1"/>
    <col min="4864" max="4864" width="4.28515625" style="3305" customWidth="1"/>
    <col min="4865" max="4868" width="4.140625" style="3305" customWidth="1"/>
    <col min="4869" max="4870" width="3.85546875" style="3305" customWidth="1"/>
    <col min="4871" max="4872" width="3.28515625" style="3305" customWidth="1"/>
    <col min="4873" max="4875" width="3.85546875" style="3305" customWidth="1"/>
    <col min="4876" max="4876" width="4" style="3305" customWidth="1"/>
    <col min="4877" max="4877" width="3.85546875" style="3305" customWidth="1"/>
    <col min="4878" max="4878" width="3.28515625" style="3305" customWidth="1"/>
    <col min="4879" max="4884" width="3.85546875" style="3305" customWidth="1"/>
    <col min="4885" max="4886" width="3.28515625" style="3305" customWidth="1"/>
    <col min="4887" max="4887" width="8" style="3305" customWidth="1"/>
    <col min="4888" max="4888" width="7.5703125" style="3305" customWidth="1"/>
    <col min="4889" max="4889" width="7.140625" style="3305" customWidth="1"/>
    <col min="4890" max="4890" width="9.28515625" style="3305" bestFit="1" customWidth="1"/>
    <col min="4891" max="4891" width="9.42578125" style="3305" bestFit="1" customWidth="1"/>
    <col min="4892" max="5108" width="8.85546875" style="3305"/>
    <col min="5109" max="5109" width="4.28515625" style="3305" customWidth="1"/>
    <col min="5110" max="5110" width="9.140625" style="3305" customWidth="1"/>
    <col min="5111" max="5111" width="16.7109375" style="3305" customWidth="1"/>
    <col min="5112" max="5113" width="3.28515625" style="3305" customWidth="1"/>
    <col min="5114" max="5119" width="3.85546875" style="3305" customWidth="1"/>
    <col min="5120" max="5120" width="4.28515625" style="3305" customWidth="1"/>
    <col min="5121" max="5124" width="4.140625" style="3305" customWidth="1"/>
    <col min="5125" max="5126" width="3.85546875" style="3305" customWidth="1"/>
    <col min="5127" max="5128" width="3.28515625" style="3305" customWidth="1"/>
    <col min="5129" max="5131" width="3.85546875" style="3305" customWidth="1"/>
    <col min="5132" max="5132" width="4" style="3305" customWidth="1"/>
    <col min="5133" max="5133" width="3.85546875" style="3305" customWidth="1"/>
    <col min="5134" max="5134" width="3.28515625" style="3305" customWidth="1"/>
    <col min="5135" max="5140" width="3.85546875" style="3305" customWidth="1"/>
    <col min="5141" max="5142" width="3.28515625" style="3305" customWidth="1"/>
    <col min="5143" max="5143" width="8" style="3305" customWidth="1"/>
    <col min="5144" max="5144" width="7.5703125" style="3305" customWidth="1"/>
    <col min="5145" max="5145" width="7.140625" style="3305" customWidth="1"/>
    <col min="5146" max="5146" width="9.28515625" style="3305" bestFit="1" customWidth="1"/>
    <col min="5147" max="5147" width="9.42578125" style="3305" bestFit="1" customWidth="1"/>
    <col min="5148" max="5364" width="8.85546875" style="3305"/>
    <col min="5365" max="5365" width="4.28515625" style="3305" customWidth="1"/>
    <col min="5366" max="5366" width="9.140625" style="3305" customWidth="1"/>
    <col min="5367" max="5367" width="16.7109375" style="3305" customWidth="1"/>
    <col min="5368" max="5369" width="3.28515625" style="3305" customWidth="1"/>
    <col min="5370" max="5375" width="3.85546875" style="3305" customWidth="1"/>
    <col min="5376" max="5376" width="4.28515625" style="3305" customWidth="1"/>
    <col min="5377" max="5380" width="4.140625" style="3305" customWidth="1"/>
    <col min="5381" max="5382" width="3.85546875" style="3305" customWidth="1"/>
    <col min="5383" max="5384" width="3.28515625" style="3305" customWidth="1"/>
    <col min="5385" max="5387" width="3.85546875" style="3305" customWidth="1"/>
    <col min="5388" max="5388" width="4" style="3305" customWidth="1"/>
    <col min="5389" max="5389" width="3.85546875" style="3305" customWidth="1"/>
    <col min="5390" max="5390" width="3.28515625" style="3305" customWidth="1"/>
    <col min="5391" max="5396" width="3.85546875" style="3305" customWidth="1"/>
    <col min="5397" max="5398" width="3.28515625" style="3305" customWidth="1"/>
    <col min="5399" max="5399" width="8" style="3305" customWidth="1"/>
    <col min="5400" max="5400" width="7.5703125" style="3305" customWidth="1"/>
    <col min="5401" max="5401" width="7.140625" style="3305" customWidth="1"/>
    <col min="5402" max="5402" width="9.28515625" style="3305" bestFit="1" customWidth="1"/>
    <col min="5403" max="5403" width="9.42578125" style="3305" bestFit="1" customWidth="1"/>
    <col min="5404" max="5620" width="8.85546875" style="3305"/>
    <col min="5621" max="5621" width="4.28515625" style="3305" customWidth="1"/>
    <col min="5622" max="5622" width="9.140625" style="3305" customWidth="1"/>
    <col min="5623" max="5623" width="16.7109375" style="3305" customWidth="1"/>
    <col min="5624" max="5625" width="3.28515625" style="3305" customWidth="1"/>
    <col min="5626" max="5631" width="3.85546875" style="3305" customWidth="1"/>
    <col min="5632" max="5632" width="4.28515625" style="3305" customWidth="1"/>
    <col min="5633" max="5636" width="4.140625" style="3305" customWidth="1"/>
    <col min="5637" max="5638" width="3.85546875" style="3305" customWidth="1"/>
    <col min="5639" max="5640" width="3.28515625" style="3305" customWidth="1"/>
    <col min="5641" max="5643" width="3.85546875" style="3305" customWidth="1"/>
    <col min="5644" max="5644" width="4" style="3305" customWidth="1"/>
    <col min="5645" max="5645" width="3.85546875" style="3305" customWidth="1"/>
    <col min="5646" max="5646" width="3.28515625" style="3305" customWidth="1"/>
    <col min="5647" max="5652" width="3.85546875" style="3305" customWidth="1"/>
    <col min="5653" max="5654" width="3.28515625" style="3305" customWidth="1"/>
    <col min="5655" max="5655" width="8" style="3305" customWidth="1"/>
    <col min="5656" max="5656" width="7.5703125" style="3305" customWidth="1"/>
    <col min="5657" max="5657" width="7.140625" style="3305" customWidth="1"/>
    <col min="5658" max="5658" width="9.28515625" style="3305" bestFit="1" customWidth="1"/>
    <col min="5659" max="5659" width="9.42578125" style="3305" bestFit="1" customWidth="1"/>
    <col min="5660" max="5876" width="8.85546875" style="3305"/>
    <col min="5877" max="5877" width="4.28515625" style="3305" customWidth="1"/>
    <col min="5878" max="5878" width="9.140625" style="3305" customWidth="1"/>
    <col min="5879" max="5879" width="16.7109375" style="3305" customWidth="1"/>
    <col min="5880" max="5881" width="3.28515625" style="3305" customWidth="1"/>
    <col min="5882" max="5887" width="3.85546875" style="3305" customWidth="1"/>
    <col min="5888" max="5888" width="4.28515625" style="3305" customWidth="1"/>
    <col min="5889" max="5892" width="4.140625" style="3305" customWidth="1"/>
    <col min="5893" max="5894" width="3.85546875" style="3305" customWidth="1"/>
    <col min="5895" max="5896" width="3.28515625" style="3305" customWidth="1"/>
    <col min="5897" max="5899" width="3.85546875" style="3305" customWidth="1"/>
    <col min="5900" max="5900" width="4" style="3305" customWidth="1"/>
    <col min="5901" max="5901" width="3.85546875" style="3305" customWidth="1"/>
    <col min="5902" max="5902" width="3.28515625" style="3305" customWidth="1"/>
    <col min="5903" max="5908" width="3.85546875" style="3305" customWidth="1"/>
    <col min="5909" max="5910" width="3.28515625" style="3305" customWidth="1"/>
    <col min="5911" max="5911" width="8" style="3305" customWidth="1"/>
    <col min="5912" max="5912" width="7.5703125" style="3305" customWidth="1"/>
    <col min="5913" max="5913" width="7.140625" style="3305" customWidth="1"/>
    <col min="5914" max="5914" width="9.28515625" style="3305" bestFit="1" customWidth="1"/>
    <col min="5915" max="5915" width="9.42578125" style="3305" bestFit="1" customWidth="1"/>
    <col min="5916" max="6132" width="8.85546875" style="3305"/>
    <col min="6133" max="6133" width="4.28515625" style="3305" customWidth="1"/>
    <col min="6134" max="6134" width="9.140625" style="3305" customWidth="1"/>
    <col min="6135" max="6135" width="16.7109375" style="3305" customWidth="1"/>
    <col min="6136" max="6137" width="3.28515625" style="3305" customWidth="1"/>
    <col min="6138" max="6143" width="3.85546875" style="3305" customWidth="1"/>
    <col min="6144" max="6144" width="4.28515625" style="3305" customWidth="1"/>
    <col min="6145" max="6148" width="4.140625" style="3305" customWidth="1"/>
    <col min="6149" max="6150" width="3.85546875" style="3305" customWidth="1"/>
    <col min="6151" max="6152" width="3.28515625" style="3305" customWidth="1"/>
    <col min="6153" max="6155" width="3.85546875" style="3305" customWidth="1"/>
    <col min="6156" max="6156" width="4" style="3305" customWidth="1"/>
    <col min="6157" max="6157" width="3.85546875" style="3305" customWidth="1"/>
    <col min="6158" max="6158" width="3.28515625" style="3305" customWidth="1"/>
    <col min="6159" max="6164" width="3.85546875" style="3305" customWidth="1"/>
    <col min="6165" max="6166" width="3.28515625" style="3305" customWidth="1"/>
    <col min="6167" max="6167" width="8" style="3305" customWidth="1"/>
    <col min="6168" max="6168" width="7.5703125" style="3305" customWidth="1"/>
    <col min="6169" max="6169" width="7.140625" style="3305" customWidth="1"/>
    <col min="6170" max="6170" width="9.28515625" style="3305" bestFit="1" customWidth="1"/>
    <col min="6171" max="6171" width="9.42578125" style="3305" bestFit="1" customWidth="1"/>
    <col min="6172" max="6388" width="8.85546875" style="3305"/>
    <col min="6389" max="6389" width="4.28515625" style="3305" customWidth="1"/>
    <col min="6390" max="6390" width="9.140625" style="3305" customWidth="1"/>
    <col min="6391" max="6391" width="16.7109375" style="3305" customWidth="1"/>
    <col min="6392" max="6393" width="3.28515625" style="3305" customWidth="1"/>
    <col min="6394" max="6399" width="3.85546875" style="3305" customWidth="1"/>
    <col min="6400" max="6400" width="4.28515625" style="3305" customWidth="1"/>
    <col min="6401" max="6404" width="4.140625" style="3305" customWidth="1"/>
    <col min="6405" max="6406" width="3.85546875" style="3305" customWidth="1"/>
    <col min="6407" max="6408" width="3.28515625" style="3305" customWidth="1"/>
    <col min="6409" max="6411" width="3.85546875" style="3305" customWidth="1"/>
    <col min="6412" max="6412" width="4" style="3305" customWidth="1"/>
    <col min="6413" max="6413" width="3.85546875" style="3305" customWidth="1"/>
    <col min="6414" max="6414" width="3.28515625" style="3305" customWidth="1"/>
    <col min="6415" max="6420" width="3.85546875" style="3305" customWidth="1"/>
    <col min="6421" max="6422" width="3.28515625" style="3305" customWidth="1"/>
    <col min="6423" max="6423" width="8" style="3305" customWidth="1"/>
    <col min="6424" max="6424" width="7.5703125" style="3305" customWidth="1"/>
    <col min="6425" max="6425" width="7.140625" style="3305" customWidth="1"/>
    <col min="6426" max="6426" width="9.28515625" style="3305" bestFit="1" customWidth="1"/>
    <col min="6427" max="6427" width="9.42578125" style="3305" bestFit="1" customWidth="1"/>
    <col min="6428" max="6644" width="8.85546875" style="3305"/>
    <col min="6645" max="6645" width="4.28515625" style="3305" customWidth="1"/>
    <col min="6646" max="6646" width="9.140625" style="3305" customWidth="1"/>
    <col min="6647" max="6647" width="16.7109375" style="3305" customWidth="1"/>
    <col min="6648" max="6649" width="3.28515625" style="3305" customWidth="1"/>
    <col min="6650" max="6655" width="3.85546875" style="3305" customWidth="1"/>
    <col min="6656" max="6656" width="4.28515625" style="3305" customWidth="1"/>
    <col min="6657" max="6660" width="4.140625" style="3305" customWidth="1"/>
    <col min="6661" max="6662" width="3.85546875" style="3305" customWidth="1"/>
    <col min="6663" max="6664" width="3.28515625" style="3305" customWidth="1"/>
    <col min="6665" max="6667" width="3.85546875" style="3305" customWidth="1"/>
    <col min="6668" max="6668" width="4" style="3305" customWidth="1"/>
    <col min="6669" max="6669" width="3.85546875" style="3305" customWidth="1"/>
    <col min="6670" max="6670" width="3.28515625" style="3305" customWidth="1"/>
    <col min="6671" max="6676" width="3.85546875" style="3305" customWidth="1"/>
    <col min="6677" max="6678" width="3.28515625" style="3305" customWidth="1"/>
    <col min="6679" max="6679" width="8" style="3305" customWidth="1"/>
    <col min="6680" max="6680" width="7.5703125" style="3305" customWidth="1"/>
    <col min="6681" max="6681" width="7.140625" style="3305" customWidth="1"/>
    <col min="6682" max="6682" width="9.28515625" style="3305" bestFit="1" customWidth="1"/>
    <col min="6683" max="6683" width="9.42578125" style="3305" bestFit="1" customWidth="1"/>
    <col min="6684" max="6900" width="8.85546875" style="3305"/>
    <col min="6901" max="6901" width="4.28515625" style="3305" customWidth="1"/>
    <col min="6902" max="6902" width="9.140625" style="3305" customWidth="1"/>
    <col min="6903" max="6903" width="16.7109375" style="3305" customWidth="1"/>
    <col min="6904" max="6905" width="3.28515625" style="3305" customWidth="1"/>
    <col min="6906" max="6911" width="3.85546875" style="3305" customWidth="1"/>
    <col min="6912" max="6912" width="4.28515625" style="3305" customWidth="1"/>
    <col min="6913" max="6916" width="4.140625" style="3305" customWidth="1"/>
    <col min="6917" max="6918" width="3.85546875" style="3305" customWidth="1"/>
    <col min="6919" max="6920" width="3.28515625" style="3305" customWidth="1"/>
    <col min="6921" max="6923" width="3.85546875" style="3305" customWidth="1"/>
    <col min="6924" max="6924" width="4" style="3305" customWidth="1"/>
    <col min="6925" max="6925" width="3.85546875" style="3305" customWidth="1"/>
    <col min="6926" max="6926" width="3.28515625" style="3305" customWidth="1"/>
    <col min="6927" max="6932" width="3.85546875" style="3305" customWidth="1"/>
    <col min="6933" max="6934" width="3.28515625" style="3305" customWidth="1"/>
    <col min="6935" max="6935" width="8" style="3305" customWidth="1"/>
    <col min="6936" max="6936" width="7.5703125" style="3305" customWidth="1"/>
    <col min="6937" max="6937" width="7.140625" style="3305" customWidth="1"/>
    <col min="6938" max="6938" width="9.28515625" style="3305" bestFit="1" customWidth="1"/>
    <col min="6939" max="6939" width="9.42578125" style="3305" bestFit="1" customWidth="1"/>
    <col min="6940" max="7156" width="8.85546875" style="3305"/>
    <col min="7157" max="7157" width="4.28515625" style="3305" customWidth="1"/>
    <col min="7158" max="7158" width="9.140625" style="3305" customWidth="1"/>
    <col min="7159" max="7159" width="16.7109375" style="3305" customWidth="1"/>
    <col min="7160" max="7161" width="3.28515625" style="3305" customWidth="1"/>
    <col min="7162" max="7167" width="3.85546875" style="3305" customWidth="1"/>
    <col min="7168" max="7168" width="4.28515625" style="3305" customWidth="1"/>
    <col min="7169" max="7172" width="4.140625" style="3305" customWidth="1"/>
    <col min="7173" max="7174" width="3.85546875" style="3305" customWidth="1"/>
    <col min="7175" max="7176" width="3.28515625" style="3305" customWidth="1"/>
    <col min="7177" max="7179" width="3.85546875" style="3305" customWidth="1"/>
    <col min="7180" max="7180" width="4" style="3305" customWidth="1"/>
    <col min="7181" max="7181" width="3.85546875" style="3305" customWidth="1"/>
    <col min="7182" max="7182" width="3.28515625" style="3305" customWidth="1"/>
    <col min="7183" max="7188" width="3.85546875" style="3305" customWidth="1"/>
    <col min="7189" max="7190" width="3.28515625" style="3305" customWidth="1"/>
    <col min="7191" max="7191" width="8" style="3305" customWidth="1"/>
    <col min="7192" max="7192" width="7.5703125" style="3305" customWidth="1"/>
    <col min="7193" max="7193" width="7.140625" style="3305" customWidth="1"/>
    <col min="7194" max="7194" width="9.28515625" style="3305" bestFit="1" customWidth="1"/>
    <col min="7195" max="7195" width="9.42578125" style="3305" bestFit="1" customWidth="1"/>
    <col min="7196" max="7412" width="8.85546875" style="3305"/>
    <col min="7413" max="7413" width="4.28515625" style="3305" customWidth="1"/>
    <col min="7414" max="7414" width="9.140625" style="3305" customWidth="1"/>
    <col min="7415" max="7415" width="16.7109375" style="3305" customWidth="1"/>
    <col min="7416" max="7417" width="3.28515625" style="3305" customWidth="1"/>
    <col min="7418" max="7423" width="3.85546875" style="3305" customWidth="1"/>
    <col min="7424" max="7424" width="4.28515625" style="3305" customWidth="1"/>
    <col min="7425" max="7428" width="4.140625" style="3305" customWidth="1"/>
    <col min="7429" max="7430" width="3.85546875" style="3305" customWidth="1"/>
    <col min="7431" max="7432" width="3.28515625" style="3305" customWidth="1"/>
    <col min="7433" max="7435" width="3.85546875" style="3305" customWidth="1"/>
    <col min="7436" max="7436" width="4" style="3305" customWidth="1"/>
    <col min="7437" max="7437" width="3.85546875" style="3305" customWidth="1"/>
    <col min="7438" max="7438" width="3.28515625" style="3305" customWidth="1"/>
    <col min="7439" max="7444" width="3.85546875" style="3305" customWidth="1"/>
    <col min="7445" max="7446" width="3.28515625" style="3305" customWidth="1"/>
    <col min="7447" max="7447" width="8" style="3305" customWidth="1"/>
    <col min="7448" max="7448" width="7.5703125" style="3305" customWidth="1"/>
    <col min="7449" max="7449" width="7.140625" style="3305" customWidth="1"/>
    <col min="7450" max="7450" width="9.28515625" style="3305" bestFit="1" customWidth="1"/>
    <col min="7451" max="7451" width="9.42578125" style="3305" bestFit="1" customWidth="1"/>
    <col min="7452" max="7668" width="8.85546875" style="3305"/>
    <col min="7669" max="7669" width="4.28515625" style="3305" customWidth="1"/>
    <col min="7670" max="7670" width="9.140625" style="3305" customWidth="1"/>
    <col min="7671" max="7671" width="16.7109375" style="3305" customWidth="1"/>
    <col min="7672" max="7673" width="3.28515625" style="3305" customWidth="1"/>
    <col min="7674" max="7679" width="3.85546875" style="3305" customWidth="1"/>
    <col min="7680" max="7680" width="4.28515625" style="3305" customWidth="1"/>
    <col min="7681" max="7684" width="4.140625" style="3305" customWidth="1"/>
    <col min="7685" max="7686" width="3.85546875" style="3305" customWidth="1"/>
    <col min="7687" max="7688" width="3.28515625" style="3305" customWidth="1"/>
    <col min="7689" max="7691" width="3.85546875" style="3305" customWidth="1"/>
    <col min="7692" max="7692" width="4" style="3305" customWidth="1"/>
    <col min="7693" max="7693" width="3.85546875" style="3305" customWidth="1"/>
    <col min="7694" max="7694" width="3.28515625" style="3305" customWidth="1"/>
    <col min="7695" max="7700" width="3.85546875" style="3305" customWidth="1"/>
    <col min="7701" max="7702" width="3.28515625" style="3305" customWidth="1"/>
    <col min="7703" max="7703" width="8" style="3305" customWidth="1"/>
    <col min="7704" max="7704" width="7.5703125" style="3305" customWidth="1"/>
    <col min="7705" max="7705" width="7.140625" style="3305" customWidth="1"/>
    <col min="7706" max="7706" width="9.28515625" style="3305" bestFit="1" customWidth="1"/>
    <col min="7707" max="7707" width="9.42578125" style="3305" bestFit="1" customWidth="1"/>
    <col min="7708" max="7924" width="8.85546875" style="3305"/>
    <col min="7925" max="7925" width="4.28515625" style="3305" customWidth="1"/>
    <col min="7926" max="7926" width="9.140625" style="3305" customWidth="1"/>
    <col min="7927" max="7927" width="16.7109375" style="3305" customWidth="1"/>
    <col min="7928" max="7929" width="3.28515625" style="3305" customWidth="1"/>
    <col min="7930" max="7935" width="3.85546875" style="3305" customWidth="1"/>
    <col min="7936" max="7936" width="4.28515625" style="3305" customWidth="1"/>
    <col min="7937" max="7940" width="4.140625" style="3305" customWidth="1"/>
    <col min="7941" max="7942" width="3.85546875" style="3305" customWidth="1"/>
    <col min="7943" max="7944" width="3.28515625" style="3305" customWidth="1"/>
    <col min="7945" max="7947" width="3.85546875" style="3305" customWidth="1"/>
    <col min="7948" max="7948" width="4" style="3305" customWidth="1"/>
    <col min="7949" max="7949" width="3.85546875" style="3305" customWidth="1"/>
    <col min="7950" max="7950" width="3.28515625" style="3305" customWidth="1"/>
    <col min="7951" max="7956" width="3.85546875" style="3305" customWidth="1"/>
    <col min="7957" max="7958" width="3.28515625" style="3305" customWidth="1"/>
    <col min="7959" max="7959" width="8" style="3305" customWidth="1"/>
    <col min="7960" max="7960" width="7.5703125" style="3305" customWidth="1"/>
    <col min="7961" max="7961" width="7.140625" style="3305" customWidth="1"/>
    <col min="7962" max="7962" width="9.28515625" style="3305" bestFit="1" customWidth="1"/>
    <col min="7963" max="7963" width="9.42578125" style="3305" bestFit="1" customWidth="1"/>
    <col min="7964" max="8180" width="8.85546875" style="3305"/>
    <col min="8181" max="8181" width="4.28515625" style="3305" customWidth="1"/>
    <col min="8182" max="8182" width="9.140625" style="3305" customWidth="1"/>
    <col min="8183" max="8183" width="16.7109375" style="3305" customWidth="1"/>
    <col min="8184" max="8185" width="3.28515625" style="3305" customWidth="1"/>
    <col min="8186" max="8191" width="3.85546875" style="3305" customWidth="1"/>
    <col min="8192" max="8192" width="4.28515625" style="3305" customWidth="1"/>
    <col min="8193" max="8196" width="4.140625" style="3305" customWidth="1"/>
    <col min="8197" max="8198" width="3.85546875" style="3305" customWidth="1"/>
    <col min="8199" max="8200" width="3.28515625" style="3305" customWidth="1"/>
    <col min="8201" max="8203" width="3.85546875" style="3305" customWidth="1"/>
    <col min="8204" max="8204" width="4" style="3305" customWidth="1"/>
    <col min="8205" max="8205" width="3.85546875" style="3305" customWidth="1"/>
    <col min="8206" max="8206" width="3.28515625" style="3305" customWidth="1"/>
    <col min="8207" max="8212" width="3.85546875" style="3305" customWidth="1"/>
    <col min="8213" max="8214" width="3.28515625" style="3305" customWidth="1"/>
    <col min="8215" max="8215" width="8" style="3305" customWidth="1"/>
    <col min="8216" max="8216" width="7.5703125" style="3305" customWidth="1"/>
    <col min="8217" max="8217" width="7.140625" style="3305" customWidth="1"/>
    <col min="8218" max="8218" width="9.28515625" style="3305" bestFit="1" customWidth="1"/>
    <col min="8219" max="8219" width="9.42578125" style="3305" bestFit="1" customWidth="1"/>
    <col min="8220" max="8436" width="8.85546875" style="3305"/>
    <col min="8437" max="8437" width="4.28515625" style="3305" customWidth="1"/>
    <col min="8438" max="8438" width="9.140625" style="3305" customWidth="1"/>
    <col min="8439" max="8439" width="16.7109375" style="3305" customWidth="1"/>
    <col min="8440" max="8441" width="3.28515625" style="3305" customWidth="1"/>
    <col min="8442" max="8447" width="3.85546875" style="3305" customWidth="1"/>
    <col min="8448" max="8448" width="4.28515625" style="3305" customWidth="1"/>
    <col min="8449" max="8452" width="4.140625" style="3305" customWidth="1"/>
    <col min="8453" max="8454" width="3.85546875" style="3305" customWidth="1"/>
    <col min="8455" max="8456" width="3.28515625" style="3305" customWidth="1"/>
    <col min="8457" max="8459" width="3.85546875" style="3305" customWidth="1"/>
    <col min="8460" max="8460" width="4" style="3305" customWidth="1"/>
    <col min="8461" max="8461" width="3.85546875" style="3305" customWidth="1"/>
    <col min="8462" max="8462" width="3.28515625" style="3305" customWidth="1"/>
    <col min="8463" max="8468" width="3.85546875" style="3305" customWidth="1"/>
    <col min="8469" max="8470" width="3.28515625" style="3305" customWidth="1"/>
    <col min="8471" max="8471" width="8" style="3305" customWidth="1"/>
    <col min="8472" max="8472" width="7.5703125" style="3305" customWidth="1"/>
    <col min="8473" max="8473" width="7.140625" style="3305" customWidth="1"/>
    <col min="8474" max="8474" width="9.28515625" style="3305" bestFit="1" customWidth="1"/>
    <col min="8475" max="8475" width="9.42578125" style="3305" bestFit="1" customWidth="1"/>
    <col min="8476" max="8692" width="8.85546875" style="3305"/>
    <col min="8693" max="8693" width="4.28515625" style="3305" customWidth="1"/>
    <col min="8694" max="8694" width="9.140625" style="3305" customWidth="1"/>
    <col min="8695" max="8695" width="16.7109375" style="3305" customWidth="1"/>
    <col min="8696" max="8697" width="3.28515625" style="3305" customWidth="1"/>
    <col min="8698" max="8703" width="3.85546875" style="3305" customWidth="1"/>
    <col min="8704" max="8704" width="4.28515625" style="3305" customWidth="1"/>
    <col min="8705" max="8708" width="4.140625" style="3305" customWidth="1"/>
    <col min="8709" max="8710" width="3.85546875" style="3305" customWidth="1"/>
    <col min="8711" max="8712" width="3.28515625" style="3305" customWidth="1"/>
    <col min="8713" max="8715" width="3.85546875" style="3305" customWidth="1"/>
    <col min="8716" max="8716" width="4" style="3305" customWidth="1"/>
    <col min="8717" max="8717" width="3.85546875" style="3305" customWidth="1"/>
    <col min="8718" max="8718" width="3.28515625" style="3305" customWidth="1"/>
    <col min="8719" max="8724" width="3.85546875" style="3305" customWidth="1"/>
    <col min="8725" max="8726" width="3.28515625" style="3305" customWidth="1"/>
    <col min="8727" max="8727" width="8" style="3305" customWidth="1"/>
    <col min="8728" max="8728" width="7.5703125" style="3305" customWidth="1"/>
    <col min="8729" max="8729" width="7.140625" style="3305" customWidth="1"/>
    <col min="8730" max="8730" width="9.28515625" style="3305" bestFit="1" customWidth="1"/>
    <col min="8731" max="8731" width="9.42578125" style="3305" bestFit="1" customWidth="1"/>
    <col min="8732" max="8948" width="8.85546875" style="3305"/>
    <col min="8949" max="8949" width="4.28515625" style="3305" customWidth="1"/>
    <col min="8950" max="8950" width="9.140625" style="3305" customWidth="1"/>
    <col min="8951" max="8951" width="16.7109375" style="3305" customWidth="1"/>
    <col min="8952" max="8953" width="3.28515625" style="3305" customWidth="1"/>
    <col min="8954" max="8959" width="3.85546875" style="3305" customWidth="1"/>
    <col min="8960" max="8960" width="4.28515625" style="3305" customWidth="1"/>
    <col min="8961" max="8964" width="4.140625" style="3305" customWidth="1"/>
    <col min="8965" max="8966" width="3.85546875" style="3305" customWidth="1"/>
    <col min="8967" max="8968" width="3.28515625" style="3305" customWidth="1"/>
    <col min="8969" max="8971" width="3.85546875" style="3305" customWidth="1"/>
    <col min="8972" max="8972" width="4" style="3305" customWidth="1"/>
    <col min="8973" max="8973" width="3.85546875" style="3305" customWidth="1"/>
    <col min="8974" max="8974" width="3.28515625" style="3305" customWidth="1"/>
    <col min="8975" max="8980" width="3.85546875" style="3305" customWidth="1"/>
    <col min="8981" max="8982" width="3.28515625" style="3305" customWidth="1"/>
    <col min="8983" max="8983" width="8" style="3305" customWidth="1"/>
    <col min="8984" max="8984" width="7.5703125" style="3305" customWidth="1"/>
    <col min="8985" max="8985" width="7.140625" style="3305" customWidth="1"/>
    <col min="8986" max="8986" width="9.28515625" style="3305" bestFit="1" customWidth="1"/>
    <col min="8987" max="8987" width="9.42578125" style="3305" bestFit="1" customWidth="1"/>
    <col min="8988" max="9204" width="8.85546875" style="3305"/>
    <col min="9205" max="9205" width="4.28515625" style="3305" customWidth="1"/>
    <col min="9206" max="9206" width="9.140625" style="3305" customWidth="1"/>
    <col min="9207" max="9207" width="16.7109375" style="3305" customWidth="1"/>
    <col min="9208" max="9209" width="3.28515625" style="3305" customWidth="1"/>
    <col min="9210" max="9215" width="3.85546875" style="3305" customWidth="1"/>
    <col min="9216" max="9216" width="4.28515625" style="3305" customWidth="1"/>
    <col min="9217" max="9220" width="4.140625" style="3305" customWidth="1"/>
    <col min="9221" max="9222" width="3.85546875" style="3305" customWidth="1"/>
    <col min="9223" max="9224" width="3.28515625" style="3305" customWidth="1"/>
    <col min="9225" max="9227" width="3.85546875" style="3305" customWidth="1"/>
    <col min="9228" max="9228" width="4" style="3305" customWidth="1"/>
    <col min="9229" max="9229" width="3.85546875" style="3305" customWidth="1"/>
    <col min="9230" max="9230" width="3.28515625" style="3305" customWidth="1"/>
    <col min="9231" max="9236" width="3.85546875" style="3305" customWidth="1"/>
    <col min="9237" max="9238" width="3.28515625" style="3305" customWidth="1"/>
    <col min="9239" max="9239" width="8" style="3305" customWidth="1"/>
    <col min="9240" max="9240" width="7.5703125" style="3305" customWidth="1"/>
    <col min="9241" max="9241" width="7.140625" style="3305" customWidth="1"/>
    <col min="9242" max="9242" width="9.28515625" style="3305" bestFit="1" customWidth="1"/>
    <col min="9243" max="9243" width="9.42578125" style="3305" bestFit="1" customWidth="1"/>
    <col min="9244" max="9460" width="8.85546875" style="3305"/>
    <col min="9461" max="9461" width="4.28515625" style="3305" customWidth="1"/>
    <col min="9462" max="9462" width="9.140625" style="3305" customWidth="1"/>
    <col min="9463" max="9463" width="16.7109375" style="3305" customWidth="1"/>
    <col min="9464" max="9465" width="3.28515625" style="3305" customWidth="1"/>
    <col min="9466" max="9471" width="3.85546875" style="3305" customWidth="1"/>
    <col min="9472" max="9472" width="4.28515625" style="3305" customWidth="1"/>
    <col min="9473" max="9476" width="4.140625" style="3305" customWidth="1"/>
    <col min="9477" max="9478" width="3.85546875" style="3305" customWidth="1"/>
    <col min="9479" max="9480" width="3.28515625" style="3305" customWidth="1"/>
    <col min="9481" max="9483" width="3.85546875" style="3305" customWidth="1"/>
    <col min="9484" max="9484" width="4" style="3305" customWidth="1"/>
    <col min="9485" max="9485" width="3.85546875" style="3305" customWidth="1"/>
    <col min="9486" max="9486" width="3.28515625" style="3305" customWidth="1"/>
    <col min="9487" max="9492" width="3.85546875" style="3305" customWidth="1"/>
    <col min="9493" max="9494" width="3.28515625" style="3305" customWidth="1"/>
    <col min="9495" max="9495" width="8" style="3305" customWidth="1"/>
    <col min="9496" max="9496" width="7.5703125" style="3305" customWidth="1"/>
    <col min="9497" max="9497" width="7.140625" style="3305" customWidth="1"/>
    <col min="9498" max="9498" width="9.28515625" style="3305" bestFit="1" customWidth="1"/>
    <col min="9499" max="9499" width="9.42578125" style="3305" bestFit="1" customWidth="1"/>
    <col min="9500" max="9716" width="8.85546875" style="3305"/>
    <col min="9717" max="9717" width="4.28515625" style="3305" customWidth="1"/>
    <col min="9718" max="9718" width="9.140625" style="3305" customWidth="1"/>
    <col min="9719" max="9719" width="16.7109375" style="3305" customWidth="1"/>
    <col min="9720" max="9721" width="3.28515625" style="3305" customWidth="1"/>
    <col min="9722" max="9727" width="3.85546875" style="3305" customWidth="1"/>
    <col min="9728" max="9728" width="4.28515625" style="3305" customWidth="1"/>
    <col min="9729" max="9732" width="4.140625" style="3305" customWidth="1"/>
    <col min="9733" max="9734" width="3.85546875" style="3305" customWidth="1"/>
    <col min="9735" max="9736" width="3.28515625" style="3305" customWidth="1"/>
    <col min="9737" max="9739" width="3.85546875" style="3305" customWidth="1"/>
    <col min="9740" max="9740" width="4" style="3305" customWidth="1"/>
    <col min="9741" max="9741" width="3.85546875" style="3305" customWidth="1"/>
    <col min="9742" max="9742" width="3.28515625" style="3305" customWidth="1"/>
    <col min="9743" max="9748" width="3.85546875" style="3305" customWidth="1"/>
    <col min="9749" max="9750" width="3.28515625" style="3305" customWidth="1"/>
    <col min="9751" max="9751" width="8" style="3305" customWidth="1"/>
    <col min="9752" max="9752" width="7.5703125" style="3305" customWidth="1"/>
    <col min="9753" max="9753" width="7.140625" style="3305" customWidth="1"/>
    <col min="9754" max="9754" width="9.28515625" style="3305" bestFit="1" customWidth="1"/>
    <col min="9755" max="9755" width="9.42578125" style="3305" bestFit="1" customWidth="1"/>
    <col min="9756" max="9972" width="8.85546875" style="3305"/>
    <col min="9973" max="9973" width="4.28515625" style="3305" customWidth="1"/>
    <col min="9974" max="9974" width="9.140625" style="3305" customWidth="1"/>
    <col min="9975" max="9975" width="16.7109375" style="3305" customWidth="1"/>
    <col min="9976" max="9977" width="3.28515625" style="3305" customWidth="1"/>
    <col min="9978" max="9983" width="3.85546875" style="3305" customWidth="1"/>
    <col min="9984" max="9984" width="4.28515625" style="3305" customWidth="1"/>
    <col min="9985" max="9988" width="4.140625" style="3305" customWidth="1"/>
    <col min="9989" max="9990" width="3.85546875" style="3305" customWidth="1"/>
    <col min="9991" max="9992" width="3.28515625" style="3305" customWidth="1"/>
    <col min="9993" max="9995" width="3.85546875" style="3305" customWidth="1"/>
    <col min="9996" max="9996" width="4" style="3305" customWidth="1"/>
    <col min="9997" max="9997" width="3.85546875" style="3305" customWidth="1"/>
    <col min="9998" max="9998" width="3.28515625" style="3305" customWidth="1"/>
    <col min="9999" max="10004" width="3.85546875" style="3305" customWidth="1"/>
    <col min="10005" max="10006" width="3.28515625" style="3305" customWidth="1"/>
    <col min="10007" max="10007" width="8" style="3305" customWidth="1"/>
    <col min="10008" max="10008" width="7.5703125" style="3305" customWidth="1"/>
    <col min="10009" max="10009" width="7.140625" style="3305" customWidth="1"/>
    <col min="10010" max="10010" width="9.28515625" style="3305" bestFit="1" customWidth="1"/>
    <col min="10011" max="10011" width="9.42578125" style="3305" bestFit="1" customWidth="1"/>
    <col min="10012" max="10228" width="8.85546875" style="3305"/>
    <col min="10229" max="10229" width="4.28515625" style="3305" customWidth="1"/>
    <col min="10230" max="10230" width="9.140625" style="3305" customWidth="1"/>
    <col min="10231" max="10231" width="16.7109375" style="3305" customWidth="1"/>
    <col min="10232" max="10233" width="3.28515625" style="3305" customWidth="1"/>
    <col min="10234" max="10239" width="3.85546875" style="3305" customWidth="1"/>
    <col min="10240" max="10240" width="4.28515625" style="3305" customWidth="1"/>
    <col min="10241" max="10244" width="4.140625" style="3305" customWidth="1"/>
    <col min="10245" max="10246" width="3.85546875" style="3305" customWidth="1"/>
    <col min="10247" max="10248" width="3.28515625" style="3305" customWidth="1"/>
    <col min="10249" max="10251" width="3.85546875" style="3305" customWidth="1"/>
    <col min="10252" max="10252" width="4" style="3305" customWidth="1"/>
    <col min="10253" max="10253" width="3.85546875" style="3305" customWidth="1"/>
    <col min="10254" max="10254" width="3.28515625" style="3305" customWidth="1"/>
    <col min="10255" max="10260" width="3.85546875" style="3305" customWidth="1"/>
    <col min="10261" max="10262" width="3.28515625" style="3305" customWidth="1"/>
    <col min="10263" max="10263" width="8" style="3305" customWidth="1"/>
    <col min="10264" max="10264" width="7.5703125" style="3305" customWidth="1"/>
    <col min="10265" max="10265" width="7.140625" style="3305" customWidth="1"/>
    <col min="10266" max="10266" width="9.28515625" style="3305" bestFit="1" customWidth="1"/>
    <col min="10267" max="10267" width="9.42578125" style="3305" bestFit="1" customWidth="1"/>
    <col min="10268" max="10484" width="8.85546875" style="3305"/>
    <col min="10485" max="10485" width="4.28515625" style="3305" customWidth="1"/>
    <col min="10486" max="10486" width="9.140625" style="3305" customWidth="1"/>
    <col min="10487" max="10487" width="16.7109375" style="3305" customWidth="1"/>
    <col min="10488" max="10489" width="3.28515625" style="3305" customWidth="1"/>
    <col min="10490" max="10495" width="3.85546875" style="3305" customWidth="1"/>
    <col min="10496" max="10496" width="4.28515625" style="3305" customWidth="1"/>
    <col min="10497" max="10500" width="4.140625" style="3305" customWidth="1"/>
    <col min="10501" max="10502" width="3.85546875" style="3305" customWidth="1"/>
    <col min="10503" max="10504" width="3.28515625" style="3305" customWidth="1"/>
    <col min="10505" max="10507" width="3.85546875" style="3305" customWidth="1"/>
    <col min="10508" max="10508" width="4" style="3305" customWidth="1"/>
    <col min="10509" max="10509" width="3.85546875" style="3305" customWidth="1"/>
    <col min="10510" max="10510" width="3.28515625" style="3305" customWidth="1"/>
    <col min="10511" max="10516" width="3.85546875" style="3305" customWidth="1"/>
    <col min="10517" max="10518" width="3.28515625" style="3305" customWidth="1"/>
    <col min="10519" max="10519" width="8" style="3305" customWidth="1"/>
    <col min="10520" max="10520" width="7.5703125" style="3305" customWidth="1"/>
    <col min="10521" max="10521" width="7.140625" style="3305" customWidth="1"/>
    <col min="10522" max="10522" width="9.28515625" style="3305" bestFit="1" customWidth="1"/>
    <col min="10523" max="10523" width="9.42578125" style="3305" bestFit="1" customWidth="1"/>
    <col min="10524" max="10740" width="8.85546875" style="3305"/>
    <col min="10741" max="10741" width="4.28515625" style="3305" customWidth="1"/>
    <col min="10742" max="10742" width="9.140625" style="3305" customWidth="1"/>
    <col min="10743" max="10743" width="16.7109375" style="3305" customWidth="1"/>
    <col min="10744" max="10745" width="3.28515625" style="3305" customWidth="1"/>
    <col min="10746" max="10751" width="3.85546875" style="3305" customWidth="1"/>
    <col min="10752" max="10752" width="4.28515625" style="3305" customWidth="1"/>
    <col min="10753" max="10756" width="4.140625" style="3305" customWidth="1"/>
    <col min="10757" max="10758" width="3.85546875" style="3305" customWidth="1"/>
    <col min="10759" max="10760" width="3.28515625" style="3305" customWidth="1"/>
    <col min="10761" max="10763" width="3.85546875" style="3305" customWidth="1"/>
    <col min="10764" max="10764" width="4" style="3305" customWidth="1"/>
    <col min="10765" max="10765" width="3.85546875" style="3305" customWidth="1"/>
    <col min="10766" max="10766" width="3.28515625" style="3305" customWidth="1"/>
    <col min="10767" max="10772" width="3.85546875" style="3305" customWidth="1"/>
    <col min="10773" max="10774" width="3.28515625" style="3305" customWidth="1"/>
    <col min="10775" max="10775" width="8" style="3305" customWidth="1"/>
    <col min="10776" max="10776" width="7.5703125" style="3305" customWidth="1"/>
    <col min="10777" max="10777" width="7.140625" style="3305" customWidth="1"/>
    <col min="10778" max="10778" width="9.28515625" style="3305" bestFit="1" customWidth="1"/>
    <col min="10779" max="10779" width="9.42578125" style="3305" bestFit="1" customWidth="1"/>
    <col min="10780" max="10996" width="8.85546875" style="3305"/>
    <col min="10997" max="10997" width="4.28515625" style="3305" customWidth="1"/>
    <col min="10998" max="10998" width="9.140625" style="3305" customWidth="1"/>
    <col min="10999" max="10999" width="16.7109375" style="3305" customWidth="1"/>
    <col min="11000" max="11001" width="3.28515625" style="3305" customWidth="1"/>
    <col min="11002" max="11007" width="3.85546875" style="3305" customWidth="1"/>
    <col min="11008" max="11008" width="4.28515625" style="3305" customWidth="1"/>
    <col min="11009" max="11012" width="4.140625" style="3305" customWidth="1"/>
    <col min="11013" max="11014" width="3.85546875" style="3305" customWidth="1"/>
    <col min="11015" max="11016" width="3.28515625" style="3305" customWidth="1"/>
    <col min="11017" max="11019" width="3.85546875" style="3305" customWidth="1"/>
    <col min="11020" max="11020" width="4" style="3305" customWidth="1"/>
    <col min="11021" max="11021" width="3.85546875" style="3305" customWidth="1"/>
    <col min="11022" max="11022" width="3.28515625" style="3305" customWidth="1"/>
    <col min="11023" max="11028" width="3.85546875" style="3305" customWidth="1"/>
    <col min="11029" max="11030" width="3.28515625" style="3305" customWidth="1"/>
    <col min="11031" max="11031" width="8" style="3305" customWidth="1"/>
    <col min="11032" max="11032" width="7.5703125" style="3305" customWidth="1"/>
    <col min="11033" max="11033" width="7.140625" style="3305" customWidth="1"/>
    <col min="11034" max="11034" width="9.28515625" style="3305" bestFit="1" customWidth="1"/>
    <col min="11035" max="11035" width="9.42578125" style="3305" bestFit="1" customWidth="1"/>
    <col min="11036" max="11252" width="8.85546875" style="3305"/>
    <col min="11253" max="11253" width="4.28515625" style="3305" customWidth="1"/>
    <col min="11254" max="11254" width="9.140625" style="3305" customWidth="1"/>
    <col min="11255" max="11255" width="16.7109375" style="3305" customWidth="1"/>
    <col min="11256" max="11257" width="3.28515625" style="3305" customWidth="1"/>
    <col min="11258" max="11263" width="3.85546875" style="3305" customWidth="1"/>
    <col min="11264" max="11264" width="4.28515625" style="3305" customWidth="1"/>
    <col min="11265" max="11268" width="4.140625" style="3305" customWidth="1"/>
    <col min="11269" max="11270" width="3.85546875" style="3305" customWidth="1"/>
    <col min="11271" max="11272" width="3.28515625" style="3305" customWidth="1"/>
    <col min="11273" max="11275" width="3.85546875" style="3305" customWidth="1"/>
    <col min="11276" max="11276" width="4" style="3305" customWidth="1"/>
    <col min="11277" max="11277" width="3.85546875" style="3305" customWidth="1"/>
    <col min="11278" max="11278" width="3.28515625" style="3305" customWidth="1"/>
    <col min="11279" max="11284" width="3.85546875" style="3305" customWidth="1"/>
    <col min="11285" max="11286" width="3.28515625" style="3305" customWidth="1"/>
    <col min="11287" max="11287" width="8" style="3305" customWidth="1"/>
    <col min="11288" max="11288" width="7.5703125" style="3305" customWidth="1"/>
    <col min="11289" max="11289" width="7.140625" style="3305" customWidth="1"/>
    <col min="11290" max="11290" width="9.28515625" style="3305" bestFit="1" customWidth="1"/>
    <col min="11291" max="11291" width="9.42578125" style="3305" bestFit="1" customWidth="1"/>
    <col min="11292" max="11508" width="8.85546875" style="3305"/>
    <col min="11509" max="11509" width="4.28515625" style="3305" customWidth="1"/>
    <col min="11510" max="11510" width="9.140625" style="3305" customWidth="1"/>
    <col min="11511" max="11511" width="16.7109375" style="3305" customWidth="1"/>
    <col min="11512" max="11513" width="3.28515625" style="3305" customWidth="1"/>
    <col min="11514" max="11519" width="3.85546875" style="3305" customWidth="1"/>
    <col min="11520" max="11520" width="4.28515625" style="3305" customWidth="1"/>
    <col min="11521" max="11524" width="4.140625" style="3305" customWidth="1"/>
    <col min="11525" max="11526" width="3.85546875" style="3305" customWidth="1"/>
    <col min="11527" max="11528" width="3.28515625" style="3305" customWidth="1"/>
    <col min="11529" max="11531" width="3.85546875" style="3305" customWidth="1"/>
    <col min="11532" max="11532" width="4" style="3305" customWidth="1"/>
    <col min="11533" max="11533" width="3.85546875" style="3305" customWidth="1"/>
    <col min="11534" max="11534" width="3.28515625" style="3305" customWidth="1"/>
    <col min="11535" max="11540" width="3.85546875" style="3305" customWidth="1"/>
    <col min="11541" max="11542" width="3.28515625" style="3305" customWidth="1"/>
    <col min="11543" max="11543" width="8" style="3305" customWidth="1"/>
    <col min="11544" max="11544" width="7.5703125" style="3305" customWidth="1"/>
    <col min="11545" max="11545" width="7.140625" style="3305" customWidth="1"/>
    <col min="11546" max="11546" width="9.28515625" style="3305" bestFit="1" customWidth="1"/>
    <col min="11547" max="11547" width="9.42578125" style="3305" bestFit="1" customWidth="1"/>
    <col min="11548" max="11764" width="8.85546875" style="3305"/>
    <col min="11765" max="11765" width="4.28515625" style="3305" customWidth="1"/>
    <col min="11766" max="11766" width="9.140625" style="3305" customWidth="1"/>
    <col min="11767" max="11767" width="16.7109375" style="3305" customWidth="1"/>
    <col min="11768" max="11769" width="3.28515625" style="3305" customWidth="1"/>
    <col min="11770" max="11775" width="3.85546875" style="3305" customWidth="1"/>
    <col min="11776" max="11776" width="4.28515625" style="3305" customWidth="1"/>
    <col min="11777" max="11780" width="4.140625" style="3305" customWidth="1"/>
    <col min="11781" max="11782" width="3.85546875" style="3305" customWidth="1"/>
    <col min="11783" max="11784" width="3.28515625" style="3305" customWidth="1"/>
    <col min="11785" max="11787" width="3.85546875" style="3305" customWidth="1"/>
    <col min="11788" max="11788" width="4" style="3305" customWidth="1"/>
    <col min="11789" max="11789" width="3.85546875" style="3305" customWidth="1"/>
    <col min="11790" max="11790" width="3.28515625" style="3305" customWidth="1"/>
    <col min="11791" max="11796" width="3.85546875" style="3305" customWidth="1"/>
    <col min="11797" max="11798" width="3.28515625" style="3305" customWidth="1"/>
    <col min="11799" max="11799" width="8" style="3305" customWidth="1"/>
    <col min="11800" max="11800" width="7.5703125" style="3305" customWidth="1"/>
    <col min="11801" max="11801" width="7.140625" style="3305" customWidth="1"/>
    <col min="11802" max="11802" width="9.28515625" style="3305" bestFit="1" customWidth="1"/>
    <col min="11803" max="11803" width="9.42578125" style="3305" bestFit="1" customWidth="1"/>
    <col min="11804" max="12020" width="8.85546875" style="3305"/>
    <col min="12021" max="12021" width="4.28515625" style="3305" customWidth="1"/>
    <col min="12022" max="12022" width="9.140625" style="3305" customWidth="1"/>
    <col min="12023" max="12023" width="16.7109375" style="3305" customWidth="1"/>
    <col min="12024" max="12025" width="3.28515625" style="3305" customWidth="1"/>
    <col min="12026" max="12031" width="3.85546875" style="3305" customWidth="1"/>
    <col min="12032" max="12032" width="4.28515625" style="3305" customWidth="1"/>
    <col min="12033" max="12036" width="4.140625" style="3305" customWidth="1"/>
    <col min="12037" max="12038" width="3.85546875" style="3305" customWidth="1"/>
    <col min="12039" max="12040" width="3.28515625" style="3305" customWidth="1"/>
    <col min="12041" max="12043" width="3.85546875" style="3305" customWidth="1"/>
    <col min="12044" max="12044" width="4" style="3305" customWidth="1"/>
    <col min="12045" max="12045" width="3.85546875" style="3305" customWidth="1"/>
    <col min="12046" max="12046" width="3.28515625" style="3305" customWidth="1"/>
    <col min="12047" max="12052" width="3.85546875" style="3305" customWidth="1"/>
    <col min="12053" max="12054" width="3.28515625" style="3305" customWidth="1"/>
    <col min="12055" max="12055" width="8" style="3305" customWidth="1"/>
    <col min="12056" max="12056" width="7.5703125" style="3305" customWidth="1"/>
    <col min="12057" max="12057" width="7.140625" style="3305" customWidth="1"/>
    <col min="12058" max="12058" width="9.28515625" style="3305" bestFit="1" customWidth="1"/>
    <col min="12059" max="12059" width="9.42578125" style="3305" bestFit="1" customWidth="1"/>
    <col min="12060" max="12276" width="8.85546875" style="3305"/>
    <col min="12277" max="12277" width="4.28515625" style="3305" customWidth="1"/>
    <col min="12278" max="12278" width="9.140625" style="3305" customWidth="1"/>
    <col min="12279" max="12279" width="16.7109375" style="3305" customWidth="1"/>
    <col min="12280" max="12281" width="3.28515625" style="3305" customWidth="1"/>
    <col min="12282" max="12287" width="3.85546875" style="3305" customWidth="1"/>
    <col min="12288" max="12288" width="4.28515625" style="3305" customWidth="1"/>
    <col min="12289" max="12292" width="4.140625" style="3305" customWidth="1"/>
    <col min="12293" max="12294" width="3.85546875" style="3305" customWidth="1"/>
    <col min="12295" max="12296" width="3.28515625" style="3305" customWidth="1"/>
    <col min="12297" max="12299" width="3.85546875" style="3305" customWidth="1"/>
    <col min="12300" max="12300" width="4" style="3305" customWidth="1"/>
    <col min="12301" max="12301" width="3.85546875" style="3305" customWidth="1"/>
    <col min="12302" max="12302" width="3.28515625" style="3305" customWidth="1"/>
    <col min="12303" max="12308" width="3.85546875" style="3305" customWidth="1"/>
    <col min="12309" max="12310" width="3.28515625" style="3305" customWidth="1"/>
    <col min="12311" max="12311" width="8" style="3305" customWidth="1"/>
    <col min="12312" max="12312" width="7.5703125" style="3305" customWidth="1"/>
    <col min="12313" max="12313" width="7.140625" style="3305" customWidth="1"/>
    <col min="12314" max="12314" width="9.28515625" style="3305" bestFit="1" customWidth="1"/>
    <col min="12315" max="12315" width="9.42578125" style="3305" bestFit="1" customWidth="1"/>
    <col min="12316" max="12532" width="8.85546875" style="3305"/>
    <col min="12533" max="12533" width="4.28515625" style="3305" customWidth="1"/>
    <col min="12534" max="12534" width="9.140625" style="3305" customWidth="1"/>
    <col min="12535" max="12535" width="16.7109375" style="3305" customWidth="1"/>
    <col min="12536" max="12537" width="3.28515625" style="3305" customWidth="1"/>
    <col min="12538" max="12543" width="3.85546875" style="3305" customWidth="1"/>
    <col min="12544" max="12544" width="4.28515625" style="3305" customWidth="1"/>
    <col min="12545" max="12548" width="4.140625" style="3305" customWidth="1"/>
    <col min="12549" max="12550" width="3.85546875" style="3305" customWidth="1"/>
    <col min="12551" max="12552" width="3.28515625" style="3305" customWidth="1"/>
    <col min="12553" max="12555" width="3.85546875" style="3305" customWidth="1"/>
    <col min="12556" max="12556" width="4" style="3305" customWidth="1"/>
    <col min="12557" max="12557" width="3.85546875" style="3305" customWidth="1"/>
    <col min="12558" max="12558" width="3.28515625" style="3305" customWidth="1"/>
    <col min="12559" max="12564" width="3.85546875" style="3305" customWidth="1"/>
    <col min="12565" max="12566" width="3.28515625" style="3305" customWidth="1"/>
    <col min="12567" max="12567" width="8" style="3305" customWidth="1"/>
    <col min="12568" max="12568" width="7.5703125" style="3305" customWidth="1"/>
    <col min="12569" max="12569" width="7.140625" style="3305" customWidth="1"/>
    <col min="12570" max="12570" width="9.28515625" style="3305" bestFit="1" customWidth="1"/>
    <col min="12571" max="12571" width="9.42578125" style="3305" bestFit="1" customWidth="1"/>
    <col min="12572" max="12788" width="8.85546875" style="3305"/>
    <col min="12789" max="12789" width="4.28515625" style="3305" customWidth="1"/>
    <col min="12790" max="12790" width="9.140625" style="3305" customWidth="1"/>
    <col min="12791" max="12791" width="16.7109375" style="3305" customWidth="1"/>
    <col min="12792" max="12793" width="3.28515625" style="3305" customWidth="1"/>
    <col min="12794" max="12799" width="3.85546875" style="3305" customWidth="1"/>
    <col min="12800" max="12800" width="4.28515625" style="3305" customWidth="1"/>
    <col min="12801" max="12804" width="4.140625" style="3305" customWidth="1"/>
    <col min="12805" max="12806" width="3.85546875" style="3305" customWidth="1"/>
    <col min="12807" max="12808" width="3.28515625" style="3305" customWidth="1"/>
    <col min="12809" max="12811" width="3.85546875" style="3305" customWidth="1"/>
    <col min="12812" max="12812" width="4" style="3305" customWidth="1"/>
    <col min="12813" max="12813" width="3.85546875" style="3305" customWidth="1"/>
    <col min="12814" max="12814" width="3.28515625" style="3305" customWidth="1"/>
    <col min="12815" max="12820" width="3.85546875" style="3305" customWidth="1"/>
    <col min="12821" max="12822" width="3.28515625" style="3305" customWidth="1"/>
    <col min="12823" max="12823" width="8" style="3305" customWidth="1"/>
    <col min="12824" max="12824" width="7.5703125" style="3305" customWidth="1"/>
    <col min="12825" max="12825" width="7.140625" style="3305" customWidth="1"/>
    <col min="12826" max="12826" width="9.28515625" style="3305" bestFit="1" customWidth="1"/>
    <col min="12827" max="12827" width="9.42578125" style="3305" bestFit="1" customWidth="1"/>
    <col min="12828" max="13044" width="8.85546875" style="3305"/>
    <col min="13045" max="13045" width="4.28515625" style="3305" customWidth="1"/>
    <col min="13046" max="13046" width="9.140625" style="3305" customWidth="1"/>
    <col min="13047" max="13047" width="16.7109375" style="3305" customWidth="1"/>
    <col min="13048" max="13049" width="3.28515625" style="3305" customWidth="1"/>
    <col min="13050" max="13055" width="3.85546875" style="3305" customWidth="1"/>
    <col min="13056" max="13056" width="4.28515625" style="3305" customWidth="1"/>
    <col min="13057" max="13060" width="4.140625" style="3305" customWidth="1"/>
    <col min="13061" max="13062" width="3.85546875" style="3305" customWidth="1"/>
    <col min="13063" max="13064" width="3.28515625" style="3305" customWidth="1"/>
    <col min="13065" max="13067" width="3.85546875" style="3305" customWidth="1"/>
    <col min="13068" max="13068" width="4" style="3305" customWidth="1"/>
    <col min="13069" max="13069" width="3.85546875" style="3305" customWidth="1"/>
    <col min="13070" max="13070" width="3.28515625" style="3305" customWidth="1"/>
    <col min="13071" max="13076" width="3.85546875" style="3305" customWidth="1"/>
    <col min="13077" max="13078" width="3.28515625" style="3305" customWidth="1"/>
    <col min="13079" max="13079" width="8" style="3305" customWidth="1"/>
    <col min="13080" max="13080" width="7.5703125" style="3305" customWidth="1"/>
    <col min="13081" max="13081" width="7.140625" style="3305" customWidth="1"/>
    <col min="13082" max="13082" width="9.28515625" style="3305" bestFit="1" customWidth="1"/>
    <col min="13083" max="13083" width="9.42578125" style="3305" bestFit="1" customWidth="1"/>
    <col min="13084" max="13300" width="8.85546875" style="3305"/>
    <col min="13301" max="13301" width="4.28515625" style="3305" customWidth="1"/>
    <col min="13302" max="13302" width="9.140625" style="3305" customWidth="1"/>
    <col min="13303" max="13303" width="16.7109375" style="3305" customWidth="1"/>
    <col min="13304" max="13305" width="3.28515625" style="3305" customWidth="1"/>
    <col min="13306" max="13311" width="3.85546875" style="3305" customWidth="1"/>
    <col min="13312" max="13312" width="4.28515625" style="3305" customWidth="1"/>
    <col min="13313" max="13316" width="4.140625" style="3305" customWidth="1"/>
    <col min="13317" max="13318" width="3.85546875" style="3305" customWidth="1"/>
    <col min="13319" max="13320" width="3.28515625" style="3305" customWidth="1"/>
    <col min="13321" max="13323" width="3.85546875" style="3305" customWidth="1"/>
    <col min="13324" max="13324" width="4" style="3305" customWidth="1"/>
    <col min="13325" max="13325" width="3.85546875" style="3305" customWidth="1"/>
    <col min="13326" max="13326" width="3.28515625" style="3305" customWidth="1"/>
    <col min="13327" max="13332" width="3.85546875" style="3305" customWidth="1"/>
    <col min="13333" max="13334" width="3.28515625" style="3305" customWidth="1"/>
    <col min="13335" max="13335" width="8" style="3305" customWidth="1"/>
    <col min="13336" max="13336" width="7.5703125" style="3305" customWidth="1"/>
    <col min="13337" max="13337" width="7.140625" style="3305" customWidth="1"/>
    <col min="13338" max="13338" width="9.28515625" style="3305" bestFit="1" customWidth="1"/>
    <col min="13339" max="13339" width="9.42578125" style="3305" bestFit="1" customWidth="1"/>
    <col min="13340" max="13556" width="8.85546875" style="3305"/>
    <col min="13557" max="13557" width="4.28515625" style="3305" customWidth="1"/>
    <col min="13558" max="13558" width="9.140625" style="3305" customWidth="1"/>
    <col min="13559" max="13559" width="16.7109375" style="3305" customWidth="1"/>
    <col min="13560" max="13561" width="3.28515625" style="3305" customWidth="1"/>
    <col min="13562" max="13567" width="3.85546875" style="3305" customWidth="1"/>
    <col min="13568" max="13568" width="4.28515625" style="3305" customWidth="1"/>
    <col min="13569" max="13572" width="4.140625" style="3305" customWidth="1"/>
    <col min="13573" max="13574" width="3.85546875" style="3305" customWidth="1"/>
    <col min="13575" max="13576" width="3.28515625" style="3305" customWidth="1"/>
    <col min="13577" max="13579" width="3.85546875" style="3305" customWidth="1"/>
    <col min="13580" max="13580" width="4" style="3305" customWidth="1"/>
    <col min="13581" max="13581" width="3.85546875" style="3305" customWidth="1"/>
    <col min="13582" max="13582" width="3.28515625" style="3305" customWidth="1"/>
    <col min="13583" max="13588" width="3.85546875" style="3305" customWidth="1"/>
    <col min="13589" max="13590" width="3.28515625" style="3305" customWidth="1"/>
    <col min="13591" max="13591" width="8" style="3305" customWidth="1"/>
    <col min="13592" max="13592" width="7.5703125" style="3305" customWidth="1"/>
    <col min="13593" max="13593" width="7.140625" style="3305" customWidth="1"/>
    <col min="13594" max="13594" width="9.28515625" style="3305" bestFit="1" customWidth="1"/>
    <col min="13595" max="13595" width="9.42578125" style="3305" bestFit="1" customWidth="1"/>
    <col min="13596" max="13812" width="8.85546875" style="3305"/>
    <col min="13813" max="13813" width="4.28515625" style="3305" customWidth="1"/>
    <col min="13814" max="13814" width="9.140625" style="3305" customWidth="1"/>
    <col min="13815" max="13815" width="16.7109375" style="3305" customWidth="1"/>
    <col min="13816" max="13817" width="3.28515625" style="3305" customWidth="1"/>
    <col min="13818" max="13823" width="3.85546875" style="3305" customWidth="1"/>
    <col min="13824" max="13824" width="4.28515625" style="3305" customWidth="1"/>
    <col min="13825" max="13828" width="4.140625" style="3305" customWidth="1"/>
    <col min="13829" max="13830" width="3.85546875" style="3305" customWidth="1"/>
    <col min="13831" max="13832" width="3.28515625" style="3305" customWidth="1"/>
    <col min="13833" max="13835" width="3.85546875" style="3305" customWidth="1"/>
    <col min="13836" max="13836" width="4" style="3305" customWidth="1"/>
    <col min="13837" max="13837" width="3.85546875" style="3305" customWidth="1"/>
    <col min="13838" max="13838" width="3.28515625" style="3305" customWidth="1"/>
    <col min="13839" max="13844" width="3.85546875" style="3305" customWidth="1"/>
    <col min="13845" max="13846" width="3.28515625" style="3305" customWidth="1"/>
    <col min="13847" max="13847" width="8" style="3305" customWidth="1"/>
    <col min="13848" max="13848" width="7.5703125" style="3305" customWidth="1"/>
    <col min="13849" max="13849" width="7.140625" style="3305" customWidth="1"/>
    <col min="13850" max="13850" width="9.28515625" style="3305" bestFit="1" customWidth="1"/>
    <col min="13851" max="13851" width="9.42578125" style="3305" bestFit="1" customWidth="1"/>
    <col min="13852" max="14068" width="8.85546875" style="3305"/>
    <col min="14069" max="14069" width="4.28515625" style="3305" customWidth="1"/>
    <col min="14070" max="14070" width="9.140625" style="3305" customWidth="1"/>
    <col min="14071" max="14071" width="16.7109375" style="3305" customWidth="1"/>
    <col min="14072" max="14073" width="3.28515625" style="3305" customWidth="1"/>
    <col min="14074" max="14079" width="3.85546875" style="3305" customWidth="1"/>
    <col min="14080" max="14080" width="4.28515625" style="3305" customWidth="1"/>
    <col min="14081" max="14084" width="4.140625" style="3305" customWidth="1"/>
    <col min="14085" max="14086" width="3.85546875" style="3305" customWidth="1"/>
    <col min="14087" max="14088" width="3.28515625" style="3305" customWidth="1"/>
    <col min="14089" max="14091" width="3.85546875" style="3305" customWidth="1"/>
    <col min="14092" max="14092" width="4" style="3305" customWidth="1"/>
    <col min="14093" max="14093" width="3.85546875" style="3305" customWidth="1"/>
    <col min="14094" max="14094" width="3.28515625" style="3305" customWidth="1"/>
    <col min="14095" max="14100" width="3.85546875" style="3305" customWidth="1"/>
    <col min="14101" max="14102" width="3.28515625" style="3305" customWidth="1"/>
    <col min="14103" max="14103" width="8" style="3305" customWidth="1"/>
    <col min="14104" max="14104" width="7.5703125" style="3305" customWidth="1"/>
    <col min="14105" max="14105" width="7.140625" style="3305" customWidth="1"/>
    <col min="14106" max="14106" width="9.28515625" style="3305" bestFit="1" customWidth="1"/>
    <col min="14107" max="14107" width="9.42578125" style="3305" bestFit="1" customWidth="1"/>
    <col min="14108" max="14324" width="8.85546875" style="3305"/>
    <col min="14325" max="14325" width="4.28515625" style="3305" customWidth="1"/>
    <col min="14326" max="14326" width="9.140625" style="3305" customWidth="1"/>
    <col min="14327" max="14327" width="16.7109375" style="3305" customWidth="1"/>
    <col min="14328" max="14329" width="3.28515625" style="3305" customWidth="1"/>
    <col min="14330" max="14335" width="3.85546875" style="3305" customWidth="1"/>
    <col min="14336" max="14336" width="4.28515625" style="3305" customWidth="1"/>
    <col min="14337" max="14340" width="4.140625" style="3305" customWidth="1"/>
    <col min="14341" max="14342" width="3.85546875" style="3305" customWidth="1"/>
    <col min="14343" max="14344" width="3.28515625" style="3305" customWidth="1"/>
    <col min="14345" max="14347" width="3.85546875" style="3305" customWidth="1"/>
    <col min="14348" max="14348" width="4" style="3305" customWidth="1"/>
    <col min="14349" max="14349" width="3.85546875" style="3305" customWidth="1"/>
    <col min="14350" max="14350" width="3.28515625" style="3305" customWidth="1"/>
    <col min="14351" max="14356" width="3.85546875" style="3305" customWidth="1"/>
    <col min="14357" max="14358" width="3.28515625" style="3305" customWidth="1"/>
    <col min="14359" max="14359" width="8" style="3305" customWidth="1"/>
    <col min="14360" max="14360" width="7.5703125" style="3305" customWidth="1"/>
    <col min="14361" max="14361" width="7.140625" style="3305" customWidth="1"/>
    <col min="14362" max="14362" width="9.28515625" style="3305" bestFit="1" customWidth="1"/>
    <col min="14363" max="14363" width="9.42578125" style="3305" bestFit="1" customWidth="1"/>
    <col min="14364" max="14580" width="8.85546875" style="3305"/>
    <col min="14581" max="14581" width="4.28515625" style="3305" customWidth="1"/>
    <col min="14582" max="14582" width="9.140625" style="3305" customWidth="1"/>
    <col min="14583" max="14583" width="16.7109375" style="3305" customWidth="1"/>
    <col min="14584" max="14585" width="3.28515625" style="3305" customWidth="1"/>
    <col min="14586" max="14591" width="3.85546875" style="3305" customWidth="1"/>
    <col min="14592" max="14592" width="4.28515625" style="3305" customWidth="1"/>
    <col min="14593" max="14596" width="4.140625" style="3305" customWidth="1"/>
    <col min="14597" max="14598" width="3.85546875" style="3305" customWidth="1"/>
    <col min="14599" max="14600" width="3.28515625" style="3305" customWidth="1"/>
    <col min="14601" max="14603" width="3.85546875" style="3305" customWidth="1"/>
    <col min="14604" max="14604" width="4" style="3305" customWidth="1"/>
    <col min="14605" max="14605" width="3.85546875" style="3305" customWidth="1"/>
    <col min="14606" max="14606" width="3.28515625" style="3305" customWidth="1"/>
    <col min="14607" max="14612" width="3.85546875" style="3305" customWidth="1"/>
    <col min="14613" max="14614" width="3.28515625" style="3305" customWidth="1"/>
    <col min="14615" max="14615" width="8" style="3305" customWidth="1"/>
    <col min="14616" max="14616" width="7.5703125" style="3305" customWidth="1"/>
    <col min="14617" max="14617" width="7.140625" style="3305" customWidth="1"/>
    <col min="14618" max="14618" width="9.28515625" style="3305" bestFit="1" customWidth="1"/>
    <col min="14619" max="14619" width="9.42578125" style="3305" bestFit="1" customWidth="1"/>
    <col min="14620" max="14836" width="8.85546875" style="3305"/>
    <col min="14837" max="14837" width="4.28515625" style="3305" customWidth="1"/>
    <col min="14838" max="14838" width="9.140625" style="3305" customWidth="1"/>
    <col min="14839" max="14839" width="16.7109375" style="3305" customWidth="1"/>
    <col min="14840" max="14841" width="3.28515625" style="3305" customWidth="1"/>
    <col min="14842" max="14847" width="3.85546875" style="3305" customWidth="1"/>
    <col min="14848" max="14848" width="4.28515625" style="3305" customWidth="1"/>
    <col min="14849" max="14852" width="4.140625" style="3305" customWidth="1"/>
    <col min="14853" max="14854" width="3.85546875" style="3305" customWidth="1"/>
    <col min="14855" max="14856" width="3.28515625" style="3305" customWidth="1"/>
    <col min="14857" max="14859" width="3.85546875" style="3305" customWidth="1"/>
    <col min="14860" max="14860" width="4" style="3305" customWidth="1"/>
    <col min="14861" max="14861" width="3.85546875" style="3305" customWidth="1"/>
    <col min="14862" max="14862" width="3.28515625" style="3305" customWidth="1"/>
    <col min="14863" max="14868" width="3.85546875" style="3305" customWidth="1"/>
    <col min="14869" max="14870" width="3.28515625" style="3305" customWidth="1"/>
    <col min="14871" max="14871" width="8" style="3305" customWidth="1"/>
    <col min="14872" max="14872" width="7.5703125" style="3305" customWidth="1"/>
    <col min="14873" max="14873" width="7.140625" style="3305" customWidth="1"/>
    <col min="14874" max="14874" width="9.28515625" style="3305" bestFit="1" customWidth="1"/>
    <col min="14875" max="14875" width="9.42578125" style="3305" bestFit="1" customWidth="1"/>
    <col min="14876" max="15092" width="8.85546875" style="3305"/>
    <col min="15093" max="15093" width="4.28515625" style="3305" customWidth="1"/>
    <col min="15094" max="15094" width="9.140625" style="3305" customWidth="1"/>
    <col min="15095" max="15095" width="16.7109375" style="3305" customWidth="1"/>
    <col min="15096" max="15097" width="3.28515625" style="3305" customWidth="1"/>
    <col min="15098" max="15103" width="3.85546875" style="3305" customWidth="1"/>
    <col min="15104" max="15104" width="4.28515625" style="3305" customWidth="1"/>
    <col min="15105" max="15108" width="4.140625" style="3305" customWidth="1"/>
    <col min="15109" max="15110" width="3.85546875" style="3305" customWidth="1"/>
    <col min="15111" max="15112" width="3.28515625" style="3305" customWidth="1"/>
    <col min="15113" max="15115" width="3.85546875" style="3305" customWidth="1"/>
    <col min="15116" max="15116" width="4" style="3305" customWidth="1"/>
    <col min="15117" max="15117" width="3.85546875" style="3305" customWidth="1"/>
    <col min="15118" max="15118" width="3.28515625" style="3305" customWidth="1"/>
    <col min="15119" max="15124" width="3.85546875" style="3305" customWidth="1"/>
    <col min="15125" max="15126" width="3.28515625" style="3305" customWidth="1"/>
    <col min="15127" max="15127" width="8" style="3305" customWidth="1"/>
    <col min="15128" max="15128" width="7.5703125" style="3305" customWidth="1"/>
    <col min="15129" max="15129" width="7.140625" style="3305" customWidth="1"/>
    <col min="15130" max="15130" width="9.28515625" style="3305" bestFit="1" customWidth="1"/>
    <col min="15131" max="15131" width="9.42578125" style="3305" bestFit="1" customWidth="1"/>
    <col min="15132" max="15348" width="8.85546875" style="3305"/>
    <col min="15349" max="15349" width="4.28515625" style="3305" customWidth="1"/>
    <col min="15350" max="15350" width="9.140625" style="3305" customWidth="1"/>
    <col min="15351" max="15351" width="16.7109375" style="3305" customWidth="1"/>
    <col min="15352" max="15353" width="3.28515625" style="3305" customWidth="1"/>
    <col min="15354" max="15359" width="3.85546875" style="3305" customWidth="1"/>
    <col min="15360" max="15360" width="4.28515625" style="3305" customWidth="1"/>
    <col min="15361" max="15364" width="4.140625" style="3305" customWidth="1"/>
    <col min="15365" max="15366" width="3.85546875" style="3305" customWidth="1"/>
    <col min="15367" max="15368" width="3.28515625" style="3305" customWidth="1"/>
    <col min="15369" max="15371" width="3.85546875" style="3305" customWidth="1"/>
    <col min="15372" max="15372" width="4" style="3305" customWidth="1"/>
    <col min="15373" max="15373" width="3.85546875" style="3305" customWidth="1"/>
    <col min="15374" max="15374" width="3.28515625" style="3305" customWidth="1"/>
    <col min="15375" max="15380" width="3.85546875" style="3305" customWidth="1"/>
    <col min="15381" max="15382" width="3.28515625" style="3305" customWidth="1"/>
    <col min="15383" max="15383" width="8" style="3305" customWidth="1"/>
    <col min="15384" max="15384" width="7.5703125" style="3305" customWidth="1"/>
    <col min="15385" max="15385" width="7.140625" style="3305" customWidth="1"/>
    <col min="15386" max="15386" width="9.28515625" style="3305" bestFit="1" customWidth="1"/>
    <col min="15387" max="15387" width="9.42578125" style="3305" bestFit="1" customWidth="1"/>
    <col min="15388" max="15604" width="8.85546875" style="3305"/>
    <col min="15605" max="15605" width="4.28515625" style="3305" customWidth="1"/>
    <col min="15606" max="15606" width="9.140625" style="3305" customWidth="1"/>
    <col min="15607" max="15607" width="16.7109375" style="3305" customWidth="1"/>
    <col min="15608" max="15609" width="3.28515625" style="3305" customWidth="1"/>
    <col min="15610" max="15615" width="3.85546875" style="3305" customWidth="1"/>
    <col min="15616" max="15616" width="4.28515625" style="3305" customWidth="1"/>
    <col min="15617" max="15620" width="4.140625" style="3305" customWidth="1"/>
    <col min="15621" max="15622" width="3.85546875" style="3305" customWidth="1"/>
    <col min="15623" max="15624" width="3.28515625" style="3305" customWidth="1"/>
    <col min="15625" max="15627" width="3.85546875" style="3305" customWidth="1"/>
    <col min="15628" max="15628" width="4" style="3305" customWidth="1"/>
    <col min="15629" max="15629" width="3.85546875" style="3305" customWidth="1"/>
    <col min="15630" max="15630" width="3.28515625" style="3305" customWidth="1"/>
    <col min="15631" max="15636" width="3.85546875" style="3305" customWidth="1"/>
    <col min="15637" max="15638" width="3.28515625" style="3305" customWidth="1"/>
    <col min="15639" max="15639" width="8" style="3305" customWidth="1"/>
    <col min="15640" max="15640" width="7.5703125" style="3305" customWidth="1"/>
    <col min="15641" max="15641" width="7.140625" style="3305" customWidth="1"/>
    <col min="15642" max="15642" width="9.28515625" style="3305" bestFit="1" customWidth="1"/>
    <col min="15643" max="15643" width="9.42578125" style="3305" bestFit="1" customWidth="1"/>
    <col min="15644" max="15860" width="8.85546875" style="3305"/>
    <col min="15861" max="15861" width="4.28515625" style="3305" customWidth="1"/>
    <col min="15862" max="15862" width="9.140625" style="3305" customWidth="1"/>
    <col min="15863" max="15863" width="16.7109375" style="3305" customWidth="1"/>
    <col min="15864" max="15865" width="3.28515625" style="3305" customWidth="1"/>
    <col min="15866" max="15871" width="3.85546875" style="3305" customWidth="1"/>
    <col min="15872" max="15872" width="4.28515625" style="3305" customWidth="1"/>
    <col min="15873" max="15876" width="4.140625" style="3305" customWidth="1"/>
    <col min="15877" max="15878" width="3.85546875" style="3305" customWidth="1"/>
    <col min="15879" max="15880" width="3.28515625" style="3305" customWidth="1"/>
    <col min="15881" max="15883" width="3.85546875" style="3305" customWidth="1"/>
    <col min="15884" max="15884" width="4" style="3305" customWidth="1"/>
    <col min="15885" max="15885" width="3.85546875" style="3305" customWidth="1"/>
    <col min="15886" max="15886" width="3.28515625" style="3305" customWidth="1"/>
    <col min="15887" max="15892" width="3.85546875" style="3305" customWidth="1"/>
    <col min="15893" max="15894" width="3.28515625" style="3305" customWidth="1"/>
    <col min="15895" max="15895" width="8" style="3305" customWidth="1"/>
    <col min="15896" max="15896" width="7.5703125" style="3305" customWidth="1"/>
    <col min="15897" max="15897" width="7.140625" style="3305" customWidth="1"/>
    <col min="15898" max="15898" width="9.28515625" style="3305" bestFit="1" customWidth="1"/>
    <col min="15899" max="15899" width="9.42578125" style="3305" bestFit="1" customWidth="1"/>
    <col min="15900" max="16116" width="8.85546875" style="3305"/>
    <col min="16117" max="16117" width="4.28515625" style="3305" customWidth="1"/>
    <col min="16118" max="16118" width="9.140625" style="3305" customWidth="1"/>
    <col min="16119" max="16119" width="16.7109375" style="3305" customWidth="1"/>
    <col min="16120" max="16121" width="3.28515625" style="3305" customWidth="1"/>
    <col min="16122" max="16127" width="3.85546875" style="3305" customWidth="1"/>
    <col min="16128" max="16128" width="4.28515625" style="3305" customWidth="1"/>
    <col min="16129" max="16132" width="4.140625" style="3305" customWidth="1"/>
    <col min="16133" max="16134" width="3.85546875" style="3305" customWidth="1"/>
    <col min="16135" max="16136" width="3.28515625" style="3305" customWidth="1"/>
    <col min="16137" max="16139" width="3.85546875" style="3305" customWidth="1"/>
    <col min="16140" max="16140" width="4" style="3305" customWidth="1"/>
    <col min="16141" max="16141" width="3.85546875" style="3305" customWidth="1"/>
    <col min="16142" max="16142" width="3.28515625" style="3305" customWidth="1"/>
    <col min="16143" max="16148" width="3.85546875" style="3305" customWidth="1"/>
    <col min="16149" max="16150" width="3.28515625" style="3305" customWidth="1"/>
    <col min="16151" max="16151" width="8" style="3305" customWidth="1"/>
    <col min="16152" max="16152" width="7.5703125" style="3305" customWidth="1"/>
    <col min="16153" max="16153" width="7.140625" style="3305" customWidth="1"/>
    <col min="16154" max="16154" width="9.28515625" style="3305" bestFit="1" customWidth="1"/>
    <col min="16155" max="16155" width="9.42578125" style="3305" bestFit="1" customWidth="1"/>
    <col min="16156" max="16384" width="8.85546875" style="3305"/>
  </cols>
  <sheetData>
    <row r="1" spans="1:43">
      <c r="A1" s="3933" t="s">
        <v>23</v>
      </c>
      <c r="B1" s="3933"/>
      <c r="C1" s="3933"/>
      <c r="D1" s="3933"/>
      <c r="E1" s="3933"/>
      <c r="F1" s="3933"/>
      <c r="G1" s="3933"/>
      <c r="H1" s="3933"/>
      <c r="I1" s="3933"/>
      <c r="J1" s="3933"/>
      <c r="K1" s="3933"/>
      <c r="L1" s="3933"/>
      <c r="M1" s="3933"/>
      <c r="N1" s="3933"/>
      <c r="O1" s="3933"/>
      <c r="P1" s="3933"/>
      <c r="Q1" s="3933"/>
      <c r="R1" s="3933"/>
      <c r="S1" s="3933"/>
      <c r="T1" s="3933"/>
      <c r="U1" s="3933"/>
      <c r="V1" s="3933"/>
      <c r="W1" s="3933"/>
      <c r="X1" s="3933"/>
      <c r="Y1" s="3933"/>
      <c r="Z1" s="3933"/>
      <c r="AA1" s="3933"/>
      <c r="AB1" s="3933"/>
      <c r="AC1" s="3933"/>
      <c r="AD1" s="3933"/>
      <c r="AE1" s="3933"/>
      <c r="AF1" s="3933"/>
      <c r="AG1" s="3933"/>
      <c r="AH1" s="3933"/>
      <c r="AI1" s="3933"/>
      <c r="AJ1" s="3933"/>
    </row>
    <row r="2" spans="1:43">
      <c r="A2" s="3933" t="s">
        <v>1974</v>
      </c>
      <c r="B2" s="3933"/>
      <c r="C2" s="3933"/>
      <c r="D2" s="3933"/>
      <c r="E2" s="3933"/>
      <c r="F2" s="3933"/>
      <c r="G2" s="3933"/>
      <c r="H2" s="3933"/>
      <c r="I2" s="3933"/>
      <c r="J2" s="3933"/>
      <c r="K2" s="3933"/>
      <c r="L2" s="3933"/>
      <c r="M2" s="3933"/>
      <c r="N2" s="3933"/>
      <c r="O2" s="3933"/>
      <c r="P2" s="3933"/>
      <c r="Q2" s="3933"/>
      <c r="R2" s="3933"/>
      <c r="S2" s="3933"/>
      <c r="T2" s="3933"/>
      <c r="U2" s="3933"/>
      <c r="V2" s="3933"/>
      <c r="W2" s="3933"/>
      <c r="X2" s="3933"/>
      <c r="Y2" s="3933"/>
      <c r="Z2" s="3933"/>
      <c r="AA2" s="3933"/>
      <c r="AB2" s="3933"/>
      <c r="AC2" s="3933"/>
      <c r="AD2" s="3933"/>
      <c r="AE2" s="3933"/>
      <c r="AF2" s="3933"/>
      <c r="AG2" s="3933"/>
      <c r="AH2" s="3933"/>
      <c r="AI2" s="3933"/>
      <c r="AJ2" s="3933"/>
    </row>
    <row r="3" spans="1:43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3934"/>
      <c r="X3" s="3934"/>
      <c r="Y3" s="3934"/>
      <c r="Z3" s="3934"/>
      <c r="AA3" s="3934"/>
      <c r="AB3" s="3934"/>
      <c r="AC3" s="3934"/>
      <c r="AD3" s="3934"/>
      <c r="AE3" s="3934"/>
      <c r="AF3" s="3934"/>
      <c r="AG3" s="3934"/>
      <c r="AH3" s="3934"/>
      <c r="AI3" s="3934"/>
      <c r="AJ3" s="3934"/>
      <c r="AK3" s="2096"/>
      <c r="AL3" s="2096"/>
      <c r="AM3" s="2096"/>
      <c r="AN3" s="2096"/>
      <c r="AO3" s="2096"/>
      <c r="AP3" s="2096"/>
      <c r="AQ3" s="2096"/>
    </row>
    <row r="4" spans="1:43">
      <c r="A4" s="3935" t="s">
        <v>1482</v>
      </c>
      <c r="B4" s="3935"/>
      <c r="C4" s="3935"/>
      <c r="D4" s="3935"/>
      <c r="E4" s="3935"/>
      <c r="F4" s="3935"/>
      <c r="G4" s="3935"/>
      <c r="H4" s="3935"/>
      <c r="I4" s="3935"/>
      <c r="J4" s="3935"/>
      <c r="K4" s="3935"/>
      <c r="L4" s="3935"/>
      <c r="M4" s="3935"/>
      <c r="N4" s="3935"/>
      <c r="O4" s="3935"/>
      <c r="P4" s="3935"/>
      <c r="Q4" s="3935"/>
      <c r="R4" s="3935"/>
      <c r="S4" s="3935"/>
      <c r="T4" s="3935"/>
      <c r="U4" s="3935"/>
      <c r="V4" s="3935"/>
      <c r="W4" s="3935"/>
      <c r="X4" s="3935"/>
      <c r="Y4" s="3935"/>
      <c r="Z4" s="3935"/>
      <c r="AA4" s="3935"/>
      <c r="AB4" s="3935"/>
      <c r="AC4" s="3935"/>
      <c r="AD4" s="3935"/>
      <c r="AE4" s="3935"/>
      <c r="AF4" s="3935"/>
      <c r="AG4" s="3935"/>
      <c r="AH4" s="3306"/>
      <c r="AI4" s="3306"/>
      <c r="AJ4" s="3306"/>
      <c r="AK4" s="3306"/>
      <c r="AL4" s="3306"/>
      <c r="AM4" s="3306"/>
      <c r="AN4" s="3306"/>
      <c r="AO4" s="87"/>
    </row>
    <row r="5" spans="1:43">
      <c r="A5" s="3936" t="s">
        <v>90</v>
      </c>
      <c r="B5" s="3936"/>
      <c r="C5" s="3936"/>
      <c r="D5" s="3936"/>
      <c r="E5" s="3936"/>
      <c r="F5" s="3936"/>
      <c r="G5" s="3936"/>
      <c r="H5" s="3936"/>
      <c r="I5" s="3936"/>
      <c r="J5" s="3936"/>
      <c r="K5" s="3936"/>
      <c r="L5" s="3936"/>
      <c r="M5" s="3936"/>
      <c r="N5" s="3936"/>
      <c r="O5" s="3936"/>
      <c r="P5" s="3936"/>
      <c r="Q5" s="3936"/>
      <c r="R5" s="3936"/>
      <c r="S5" s="3936"/>
      <c r="T5" s="3936"/>
      <c r="U5" s="3936"/>
      <c r="V5" s="3936"/>
      <c r="W5" s="3936"/>
      <c r="X5" s="3936"/>
      <c r="Y5" s="3936"/>
      <c r="Z5" s="3936"/>
      <c r="AA5" s="3936"/>
      <c r="AB5" s="3936"/>
      <c r="AC5" s="3936"/>
      <c r="AD5" s="3936"/>
      <c r="AE5" s="3936"/>
      <c r="AF5" s="3936"/>
      <c r="AG5" s="3936"/>
      <c r="AH5" s="3307"/>
      <c r="AI5" s="2465"/>
      <c r="AJ5" s="2465"/>
      <c r="AK5" s="87"/>
      <c r="AL5" s="87"/>
      <c r="AM5" s="87"/>
      <c r="AN5" s="87"/>
      <c r="AO5" s="87"/>
    </row>
    <row r="6" spans="1:43">
      <c r="A6" s="3666"/>
      <c r="B6" s="3666"/>
      <c r="C6" s="3666"/>
      <c r="D6" s="3666"/>
      <c r="E6" s="3666"/>
      <c r="F6" s="3666"/>
      <c r="G6" s="3666"/>
      <c r="H6" s="3666"/>
      <c r="I6" s="3666"/>
      <c r="J6" s="3666"/>
      <c r="K6" s="3666"/>
      <c r="L6" s="3666"/>
      <c r="M6" s="3666"/>
      <c r="N6" s="3666"/>
      <c r="O6" s="3666"/>
      <c r="P6" s="3666"/>
      <c r="Q6" s="3666"/>
      <c r="R6" s="3666"/>
      <c r="S6" s="3666"/>
      <c r="T6" s="3666"/>
      <c r="U6" s="3666"/>
      <c r="V6" s="3666"/>
      <c r="W6" s="3666"/>
      <c r="X6" s="3666"/>
      <c r="Y6" s="3666"/>
      <c r="Z6" s="3666"/>
      <c r="AA6" s="3666"/>
      <c r="AB6" s="3666"/>
      <c r="AC6" s="3666"/>
      <c r="AD6" s="3666"/>
      <c r="AE6" s="3666"/>
      <c r="AF6" s="3666"/>
      <c r="AG6" s="3666"/>
      <c r="AH6" s="3307"/>
      <c r="AI6" s="2465"/>
      <c r="AJ6" s="2465"/>
      <c r="AK6" s="87"/>
      <c r="AL6" s="87"/>
      <c r="AM6" s="87"/>
      <c r="AN6" s="87"/>
      <c r="AO6" s="87"/>
    </row>
    <row r="7" spans="1:43">
      <c r="A7" s="3932" t="s">
        <v>2297</v>
      </c>
      <c r="B7" s="3932"/>
      <c r="C7" s="3932"/>
      <c r="D7" s="3932"/>
      <c r="E7" s="3932"/>
      <c r="F7" s="3932"/>
      <c r="G7" s="3932"/>
      <c r="H7" s="3932"/>
      <c r="I7" s="3932"/>
      <c r="J7" s="3932"/>
      <c r="K7" s="3932"/>
      <c r="L7" s="3932"/>
      <c r="M7" s="3932"/>
      <c r="N7" s="3932"/>
      <c r="O7" s="3932"/>
      <c r="P7" s="3932"/>
      <c r="Q7" s="3932"/>
      <c r="R7" s="3932"/>
      <c r="S7" s="3932"/>
      <c r="T7" s="3932"/>
      <c r="U7" s="3932"/>
      <c r="V7" s="3932"/>
      <c r="W7" s="3932"/>
      <c r="X7" s="3932"/>
      <c r="Y7" s="3932"/>
      <c r="Z7" s="3932"/>
      <c r="AA7" s="3932"/>
      <c r="AB7" s="3932"/>
      <c r="AC7" s="3932"/>
      <c r="AD7" s="3932"/>
      <c r="AE7" s="3932"/>
      <c r="AF7" s="3932"/>
      <c r="AG7" s="3932"/>
      <c r="AH7" s="3932"/>
      <c r="AI7" s="3932"/>
      <c r="AJ7" s="3932"/>
    </row>
    <row r="8" spans="1:43" ht="9.75" customHeight="1">
      <c r="A8" s="3665"/>
      <c r="B8" s="3665"/>
      <c r="C8" s="3665"/>
      <c r="D8" s="3665"/>
      <c r="E8" s="3665"/>
      <c r="F8" s="3665"/>
      <c r="G8" s="3665"/>
      <c r="H8" s="3665"/>
      <c r="I8" s="3665"/>
      <c r="J8" s="3665"/>
      <c r="K8" s="3665"/>
      <c r="L8" s="3665"/>
      <c r="M8" s="3665"/>
      <c r="N8" s="3665"/>
      <c r="O8" s="3665"/>
      <c r="P8" s="3665"/>
      <c r="Q8" s="3665"/>
      <c r="R8" s="3665"/>
      <c r="S8" s="3665"/>
      <c r="T8" s="3665"/>
      <c r="U8" s="3665"/>
      <c r="V8" s="3665"/>
      <c r="W8" s="3665"/>
      <c r="X8" s="3665"/>
      <c r="Y8" s="3665"/>
      <c r="Z8" s="3665"/>
      <c r="AA8" s="3665"/>
      <c r="AB8" s="3665"/>
      <c r="AC8" s="3665"/>
      <c r="AD8" s="3665"/>
      <c r="AE8" s="3665"/>
      <c r="AF8" s="3665"/>
      <c r="AG8" s="3665"/>
      <c r="AH8" s="3665"/>
      <c r="AI8" s="3665"/>
      <c r="AJ8" s="3665"/>
    </row>
    <row r="9" spans="1:43" ht="9.75" customHeight="1">
      <c r="A9" s="3926" t="s">
        <v>2298</v>
      </c>
      <c r="B9" s="3926"/>
      <c r="C9" s="3926"/>
      <c r="D9" s="3926"/>
      <c r="E9" s="3926"/>
      <c r="F9" s="3926"/>
      <c r="G9" s="3926"/>
      <c r="H9" s="3926"/>
      <c r="I9" s="3926"/>
      <c r="J9" s="3926"/>
      <c r="K9" s="3926"/>
      <c r="L9" s="3926"/>
      <c r="M9" s="3926"/>
      <c r="N9" s="3926"/>
      <c r="O9" s="3926"/>
      <c r="P9" s="3926"/>
      <c r="Q9" s="3926"/>
      <c r="R9" s="3926"/>
      <c r="S9" s="3926"/>
      <c r="T9" s="3926"/>
      <c r="U9" s="3926"/>
      <c r="V9" s="3926"/>
      <c r="W9" s="3926"/>
      <c r="X9" s="3926"/>
      <c r="Y9" s="3926"/>
      <c r="Z9" s="3926"/>
      <c r="AA9" s="3926"/>
      <c r="AB9" s="3926"/>
      <c r="AC9" s="3926"/>
      <c r="AD9" s="3926"/>
      <c r="AE9" s="3926"/>
      <c r="AF9" s="3926"/>
      <c r="AG9" s="3926"/>
      <c r="AH9" s="3926"/>
      <c r="AI9" s="3926"/>
      <c r="AJ9" s="3926"/>
    </row>
    <row r="10" spans="1:43">
      <c r="A10" s="3667"/>
      <c r="B10" s="3667"/>
      <c r="C10" s="3667"/>
      <c r="D10" s="3667"/>
      <c r="E10" s="3667"/>
      <c r="F10" s="3667"/>
      <c r="G10" s="3667"/>
      <c r="H10" s="3667"/>
      <c r="I10" s="3667"/>
      <c r="J10" s="3667"/>
      <c r="K10" s="3667"/>
      <c r="L10" s="3667"/>
      <c r="M10" s="3667"/>
      <c r="N10" s="3667"/>
      <c r="O10" s="3667"/>
      <c r="P10" s="3667"/>
      <c r="Q10" s="3667"/>
      <c r="R10" s="3667"/>
      <c r="S10" s="3667"/>
      <c r="T10" s="3667"/>
      <c r="U10" s="3667"/>
      <c r="V10" s="3667"/>
      <c r="W10" s="3667"/>
      <c r="X10" s="3667"/>
      <c r="Y10" s="3667"/>
      <c r="Z10" s="3667"/>
      <c r="AA10" s="3667"/>
      <c r="AB10" s="3667"/>
      <c r="AC10" s="3667"/>
      <c r="AD10" s="3667"/>
      <c r="AE10" s="3667"/>
      <c r="AF10" s="3667"/>
      <c r="AG10" s="3667"/>
      <c r="AH10" s="3667"/>
      <c r="AI10" s="3667"/>
      <c r="AJ10" s="3667"/>
    </row>
    <row r="11" spans="1:43" ht="3.75" customHeight="1">
      <c r="A11" s="3308"/>
      <c r="B11" s="3308"/>
      <c r="C11" s="3308"/>
      <c r="D11" s="3308"/>
      <c r="E11" s="3308"/>
      <c r="F11" s="3308"/>
      <c r="G11" s="3308"/>
      <c r="H11" s="3308"/>
      <c r="I11" s="3308"/>
      <c r="J11" s="3308"/>
      <c r="K11" s="3308"/>
      <c r="L11" s="3308"/>
      <c r="M11" s="3308"/>
      <c r="N11" s="3308"/>
      <c r="O11" s="3308"/>
      <c r="P11" s="3308"/>
      <c r="Q11" s="3308"/>
      <c r="R11" s="3308"/>
      <c r="S11" s="3308"/>
      <c r="T11" s="3308"/>
      <c r="U11" s="3308"/>
      <c r="V11" s="3308"/>
      <c r="W11" s="3308"/>
      <c r="X11" s="3308"/>
      <c r="Y11" s="3308"/>
      <c r="Z11" s="3308"/>
      <c r="AA11" s="3308"/>
      <c r="AB11" s="3308"/>
      <c r="AC11" s="3308"/>
      <c r="AD11" s="3308"/>
      <c r="AE11" s="3308"/>
      <c r="AF11" s="3308"/>
      <c r="AG11" s="3308"/>
      <c r="AH11" s="3308"/>
      <c r="AI11" s="3308"/>
      <c r="AJ11" s="3308"/>
    </row>
    <row r="12" spans="1:43" ht="16.5" customHeight="1">
      <c r="A12" s="3927" t="s">
        <v>932</v>
      </c>
      <c r="B12" s="3927" t="s">
        <v>1</v>
      </c>
      <c r="C12" s="3928" t="s">
        <v>433</v>
      </c>
      <c r="D12" s="3928"/>
      <c r="E12" s="3928"/>
      <c r="F12" s="3928"/>
      <c r="G12" s="3928"/>
      <c r="H12" s="3928"/>
      <c r="I12" s="3928"/>
      <c r="J12" s="3928"/>
      <c r="K12" s="3928"/>
      <c r="L12" s="3928"/>
      <c r="M12" s="3928"/>
      <c r="N12" s="3928"/>
      <c r="O12" s="3928"/>
      <c r="P12" s="3928"/>
      <c r="Q12" s="3928"/>
      <c r="R12" s="3928"/>
      <c r="S12" s="3928"/>
      <c r="T12" s="3928"/>
      <c r="U12" s="3928"/>
      <c r="V12" s="3928"/>
      <c r="W12" s="3928"/>
      <c r="X12" s="3928"/>
      <c r="Y12" s="3928"/>
      <c r="Z12" s="3928"/>
      <c r="AA12" s="3928"/>
      <c r="AB12" s="3928"/>
      <c r="AC12" s="3928"/>
      <c r="AD12" s="3928"/>
      <c r="AE12" s="3928"/>
      <c r="AF12" s="3928"/>
      <c r="AG12" s="3929" t="s">
        <v>1975</v>
      </c>
      <c r="AH12" s="3930" t="s">
        <v>94</v>
      </c>
      <c r="AI12" s="3930" t="s">
        <v>1254</v>
      </c>
      <c r="AJ12" s="3931" t="s">
        <v>1976</v>
      </c>
    </row>
    <row r="13" spans="1:43" ht="37.5" customHeight="1">
      <c r="A13" s="3927"/>
      <c r="B13" s="3927"/>
      <c r="C13" s="3668">
        <v>1</v>
      </c>
      <c r="D13" s="3668">
        <v>2</v>
      </c>
      <c r="E13" s="3668">
        <v>3</v>
      </c>
      <c r="F13" s="3668">
        <v>4</v>
      </c>
      <c r="G13" s="3668">
        <v>5</v>
      </c>
      <c r="H13" s="3668">
        <v>6</v>
      </c>
      <c r="I13" s="3668">
        <v>7</v>
      </c>
      <c r="J13" s="3668">
        <v>8</v>
      </c>
      <c r="K13" s="3668">
        <v>9</v>
      </c>
      <c r="L13" s="3668">
        <v>10</v>
      </c>
      <c r="M13" s="3668">
        <v>11</v>
      </c>
      <c r="N13" s="3668">
        <v>12</v>
      </c>
      <c r="O13" s="3668">
        <v>13</v>
      </c>
      <c r="P13" s="3668">
        <v>14</v>
      </c>
      <c r="Q13" s="3668">
        <v>15</v>
      </c>
      <c r="R13" s="3668">
        <v>16</v>
      </c>
      <c r="S13" s="3668">
        <v>17</v>
      </c>
      <c r="T13" s="3668">
        <v>18</v>
      </c>
      <c r="U13" s="3668">
        <v>19</v>
      </c>
      <c r="V13" s="3668">
        <v>20</v>
      </c>
      <c r="W13" s="3668">
        <v>21</v>
      </c>
      <c r="X13" s="3668">
        <v>22</v>
      </c>
      <c r="Y13" s="3668">
        <v>23</v>
      </c>
      <c r="Z13" s="3668">
        <v>24</v>
      </c>
      <c r="AA13" s="3668">
        <v>25</v>
      </c>
      <c r="AB13" s="3668">
        <v>26</v>
      </c>
      <c r="AC13" s="3668">
        <v>27</v>
      </c>
      <c r="AD13" s="3668">
        <v>28</v>
      </c>
      <c r="AE13" s="3668">
        <v>29</v>
      </c>
      <c r="AF13" s="3668">
        <v>30</v>
      </c>
      <c r="AG13" s="3929"/>
      <c r="AH13" s="3930"/>
      <c r="AI13" s="3930"/>
      <c r="AJ13" s="3931"/>
    </row>
    <row r="14" spans="1:43" ht="21" customHeight="1">
      <c r="A14" s="3924" t="s">
        <v>451</v>
      </c>
      <c r="B14" s="3925"/>
      <c r="C14" s="3669">
        <f t="shared" ref="C14:AF14" si="0">SUM(C15:C46)</f>
        <v>0</v>
      </c>
      <c r="D14" s="3669">
        <f t="shared" si="0"/>
        <v>0</v>
      </c>
      <c r="E14" s="3669">
        <f t="shared" si="0"/>
        <v>0</v>
      </c>
      <c r="F14" s="3669">
        <f t="shared" si="0"/>
        <v>0</v>
      </c>
      <c r="G14" s="3669">
        <f t="shared" si="0"/>
        <v>0</v>
      </c>
      <c r="H14" s="3669">
        <f t="shared" si="0"/>
        <v>0</v>
      </c>
      <c r="I14" s="3669">
        <f t="shared" si="0"/>
        <v>0</v>
      </c>
      <c r="J14" s="3669">
        <f t="shared" si="0"/>
        <v>0</v>
      </c>
      <c r="K14" s="3669">
        <f t="shared" si="0"/>
        <v>0</v>
      </c>
      <c r="L14" s="3669">
        <f t="shared" si="0"/>
        <v>0</v>
      </c>
      <c r="M14" s="3669">
        <f t="shared" si="0"/>
        <v>0</v>
      </c>
      <c r="N14" s="3669">
        <f t="shared" si="0"/>
        <v>0</v>
      </c>
      <c r="O14" s="3669">
        <f t="shared" si="0"/>
        <v>0</v>
      </c>
      <c r="P14" s="3669">
        <f t="shared" si="0"/>
        <v>0</v>
      </c>
      <c r="Q14" s="3669">
        <f t="shared" si="0"/>
        <v>31</v>
      </c>
      <c r="R14" s="3669">
        <f t="shared" si="0"/>
        <v>0</v>
      </c>
      <c r="S14" s="3669">
        <f t="shared" si="0"/>
        <v>0</v>
      </c>
      <c r="T14" s="3669">
        <f t="shared" si="0"/>
        <v>0</v>
      </c>
      <c r="U14" s="3669">
        <f t="shared" si="0"/>
        <v>0</v>
      </c>
      <c r="V14" s="3669">
        <f t="shared" si="0"/>
        <v>0</v>
      </c>
      <c r="W14" s="3669">
        <f t="shared" si="0"/>
        <v>0</v>
      </c>
      <c r="X14" s="3669">
        <f t="shared" si="0"/>
        <v>0</v>
      </c>
      <c r="Y14" s="3669">
        <f t="shared" si="0"/>
        <v>0</v>
      </c>
      <c r="Z14" s="3669">
        <f t="shared" si="0"/>
        <v>0</v>
      </c>
      <c r="AA14" s="3669">
        <f t="shared" si="0"/>
        <v>0</v>
      </c>
      <c r="AB14" s="3669">
        <f t="shared" si="0"/>
        <v>0</v>
      </c>
      <c r="AC14" s="3669">
        <f t="shared" si="0"/>
        <v>0</v>
      </c>
      <c r="AD14" s="3669">
        <f t="shared" si="0"/>
        <v>0</v>
      </c>
      <c r="AE14" s="3669">
        <f t="shared" si="0"/>
        <v>0</v>
      </c>
      <c r="AF14" s="3669">
        <f t="shared" si="0"/>
        <v>0</v>
      </c>
      <c r="AG14" s="3309">
        <f>SUM(AG15:AG61)</f>
        <v>380</v>
      </c>
      <c r="AH14" s="3309"/>
      <c r="AI14" s="3309">
        <f>SUM(AI15:AI63)</f>
        <v>3800000</v>
      </c>
      <c r="AJ14" s="3310"/>
    </row>
    <row r="15" spans="1:43" ht="21" customHeight="1">
      <c r="A15" s="3311">
        <v>1</v>
      </c>
      <c r="B15" s="3310" t="s">
        <v>2169</v>
      </c>
      <c r="C15" s="3312"/>
      <c r="D15" s="3312"/>
      <c r="E15" s="3312"/>
      <c r="F15" s="3312"/>
      <c r="G15" s="3312"/>
      <c r="H15" s="3312"/>
      <c r="I15" s="3312"/>
      <c r="J15" s="3312"/>
      <c r="K15" s="3312"/>
      <c r="L15" s="3312"/>
      <c r="M15" s="3312"/>
      <c r="N15" s="3313"/>
      <c r="O15" s="3312"/>
      <c r="P15" s="3312"/>
      <c r="Q15" s="3312"/>
      <c r="R15" s="3312"/>
      <c r="S15" s="3312"/>
      <c r="T15" s="3312"/>
      <c r="U15" s="3312"/>
      <c r="V15" s="3312"/>
      <c r="W15" s="3312"/>
      <c r="X15" s="3312"/>
      <c r="Y15" s="3312"/>
      <c r="Z15" s="3312"/>
      <c r="AA15" s="3312"/>
      <c r="AB15" s="3312"/>
      <c r="AC15" s="3312"/>
      <c r="AD15" s="3312"/>
      <c r="AE15" s="3312"/>
      <c r="AF15" s="3312"/>
      <c r="AG15" s="3325">
        <f>+VLOOKUP(B15,'[2]Mủ dây'!C13:AI46,33,0)</f>
        <v>8</v>
      </c>
      <c r="AH15" s="3326">
        <v>8000</v>
      </c>
      <c r="AI15" s="3327">
        <f t="shared" ref="AI15:AI48" si="1">+AG15*AH15</f>
        <v>64000</v>
      </c>
      <c r="AJ15" s="3310"/>
    </row>
    <row r="16" spans="1:43" ht="21" customHeight="1">
      <c r="A16" s="3311">
        <v>2</v>
      </c>
      <c r="B16" s="3310" t="s">
        <v>2170</v>
      </c>
      <c r="C16" s="3312"/>
      <c r="D16" s="3312"/>
      <c r="E16" s="3312"/>
      <c r="F16" s="3312"/>
      <c r="G16" s="3312"/>
      <c r="H16" s="3312"/>
      <c r="I16" s="3312"/>
      <c r="J16" s="3312"/>
      <c r="K16" s="3312"/>
      <c r="L16" s="3312"/>
      <c r="M16" s="3312"/>
      <c r="N16" s="3313"/>
      <c r="O16" s="3312"/>
      <c r="P16" s="3312"/>
      <c r="Q16" s="3312"/>
      <c r="R16" s="3312"/>
      <c r="S16" s="3312"/>
      <c r="T16" s="3312"/>
      <c r="U16" s="3312"/>
      <c r="V16" s="3312"/>
      <c r="W16" s="3312"/>
      <c r="X16" s="3312"/>
      <c r="Y16" s="3312"/>
      <c r="Z16" s="3312"/>
      <c r="AA16" s="3312"/>
      <c r="AB16" s="3312"/>
      <c r="AC16" s="3312"/>
      <c r="AD16" s="3312"/>
      <c r="AE16" s="3312"/>
      <c r="AF16" s="3312"/>
      <c r="AG16" s="3325">
        <f>+VLOOKUP(B16,'[2]Mủ dây'!C14:AI47,33,0)</f>
        <v>6</v>
      </c>
      <c r="AH16" s="3326">
        <v>8000</v>
      </c>
      <c r="AI16" s="3327">
        <f t="shared" si="1"/>
        <v>48000</v>
      </c>
      <c r="AJ16" s="3310"/>
    </row>
    <row r="17" spans="1:36" ht="21" customHeight="1">
      <c r="A17" s="3311">
        <v>3</v>
      </c>
      <c r="B17" s="3310" t="s">
        <v>2171</v>
      </c>
      <c r="C17" s="3312"/>
      <c r="D17" s="3312"/>
      <c r="E17" s="3312"/>
      <c r="F17" s="3312"/>
      <c r="G17" s="3312"/>
      <c r="H17" s="3312"/>
      <c r="I17" s="3312"/>
      <c r="J17" s="3312"/>
      <c r="K17" s="3312"/>
      <c r="L17" s="3312"/>
      <c r="M17" s="3312"/>
      <c r="N17" s="3313"/>
      <c r="O17" s="3312"/>
      <c r="P17" s="3312"/>
      <c r="Q17" s="3312"/>
      <c r="R17" s="3312"/>
      <c r="S17" s="3312"/>
      <c r="T17" s="3312"/>
      <c r="U17" s="3312"/>
      <c r="V17" s="3312"/>
      <c r="W17" s="3312"/>
      <c r="X17" s="3312"/>
      <c r="Y17" s="3312"/>
      <c r="Z17" s="3312"/>
      <c r="AA17" s="3312"/>
      <c r="AB17" s="3312"/>
      <c r="AC17" s="3312"/>
      <c r="AD17" s="3312"/>
      <c r="AE17" s="3312"/>
      <c r="AF17" s="3312"/>
      <c r="AG17" s="3325">
        <f>+VLOOKUP(B17,'[2]Mủ dây'!C15:AI48,33,0)</f>
        <v>5</v>
      </c>
      <c r="AH17" s="3326">
        <v>8000</v>
      </c>
      <c r="AI17" s="3327">
        <f t="shared" si="1"/>
        <v>40000</v>
      </c>
      <c r="AJ17" s="3310"/>
    </row>
    <row r="18" spans="1:36" ht="21" customHeight="1">
      <c r="A18" s="3311">
        <v>4</v>
      </c>
      <c r="B18" s="3310" t="s">
        <v>2172</v>
      </c>
      <c r="C18" s="3312"/>
      <c r="D18" s="3312"/>
      <c r="E18" s="3312"/>
      <c r="F18" s="3312"/>
      <c r="G18" s="3312"/>
      <c r="H18" s="3312"/>
      <c r="I18" s="3312"/>
      <c r="J18" s="3312"/>
      <c r="K18" s="3312"/>
      <c r="L18" s="3312"/>
      <c r="M18" s="3312"/>
      <c r="N18" s="3313"/>
      <c r="O18" s="3312"/>
      <c r="P18" s="3312"/>
      <c r="Q18" s="3312"/>
      <c r="R18" s="3312"/>
      <c r="S18" s="3312"/>
      <c r="T18" s="3312"/>
      <c r="U18" s="3312"/>
      <c r="V18" s="3312"/>
      <c r="W18" s="3312"/>
      <c r="X18" s="3312"/>
      <c r="Y18" s="3312"/>
      <c r="Z18" s="3312"/>
      <c r="AA18" s="3312"/>
      <c r="AB18" s="3312"/>
      <c r="AC18" s="3312"/>
      <c r="AD18" s="3312"/>
      <c r="AE18" s="3312"/>
      <c r="AF18" s="3312"/>
      <c r="AG18" s="3325">
        <f>+VLOOKUP(B18,'[2]Mủ dây'!C16:AI49,33,0)</f>
        <v>4</v>
      </c>
      <c r="AH18" s="3326">
        <v>8000</v>
      </c>
      <c r="AI18" s="3327">
        <f t="shared" si="1"/>
        <v>32000</v>
      </c>
      <c r="AJ18" s="3310"/>
    </row>
    <row r="19" spans="1:36" ht="21" customHeight="1">
      <c r="A19" s="3311">
        <v>5</v>
      </c>
      <c r="B19" s="3310" t="s">
        <v>1528</v>
      </c>
      <c r="C19" s="3312"/>
      <c r="D19" s="3312"/>
      <c r="E19" s="3312"/>
      <c r="F19" s="3312"/>
      <c r="G19" s="3312"/>
      <c r="H19" s="3312"/>
      <c r="I19" s="3312"/>
      <c r="J19" s="3312"/>
      <c r="K19" s="3312"/>
      <c r="L19" s="3312"/>
      <c r="M19" s="3312"/>
      <c r="N19" s="3313"/>
      <c r="O19" s="3312"/>
      <c r="P19" s="3312"/>
      <c r="Q19" s="3312"/>
      <c r="R19" s="3312"/>
      <c r="S19" s="3312"/>
      <c r="T19" s="3312"/>
      <c r="U19" s="3312"/>
      <c r="V19" s="3312"/>
      <c r="W19" s="3312"/>
      <c r="X19" s="3312"/>
      <c r="Y19" s="3312"/>
      <c r="Z19" s="3312"/>
      <c r="AA19" s="3312"/>
      <c r="AB19" s="3312"/>
      <c r="AC19" s="3312"/>
      <c r="AD19" s="3312"/>
      <c r="AE19" s="3312"/>
      <c r="AF19" s="3312"/>
      <c r="AG19" s="3325">
        <f>+VLOOKUP(B19,'[2]Mủ dây'!C17:AI50,33,0)</f>
        <v>16</v>
      </c>
      <c r="AH19" s="3326">
        <v>8000</v>
      </c>
      <c r="AI19" s="3327">
        <f t="shared" si="1"/>
        <v>128000</v>
      </c>
      <c r="AJ19" s="3310"/>
    </row>
    <row r="20" spans="1:36" ht="21" customHeight="1">
      <c r="A20" s="3311">
        <v>6</v>
      </c>
      <c r="B20" s="3310" t="s">
        <v>2173</v>
      </c>
      <c r="C20" s="3312"/>
      <c r="D20" s="3312"/>
      <c r="E20" s="3312"/>
      <c r="F20" s="3312"/>
      <c r="G20" s="3312"/>
      <c r="H20" s="3312"/>
      <c r="I20" s="3312"/>
      <c r="J20" s="3312"/>
      <c r="K20" s="3312"/>
      <c r="L20" s="3312"/>
      <c r="M20" s="3312"/>
      <c r="N20" s="3313"/>
      <c r="O20" s="3312"/>
      <c r="P20" s="3312"/>
      <c r="Q20" s="3312"/>
      <c r="R20" s="3312"/>
      <c r="S20" s="3312"/>
      <c r="T20" s="3312"/>
      <c r="U20" s="3312"/>
      <c r="V20" s="3312"/>
      <c r="W20" s="3312"/>
      <c r="X20" s="3312"/>
      <c r="Y20" s="3312"/>
      <c r="Z20" s="3312"/>
      <c r="AA20" s="3312"/>
      <c r="AB20" s="3312"/>
      <c r="AC20" s="3312"/>
      <c r="AD20" s="3312"/>
      <c r="AE20" s="3312"/>
      <c r="AF20" s="3312"/>
      <c r="AG20" s="3325">
        <f>+VLOOKUP(B20,'[2]Mủ dây'!C18:AI51,33,0)</f>
        <v>15</v>
      </c>
      <c r="AH20" s="3326">
        <v>8000</v>
      </c>
      <c r="AI20" s="3327">
        <f t="shared" si="1"/>
        <v>120000</v>
      </c>
      <c r="AJ20" s="3310"/>
    </row>
    <row r="21" spans="1:36" ht="21" customHeight="1">
      <c r="A21" s="3311">
        <v>7</v>
      </c>
      <c r="B21" s="3310" t="s">
        <v>2174</v>
      </c>
      <c r="C21" s="3312"/>
      <c r="D21" s="3312"/>
      <c r="E21" s="3312"/>
      <c r="F21" s="3312"/>
      <c r="G21" s="3312"/>
      <c r="H21" s="3312"/>
      <c r="I21" s="3312"/>
      <c r="J21" s="3312"/>
      <c r="K21" s="3312"/>
      <c r="L21" s="3312"/>
      <c r="M21" s="3312"/>
      <c r="N21" s="3313"/>
      <c r="O21" s="3312"/>
      <c r="P21" s="3312"/>
      <c r="Q21" s="3312"/>
      <c r="R21" s="3312"/>
      <c r="S21" s="3312"/>
      <c r="T21" s="3312"/>
      <c r="U21" s="3312"/>
      <c r="V21" s="3312"/>
      <c r="W21" s="3312"/>
      <c r="X21" s="3312"/>
      <c r="Y21" s="3312"/>
      <c r="Z21" s="3312"/>
      <c r="AA21" s="3312"/>
      <c r="AB21" s="3312"/>
      <c r="AC21" s="3312"/>
      <c r="AD21" s="3312"/>
      <c r="AE21" s="3312"/>
      <c r="AF21" s="3312"/>
      <c r="AG21" s="3325">
        <f>+VLOOKUP(B21,'[2]Mủ dây'!C19:AI52,33,0)</f>
        <v>8</v>
      </c>
      <c r="AH21" s="3326">
        <v>8000</v>
      </c>
      <c r="AI21" s="3327">
        <f t="shared" si="1"/>
        <v>64000</v>
      </c>
      <c r="AJ21" s="3310"/>
    </row>
    <row r="22" spans="1:36" ht="21" customHeight="1">
      <c r="A22" s="3311">
        <v>8</v>
      </c>
      <c r="B22" s="3310" t="s">
        <v>2175</v>
      </c>
      <c r="C22" s="3312"/>
      <c r="D22" s="3312"/>
      <c r="E22" s="3312"/>
      <c r="F22" s="3312"/>
      <c r="G22" s="3312"/>
      <c r="H22" s="3312"/>
      <c r="I22" s="3312"/>
      <c r="J22" s="3312"/>
      <c r="K22" s="3312"/>
      <c r="L22" s="3312"/>
      <c r="M22" s="3312"/>
      <c r="N22" s="3313"/>
      <c r="O22" s="3312"/>
      <c r="P22" s="3312"/>
      <c r="Q22" s="3312"/>
      <c r="R22" s="3312"/>
      <c r="S22" s="3312"/>
      <c r="T22" s="3312"/>
      <c r="U22" s="3312"/>
      <c r="V22" s="3312"/>
      <c r="W22" s="3312"/>
      <c r="X22" s="3312"/>
      <c r="Y22" s="3312"/>
      <c r="Z22" s="3312"/>
      <c r="AA22" s="3312"/>
      <c r="AB22" s="3312"/>
      <c r="AC22" s="3312"/>
      <c r="AD22" s="3312"/>
      <c r="AE22" s="3312"/>
      <c r="AF22" s="3312"/>
      <c r="AG22" s="3325">
        <f>+VLOOKUP(B22,'[2]Mủ dây'!C20:AI53,33,0)</f>
        <v>9</v>
      </c>
      <c r="AH22" s="3326">
        <v>8000</v>
      </c>
      <c r="AI22" s="3327">
        <f t="shared" si="1"/>
        <v>72000</v>
      </c>
      <c r="AJ22" s="3310"/>
    </row>
    <row r="23" spans="1:36" ht="21" customHeight="1">
      <c r="A23" s="3311">
        <v>9</v>
      </c>
      <c r="B23" s="3310" t="s">
        <v>2176</v>
      </c>
      <c r="C23" s="3312"/>
      <c r="D23" s="3312"/>
      <c r="E23" s="3312"/>
      <c r="F23" s="3312"/>
      <c r="G23" s="3312"/>
      <c r="H23" s="3312"/>
      <c r="I23" s="3312"/>
      <c r="J23" s="3312"/>
      <c r="K23" s="3312"/>
      <c r="L23" s="3312"/>
      <c r="M23" s="3312"/>
      <c r="N23" s="3313"/>
      <c r="O23" s="3312"/>
      <c r="P23" s="3312"/>
      <c r="Q23" s="3312"/>
      <c r="R23" s="3312"/>
      <c r="S23" s="3312"/>
      <c r="T23" s="3312"/>
      <c r="U23" s="3312"/>
      <c r="V23" s="3312"/>
      <c r="W23" s="3312"/>
      <c r="X23" s="3312"/>
      <c r="Y23" s="3312"/>
      <c r="Z23" s="3312"/>
      <c r="AA23" s="3312"/>
      <c r="AB23" s="3312"/>
      <c r="AC23" s="3312"/>
      <c r="AD23" s="3312"/>
      <c r="AE23" s="3312"/>
      <c r="AF23" s="3312"/>
      <c r="AG23" s="3325">
        <f>+VLOOKUP(B23,'[2]Mủ dây'!C21:AI54,33,0)</f>
        <v>3</v>
      </c>
      <c r="AH23" s="3326">
        <v>8000</v>
      </c>
      <c r="AI23" s="3327">
        <f t="shared" si="1"/>
        <v>24000</v>
      </c>
      <c r="AJ23" s="3310"/>
    </row>
    <row r="24" spans="1:36" ht="21" customHeight="1">
      <c r="A24" s="3311">
        <v>10</v>
      </c>
      <c r="B24" s="3310" t="s">
        <v>2177</v>
      </c>
      <c r="C24" s="3312"/>
      <c r="D24" s="3312"/>
      <c r="E24" s="3312"/>
      <c r="F24" s="3312"/>
      <c r="G24" s="3312"/>
      <c r="H24" s="3312"/>
      <c r="I24" s="3312"/>
      <c r="J24" s="3312"/>
      <c r="K24" s="3312"/>
      <c r="L24" s="3312"/>
      <c r="M24" s="3312"/>
      <c r="N24" s="3313"/>
      <c r="O24" s="3312"/>
      <c r="P24" s="3312"/>
      <c r="Q24" s="3312"/>
      <c r="R24" s="3312"/>
      <c r="S24" s="3312"/>
      <c r="T24" s="3312"/>
      <c r="U24" s="3312"/>
      <c r="V24" s="3312"/>
      <c r="W24" s="3312"/>
      <c r="X24" s="3312"/>
      <c r="Y24" s="3312"/>
      <c r="Z24" s="3312"/>
      <c r="AA24" s="3312"/>
      <c r="AB24" s="3312"/>
      <c r="AC24" s="3312"/>
      <c r="AD24" s="3312"/>
      <c r="AE24" s="3312"/>
      <c r="AF24" s="3312"/>
      <c r="AG24" s="3325">
        <f>+VLOOKUP(B24,'[2]Mủ dây'!C22:AI55,33,0)</f>
        <v>10</v>
      </c>
      <c r="AH24" s="3326">
        <v>8000</v>
      </c>
      <c r="AI24" s="3327">
        <f t="shared" si="1"/>
        <v>80000</v>
      </c>
      <c r="AJ24" s="3310"/>
    </row>
    <row r="25" spans="1:36" ht="21" customHeight="1">
      <c r="A25" s="3311">
        <v>11</v>
      </c>
      <c r="B25" s="3310" t="s">
        <v>2178</v>
      </c>
      <c r="C25" s="3312"/>
      <c r="D25" s="3312"/>
      <c r="E25" s="3312"/>
      <c r="F25" s="3312"/>
      <c r="G25" s="3312"/>
      <c r="H25" s="3312"/>
      <c r="I25" s="3312"/>
      <c r="J25" s="3312"/>
      <c r="K25" s="3312"/>
      <c r="L25" s="3312"/>
      <c r="M25" s="3312"/>
      <c r="N25" s="3313"/>
      <c r="O25" s="3312"/>
      <c r="P25" s="3312"/>
      <c r="Q25" s="3312"/>
      <c r="R25" s="3312"/>
      <c r="S25" s="3312"/>
      <c r="T25" s="3312"/>
      <c r="U25" s="3312"/>
      <c r="V25" s="3312"/>
      <c r="W25" s="3312"/>
      <c r="X25" s="3312"/>
      <c r="Y25" s="3312"/>
      <c r="Z25" s="3312"/>
      <c r="AA25" s="3312"/>
      <c r="AB25" s="3312"/>
      <c r="AC25" s="3312"/>
      <c r="AD25" s="3312"/>
      <c r="AE25" s="3312"/>
      <c r="AF25" s="3312"/>
      <c r="AG25" s="3325">
        <f>+VLOOKUP(B25,'[2]Mủ dây'!C23:AI56,33,0)</f>
        <v>6</v>
      </c>
      <c r="AH25" s="3326">
        <v>8000</v>
      </c>
      <c r="AI25" s="3327">
        <f t="shared" si="1"/>
        <v>48000</v>
      </c>
      <c r="AJ25" s="3310"/>
    </row>
    <row r="26" spans="1:36" ht="21" customHeight="1">
      <c r="A26" s="3311">
        <v>12</v>
      </c>
      <c r="B26" s="3310" t="s">
        <v>2179</v>
      </c>
      <c r="C26" s="3312"/>
      <c r="D26" s="3312"/>
      <c r="E26" s="3312"/>
      <c r="F26" s="3312"/>
      <c r="G26" s="3312"/>
      <c r="H26" s="3312"/>
      <c r="I26" s="3312"/>
      <c r="J26" s="3312"/>
      <c r="K26" s="3312"/>
      <c r="L26" s="3312"/>
      <c r="M26" s="3312"/>
      <c r="N26" s="3313"/>
      <c r="O26" s="3312"/>
      <c r="P26" s="3312"/>
      <c r="Q26" s="3312"/>
      <c r="R26" s="3312"/>
      <c r="S26" s="3312"/>
      <c r="T26" s="3312"/>
      <c r="U26" s="3312"/>
      <c r="V26" s="3312"/>
      <c r="W26" s="3312"/>
      <c r="X26" s="3312"/>
      <c r="Y26" s="3312"/>
      <c r="Z26" s="3312"/>
      <c r="AA26" s="3312"/>
      <c r="AB26" s="3312"/>
      <c r="AC26" s="3312"/>
      <c r="AD26" s="3312"/>
      <c r="AE26" s="3312"/>
      <c r="AF26" s="3312"/>
      <c r="AG26" s="3325">
        <f>+VLOOKUP(B26,'[2]Mủ dây'!C24:AI57,33,0)</f>
        <v>5</v>
      </c>
      <c r="AH26" s="3326">
        <v>8000</v>
      </c>
      <c r="AI26" s="3327">
        <f t="shared" si="1"/>
        <v>40000</v>
      </c>
      <c r="AJ26" s="3310"/>
    </row>
    <row r="27" spans="1:36" ht="21" customHeight="1">
      <c r="A27" s="3311">
        <v>13</v>
      </c>
      <c r="B27" s="3310" t="s">
        <v>1301</v>
      </c>
      <c r="C27" s="3312"/>
      <c r="D27" s="3312"/>
      <c r="E27" s="3312"/>
      <c r="F27" s="3312"/>
      <c r="G27" s="3312"/>
      <c r="H27" s="3312"/>
      <c r="I27" s="3312"/>
      <c r="J27" s="3312"/>
      <c r="K27" s="3312"/>
      <c r="L27" s="3312"/>
      <c r="M27" s="3312"/>
      <c r="N27" s="3313"/>
      <c r="O27" s="3312"/>
      <c r="P27" s="3312"/>
      <c r="Q27" s="3312"/>
      <c r="R27" s="3312"/>
      <c r="S27" s="3312"/>
      <c r="T27" s="3312"/>
      <c r="U27" s="3312"/>
      <c r="V27" s="3312"/>
      <c r="W27" s="3312"/>
      <c r="X27" s="3312"/>
      <c r="Y27" s="3312"/>
      <c r="Z27" s="3312"/>
      <c r="AA27" s="3312"/>
      <c r="AB27" s="3312"/>
      <c r="AC27" s="3312"/>
      <c r="AD27" s="3312"/>
      <c r="AE27" s="3312"/>
      <c r="AF27" s="3312"/>
      <c r="AG27" s="3325">
        <f>+VLOOKUP(B27,'[2]Mủ dây'!C25:AI58,33,0)</f>
        <v>4</v>
      </c>
      <c r="AH27" s="3326">
        <v>8000</v>
      </c>
      <c r="AI27" s="3327">
        <f t="shared" si="1"/>
        <v>32000</v>
      </c>
      <c r="AJ27" s="3310"/>
    </row>
    <row r="28" spans="1:36" ht="21" customHeight="1">
      <c r="A28" s="3311">
        <v>14</v>
      </c>
      <c r="B28" s="3310" t="s">
        <v>2180</v>
      </c>
      <c r="C28" s="3312"/>
      <c r="D28" s="3312"/>
      <c r="E28" s="3312"/>
      <c r="F28" s="3312"/>
      <c r="G28" s="3312"/>
      <c r="H28" s="3312"/>
      <c r="I28" s="3312"/>
      <c r="J28" s="3312"/>
      <c r="K28" s="3312"/>
      <c r="L28" s="3312"/>
      <c r="M28" s="3312"/>
      <c r="N28" s="3313"/>
      <c r="O28" s="3312"/>
      <c r="P28" s="3312"/>
      <c r="Q28" s="3312"/>
      <c r="R28" s="3312"/>
      <c r="S28" s="3312"/>
      <c r="T28" s="3312"/>
      <c r="U28" s="3312"/>
      <c r="V28" s="3312"/>
      <c r="W28" s="3312"/>
      <c r="X28" s="3312"/>
      <c r="Y28" s="3312"/>
      <c r="Z28" s="3312"/>
      <c r="AA28" s="3312"/>
      <c r="AB28" s="3312"/>
      <c r="AC28" s="3312"/>
      <c r="AD28" s="3312"/>
      <c r="AE28" s="3312"/>
      <c r="AF28" s="3312"/>
      <c r="AG28" s="3325">
        <f>+VLOOKUP(B28,'[2]Mủ dây'!C26:AI59,33,0)</f>
        <v>5</v>
      </c>
      <c r="AH28" s="3326">
        <v>8000</v>
      </c>
      <c r="AI28" s="3327">
        <f t="shared" si="1"/>
        <v>40000</v>
      </c>
      <c r="AJ28" s="3310"/>
    </row>
    <row r="29" spans="1:36" ht="21" customHeight="1">
      <c r="A29" s="3311">
        <v>15</v>
      </c>
      <c r="B29" s="3310" t="s">
        <v>1677</v>
      </c>
      <c r="C29" s="3312"/>
      <c r="D29" s="3312"/>
      <c r="E29" s="3312"/>
      <c r="F29" s="3312"/>
      <c r="G29" s="3312"/>
      <c r="H29" s="3312"/>
      <c r="I29" s="3312"/>
      <c r="J29" s="3312"/>
      <c r="K29" s="3312"/>
      <c r="L29" s="3312"/>
      <c r="M29" s="3312"/>
      <c r="N29" s="3313"/>
      <c r="O29" s="3312"/>
      <c r="P29" s="3312"/>
      <c r="Q29" s="3312"/>
      <c r="R29" s="3312"/>
      <c r="S29" s="3312"/>
      <c r="T29" s="3312"/>
      <c r="U29" s="3312"/>
      <c r="V29" s="3312"/>
      <c r="W29" s="3312"/>
      <c r="X29" s="3312"/>
      <c r="Y29" s="3312"/>
      <c r="Z29" s="3312"/>
      <c r="AA29" s="3312"/>
      <c r="AB29" s="3312"/>
      <c r="AC29" s="3312"/>
      <c r="AD29" s="3312"/>
      <c r="AE29" s="3312"/>
      <c r="AF29" s="3312"/>
      <c r="AG29" s="3325">
        <f>+VLOOKUP(B29,'[2]Mủ dây'!C27:AI60,33,0)</f>
        <v>18</v>
      </c>
      <c r="AH29" s="3326">
        <v>8000</v>
      </c>
      <c r="AI29" s="3327">
        <f t="shared" si="1"/>
        <v>144000</v>
      </c>
      <c r="AJ29" s="3310"/>
    </row>
    <row r="30" spans="1:36" ht="21" customHeight="1">
      <c r="A30" s="3311">
        <v>16</v>
      </c>
      <c r="B30" s="3310" t="s">
        <v>289</v>
      </c>
      <c r="C30" s="3312"/>
      <c r="D30" s="3312"/>
      <c r="E30" s="3312"/>
      <c r="F30" s="3312"/>
      <c r="G30" s="3312"/>
      <c r="H30" s="3312"/>
      <c r="I30" s="3312"/>
      <c r="J30" s="3312"/>
      <c r="K30" s="3312"/>
      <c r="L30" s="3312"/>
      <c r="M30" s="3312"/>
      <c r="N30" s="3313"/>
      <c r="O30" s="3312"/>
      <c r="P30" s="3312"/>
      <c r="Q30" s="3312"/>
      <c r="R30" s="3312"/>
      <c r="S30" s="3312"/>
      <c r="T30" s="3312"/>
      <c r="U30" s="3312"/>
      <c r="V30" s="3312"/>
      <c r="W30" s="3312"/>
      <c r="X30" s="3312"/>
      <c r="Y30" s="3312"/>
      <c r="Z30" s="3312"/>
      <c r="AA30" s="3312"/>
      <c r="AB30" s="3312"/>
      <c r="AC30" s="3312"/>
      <c r="AD30" s="3312"/>
      <c r="AE30" s="3312"/>
      <c r="AF30" s="3312"/>
      <c r="AG30" s="3325">
        <f>+VLOOKUP(B30,'[2]Mủ dây'!C28:AI61,33,0)</f>
        <v>6</v>
      </c>
      <c r="AH30" s="3326">
        <v>8000</v>
      </c>
      <c r="AI30" s="3327">
        <f t="shared" si="1"/>
        <v>48000</v>
      </c>
      <c r="AJ30" s="3310"/>
    </row>
    <row r="31" spans="1:36" ht="21" customHeight="1">
      <c r="A31" s="3311">
        <v>17</v>
      </c>
      <c r="B31" s="3310" t="s">
        <v>2181</v>
      </c>
      <c r="C31" s="3312"/>
      <c r="D31" s="3312"/>
      <c r="E31" s="3312"/>
      <c r="F31" s="3312"/>
      <c r="G31" s="3312"/>
      <c r="H31" s="3312"/>
      <c r="I31" s="3312"/>
      <c r="J31" s="3312"/>
      <c r="K31" s="3312"/>
      <c r="L31" s="3312"/>
      <c r="M31" s="3312"/>
      <c r="N31" s="3313"/>
      <c r="O31" s="3312"/>
      <c r="P31" s="3312"/>
      <c r="Q31" s="3312"/>
      <c r="R31" s="3312"/>
      <c r="S31" s="3312"/>
      <c r="T31" s="3312"/>
      <c r="U31" s="3312"/>
      <c r="V31" s="3312"/>
      <c r="W31" s="3312"/>
      <c r="X31" s="3312"/>
      <c r="Y31" s="3312"/>
      <c r="Z31" s="3312"/>
      <c r="AA31" s="3312"/>
      <c r="AB31" s="3312"/>
      <c r="AC31" s="3312"/>
      <c r="AD31" s="3312"/>
      <c r="AE31" s="3312"/>
      <c r="AF31" s="3312"/>
      <c r="AG31" s="3325">
        <f>+VLOOKUP(B31,'[2]Mủ dây'!C29:AI61,33,0)</f>
        <v>7</v>
      </c>
      <c r="AH31" s="3326">
        <v>8000</v>
      </c>
      <c r="AI31" s="3327">
        <f t="shared" si="1"/>
        <v>56000</v>
      </c>
      <c r="AJ31" s="3310"/>
    </row>
    <row r="32" spans="1:36" ht="21" customHeight="1">
      <c r="A32" s="3311">
        <v>18</v>
      </c>
      <c r="B32" s="3310" t="s">
        <v>2182</v>
      </c>
      <c r="C32" s="3312"/>
      <c r="D32" s="3312"/>
      <c r="E32" s="3312"/>
      <c r="F32" s="3312"/>
      <c r="G32" s="3312"/>
      <c r="H32" s="3312"/>
      <c r="I32" s="3312"/>
      <c r="J32" s="3312"/>
      <c r="K32" s="3312"/>
      <c r="L32" s="3312"/>
      <c r="M32" s="3312"/>
      <c r="N32" s="3313"/>
      <c r="O32" s="3312"/>
      <c r="P32" s="3312"/>
      <c r="Q32" s="3312"/>
      <c r="R32" s="3312"/>
      <c r="S32" s="3312"/>
      <c r="T32" s="3312"/>
      <c r="U32" s="3312"/>
      <c r="V32" s="3312"/>
      <c r="W32" s="3312"/>
      <c r="X32" s="3312"/>
      <c r="Y32" s="3312"/>
      <c r="Z32" s="3312"/>
      <c r="AA32" s="3312"/>
      <c r="AB32" s="3312"/>
      <c r="AC32" s="3312"/>
      <c r="AD32" s="3312"/>
      <c r="AE32" s="3312"/>
      <c r="AF32" s="3312"/>
      <c r="AG32" s="3325">
        <f>+VLOOKUP(B32,'[2]Mủ dây'!C30:AI61,33,0)</f>
        <v>9</v>
      </c>
      <c r="AH32" s="3326">
        <v>8000</v>
      </c>
      <c r="AI32" s="3327">
        <f t="shared" si="1"/>
        <v>72000</v>
      </c>
      <c r="AJ32" s="3310"/>
    </row>
    <row r="33" spans="1:36" ht="21" customHeight="1">
      <c r="A33" s="3311">
        <v>19</v>
      </c>
      <c r="B33" s="3310" t="s">
        <v>2183</v>
      </c>
      <c r="C33" s="3312"/>
      <c r="D33" s="3312"/>
      <c r="E33" s="3312"/>
      <c r="F33" s="3312"/>
      <c r="G33" s="3312"/>
      <c r="H33" s="3312"/>
      <c r="I33" s="3312"/>
      <c r="J33" s="3312"/>
      <c r="K33" s="3312"/>
      <c r="L33" s="3312"/>
      <c r="M33" s="3312"/>
      <c r="N33" s="3313"/>
      <c r="O33" s="3312"/>
      <c r="P33" s="3312"/>
      <c r="Q33" s="3312"/>
      <c r="R33" s="3312"/>
      <c r="S33" s="3312"/>
      <c r="T33" s="3312"/>
      <c r="U33" s="3312"/>
      <c r="V33" s="3312"/>
      <c r="W33" s="3312"/>
      <c r="X33" s="3312"/>
      <c r="Y33" s="3312"/>
      <c r="Z33" s="3312"/>
      <c r="AA33" s="3312"/>
      <c r="AB33" s="3312"/>
      <c r="AC33" s="3312"/>
      <c r="AD33" s="3312"/>
      <c r="AE33" s="3312"/>
      <c r="AF33" s="3312"/>
      <c r="AG33" s="3325">
        <f>+VLOOKUP(B33,'[2]Mủ dây'!C31:AI61,33,0)</f>
        <v>12</v>
      </c>
      <c r="AH33" s="3326">
        <v>8000</v>
      </c>
      <c r="AI33" s="3327">
        <f t="shared" si="1"/>
        <v>96000</v>
      </c>
      <c r="AJ33" s="3310"/>
    </row>
    <row r="34" spans="1:36" ht="21" customHeight="1">
      <c r="A34" s="3311">
        <v>20</v>
      </c>
      <c r="B34" s="3310" t="s">
        <v>1236</v>
      </c>
      <c r="C34" s="3312"/>
      <c r="D34" s="3312"/>
      <c r="E34" s="3312"/>
      <c r="F34" s="3312"/>
      <c r="G34" s="3312"/>
      <c r="H34" s="3312"/>
      <c r="I34" s="3312"/>
      <c r="J34" s="3312"/>
      <c r="K34" s="3312"/>
      <c r="L34" s="3312"/>
      <c r="M34" s="3312"/>
      <c r="N34" s="3313"/>
      <c r="O34" s="3312"/>
      <c r="P34" s="3312"/>
      <c r="Q34" s="3312"/>
      <c r="R34" s="3312"/>
      <c r="S34" s="3312"/>
      <c r="T34" s="3312"/>
      <c r="U34" s="3312"/>
      <c r="V34" s="3312"/>
      <c r="W34" s="3312"/>
      <c r="X34" s="3312"/>
      <c r="Y34" s="3312"/>
      <c r="Z34" s="3312"/>
      <c r="AA34" s="3312"/>
      <c r="AB34" s="3312"/>
      <c r="AC34" s="3312"/>
      <c r="AD34" s="3312"/>
      <c r="AE34" s="3312"/>
      <c r="AF34" s="3312"/>
      <c r="AG34" s="3325">
        <f>+VLOOKUP(B34,'[2]Mủ dây'!C32:AI61,33,0)</f>
        <v>4</v>
      </c>
      <c r="AH34" s="3326">
        <v>8000</v>
      </c>
      <c r="AI34" s="3327">
        <f t="shared" si="1"/>
        <v>32000</v>
      </c>
      <c r="AJ34" s="3310"/>
    </row>
    <row r="35" spans="1:36" ht="21" customHeight="1">
      <c r="A35" s="3311">
        <v>21</v>
      </c>
      <c r="B35" s="3310" t="s">
        <v>2184</v>
      </c>
      <c r="C35" s="3312"/>
      <c r="D35" s="3312"/>
      <c r="E35" s="3312"/>
      <c r="F35" s="3312"/>
      <c r="G35" s="3312"/>
      <c r="H35" s="3312"/>
      <c r="I35" s="3312"/>
      <c r="J35" s="3312"/>
      <c r="K35" s="3312"/>
      <c r="L35" s="3312"/>
      <c r="M35" s="3312"/>
      <c r="N35" s="3313"/>
      <c r="O35" s="3312"/>
      <c r="P35" s="3312"/>
      <c r="Q35" s="3312"/>
      <c r="R35" s="3312"/>
      <c r="S35" s="3312"/>
      <c r="T35" s="3312"/>
      <c r="U35" s="3312"/>
      <c r="V35" s="3312"/>
      <c r="W35" s="3312"/>
      <c r="X35" s="3312"/>
      <c r="Y35" s="3312"/>
      <c r="Z35" s="3312"/>
      <c r="AA35" s="3312"/>
      <c r="AB35" s="3312"/>
      <c r="AC35" s="3312"/>
      <c r="AD35" s="3312"/>
      <c r="AE35" s="3312"/>
      <c r="AF35" s="3312"/>
      <c r="AG35" s="3325">
        <f>+VLOOKUP(B35,'[2]Mủ dây'!C33:AI61,33,0)</f>
        <v>10</v>
      </c>
      <c r="AH35" s="3326">
        <v>8000</v>
      </c>
      <c r="AI35" s="3327">
        <f t="shared" si="1"/>
        <v>80000</v>
      </c>
      <c r="AJ35" s="3310"/>
    </row>
    <row r="36" spans="1:36" ht="21" customHeight="1">
      <c r="A36" s="3311">
        <v>22</v>
      </c>
      <c r="B36" s="3310" t="s">
        <v>2185</v>
      </c>
      <c r="C36" s="3312"/>
      <c r="D36" s="3312"/>
      <c r="E36" s="3312"/>
      <c r="F36" s="3312"/>
      <c r="G36" s="3312"/>
      <c r="H36" s="3312"/>
      <c r="I36" s="3312"/>
      <c r="J36" s="3312"/>
      <c r="K36" s="3312"/>
      <c r="L36" s="3312"/>
      <c r="M36" s="3312"/>
      <c r="N36" s="3313"/>
      <c r="O36" s="3312"/>
      <c r="P36" s="3312"/>
      <c r="Q36" s="3312"/>
      <c r="R36" s="3312"/>
      <c r="S36" s="3312"/>
      <c r="T36" s="3312"/>
      <c r="U36" s="3312"/>
      <c r="V36" s="3312"/>
      <c r="W36" s="3312"/>
      <c r="X36" s="3312"/>
      <c r="Y36" s="3312"/>
      <c r="Z36" s="3312"/>
      <c r="AA36" s="3312"/>
      <c r="AB36" s="3312"/>
      <c r="AC36" s="3312"/>
      <c r="AD36" s="3312"/>
      <c r="AE36" s="3312"/>
      <c r="AF36" s="3312"/>
      <c r="AG36" s="3325">
        <f>+VLOOKUP(B36,'[2]Mủ dây'!C34:AI61,33,0)</f>
        <v>4</v>
      </c>
      <c r="AH36" s="3326">
        <v>8000</v>
      </c>
      <c r="AI36" s="3327">
        <f t="shared" si="1"/>
        <v>32000</v>
      </c>
      <c r="AJ36" s="3310"/>
    </row>
    <row r="37" spans="1:36" ht="21" customHeight="1">
      <c r="A37" s="3311">
        <v>23</v>
      </c>
      <c r="B37" s="3310" t="s">
        <v>2186</v>
      </c>
      <c r="C37" s="3312"/>
      <c r="D37" s="3312"/>
      <c r="E37" s="3312"/>
      <c r="F37" s="3312"/>
      <c r="G37" s="3312"/>
      <c r="H37" s="3312"/>
      <c r="I37" s="3312"/>
      <c r="J37" s="3312"/>
      <c r="K37" s="3312"/>
      <c r="L37" s="3312"/>
      <c r="M37" s="3312"/>
      <c r="N37" s="3313"/>
      <c r="O37" s="3312"/>
      <c r="P37" s="3312"/>
      <c r="Q37" s="3312"/>
      <c r="R37" s="3312"/>
      <c r="S37" s="3312"/>
      <c r="T37" s="3312"/>
      <c r="U37" s="3312"/>
      <c r="V37" s="3312"/>
      <c r="W37" s="3312"/>
      <c r="X37" s="3312"/>
      <c r="Y37" s="3312"/>
      <c r="Z37" s="3312"/>
      <c r="AA37" s="3312"/>
      <c r="AB37" s="3312"/>
      <c r="AC37" s="3312"/>
      <c r="AD37" s="3312"/>
      <c r="AE37" s="3312"/>
      <c r="AF37" s="3312"/>
      <c r="AG37" s="3325">
        <f>+VLOOKUP(B37,'[2]Mủ dây'!C35:AI61,33,0)</f>
        <v>9</v>
      </c>
      <c r="AH37" s="3326">
        <v>8000</v>
      </c>
      <c r="AI37" s="3327">
        <f t="shared" si="1"/>
        <v>72000</v>
      </c>
      <c r="AJ37" s="3310"/>
    </row>
    <row r="38" spans="1:36" ht="21" customHeight="1">
      <c r="A38" s="3311">
        <v>24</v>
      </c>
      <c r="B38" s="3310" t="s">
        <v>2187</v>
      </c>
      <c r="C38" s="3312"/>
      <c r="D38" s="3312"/>
      <c r="E38" s="3312"/>
      <c r="F38" s="3312"/>
      <c r="G38" s="3312"/>
      <c r="H38" s="3312"/>
      <c r="I38" s="3312"/>
      <c r="J38" s="3312"/>
      <c r="K38" s="3312"/>
      <c r="L38" s="3312"/>
      <c r="M38" s="3312"/>
      <c r="N38" s="3313"/>
      <c r="O38" s="3312"/>
      <c r="P38" s="3312"/>
      <c r="Q38" s="3312"/>
      <c r="R38" s="3312"/>
      <c r="S38" s="3312"/>
      <c r="T38" s="3312"/>
      <c r="U38" s="3312"/>
      <c r="V38" s="3312"/>
      <c r="W38" s="3312"/>
      <c r="X38" s="3312"/>
      <c r="Y38" s="3312"/>
      <c r="Z38" s="3312"/>
      <c r="AA38" s="3312"/>
      <c r="AB38" s="3312"/>
      <c r="AC38" s="3312"/>
      <c r="AD38" s="3312"/>
      <c r="AE38" s="3312"/>
      <c r="AF38" s="3312"/>
      <c r="AG38" s="3325">
        <f>+VLOOKUP(B38,'[2]Mủ dây'!C36:AI61,33,0)</f>
        <v>8</v>
      </c>
      <c r="AH38" s="3326">
        <v>8000</v>
      </c>
      <c r="AI38" s="3327">
        <f t="shared" si="1"/>
        <v>64000</v>
      </c>
      <c r="AJ38" s="3310"/>
    </row>
    <row r="39" spans="1:36" ht="21" customHeight="1">
      <c r="A39" s="3311">
        <v>25</v>
      </c>
      <c r="B39" s="3310" t="s">
        <v>1525</v>
      </c>
      <c r="C39" s="3312"/>
      <c r="D39" s="3312"/>
      <c r="E39" s="3312"/>
      <c r="F39" s="3312"/>
      <c r="G39" s="3312"/>
      <c r="H39" s="3312"/>
      <c r="I39" s="3312"/>
      <c r="J39" s="3312"/>
      <c r="K39" s="3312"/>
      <c r="L39" s="3312"/>
      <c r="M39" s="3312"/>
      <c r="N39" s="3313"/>
      <c r="O39" s="3312"/>
      <c r="P39" s="3312"/>
      <c r="Q39" s="3312"/>
      <c r="R39" s="3312"/>
      <c r="S39" s="3312"/>
      <c r="T39" s="3312"/>
      <c r="U39" s="3312"/>
      <c r="V39" s="3312"/>
      <c r="W39" s="3312"/>
      <c r="X39" s="3312"/>
      <c r="Y39" s="3312"/>
      <c r="Z39" s="3312"/>
      <c r="AA39" s="3312"/>
      <c r="AB39" s="3312"/>
      <c r="AC39" s="3312"/>
      <c r="AD39" s="3312"/>
      <c r="AE39" s="3312"/>
      <c r="AF39" s="3312"/>
      <c r="AG39" s="3325">
        <f>+VLOOKUP(B39,'[2]Mủ dây'!C37:AI61,33,0)</f>
        <v>4</v>
      </c>
      <c r="AH39" s="3326">
        <v>8000</v>
      </c>
      <c r="AI39" s="3327">
        <f t="shared" si="1"/>
        <v>32000</v>
      </c>
      <c r="AJ39" s="3310"/>
    </row>
    <row r="40" spans="1:36" ht="21" customHeight="1">
      <c r="A40" s="3311">
        <v>26</v>
      </c>
      <c r="B40" s="3310" t="s">
        <v>2188</v>
      </c>
      <c r="C40" s="3312"/>
      <c r="D40" s="3312"/>
      <c r="E40" s="3312"/>
      <c r="F40" s="3312"/>
      <c r="G40" s="3312"/>
      <c r="H40" s="3312"/>
      <c r="I40" s="3312"/>
      <c r="J40" s="3312"/>
      <c r="K40" s="3312"/>
      <c r="L40" s="3312"/>
      <c r="M40" s="3312"/>
      <c r="N40" s="3313"/>
      <c r="O40" s="3312"/>
      <c r="P40" s="3312"/>
      <c r="Q40" s="3312"/>
      <c r="R40" s="3312"/>
      <c r="S40" s="3312"/>
      <c r="T40" s="3312"/>
      <c r="U40" s="3312"/>
      <c r="V40" s="3312"/>
      <c r="W40" s="3312"/>
      <c r="X40" s="3312"/>
      <c r="Y40" s="3312"/>
      <c r="Z40" s="3312"/>
      <c r="AA40" s="3312"/>
      <c r="AB40" s="3312"/>
      <c r="AC40" s="3312"/>
      <c r="AD40" s="3312"/>
      <c r="AE40" s="3312"/>
      <c r="AF40" s="3312"/>
      <c r="AG40" s="3325">
        <f>+VLOOKUP(B40,'[2]Mủ dây'!C38:AI61,33,0)</f>
        <v>4</v>
      </c>
      <c r="AH40" s="3326">
        <v>8000</v>
      </c>
      <c r="AI40" s="3327">
        <f t="shared" si="1"/>
        <v>32000</v>
      </c>
      <c r="AJ40" s="3310"/>
    </row>
    <row r="41" spans="1:36" ht="21" customHeight="1">
      <c r="A41" s="3311">
        <v>27</v>
      </c>
      <c r="B41" s="3310" t="s">
        <v>2189</v>
      </c>
      <c r="C41" s="3312"/>
      <c r="D41" s="3312"/>
      <c r="E41" s="3312"/>
      <c r="F41" s="3312"/>
      <c r="G41" s="3312"/>
      <c r="H41" s="3312"/>
      <c r="I41" s="3312"/>
      <c r="J41" s="3312"/>
      <c r="K41" s="3312"/>
      <c r="L41" s="3312"/>
      <c r="M41" s="3312"/>
      <c r="N41" s="3313"/>
      <c r="O41" s="3312"/>
      <c r="P41" s="3312"/>
      <c r="Q41" s="3312"/>
      <c r="R41" s="3312"/>
      <c r="S41" s="3312"/>
      <c r="T41" s="3312"/>
      <c r="U41" s="3312"/>
      <c r="V41" s="3312"/>
      <c r="W41" s="3312"/>
      <c r="X41" s="3312"/>
      <c r="Y41" s="3312"/>
      <c r="Z41" s="3312"/>
      <c r="AA41" s="3312"/>
      <c r="AB41" s="3312"/>
      <c r="AC41" s="3312"/>
      <c r="AD41" s="3312"/>
      <c r="AE41" s="3312"/>
      <c r="AF41" s="3312"/>
      <c r="AG41" s="3325">
        <f>+VLOOKUP(B41,'[2]Mủ dây'!C39:AI61,33,0)</f>
        <v>6</v>
      </c>
      <c r="AH41" s="3326">
        <v>8000</v>
      </c>
      <c r="AI41" s="3327">
        <f t="shared" si="1"/>
        <v>48000</v>
      </c>
      <c r="AJ41" s="3310"/>
    </row>
    <row r="42" spans="1:36" ht="21" customHeight="1">
      <c r="A42" s="3311">
        <v>28</v>
      </c>
      <c r="B42" s="3310" t="s">
        <v>1507</v>
      </c>
      <c r="C42" s="3312"/>
      <c r="D42" s="3312"/>
      <c r="E42" s="3312"/>
      <c r="F42" s="3312"/>
      <c r="G42" s="3312"/>
      <c r="H42" s="3312"/>
      <c r="I42" s="3312"/>
      <c r="J42" s="3312"/>
      <c r="K42" s="3312"/>
      <c r="L42" s="3312"/>
      <c r="M42" s="3312"/>
      <c r="N42" s="3313"/>
      <c r="O42" s="3312"/>
      <c r="P42" s="3312"/>
      <c r="Q42" s="3312"/>
      <c r="R42" s="3312"/>
      <c r="S42" s="3312"/>
      <c r="T42" s="3312"/>
      <c r="U42" s="3312"/>
      <c r="V42" s="3312"/>
      <c r="W42" s="3312"/>
      <c r="X42" s="3312"/>
      <c r="Y42" s="3312"/>
      <c r="Z42" s="3312"/>
      <c r="AA42" s="3312"/>
      <c r="AB42" s="3312"/>
      <c r="AC42" s="3312"/>
      <c r="AD42" s="3312"/>
      <c r="AE42" s="3312"/>
      <c r="AF42" s="3312"/>
      <c r="AG42" s="3325">
        <f>+VLOOKUP(B42,'[2]Mủ dây'!C40:AI61,33,0)</f>
        <v>9</v>
      </c>
      <c r="AH42" s="3326">
        <v>8000</v>
      </c>
      <c r="AI42" s="3327">
        <f t="shared" si="1"/>
        <v>72000</v>
      </c>
      <c r="AJ42" s="3310"/>
    </row>
    <row r="43" spans="1:36" ht="21" customHeight="1">
      <c r="A43" s="3311">
        <v>29</v>
      </c>
      <c r="B43" s="3310" t="s">
        <v>2190</v>
      </c>
      <c r="C43" s="3312"/>
      <c r="D43" s="3312"/>
      <c r="E43" s="3312"/>
      <c r="F43" s="3312"/>
      <c r="G43" s="3312"/>
      <c r="H43" s="3312"/>
      <c r="I43" s="3312"/>
      <c r="J43" s="3312"/>
      <c r="K43" s="3312"/>
      <c r="L43" s="3312"/>
      <c r="M43" s="3312"/>
      <c r="N43" s="3313"/>
      <c r="O43" s="3312"/>
      <c r="P43" s="3312"/>
      <c r="Q43" s="3312"/>
      <c r="R43" s="3312"/>
      <c r="S43" s="3312"/>
      <c r="T43" s="3312"/>
      <c r="U43" s="3312"/>
      <c r="V43" s="3312"/>
      <c r="W43" s="3312"/>
      <c r="X43" s="3312"/>
      <c r="Y43" s="3312"/>
      <c r="Z43" s="3312"/>
      <c r="AA43" s="3312"/>
      <c r="AB43" s="3312"/>
      <c r="AC43" s="3312"/>
      <c r="AD43" s="3312"/>
      <c r="AE43" s="3312"/>
      <c r="AF43" s="3312"/>
      <c r="AG43" s="3325">
        <f>+VLOOKUP(B43,'[2]Mủ dây'!C41:AI61,33,0)</f>
        <v>7</v>
      </c>
      <c r="AH43" s="3326">
        <v>8000</v>
      </c>
      <c r="AI43" s="3327">
        <f t="shared" si="1"/>
        <v>56000</v>
      </c>
      <c r="AJ43" s="3310"/>
    </row>
    <row r="44" spans="1:36" ht="21" customHeight="1">
      <c r="A44" s="3311">
        <v>30</v>
      </c>
      <c r="B44" s="3310" t="s">
        <v>2191</v>
      </c>
      <c r="C44" s="3312"/>
      <c r="D44" s="3312"/>
      <c r="E44" s="3312"/>
      <c r="F44" s="3312"/>
      <c r="G44" s="3312"/>
      <c r="H44" s="3312"/>
      <c r="I44" s="3312"/>
      <c r="J44" s="3312"/>
      <c r="K44" s="3312"/>
      <c r="L44" s="3312"/>
      <c r="M44" s="3312"/>
      <c r="N44" s="3313"/>
      <c r="O44" s="3312"/>
      <c r="P44" s="3312"/>
      <c r="Q44" s="3312"/>
      <c r="R44" s="3312"/>
      <c r="S44" s="3312"/>
      <c r="T44" s="3312"/>
      <c r="U44" s="3312"/>
      <c r="V44" s="3312"/>
      <c r="W44" s="3312"/>
      <c r="X44" s="3312"/>
      <c r="Y44" s="3312"/>
      <c r="Z44" s="3312"/>
      <c r="AA44" s="3312"/>
      <c r="AB44" s="3312"/>
      <c r="AC44" s="3312"/>
      <c r="AD44" s="3312"/>
      <c r="AE44" s="3312"/>
      <c r="AF44" s="3312"/>
      <c r="AG44" s="3325">
        <f>+VLOOKUP(B44,'[2]Mủ dây'!C42:AI61,33,0)</f>
        <v>7</v>
      </c>
      <c r="AH44" s="3326">
        <v>8000</v>
      </c>
      <c r="AI44" s="3327">
        <f t="shared" si="1"/>
        <v>56000</v>
      </c>
      <c r="AJ44" s="3310"/>
    </row>
    <row r="45" spans="1:36" ht="21" customHeight="1">
      <c r="A45" s="3311">
        <v>31</v>
      </c>
      <c r="B45" s="3310" t="s">
        <v>2192</v>
      </c>
      <c r="C45" s="3312"/>
      <c r="D45" s="3312"/>
      <c r="E45" s="3312"/>
      <c r="F45" s="3312"/>
      <c r="G45" s="3312"/>
      <c r="H45" s="3312"/>
      <c r="I45" s="3312"/>
      <c r="J45" s="3312"/>
      <c r="K45" s="3312"/>
      <c r="L45" s="3312"/>
      <c r="M45" s="3312"/>
      <c r="N45" s="3313"/>
      <c r="O45" s="3312"/>
      <c r="P45" s="3312"/>
      <c r="Q45" s="3312">
        <v>15</v>
      </c>
      <c r="R45" s="3312"/>
      <c r="S45" s="3312"/>
      <c r="T45" s="3312"/>
      <c r="U45" s="3312"/>
      <c r="V45" s="3312"/>
      <c r="W45" s="3312"/>
      <c r="X45" s="3312"/>
      <c r="Y45" s="3312"/>
      <c r="Z45" s="3312"/>
      <c r="AA45" s="3312"/>
      <c r="AB45" s="3312"/>
      <c r="AC45" s="3312"/>
      <c r="AD45" s="3312"/>
      <c r="AE45" s="3312"/>
      <c r="AF45" s="3312"/>
      <c r="AG45" s="3325">
        <f>+VLOOKUP(B45,'[2]Mủ dây'!C44:AI61,33,0)</f>
        <v>3</v>
      </c>
      <c r="AH45" s="3326">
        <v>8000</v>
      </c>
      <c r="AI45" s="3327">
        <f t="shared" si="1"/>
        <v>24000</v>
      </c>
      <c r="AJ45" s="3310"/>
    </row>
    <row r="46" spans="1:36" ht="21" customHeight="1">
      <c r="A46" s="3311">
        <v>32</v>
      </c>
      <c r="B46" s="3503" t="s">
        <v>2193</v>
      </c>
      <c r="C46" s="3504"/>
      <c r="D46" s="3504"/>
      <c r="E46" s="3504"/>
      <c r="F46" s="3504"/>
      <c r="G46" s="3504"/>
      <c r="H46" s="3504"/>
      <c r="I46" s="3504"/>
      <c r="J46" s="3504"/>
      <c r="K46" s="3504"/>
      <c r="L46" s="3504"/>
      <c r="M46" s="3504"/>
      <c r="N46" s="3505"/>
      <c r="O46" s="3504"/>
      <c r="P46" s="3504"/>
      <c r="Q46" s="3504">
        <v>16</v>
      </c>
      <c r="R46" s="3504"/>
      <c r="S46" s="3504"/>
      <c r="T46" s="3504"/>
      <c r="U46" s="3504"/>
      <c r="V46" s="3504"/>
      <c r="W46" s="3504"/>
      <c r="X46" s="3504"/>
      <c r="Y46" s="3504"/>
      <c r="Z46" s="3504"/>
      <c r="AA46" s="3504"/>
      <c r="AB46" s="3504"/>
      <c r="AC46" s="3504"/>
      <c r="AD46" s="3504"/>
      <c r="AE46" s="3504"/>
      <c r="AF46" s="3504"/>
      <c r="AG46" s="3506">
        <f>+VLOOKUP(B46,'[2]Mủ dây'!C45:AI61,33,0)</f>
        <v>4</v>
      </c>
      <c r="AH46" s="3326">
        <v>8000</v>
      </c>
      <c r="AI46" s="3327">
        <f t="shared" si="1"/>
        <v>32000</v>
      </c>
      <c r="AJ46" s="3503"/>
    </row>
    <row r="47" spans="1:36" ht="21" customHeight="1">
      <c r="A47" s="3311">
        <v>33</v>
      </c>
      <c r="B47" s="3310" t="s">
        <v>2195</v>
      </c>
      <c r="C47" s="3312"/>
      <c r="D47" s="3312"/>
      <c r="E47" s="3312"/>
      <c r="F47" s="3312"/>
      <c r="G47" s="3312"/>
      <c r="H47" s="3312"/>
      <c r="I47" s="3312"/>
      <c r="J47" s="3312"/>
      <c r="K47" s="3312"/>
      <c r="L47" s="3312"/>
      <c r="M47" s="3312"/>
      <c r="N47" s="3313"/>
      <c r="O47" s="3312"/>
      <c r="P47" s="3312"/>
      <c r="Q47" s="3312"/>
      <c r="R47" s="3312"/>
      <c r="S47" s="3312"/>
      <c r="T47" s="3312"/>
      <c r="U47" s="3312"/>
      <c r="V47" s="3312"/>
      <c r="W47" s="3312"/>
      <c r="X47" s="3312"/>
      <c r="Y47" s="3312"/>
      <c r="Z47" s="3312"/>
      <c r="AA47" s="3312"/>
      <c r="AB47" s="3312"/>
      <c r="AC47" s="3312"/>
      <c r="AD47" s="3312"/>
      <c r="AE47" s="3312"/>
      <c r="AF47" s="3312"/>
      <c r="AG47" s="3506">
        <f>+VLOOKUP(B47,'[2]Mủ dây'!C46:AI62,33,0)</f>
        <v>5</v>
      </c>
      <c r="AH47" s="3326">
        <v>8000</v>
      </c>
      <c r="AI47" s="3327">
        <f t="shared" si="1"/>
        <v>40000</v>
      </c>
      <c r="AJ47" s="3310"/>
    </row>
    <row r="48" spans="1:36" ht="21" customHeight="1">
      <c r="A48" s="3311">
        <v>34</v>
      </c>
      <c r="B48" s="3310" t="s">
        <v>2196</v>
      </c>
      <c r="C48" s="3312"/>
      <c r="D48" s="3312"/>
      <c r="E48" s="3312"/>
      <c r="F48" s="3312"/>
      <c r="G48" s="3312"/>
      <c r="H48" s="3312"/>
      <c r="I48" s="3312"/>
      <c r="J48" s="3312"/>
      <c r="K48" s="3312"/>
      <c r="L48" s="3312"/>
      <c r="M48" s="3312"/>
      <c r="N48" s="3313"/>
      <c r="O48" s="3312"/>
      <c r="P48" s="3312"/>
      <c r="Q48" s="3312"/>
      <c r="R48" s="3312"/>
      <c r="S48" s="3312"/>
      <c r="T48" s="3312"/>
      <c r="U48" s="3312"/>
      <c r="V48" s="3312"/>
      <c r="W48" s="3312"/>
      <c r="X48" s="3312"/>
      <c r="Y48" s="3312"/>
      <c r="Z48" s="3312"/>
      <c r="AA48" s="3312"/>
      <c r="AB48" s="3312"/>
      <c r="AC48" s="3312"/>
      <c r="AD48" s="3312"/>
      <c r="AE48" s="3312"/>
      <c r="AF48" s="3312"/>
      <c r="AG48" s="3506">
        <f>+VLOOKUP(B48,'[2]Mủ dây'!C47:AI63,33,0)</f>
        <v>7</v>
      </c>
      <c r="AH48" s="3326">
        <v>8000</v>
      </c>
      <c r="AI48" s="3327">
        <f t="shared" si="1"/>
        <v>56000</v>
      </c>
      <c r="AJ48" s="3310"/>
    </row>
    <row r="49" spans="1:36" ht="21" customHeight="1">
      <c r="A49" s="3311">
        <v>35</v>
      </c>
      <c r="B49" s="3310" t="s">
        <v>2197</v>
      </c>
      <c r="C49" s="3312"/>
      <c r="D49" s="3312"/>
      <c r="E49" s="3312"/>
      <c r="F49" s="3312"/>
      <c r="G49" s="3312"/>
      <c r="H49" s="3312"/>
      <c r="I49" s="3312"/>
      <c r="J49" s="3312"/>
      <c r="K49" s="3312"/>
      <c r="L49" s="3312"/>
      <c r="M49" s="3312"/>
      <c r="N49" s="3313"/>
      <c r="O49" s="3312"/>
      <c r="P49" s="3312"/>
      <c r="Q49" s="3312"/>
      <c r="R49" s="3312"/>
      <c r="S49" s="3312"/>
      <c r="T49" s="3312"/>
      <c r="U49" s="3312"/>
      <c r="V49" s="3312"/>
      <c r="W49" s="3312"/>
      <c r="X49" s="3312"/>
      <c r="Y49" s="3312"/>
      <c r="Z49" s="3312"/>
      <c r="AA49" s="3312"/>
      <c r="AB49" s="3312"/>
      <c r="AC49" s="3312"/>
      <c r="AD49" s="3312"/>
      <c r="AE49" s="3312"/>
      <c r="AF49" s="3312"/>
      <c r="AG49" s="3506">
        <f>+VLOOKUP(B49,'[2]Mủ dây'!C48:AI64,33,0)</f>
        <v>9</v>
      </c>
      <c r="AH49" s="3326">
        <v>8000</v>
      </c>
      <c r="AI49" s="3327">
        <f>+AG49*AH49</f>
        <v>72000</v>
      </c>
      <c r="AJ49" s="3310"/>
    </row>
    <row r="50" spans="1:36" ht="21" customHeight="1">
      <c r="A50" s="3311">
        <v>36</v>
      </c>
      <c r="B50" s="3310" t="s">
        <v>2198</v>
      </c>
      <c r="C50" s="3312"/>
      <c r="D50" s="3312"/>
      <c r="E50" s="3312"/>
      <c r="F50" s="3312"/>
      <c r="G50" s="3312"/>
      <c r="H50" s="3312"/>
      <c r="I50" s="3312"/>
      <c r="J50" s="3312"/>
      <c r="K50" s="3312"/>
      <c r="L50" s="3312"/>
      <c r="M50" s="3312"/>
      <c r="N50" s="3313"/>
      <c r="O50" s="3312"/>
      <c r="P50" s="3312"/>
      <c r="Q50" s="3312"/>
      <c r="R50" s="3312"/>
      <c r="S50" s="3312"/>
      <c r="T50" s="3312"/>
      <c r="U50" s="3312"/>
      <c r="V50" s="3312"/>
      <c r="W50" s="3312"/>
      <c r="X50" s="3312"/>
      <c r="Y50" s="3312"/>
      <c r="Z50" s="3312"/>
      <c r="AA50" s="3312"/>
      <c r="AB50" s="3312"/>
      <c r="AC50" s="3312"/>
      <c r="AD50" s="3312"/>
      <c r="AE50" s="3312"/>
      <c r="AF50" s="3312"/>
      <c r="AG50" s="3506">
        <f>+VLOOKUP(B50,'[2]Mủ dây'!C49:AI65,33,0)</f>
        <v>10</v>
      </c>
      <c r="AH50" s="3326">
        <v>8000</v>
      </c>
      <c r="AI50" s="3327">
        <f t="shared" ref="AI50:AI63" si="2">+AG50*AH50</f>
        <v>80000</v>
      </c>
      <c r="AJ50" s="3310"/>
    </row>
    <row r="51" spans="1:36" ht="21" customHeight="1">
      <c r="A51" s="3311">
        <v>37</v>
      </c>
      <c r="B51" s="3310" t="s">
        <v>2199</v>
      </c>
      <c r="C51" s="3312"/>
      <c r="D51" s="3312"/>
      <c r="E51" s="3312"/>
      <c r="F51" s="3312"/>
      <c r="G51" s="3312"/>
      <c r="H51" s="3312"/>
      <c r="I51" s="3312"/>
      <c r="J51" s="3312"/>
      <c r="K51" s="3312"/>
      <c r="L51" s="3312"/>
      <c r="M51" s="3312"/>
      <c r="N51" s="3313"/>
      <c r="O51" s="3312"/>
      <c r="P51" s="3312"/>
      <c r="Q51" s="3312"/>
      <c r="R51" s="3312"/>
      <c r="S51" s="3312"/>
      <c r="T51" s="3312"/>
      <c r="U51" s="3312"/>
      <c r="V51" s="3312"/>
      <c r="W51" s="3312"/>
      <c r="X51" s="3312"/>
      <c r="Y51" s="3312"/>
      <c r="Z51" s="3312"/>
      <c r="AA51" s="3312"/>
      <c r="AB51" s="3312"/>
      <c r="AC51" s="3312"/>
      <c r="AD51" s="3312"/>
      <c r="AE51" s="3312"/>
      <c r="AF51" s="3312"/>
      <c r="AG51" s="3506">
        <f>+VLOOKUP(B51,'[2]Mủ dây'!C50:AI66,33,0)</f>
        <v>15</v>
      </c>
      <c r="AH51" s="3326">
        <v>8000</v>
      </c>
      <c r="AI51" s="3327">
        <f t="shared" si="2"/>
        <v>120000</v>
      </c>
      <c r="AJ51" s="3310"/>
    </row>
    <row r="52" spans="1:36" ht="21" customHeight="1">
      <c r="A52" s="3311">
        <v>38</v>
      </c>
      <c r="B52" s="3310" t="s">
        <v>2200</v>
      </c>
      <c r="C52" s="3312"/>
      <c r="D52" s="3312"/>
      <c r="E52" s="3312"/>
      <c r="F52" s="3312"/>
      <c r="G52" s="3312"/>
      <c r="H52" s="3312"/>
      <c r="I52" s="3312"/>
      <c r="J52" s="3312"/>
      <c r="K52" s="3312"/>
      <c r="L52" s="3312"/>
      <c r="M52" s="3312"/>
      <c r="N52" s="3313"/>
      <c r="O52" s="3312"/>
      <c r="P52" s="3312"/>
      <c r="Q52" s="3312"/>
      <c r="R52" s="3312"/>
      <c r="S52" s="3312"/>
      <c r="T52" s="3312"/>
      <c r="U52" s="3312"/>
      <c r="V52" s="3312"/>
      <c r="W52" s="3312"/>
      <c r="X52" s="3312"/>
      <c r="Y52" s="3312"/>
      <c r="Z52" s="3312"/>
      <c r="AA52" s="3312"/>
      <c r="AB52" s="3312"/>
      <c r="AC52" s="3312"/>
      <c r="AD52" s="3312"/>
      <c r="AE52" s="3312"/>
      <c r="AF52" s="3312"/>
      <c r="AG52" s="3506">
        <f>+VLOOKUP(B52,'[2]Mủ dây'!C51:AI67,33,0)</f>
        <v>13</v>
      </c>
      <c r="AH52" s="3326">
        <v>8000</v>
      </c>
      <c r="AI52" s="3327">
        <f t="shared" si="2"/>
        <v>104000</v>
      </c>
      <c r="AJ52" s="3310"/>
    </row>
    <row r="53" spans="1:36" ht="21" customHeight="1">
      <c r="A53" s="3311">
        <v>39</v>
      </c>
      <c r="B53" s="3310" t="s">
        <v>2201</v>
      </c>
      <c r="C53" s="3312"/>
      <c r="D53" s="3312"/>
      <c r="E53" s="3312"/>
      <c r="F53" s="3312"/>
      <c r="G53" s="3312"/>
      <c r="H53" s="3312"/>
      <c r="I53" s="3312"/>
      <c r="J53" s="3312"/>
      <c r="K53" s="3312"/>
      <c r="L53" s="3312"/>
      <c r="M53" s="3312"/>
      <c r="N53" s="3313"/>
      <c r="O53" s="3312"/>
      <c r="P53" s="3312"/>
      <c r="Q53" s="3312"/>
      <c r="R53" s="3312"/>
      <c r="S53" s="3312"/>
      <c r="T53" s="3312"/>
      <c r="U53" s="3312"/>
      <c r="V53" s="3312"/>
      <c r="W53" s="3312"/>
      <c r="X53" s="3312"/>
      <c r="Y53" s="3312"/>
      <c r="Z53" s="3312"/>
      <c r="AA53" s="3312"/>
      <c r="AB53" s="3312"/>
      <c r="AC53" s="3312"/>
      <c r="AD53" s="3312"/>
      <c r="AE53" s="3312"/>
      <c r="AF53" s="3312"/>
      <c r="AG53" s="3506">
        <f>+VLOOKUP(B53,'[2]Mủ dây'!C52:AI68,33,0)</f>
        <v>7</v>
      </c>
      <c r="AH53" s="3326">
        <v>8000</v>
      </c>
      <c r="AI53" s="3327">
        <f t="shared" si="2"/>
        <v>56000</v>
      </c>
      <c r="AJ53" s="3310"/>
    </row>
    <row r="54" spans="1:36" ht="21" customHeight="1">
      <c r="A54" s="3311">
        <v>40</v>
      </c>
      <c r="B54" s="3310" t="s">
        <v>2202</v>
      </c>
      <c r="C54" s="3312"/>
      <c r="D54" s="3312"/>
      <c r="E54" s="3312"/>
      <c r="F54" s="3312"/>
      <c r="G54" s="3312"/>
      <c r="H54" s="3312"/>
      <c r="I54" s="3312"/>
      <c r="J54" s="3312"/>
      <c r="K54" s="3312"/>
      <c r="L54" s="3312"/>
      <c r="M54" s="3312"/>
      <c r="N54" s="3313"/>
      <c r="O54" s="3312"/>
      <c r="P54" s="3312"/>
      <c r="Q54" s="3312"/>
      <c r="R54" s="3312"/>
      <c r="S54" s="3312"/>
      <c r="T54" s="3312"/>
      <c r="U54" s="3312"/>
      <c r="V54" s="3312"/>
      <c r="W54" s="3312"/>
      <c r="X54" s="3312"/>
      <c r="Y54" s="3312"/>
      <c r="Z54" s="3312"/>
      <c r="AA54" s="3312"/>
      <c r="AB54" s="3312"/>
      <c r="AC54" s="3312"/>
      <c r="AD54" s="3312"/>
      <c r="AE54" s="3312"/>
      <c r="AF54" s="3312"/>
      <c r="AG54" s="3506">
        <f>+VLOOKUP(B54,'[2]Mủ dây'!C53:AI69,33,0)</f>
        <v>9</v>
      </c>
      <c r="AH54" s="3326">
        <v>8000</v>
      </c>
      <c r="AI54" s="3327">
        <f t="shared" si="2"/>
        <v>72000</v>
      </c>
      <c r="AJ54" s="3310"/>
    </row>
    <row r="55" spans="1:36" ht="21" customHeight="1">
      <c r="A55" s="3311">
        <v>41</v>
      </c>
      <c r="B55" s="3310" t="s">
        <v>2203</v>
      </c>
      <c r="C55" s="3312"/>
      <c r="D55" s="3312"/>
      <c r="E55" s="3312"/>
      <c r="F55" s="3312"/>
      <c r="G55" s="3312"/>
      <c r="H55" s="3312"/>
      <c r="I55" s="3312"/>
      <c r="J55" s="3312"/>
      <c r="K55" s="3312"/>
      <c r="L55" s="3312"/>
      <c r="M55" s="3312"/>
      <c r="N55" s="3313"/>
      <c r="O55" s="3312"/>
      <c r="P55" s="3312"/>
      <c r="Q55" s="3312"/>
      <c r="R55" s="3312"/>
      <c r="S55" s="3312"/>
      <c r="T55" s="3312"/>
      <c r="U55" s="3312"/>
      <c r="V55" s="3312"/>
      <c r="W55" s="3312"/>
      <c r="X55" s="3312"/>
      <c r="Y55" s="3312"/>
      <c r="Z55" s="3312"/>
      <c r="AA55" s="3312"/>
      <c r="AB55" s="3312"/>
      <c r="AC55" s="3312"/>
      <c r="AD55" s="3312"/>
      <c r="AE55" s="3312"/>
      <c r="AF55" s="3312"/>
      <c r="AG55" s="3506">
        <f>+VLOOKUP(B55,'[2]Mủ dây'!C54:AI70,33,0)</f>
        <v>10</v>
      </c>
      <c r="AH55" s="3326">
        <v>8000</v>
      </c>
      <c r="AI55" s="3327">
        <f t="shared" si="2"/>
        <v>80000</v>
      </c>
      <c r="AJ55" s="3310"/>
    </row>
    <row r="56" spans="1:36" ht="21" customHeight="1">
      <c r="A56" s="3311">
        <v>42</v>
      </c>
      <c r="B56" s="3310" t="s">
        <v>2204</v>
      </c>
      <c r="C56" s="3312"/>
      <c r="D56" s="3312"/>
      <c r="E56" s="3312"/>
      <c r="F56" s="3312"/>
      <c r="G56" s="3312"/>
      <c r="H56" s="3312"/>
      <c r="I56" s="3312"/>
      <c r="J56" s="3312"/>
      <c r="K56" s="3312"/>
      <c r="L56" s="3312"/>
      <c r="M56" s="3312"/>
      <c r="N56" s="3313"/>
      <c r="O56" s="3312"/>
      <c r="P56" s="3312"/>
      <c r="Q56" s="3312"/>
      <c r="R56" s="3312"/>
      <c r="S56" s="3312"/>
      <c r="T56" s="3312"/>
      <c r="U56" s="3312"/>
      <c r="V56" s="3312"/>
      <c r="W56" s="3312"/>
      <c r="X56" s="3312"/>
      <c r="Y56" s="3312"/>
      <c r="Z56" s="3312"/>
      <c r="AA56" s="3312"/>
      <c r="AB56" s="3312"/>
      <c r="AC56" s="3312"/>
      <c r="AD56" s="3312"/>
      <c r="AE56" s="3312"/>
      <c r="AF56" s="3312"/>
      <c r="AG56" s="3506">
        <f>+VLOOKUP(B56,'[2]Mủ dây'!C55:AI71,33,0)</f>
        <v>11</v>
      </c>
      <c r="AH56" s="3326">
        <v>8000</v>
      </c>
      <c r="AI56" s="3327">
        <f t="shared" si="2"/>
        <v>88000</v>
      </c>
      <c r="AJ56" s="3310"/>
    </row>
    <row r="57" spans="1:36" ht="21" customHeight="1">
      <c r="A57" s="3311">
        <v>43</v>
      </c>
      <c r="B57" s="3310" t="s">
        <v>2205</v>
      </c>
      <c r="C57" s="3312"/>
      <c r="D57" s="3312"/>
      <c r="E57" s="3312"/>
      <c r="F57" s="3312"/>
      <c r="G57" s="3312"/>
      <c r="H57" s="3312"/>
      <c r="I57" s="3312"/>
      <c r="J57" s="3312"/>
      <c r="K57" s="3312"/>
      <c r="L57" s="3312"/>
      <c r="M57" s="3312"/>
      <c r="N57" s="3313"/>
      <c r="O57" s="3312"/>
      <c r="P57" s="3312"/>
      <c r="Q57" s="3312"/>
      <c r="R57" s="3312"/>
      <c r="S57" s="3312"/>
      <c r="T57" s="3312"/>
      <c r="U57" s="3312"/>
      <c r="V57" s="3312"/>
      <c r="W57" s="3312"/>
      <c r="X57" s="3312"/>
      <c r="Y57" s="3312"/>
      <c r="Z57" s="3312"/>
      <c r="AA57" s="3312"/>
      <c r="AB57" s="3312"/>
      <c r="AC57" s="3312"/>
      <c r="AD57" s="3312"/>
      <c r="AE57" s="3312"/>
      <c r="AF57" s="3312"/>
      <c r="AG57" s="3506">
        <f>+VLOOKUP(B57,'[2]Mủ dây'!C56:AI72,33,0)</f>
        <v>14</v>
      </c>
      <c r="AH57" s="3326">
        <v>8000</v>
      </c>
      <c r="AI57" s="3327">
        <f t="shared" si="2"/>
        <v>112000</v>
      </c>
      <c r="AJ57" s="3310"/>
    </row>
    <row r="58" spans="1:36" ht="21" customHeight="1">
      <c r="A58" s="3311">
        <v>44</v>
      </c>
      <c r="B58" s="3310" t="s">
        <v>2206</v>
      </c>
      <c r="C58" s="3312"/>
      <c r="D58" s="3312"/>
      <c r="E58" s="3312"/>
      <c r="F58" s="3312"/>
      <c r="G58" s="3312"/>
      <c r="H58" s="3312"/>
      <c r="I58" s="3312"/>
      <c r="J58" s="3312"/>
      <c r="K58" s="3312"/>
      <c r="L58" s="3312"/>
      <c r="M58" s="3312"/>
      <c r="N58" s="3313"/>
      <c r="O58" s="3312"/>
      <c r="P58" s="3312"/>
      <c r="Q58" s="3312"/>
      <c r="R58" s="3312"/>
      <c r="S58" s="3312"/>
      <c r="T58" s="3312"/>
      <c r="U58" s="3312"/>
      <c r="V58" s="3312"/>
      <c r="W58" s="3312"/>
      <c r="X58" s="3312"/>
      <c r="Y58" s="3312"/>
      <c r="Z58" s="3312"/>
      <c r="AA58" s="3312"/>
      <c r="AB58" s="3312"/>
      <c r="AC58" s="3312"/>
      <c r="AD58" s="3312"/>
      <c r="AE58" s="3312"/>
      <c r="AF58" s="3312"/>
      <c r="AG58" s="3506">
        <f>+VLOOKUP(B58,'[2]Mủ dây'!C57:AI73,33,0)</f>
        <v>13</v>
      </c>
      <c r="AH58" s="3326">
        <v>8000</v>
      </c>
      <c r="AI58" s="3327">
        <f t="shared" si="2"/>
        <v>104000</v>
      </c>
      <c r="AJ58" s="3310"/>
    </row>
    <row r="59" spans="1:36" ht="21" customHeight="1">
      <c r="A59" s="3311">
        <v>45</v>
      </c>
      <c r="B59" s="3310" t="s">
        <v>2207</v>
      </c>
      <c r="C59" s="3312"/>
      <c r="D59" s="3312"/>
      <c r="E59" s="3312"/>
      <c r="F59" s="3312"/>
      <c r="G59" s="3312"/>
      <c r="H59" s="3312"/>
      <c r="I59" s="3312"/>
      <c r="J59" s="3312"/>
      <c r="K59" s="3312"/>
      <c r="L59" s="3312"/>
      <c r="M59" s="3312"/>
      <c r="N59" s="3313"/>
      <c r="O59" s="3312"/>
      <c r="P59" s="3312"/>
      <c r="Q59" s="3312"/>
      <c r="R59" s="3312"/>
      <c r="S59" s="3312"/>
      <c r="T59" s="3312"/>
      <c r="U59" s="3312"/>
      <c r="V59" s="3312"/>
      <c r="W59" s="3312"/>
      <c r="X59" s="3312"/>
      <c r="Y59" s="3312"/>
      <c r="Z59" s="3312"/>
      <c r="AA59" s="3312"/>
      <c r="AB59" s="3312"/>
      <c r="AC59" s="3312"/>
      <c r="AD59" s="3312"/>
      <c r="AE59" s="3312"/>
      <c r="AF59" s="3312"/>
      <c r="AG59" s="3506">
        <f>+VLOOKUP(B59,'[2]Mủ dây'!C58:AI74,33,0)</f>
        <v>7</v>
      </c>
      <c r="AH59" s="3326">
        <v>8000</v>
      </c>
      <c r="AI59" s="3327">
        <f t="shared" si="2"/>
        <v>56000</v>
      </c>
      <c r="AJ59" s="3310"/>
    </row>
    <row r="60" spans="1:36" ht="21" customHeight="1">
      <c r="A60" s="3311">
        <v>46</v>
      </c>
      <c r="B60" s="3310" t="s">
        <v>2208</v>
      </c>
      <c r="C60" s="3312"/>
      <c r="D60" s="3312"/>
      <c r="E60" s="3312"/>
      <c r="F60" s="3312"/>
      <c r="G60" s="3312"/>
      <c r="H60" s="3312"/>
      <c r="I60" s="3312"/>
      <c r="J60" s="3312"/>
      <c r="K60" s="3312"/>
      <c r="L60" s="3312"/>
      <c r="M60" s="3312"/>
      <c r="N60" s="3313"/>
      <c r="O60" s="3312"/>
      <c r="P60" s="3312"/>
      <c r="Q60" s="3312"/>
      <c r="R60" s="3312"/>
      <c r="S60" s="3312"/>
      <c r="T60" s="3312"/>
      <c r="U60" s="3312"/>
      <c r="V60" s="3312"/>
      <c r="W60" s="3312"/>
      <c r="X60" s="3312"/>
      <c r="Y60" s="3312"/>
      <c r="Z60" s="3312"/>
      <c r="AA60" s="3312"/>
      <c r="AB60" s="3312"/>
      <c r="AC60" s="3312"/>
      <c r="AD60" s="3312"/>
      <c r="AE60" s="3312"/>
      <c r="AF60" s="3312"/>
      <c r="AG60" s="3506">
        <f>+VLOOKUP(B60,'[2]Mủ dây'!C59:AI75,33,0)</f>
        <v>8</v>
      </c>
      <c r="AH60" s="3326">
        <v>8000</v>
      </c>
      <c r="AI60" s="3327">
        <f t="shared" si="2"/>
        <v>64000</v>
      </c>
      <c r="AJ60" s="3310"/>
    </row>
    <row r="61" spans="1:36" ht="21" customHeight="1">
      <c r="A61" s="3311">
        <v>47</v>
      </c>
      <c r="B61" s="3310" t="s">
        <v>2209</v>
      </c>
      <c r="C61" s="3312"/>
      <c r="D61" s="3312"/>
      <c r="E61" s="3312"/>
      <c r="F61" s="3312"/>
      <c r="G61" s="3312"/>
      <c r="H61" s="3312"/>
      <c r="I61" s="3312"/>
      <c r="J61" s="3312"/>
      <c r="K61" s="3312"/>
      <c r="L61" s="3312"/>
      <c r="M61" s="3312"/>
      <c r="N61" s="3313"/>
      <c r="O61" s="3312"/>
      <c r="P61" s="3312"/>
      <c r="Q61" s="3312"/>
      <c r="R61" s="3312"/>
      <c r="S61" s="3312"/>
      <c r="T61" s="3312"/>
      <c r="U61" s="3312"/>
      <c r="V61" s="3312"/>
      <c r="W61" s="3312"/>
      <c r="X61" s="3312"/>
      <c r="Y61" s="3312"/>
      <c r="Z61" s="3312"/>
      <c r="AA61" s="3312"/>
      <c r="AB61" s="3312"/>
      <c r="AC61" s="3312"/>
      <c r="AD61" s="3312"/>
      <c r="AE61" s="3312"/>
      <c r="AF61" s="3312"/>
      <c r="AG61" s="3506">
        <f>+VLOOKUP(B61,'[2]Mủ dây'!C60:AI76,33,0)</f>
        <v>7</v>
      </c>
      <c r="AH61" s="3326">
        <v>8000</v>
      </c>
      <c r="AI61" s="3327">
        <f t="shared" si="2"/>
        <v>56000</v>
      </c>
      <c r="AJ61" s="3310"/>
    </row>
    <row r="62" spans="1:36" ht="21" customHeight="1">
      <c r="A62" s="3311">
        <v>48</v>
      </c>
      <c r="B62" s="3310" t="s">
        <v>1457</v>
      </c>
      <c r="C62" s="3312"/>
      <c r="D62" s="3312"/>
      <c r="E62" s="3312"/>
      <c r="F62" s="3312"/>
      <c r="G62" s="3312"/>
      <c r="H62" s="3312"/>
      <c r="I62" s="3312"/>
      <c r="J62" s="3312"/>
      <c r="K62" s="3312"/>
      <c r="L62" s="3312"/>
      <c r="M62" s="3312"/>
      <c r="N62" s="3313"/>
      <c r="O62" s="3312"/>
      <c r="P62" s="3312"/>
      <c r="Q62" s="3312"/>
      <c r="R62" s="3312"/>
      <c r="S62" s="3312"/>
      <c r="T62" s="3312"/>
      <c r="U62" s="3312"/>
      <c r="V62" s="3312"/>
      <c r="W62" s="3312"/>
      <c r="X62" s="3312"/>
      <c r="Y62" s="3312"/>
      <c r="Z62" s="3312"/>
      <c r="AA62" s="3312"/>
      <c r="AB62" s="3312"/>
      <c r="AC62" s="3312"/>
      <c r="AD62" s="3312"/>
      <c r="AE62" s="3312"/>
      <c r="AF62" s="3312"/>
      <c r="AG62" s="3506">
        <v>380</v>
      </c>
      <c r="AH62" s="3326">
        <v>1000</v>
      </c>
      <c r="AI62" s="3327">
        <f t="shared" si="2"/>
        <v>380000</v>
      </c>
      <c r="AJ62" s="3310"/>
    </row>
    <row r="63" spans="1:36" ht="21" customHeight="1">
      <c r="A63" s="3311">
        <v>49</v>
      </c>
      <c r="B63" s="3310" t="s">
        <v>1431</v>
      </c>
      <c r="C63" s="3312"/>
      <c r="D63" s="3312"/>
      <c r="E63" s="3312"/>
      <c r="F63" s="3312"/>
      <c r="G63" s="3312"/>
      <c r="H63" s="3312"/>
      <c r="I63" s="3312"/>
      <c r="J63" s="3312"/>
      <c r="K63" s="3312"/>
      <c r="L63" s="3312"/>
      <c r="M63" s="3312"/>
      <c r="N63" s="3313"/>
      <c r="O63" s="3312"/>
      <c r="P63" s="3312"/>
      <c r="Q63" s="3312"/>
      <c r="R63" s="3312"/>
      <c r="S63" s="3312"/>
      <c r="T63" s="3312"/>
      <c r="U63" s="3312"/>
      <c r="V63" s="3312"/>
      <c r="W63" s="3312"/>
      <c r="X63" s="3312"/>
      <c r="Y63" s="3312"/>
      <c r="Z63" s="3312"/>
      <c r="AA63" s="3312"/>
      <c r="AB63" s="3312"/>
      <c r="AC63" s="3312"/>
      <c r="AD63" s="3312"/>
      <c r="AE63" s="3312"/>
      <c r="AF63" s="3312"/>
      <c r="AG63" s="3506">
        <v>380</v>
      </c>
      <c r="AH63" s="3326">
        <v>1000</v>
      </c>
      <c r="AI63" s="3327">
        <f t="shared" si="2"/>
        <v>380000</v>
      </c>
      <c r="AJ63" s="3310"/>
    </row>
    <row r="64" spans="1:36" ht="21" customHeight="1">
      <c r="A64" s="3939" t="s">
        <v>453</v>
      </c>
      <c r="B64" s="3940"/>
      <c r="C64" s="3668"/>
      <c r="D64" s="3668"/>
      <c r="E64" s="3668"/>
      <c r="F64" s="3668"/>
      <c r="G64" s="3668"/>
      <c r="H64" s="3668"/>
      <c r="I64" s="3668"/>
      <c r="J64" s="3668"/>
      <c r="K64" s="3668"/>
      <c r="L64" s="3668"/>
      <c r="M64" s="3668"/>
      <c r="N64" s="3669"/>
      <c r="O64" s="3668"/>
      <c r="P64" s="3668"/>
      <c r="Q64" s="3668"/>
      <c r="R64" s="3668"/>
      <c r="S64" s="3668"/>
      <c r="T64" s="3668"/>
      <c r="U64" s="3668"/>
      <c r="V64" s="3668"/>
      <c r="W64" s="3668"/>
      <c r="X64" s="3668"/>
      <c r="Y64" s="3668"/>
      <c r="Z64" s="3668"/>
      <c r="AA64" s="3668"/>
      <c r="AB64" s="3668"/>
      <c r="AC64" s="3668"/>
      <c r="AD64" s="3668"/>
      <c r="AE64" s="3668"/>
      <c r="AF64" s="3668"/>
      <c r="AG64" s="3700">
        <f>+SUM(AG65:AG69)</f>
        <v>19</v>
      </c>
      <c r="AH64" s="3701"/>
      <c r="AI64" s="3702">
        <f>+SUM(AI65:AI71)</f>
        <v>190000</v>
      </c>
      <c r="AJ64" s="3703"/>
    </row>
    <row r="65" spans="1:36" ht="21" customHeight="1">
      <c r="A65" s="3311">
        <v>50</v>
      </c>
      <c r="B65" s="2995" t="s">
        <v>2279</v>
      </c>
      <c r="C65" s="3312"/>
      <c r="D65" s="3312"/>
      <c r="E65" s="3312"/>
      <c r="F65" s="3312"/>
      <c r="G65" s="3312"/>
      <c r="H65" s="3312"/>
      <c r="I65" s="3312"/>
      <c r="J65" s="3312"/>
      <c r="K65" s="3312"/>
      <c r="L65" s="3312"/>
      <c r="M65" s="3312"/>
      <c r="N65" s="3313"/>
      <c r="O65" s="3312"/>
      <c r="P65" s="3312"/>
      <c r="Q65" s="3312"/>
      <c r="R65" s="3312"/>
      <c r="S65" s="3312"/>
      <c r="T65" s="3312"/>
      <c r="U65" s="3312"/>
      <c r="V65" s="3312"/>
      <c r="W65" s="3312"/>
      <c r="X65" s="3312"/>
      <c r="Y65" s="3312"/>
      <c r="Z65" s="3312"/>
      <c r="AA65" s="3312"/>
      <c r="AB65" s="3312"/>
      <c r="AC65" s="3312"/>
      <c r="AD65" s="3312"/>
      <c r="AE65" s="3312"/>
      <c r="AF65" s="3312"/>
      <c r="AG65" s="3325">
        <f>+VLOOKUP(B65,'[2]Mủ dây'!C63:AI67,33,0)</f>
        <v>1</v>
      </c>
      <c r="AH65" s="3326">
        <v>8000</v>
      </c>
      <c r="AI65" s="3327">
        <f>+AG65*AH65</f>
        <v>8000</v>
      </c>
      <c r="AJ65" s="3310"/>
    </row>
    <row r="66" spans="1:36" ht="21" customHeight="1">
      <c r="A66" s="3311">
        <v>51</v>
      </c>
      <c r="B66" s="2440" t="s">
        <v>1514</v>
      </c>
      <c r="C66" s="3312"/>
      <c r="D66" s="3312"/>
      <c r="E66" s="3312"/>
      <c r="F66" s="3312"/>
      <c r="G66" s="3312"/>
      <c r="H66" s="3312"/>
      <c r="I66" s="3312"/>
      <c r="J66" s="3312"/>
      <c r="K66" s="3312"/>
      <c r="L66" s="3312"/>
      <c r="M66" s="3312"/>
      <c r="N66" s="3313"/>
      <c r="O66" s="3312"/>
      <c r="P66" s="3312"/>
      <c r="Q66" s="3312"/>
      <c r="R66" s="3312"/>
      <c r="S66" s="3312"/>
      <c r="T66" s="3312"/>
      <c r="U66" s="3312"/>
      <c r="V66" s="3312"/>
      <c r="W66" s="3312"/>
      <c r="X66" s="3312"/>
      <c r="Y66" s="3312"/>
      <c r="Z66" s="3312"/>
      <c r="AA66" s="3312"/>
      <c r="AB66" s="3312"/>
      <c r="AC66" s="3312"/>
      <c r="AD66" s="3312"/>
      <c r="AE66" s="3312"/>
      <c r="AF66" s="3312"/>
      <c r="AG66" s="3325">
        <f>+VLOOKUP(B66,'[2]Mủ dây'!C64:AI68,33,0)</f>
        <v>2</v>
      </c>
      <c r="AH66" s="3326">
        <v>8000</v>
      </c>
      <c r="AI66" s="3327">
        <f t="shared" ref="AI66:AI71" si="3">+AG66*AH66</f>
        <v>16000</v>
      </c>
      <c r="AJ66" s="3310"/>
    </row>
    <row r="67" spans="1:36" ht="21" customHeight="1">
      <c r="A67" s="3311">
        <v>52</v>
      </c>
      <c r="B67" s="2440" t="s">
        <v>2280</v>
      </c>
      <c r="C67" s="3312"/>
      <c r="D67" s="3312"/>
      <c r="E67" s="3312"/>
      <c r="F67" s="3312"/>
      <c r="G67" s="3312"/>
      <c r="H67" s="3312"/>
      <c r="I67" s="3312"/>
      <c r="J67" s="3312"/>
      <c r="K67" s="3312"/>
      <c r="L67" s="3312"/>
      <c r="M67" s="3312"/>
      <c r="N67" s="3313"/>
      <c r="O67" s="3312"/>
      <c r="P67" s="3312"/>
      <c r="Q67" s="3312"/>
      <c r="R67" s="3312"/>
      <c r="S67" s="3312"/>
      <c r="T67" s="3312"/>
      <c r="U67" s="3312"/>
      <c r="V67" s="3312"/>
      <c r="W67" s="3312"/>
      <c r="X67" s="3312"/>
      <c r="Y67" s="3312"/>
      <c r="Z67" s="3312"/>
      <c r="AA67" s="3312"/>
      <c r="AB67" s="3312"/>
      <c r="AC67" s="3312"/>
      <c r="AD67" s="3312"/>
      <c r="AE67" s="3312"/>
      <c r="AF67" s="3312"/>
      <c r="AG67" s="3325">
        <f>+VLOOKUP(B67,'[2]Mủ dây'!C65:AI69,33,0)</f>
        <v>4</v>
      </c>
      <c r="AH67" s="3326">
        <v>8000</v>
      </c>
      <c r="AI67" s="3327">
        <f t="shared" si="3"/>
        <v>32000</v>
      </c>
      <c r="AJ67" s="3310"/>
    </row>
    <row r="68" spans="1:36" ht="21" customHeight="1">
      <c r="A68" s="3311">
        <v>53</v>
      </c>
      <c r="B68" s="2440" t="s">
        <v>2281</v>
      </c>
      <c r="C68" s="3312"/>
      <c r="D68" s="3312"/>
      <c r="E68" s="3312"/>
      <c r="F68" s="3312"/>
      <c r="G68" s="3312"/>
      <c r="H68" s="3312"/>
      <c r="I68" s="3312"/>
      <c r="J68" s="3312"/>
      <c r="K68" s="3312"/>
      <c r="L68" s="3312"/>
      <c r="M68" s="3312"/>
      <c r="N68" s="3313"/>
      <c r="O68" s="3312"/>
      <c r="P68" s="3312"/>
      <c r="Q68" s="3312"/>
      <c r="R68" s="3312"/>
      <c r="S68" s="3312"/>
      <c r="T68" s="3312"/>
      <c r="U68" s="3312"/>
      <c r="V68" s="3312"/>
      <c r="W68" s="3312"/>
      <c r="X68" s="3312"/>
      <c r="Y68" s="3312"/>
      <c r="Z68" s="3312"/>
      <c r="AA68" s="3312"/>
      <c r="AB68" s="3312"/>
      <c r="AC68" s="3312"/>
      <c r="AD68" s="3312"/>
      <c r="AE68" s="3312"/>
      <c r="AF68" s="3312"/>
      <c r="AG68" s="3325">
        <f>+VLOOKUP(B68,'[2]Mủ dây'!C66:AI70,33,0)</f>
        <v>7</v>
      </c>
      <c r="AH68" s="3326">
        <v>8000</v>
      </c>
      <c r="AI68" s="3327">
        <f t="shared" si="3"/>
        <v>56000</v>
      </c>
      <c r="AJ68" s="3310"/>
    </row>
    <row r="69" spans="1:36" ht="21" customHeight="1">
      <c r="A69" s="3311">
        <v>54</v>
      </c>
      <c r="B69" s="2440" t="s">
        <v>2282</v>
      </c>
      <c r="C69" s="3312"/>
      <c r="D69" s="3312"/>
      <c r="E69" s="3312"/>
      <c r="F69" s="3312"/>
      <c r="G69" s="3312"/>
      <c r="H69" s="3312"/>
      <c r="I69" s="3312"/>
      <c r="J69" s="3312"/>
      <c r="K69" s="3312"/>
      <c r="L69" s="3312"/>
      <c r="M69" s="3312"/>
      <c r="N69" s="3313"/>
      <c r="O69" s="3312"/>
      <c r="P69" s="3312"/>
      <c r="Q69" s="3312"/>
      <c r="R69" s="3312"/>
      <c r="S69" s="3312"/>
      <c r="T69" s="3312"/>
      <c r="U69" s="3312"/>
      <c r="V69" s="3312"/>
      <c r="W69" s="3312"/>
      <c r="X69" s="3312"/>
      <c r="Y69" s="3312"/>
      <c r="Z69" s="3312"/>
      <c r="AA69" s="3312"/>
      <c r="AB69" s="3312"/>
      <c r="AC69" s="3312"/>
      <c r="AD69" s="3312"/>
      <c r="AE69" s="3312"/>
      <c r="AF69" s="3312"/>
      <c r="AG69" s="3325">
        <f>+VLOOKUP(B69,'[2]Mủ dây'!C67:AI71,33,0)</f>
        <v>5</v>
      </c>
      <c r="AH69" s="3326">
        <v>8000</v>
      </c>
      <c r="AI69" s="3327">
        <f t="shared" si="3"/>
        <v>40000</v>
      </c>
      <c r="AJ69" s="3310"/>
    </row>
    <row r="70" spans="1:36" ht="21" customHeight="1">
      <c r="A70" s="3311">
        <v>55</v>
      </c>
      <c r="B70" s="3310" t="s">
        <v>36</v>
      </c>
      <c r="C70" s="3312"/>
      <c r="D70" s="3312"/>
      <c r="E70" s="3312"/>
      <c r="F70" s="3312"/>
      <c r="G70" s="3312"/>
      <c r="H70" s="3312"/>
      <c r="I70" s="3312"/>
      <c r="J70" s="3312"/>
      <c r="K70" s="3312"/>
      <c r="L70" s="3312"/>
      <c r="M70" s="3312"/>
      <c r="N70" s="3313"/>
      <c r="O70" s="3312"/>
      <c r="P70" s="3312"/>
      <c r="Q70" s="3312"/>
      <c r="R70" s="3312"/>
      <c r="S70" s="3312"/>
      <c r="T70" s="3312"/>
      <c r="U70" s="3312"/>
      <c r="V70" s="3312"/>
      <c r="W70" s="3312"/>
      <c r="X70" s="3312"/>
      <c r="Y70" s="3312"/>
      <c r="Z70" s="3312"/>
      <c r="AA70" s="3312"/>
      <c r="AB70" s="3312"/>
      <c r="AC70" s="3312"/>
      <c r="AD70" s="3312"/>
      <c r="AE70" s="3312"/>
      <c r="AF70" s="3312"/>
      <c r="AG70" s="3325">
        <v>19</v>
      </c>
      <c r="AH70" s="3326">
        <v>1000</v>
      </c>
      <c r="AI70" s="3327">
        <f t="shared" si="3"/>
        <v>19000</v>
      </c>
      <c r="AJ70" s="3310"/>
    </row>
    <row r="71" spans="1:36" ht="21" customHeight="1">
      <c r="A71" s="3311">
        <v>56</v>
      </c>
      <c r="B71" s="3310" t="s">
        <v>1431</v>
      </c>
      <c r="C71" s="3312"/>
      <c r="D71" s="3312"/>
      <c r="E71" s="3312"/>
      <c r="F71" s="3312"/>
      <c r="G71" s="3312"/>
      <c r="H71" s="3312"/>
      <c r="I71" s="3312"/>
      <c r="J71" s="3312"/>
      <c r="K71" s="3312"/>
      <c r="L71" s="3312"/>
      <c r="M71" s="3312"/>
      <c r="N71" s="3313"/>
      <c r="O71" s="3312"/>
      <c r="P71" s="3312"/>
      <c r="Q71" s="3312"/>
      <c r="R71" s="3312"/>
      <c r="S71" s="3312"/>
      <c r="T71" s="3312"/>
      <c r="U71" s="3312"/>
      <c r="V71" s="3312"/>
      <c r="W71" s="3312"/>
      <c r="X71" s="3312"/>
      <c r="Y71" s="3312"/>
      <c r="Z71" s="3312"/>
      <c r="AA71" s="3312"/>
      <c r="AB71" s="3312"/>
      <c r="AC71" s="3312"/>
      <c r="AD71" s="3312"/>
      <c r="AE71" s="3312"/>
      <c r="AF71" s="3312"/>
      <c r="AG71" s="3325">
        <v>19</v>
      </c>
      <c r="AH71" s="3326">
        <v>1000</v>
      </c>
      <c r="AI71" s="3327">
        <f t="shared" si="3"/>
        <v>19000</v>
      </c>
      <c r="AJ71" s="3310"/>
    </row>
    <row r="72" spans="1:36" s="3242" customFormat="1" ht="21" customHeight="1">
      <c r="A72" s="3941" t="s">
        <v>1977</v>
      </c>
      <c r="B72" s="3941"/>
      <c r="C72" s="3309" t="e">
        <f>C14+#REF!+#REF!+#REF!</f>
        <v>#REF!</v>
      </c>
      <c r="D72" s="3309" t="e">
        <f>D14+#REF!+#REF!+#REF!</f>
        <v>#REF!</v>
      </c>
      <c r="E72" s="3309" t="e">
        <f>E14+#REF!+#REF!+#REF!</f>
        <v>#REF!</v>
      </c>
      <c r="F72" s="3309" t="e">
        <f>F14+#REF!+#REF!+#REF!</f>
        <v>#REF!</v>
      </c>
      <c r="G72" s="3309" t="e">
        <f>G14+#REF!+#REF!+#REF!</f>
        <v>#REF!</v>
      </c>
      <c r="H72" s="3309" t="e">
        <f>H14+#REF!+#REF!+#REF!</f>
        <v>#REF!</v>
      </c>
      <c r="I72" s="3309" t="e">
        <f>I14+#REF!+#REF!+#REF!</f>
        <v>#REF!</v>
      </c>
      <c r="J72" s="3309" t="e">
        <f>J14+#REF!+#REF!+#REF!</f>
        <v>#REF!</v>
      </c>
      <c r="K72" s="3309" t="e">
        <f>K14+#REF!+#REF!+#REF!</f>
        <v>#REF!</v>
      </c>
      <c r="L72" s="3309" t="e">
        <f>L14+#REF!+#REF!+#REF!</f>
        <v>#REF!</v>
      </c>
      <c r="M72" s="3309" t="e">
        <f>M14+#REF!+#REF!+#REF!</f>
        <v>#REF!</v>
      </c>
      <c r="N72" s="3309" t="e">
        <f>N14+#REF!+#REF!+#REF!</f>
        <v>#REF!</v>
      </c>
      <c r="O72" s="3309" t="e">
        <f>O14+#REF!+#REF!+#REF!</f>
        <v>#REF!</v>
      </c>
      <c r="P72" s="3309" t="e">
        <f>P14+#REF!+#REF!+#REF!</f>
        <v>#REF!</v>
      </c>
      <c r="Q72" s="3309" t="e">
        <f>Q14+#REF!+#REF!+#REF!</f>
        <v>#REF!</v>
      </c>
      <c r="R72" s="3309" t="e">
        <f>R14+#REF!+#REF!+#REF!</f>
        <v>#REF!</v>
      </c>
      <c r="S72" s="3309" t="e">
        <f>S14+#REF!+#REF!+#REF!</f>
        <v>#REF!</v>
      </c>
      <c r="T72" s="3309" t="e">
        <f>T14+#REF!+#REF!+#REF!</f>
        <v>#REF!</v>
      </c>
      <c r="U72" s="3309" t="e">
        <f>U14+#REF!+#REF!+#REF!</f>
        <v>#REF!</v>
      </c>
      <c r="V72" s="3309" t="e">
        <f>V14+#REF!+#REF!+#REF!</f>
        <v>#REF!</v>
      </c>
      <c r="W72" s="3309" t="e">
        <f>W14+#REF!+#REF!+#REF!</f>
        <v>#REF!</v>
      </c>
      <c r="X72" s="3309" t="e">
        <f>X14+#REF!+#REF!+#REF!</f>
        <v>#REF!</v>
      </c>
      <c r="Y72" s="3309" t="e">
        <f>Y14+#REF!+#REF!+#REF!</f>
        <v>#REF!</v>
      </c>
      <c r="Z72" s="3309" t="e">
        <f>Z14+#REF!+#REF!+#REF!</f>
        <v>#REF!</v>
      </c>
      <c r="AA72" s="3309" t="e">
        <f>AA14+#REF!+#REF!+#REF!</f>
        <v>#REF!</v>
      </c>
      <c r="AB72" s="3309" t="e">
        <f>AB14+#REF!+#REF!+#REF!</f>
        <v>#REF!</v>
      </c>
      <c r="AC72" s="3309" t="e">
        <f>AC14+#REF!+#REF!+#REF!</f>
        <v>#REF!</v>
      </c>
      <c r="AD72" s="3309" t="e">
        <f>AD14+#REF!+#REF!+#REF!</f>
        <v>#REF!</v>
      </c>
      <c r="AE72" s="3309" t="e">
        <f>AE14+#REF!+#REF!+#REF!</f>
        <v>#REF!</v>
      </c>
      <c r="AF72" s="3309" t="e">
        <f>AF14+#REF!+#REF!+#REF!</f>
        <v>#REF!</v>
      </c>
      <c r="AG72" s="3309">
        <f>+AG64+AG14</f>
        <v>399</v>
      </c>
      <c r="AH72" s="3309"/>
      <c r="AI72" s="3309">
        <f>+AI64+AI14</f>
        <v>3990000</v>
      </c>
      <c r="AJ72" s="3314"/>
    </row>
    <row r="73" spans="1:36" ht="17.25">
      <c r="A73" s="3942" t="s">
        <v>2299</v>
      </c>
      <c r="B73" s="3943"/>
      <c r="C73" s="3943"/>
      <c r="D73" s="3943"/>
      <c r="E73" s="3943"/>
      <c r="F73" s="3943"/>
      <c r="G73" s="3943"/>
      <c r="H73" s="3943"/>
      <c r="I73" s="3943"/>
      <c r="J73" s="3943"/>
      <c r="K73" s="3943"/>
      <c r="L73" s="3943"/>
      <c r="M73" s="3943"/>
      <c r="N73" s="3943"/>
      <c r="O73" s="3943"/>
      <c r="P73" s="3943"/>
      <c r="Q73" s="3943"/>
      <c r="R73" s="3943"/>
      <c r="S73" s="3943"/>
      <c r="T73" s="3943"/>
      <c r="U73" s="3943"/>
      <c r="V73" s="3943"/>
      <c r="W73" s="3943"/>
      <c r="X73" s="3943"/>
      <c r="Y73" s="3943"/>
      <c r="Z73" s="3943"/>
      <c r="AA73" s="3943"/>
      <c r="AB73" s="3943"/>
      <c r="AC73" s="3943"/>
      <c r="AD73" s="3943"/>
      <c r="AE73" s="3943"/>
      <c r="AF73" s="3943"/>
      <c r="AG73" s="3943"/>
      <c r="AH73" s="3943"/>
      <c r="AI73" s="3943"/>
      <c r="AJ73" s="3944"/>
    </row>
    <row r="74" spans="1:36" ht="17.25">
      <c r="A74" s="3315"/>
      <c r="B74" s="3315"/>
      <c r="C74" s="3315"/>
      <c r="D74" s="3315"/>
      <c r="E74" s="3315"/>
      <c r="F74" s="3315"/>
      <c r="G74" s="3315"/>
      <c r="H74" s="3315"/>
      <c r="I74" s="3315"/>
      <c r="J74" s="3315"/>
      <c r="K74" s="3315"/>
      <c r="L74" s="3315"/>
      <c r="M74" s="3315"/>
      <c r="N74" s="3315"/>
      <c r="O74" s="3315"/>
      <c r="P74" s="3315"/>
      <c r="Q74" s="3315"/>
      <c r="R74" s="3315"/>
      <c r="S74" s="3315"/>
      <c r="T74" s="3315"/>
      <c r="U74" s="3315"/>
      <c r="V74" s="3315"/>
      <c r="W74" s="3315"/>
      <c r="X74" s="3315"/>
      <c r="Y74" s="3315"/>
      <c r="Z74" s="3315"/>
      <c r="AA74" s="3315"/>
      <c r="AB74" s="3315"/>
      <c r="AC74" s="3315"/>
      <c r="AD74" s="3315"/>
      <c r="AE74" s="3315"/>
      <c r="AF74" s="3315"/>
      <c r="AG74" s="3315"/>
      <c r="AH74" s="3315"/>
      <c r="AI74" s="3315"/>
      <c r="AJ74" s="3315"/>
    </row>
    <row r="75" spans="1:36" s="3318" customFormat="1">
      <c r="AI75" s="3945"/>
      <c r="AJ75" s="3945"/>
    </row>
    <row r="76" spans="1:36" s="3318" customFormat="1"/>
    <row r="77" spans="1:36">
      <c r="A77" s="3946" t="s">
        <v>2063</v>
      </c>
      <c r="B77" s="3946"/>
      <c r="C77" s="3946"/>
      <c r="D77" s="3946"/>
      <c r="E77" s="3946"/>
      <c r="F77" s="3946"/>
      <c r="G77" s="3946"/>
      <c r="H77" s="3946"/>
      <c r="I77" s="3946"/>
      <c r="J77" s="3946"/>
      <c r="K77" s="3946"/>
      <c r="L77" s="3946"/>
      <c r="M77" s="3946"/>
      <c r="N77" s="3946"/>
      <c r="O77" s="3946"/>
      <c r="P77" s="3946"/>
      <c r="Q77" s="3946"/>
      <c r="R77" s="3946"/>
      <c r="S77" s="3946"/>
      <c r="T77" s="3946"/>
      <c r="U77" s="3946"/>
      <c r="V77" s="3946"/>
      <c r="W77" s="3946"/>
      <c r="X77" s="3946"/>
      <c r="Y77" s="3946"/>
      <c r="Z77" s="3946"/>
      <c r="AA77" s="3946"/>
      <c r="AB77" s="3946"/>
      <c r="AC77" s="3946"/>
      <c r="AD77" s="3946"/>
      <c r="AE77" s="3946"/>
      <c r="AF77" s="3946"/>
      <c r="AG77" s="3946"/>
      <c r="AH77" s="3946"/>
      <c r="AI77" s="3946"/>
      <c r="AJ77" s="3946"/>
    </row>
    <row r="78" spans="1:36">
      <c r="A78" s="3320"/>
      <c r="B78" s="3320"/>
      <c r="C78" s="3320"/>
      <c r="D78" s="3320"/>
      <c r="E78" s="3320"/>
      <c r="F78" s="3320"/>
      <c r="G78" s="3320"/>
      <c r="H78" s="3320"/>
      <c r="I78" s="3320"/>
      <c r="J78" s="3320"/>
      <c r="K78" s="3320"/>
      <c r="L78" s="3320"/>
      <c r="M78" s="3320"/>
      <c r="N78" s="3320"/>
      <c r="O78" s="3320"/>
      <c r="P78" s="3320"/>
      <c r="Q78" s="3320"/>
      <c r="R78" s="3320"/>
      <c r="S78" s="3320"/>
      <c r="T78" s="3320"/>
      <c r="U78" s="3320"/>
      <c r="V78" s="3320"/>
      <c r="W78" s="3321"/>
      <c r="X78" s="3321"/>
      <c r="Y78" s="3321"/>
      <c r="Z78" s="3321"/>
      <c r="AA78" s="3321"/>
      <c r="AB78" s="3321"/>
      <c r="AC78" s="3321"/>
      <c r="AD78" s="3321"/>
      <c r="AE78" s="3321"/>
      <c r="AF78" s="3321"/>
      <c r="AG78" s="3321"/>
      <c r="AH78" s="3321"/>
      <c r="AI78" s="3319"/>
    </row>
    <row r="79" spans="1:36">
      <c r="A79" s="3316"/>
      <c r="B79" s="3316"/>
      <c r="C79" s="3322"/>
      <c r="D79" s="3322"/>
      <c r="E79" s="3322"/>
      <c r="F79" s="3322"/>
      <c r="G79" s="3322"/>
      <c r="H79" s="3322"/>
      <c r="I79" s="3317"/>
      <c r="J79" s="3317"/>
      <c r="K79" s="3317"/>
      <c r="L79" s="3317"/>
      <c r="M79" s="3317"/>
      <c r="N79" s="3317"/>
      <c r="O79" s="3317"/>
      <c r="P79" s="3317"/>
      <c r="Q79" s="3317"/>
      <c r="R79" s="3317"/>
      <c r="S79" s="3317"/>
      <c r="T79" s="3317"/>
      <c r="U79" s="3317"/>
      <c r="V79" s="3317"/>
      <c r="W79" s="3317"/>
      <c r="X79" s="3317"/>
      <c r="Y79" s="3317"/>
      <c r="Z79" s="3317"/>
      <c r="AA79" s="3317"/>
      <c r="AB79" s="3317"/>
      <c r="AC79" s="3317"/>
      <c r="AD79" s="3317"/>
      <c r="AE79" s="3317"/>
      <c r="AF79" s="3317"/>
      <c r="AG79" s="3317"/>
    </row>
    <row r="80" spans="1:36">
      <c r="A80" s="3316"/>
      <c r="B80" s="3316"/>
      <c r="C80" s="3317"/>
      <c r="D80" s="3317"/>
      <c r="E80" s="3317"/>
      <c r="F80" s="3317"/>
      <c r="G80" s="3317"/>
      <c r="H80" s="3322"/>
      <c r="I80" s="3317"/>
      <c r="J80" s="3317"/>
      <c r="K80" s="3317"/>
      <c r="L80" s="3317"/>
      <c r="M80" s="3317"/>
      <c r="N80" s="3317"/>
      <c r="O80" s="3317"/>
      <c r="P80" s="3317"/>
      <c r="Q80" s="3317"/>
      <c r="R80" s="3317"/>
      <c r="S80" s="3317"/>
      <c r="T80" s="3317"/>
      <c r="U80" s="3317"/>
      <c r="V80" s="3317"/>
      <c r="W80" s="3317"/>
      <c r="X80" s="3317"/>
      <c r="Y80" s="3317"/>
      <c r="Z80" s="3317"/>
      <c r="AA80" s="3317"/>
      <c r="AB80" s="3317"/>
      <c r="AC80" s="3317"/>
      <c r="AD80" s="3317"/>
      <c r="AE80" s="3317"/>
      <c r="AF80" s="3317"/>
      <c r="AG80" s="3317"/>
    </row>
    <row r="81" spans="1:33">
      <c r="C81" s="3317"/>
      <c r="D81" s="3317"/>
      <c r="E81" s="3317"/>
      <c r="F81" s="3317"/>
      <c r="G81" s="3317"/>
      <c r="H81" s="3322"/>
      <c r="I81" s="3317"/>
      <c r="J81" s="3317"/>
      <c r="K81" s="3317"/>
      <c r="L81" s="3317"/>
      <c r="M81" s="3317"/>
      <c r="N81" s="3317"/>
      <c r="O81" s="3317"/>
      <c r="P81" s="3317"/>
      <c r="Q81" s="3317"/>
      <c r="R81" s="3317"/>
      <c r="S81" s="3317"/>
      <c r="T81" s="3317"/>
      <c r="U81" s="3317"/>
      <c r="V81" s="3317"/>
      <c r="W81" s="3317"/>
      <c r="X81" s="3317"/>
      <c r="Y81" s="3317"/>
      <c r="Z81" s="3317"/>
      <c r="AA81" s="3317"/>
      <c r="AB81" s="3317"/>
      <c r="AC81" s="3317"/>
      <c r="AD81" s="3317"/>
      <c r="AE81" s="3317"/>
      <c r="AF81" s="3317"/>
      <c r="AG81" s="3317"/>
    </row>
    <row r="82" spans="1:33">
      <c r="C82" s="3317"/>
      <c r="D82" s="3317"/>
      <c r="E82" s="3317"/>
      <c r="F82" s="3317"/>
      <c r="G82" s="3317"/>
      <c r="H82" s="3322"/>
      <c r="I82" s="3317"/>
      <c r="J82" s="3317"/>
      <c r="K82" s="3317"/>
      <c r="L82" s="3317"/>
      <c r="M82" s="3317"/>
      <c r="N82" s="3317"/>
      <c r="O82" s="3317"/>
      <c r="P82" s="3317"/>
      <c r="Q82" s="3317"/>
      <c r="R82" s="3317"/>
      <c r="S82" s="3317"/>
      <c r="T82" s="3317"/>
      <c r="U82" s="3317"/>
      <c r="V82" s="3317"/>
      <c r="W82" s="3317"/>
      <c r="X82" s="3317"/>
      <c r="Y82" s="3317"/>
      <c r="Z82" s="3317"/>
      <c r="AA82" s="3317"/>
      <c r="AB82" s="3317"/>
      <c r="AC82" s="3317"/>
      <c r="AD82" s="3317"/>
      <c r="AE82" s="3317"/>
      <c r="AF82" s="3317"/>
      <c r="AG82" s="3317"/>
    </row>
    <row r="83" spans="1:33">
      <c r="C83" s="3317"/>
      <c r="D83" s="3317"/>
      <c r="E83" s="3317"/>
      <c r="F83" s="3317"/>
      <c r="G83" s="3317"/>
      <c r="H83" s="3322"/>
      <c r="I83" s="3317"/>
      <c r="J83" s="3317"/>
      <c r="K83" s="3317"/>
      <c r="L83" s="3317"/>
      <c r="M83" s="3317"/>
      <c r="N83" s="3317"/>
      <c r="O83" s="3317"/>
      <c r="P83" s="3317"/>
      <c r="Q83" s="3317"/>
      <c r="R83" s="3317"/>
      <c r="S83" s="3317"/>
      <c r="T83" s="3317"/>
      <c r="U83" s="3317"/>
      <c r="V83" s="3317"/>
      <c r="W83" s="3317"/>
      <c r="X83" s="3317"/>
      <c r="Y83" s="3317"/>
      <c r="Z83" s="3317"/>
      <c r="AA83" s="3317"/>
      <c r="AB83" s="3317"/>
      <c r="AC83" s="3317"/>
      <c r="AD83" s="3317"/>
      <c r="AE83" s="3317"/>
      <c r="AF83" s="3317"/>
      <c r="AG83" s="3317"/>
    </row>
    <row r="84" spans="1:33">
      <c r="C84" s="3317"/>
      <c r="D84" s="3317"/>
      <c r="E84" s="3317"/>
      <c r="F84" s="3317"/>
      <c r="G84" s="3317"/>
      <c r="H84" s="3317"/>
      <c r="I84" s="3317"/>
      <c r="J84" s="3317"/>
      <c r="K84" s="3317"/>
      <c r="L84" s="3317"/>
      <c r="M84" s="3317"/>
      <c r="N84" s="3317"/>
      <c r="O84" s="3937"/>
      <c r="P84" s="3937"/>
      <c r="Q84" s="3937"/>
      <c r="R84" s="3937"/>
      <c r="S84" s="3937"/>
      <c r="T84" s="3937"/>
      <c r="U84" s="3937"/>
      <c r="V84" s="3937"/>
      <c r="W84" s="3317"/>
      <c r="X84" s="3317"/>
      <c r="Y84" s="3937"/>
      <c r="Z84" s="3937"/>
      <c r="AA84" s="3937"/>
      <c r="AB84" s="3937"/>
      <c r="AC84" s="3937"/>
      <c r="AD84" s="3937"/>
      <c r="AE84" s="3937"/>
      <c r="AF84" s="3937"/>
      <c r="AG84" s="3937"/>
    </row>
    <row r="85" spans="1:33" ht="17.25">
      <c r="A85" s="3316"/>
      <c r="B85" s="3316"/>
      <c r="C85" s="3317"/>
      <c r="D85" s="3317"/>
      <c r="E85" s="3317"/>
      <c r="F85" s="3317"/>
      <c r="G85" s="3317"/>
      <c r="H85" s="3317"/>
      <c r="I85" s="3317"/>
      <c r="J85" s="3317"/>
      <c r="K85" s="3317"/>
      <c r="L85" s="3317"/>
      <c r="M85" s="3317"/>
      <c r="N85" s="3317"/>
      <c r="O85" s="3317"/>
      <c r="P85" s="3317"/>
      <c r="Q85" s="3317"/>
      <c r="R85" s="3323"/>
      <c r="S85" s="3323"/>
      <c r="T85" s="3323"/>
      <c r="U85" s="3323"/>
      <c r="V85" s="3323"/>
      <c r="W85" s="3323"/>
      <c r="X85" s="3323"/>
      <c r="Y85" s="3938"/>
      <c r="Z85" s="3938"/>
      <c r="AA85" s="3938"/>
      <c r="AB85" s="3938"/>
      <c r="AC85" s="3938"/>
      <c r="AD85" s="3938"/>
      <c r="AE85" s="3938"/>
      <c r="AF85" s="3938"/>
      <c r="AG85" s="3938"/>
    </row>
    <row r="86" spans="1:33">
      <c r="A86" s="3316"/>
      <c r="B86" s="3316"/>
      <c r="C86" s="3322"/>
      <c r="D86" s="3322"/>
      <c r="E86" s="3322"/>
      <c r="F86" s="3322"/>
      <c r="G86" s="3322"/>
      <c r="H86" s="3317"/>
      <c r="I86" s="3317"/>
      <c r="J86" s="3317"/>
      <c r="K86" s="3317"/>
      <c r="L86" s="3317"/>
      <c r="M86" s="3317"/>
      <c r="N86" s="3317"/>
      <c r="O86" s="3317"/>
      <c r="P86" s="3317"/>
      <c r="Q86" s="3317"/>
      <c r="R86" s="3317"/>
      <c r="S86" s="3317"/>
      <c r="T86" s="3317"/>
      <c r="U86" s="3317"/>
      <c r="V86" s="3317"/>
      <c r="W86" s="3317"/>
      <c r="X86" s="3317"/>
      <c r="Y86" s="3317"/>
      <c r="Z86" s="3317"/>
      <c r="AA86" s="3317"/>
      <c r="AB86" s="3317"/>
      <c r="AC86" s="3317"/>
      <c r="AD86" s="3317"/>
      <c r="AE86" s="3317"/>
      <c r="AF86" s="3317"/>
      <c r="AG86" s="3317"/>
    </row>
    <row r="87" spans="1:33">
      <c r="A87" s="3316"/>
      <c r="B87" s="3316"/>
      <c r="C87" s="3322"/>
      <c r="D87" s="3322"/>
      <c r="E87" s="3322"/>
      <c r="F87" s="3322"/>
      <c r="G87" s="3322"/>
      <c r="H87" s="3317"/>
      <c r="I87" s="3317"/>
      <c r="J87" s="3317"/>
      <c r="K87" s="3317"/>
      <c r="L87" s="3317"/>
      <c r="M87" s="3317"/>
      <c r="N87" s="3317"/>
      <c r="O87" s="3317"/>
      <c r="P87" s="3317"/>
      <c r="Q87" s="3317"/>
      <c r="R87" s="3317"/>
      <c r="S87" s="3317"/>
      <c r="T87" s="3317"/>
      <c r="U87" s="3317"/>
      <c r="V87" s="3317"/>
      <c r="W87" s="3317"/>
      <c r="X87" s="3317"/>
      <c r="Y87" s="3317"/>
      <c r="Z87" s="3317"/>
      <c r="AA87" s="3317"/>
      <c r="AB87" s="3317"/>
      <c r="AC87" s="3317"/>
      <c r="AD87" s="3317"/>
      <c r="AE87" s="3317"/>
      <c r="AF87" s="3317"/>
      <c r="AG87" s="3317"/>
    </row>
    <row r="88" spans="1:33">
      <c r="A88" s="3316"/>
      <c r="B88" s="3316"/>
      <c r="C88" s="3322"/>
      <c r="D88" s="3322"/>
      <c r="E88" s="3322"/>
      <c r="F88" s="3322"/>
      <c r="G88" s="3322"/>
      <c r="H88" s="3317"/>
      <c r="I88" s="3317"/>
      <c r="J88" s="3317"/>
      <c r="K88" s="3317"/>
      <c r="L88" s="3317"/>
      <c r="M88" s="3317"/>
      <c r="N88" s="3317"/>
      <c r="O88" s="3317"/>
      <c r="P88" s="3317"/>
      <c r="Q88" s="3317"/>
      <c r="R88" s="3317"/>
      <c r="S88" s="3317"/>
      <c r="T88" s="3317"/>
      <c r="U88" s="3317"/>
      <c r="V88" s="3317"/>
      <c r="W88" s="3317"/>
      <c r="X88" s="3317"/>
      <c r="Y88" s="3317"/>
      <c r="Z88" s="3317"/>
      <c r="AA88" s="3317"/>
      <c r="AB88" s="3317"/>
      <c r="AC88" s="3317"/>
      <c r="AD88" s="3317"/>
      <c r="AE88" s="3317"/>
      <c r="AF88" s="3317"/>
      <c r="AG88" s="3317"/>
    </row>
    <row r="89" spans="1:33">
      <c r="A89" s="3316"/>
      <c r="B89" s="3316"/>
      <c r="C89" s="3317"/>
      <c r="D89" s="3317"/>
      <c r="E89" s="3317"/>
      <c r="F89" s="3317"/>
      <c r="G89" s="3317"/>
      <c r="H89" s="3317"/>
      <c r="I89" s="3317"/>
      <c r="J89" s="3317"/>
      <c r="K89" s="3317"/>
      <c r="L89" s="3317"/>
      <c r="M89" s="3317"/>
      <c r="N89" s="3317"/>
      <c r="O89" s="3317"/>
      <c r="P89" s="3317"/>
      <c r="Q89" s="3317"/>
      <c r="R89" s="3317"/>
      <c r="S89" s="3317"/>
      <c r="T89" s="3317"/>
      <c r="U89" s="3317"/>
      <c r="V89" s="3317"/>
      <c r="W89" s="3317"/>
      <c r="X89" s="3317"/>
      <c r="Y89" s="3317"/>
      <c r="Z89" s="3317"/>
      <c r="AA89" s="3317"/>
      <c r="AB89" s="3317"/>
      <c r="AC89" s="3317"/>
      <c r="AD89" s="3317"/>
      <c r="AE89" s="3317"/>
      <c r="AF89" s="3317"/>
      <c r="AG89" s="3317"/>
    </row>
    <row r="90" spans="1:33">
      <c r="A90" s="3316"/>
      <c r="B90" s="3316"/>
      <c r="C90" s="3317"/>
      <c r="D90" s="3317"/>
      <c r="E90" s="3317"/>
      <c r="F90" s="3317"/>
      <c r="G90" s="3317"/>
      <c r="H90" s="3317"/>
      <c r="I90" s="3317"/>
      <c r="J90" s="3317"/>
      <c r="K90" s="3317"/>
      <c r="L90" s="3317"/>
      <c r="M90" s="3317"/>
      <c r="N90" s="3317"/>
      <c r="O90" s="3317"/>
      <c r="P90" s="3317"/>
      <c r="Q90" s="3317"/>
      <c r="R90" s="3317"/>
      <c r="S90" s="3317"/>
      <c r="T90" s="3317"/>
      <c r="U90" s="3317"/>
      <c r="V90" s="3317"/>
      <c r="W90" s="3317"/>
      <c r="X90" s="3317"/>
      <c r="Y90" s="3317"/>
      <c r="Z90" s="3317"/>
      <c r="AA90" s="3317"/>
      <c r="AB90" s="3317"/>
      <c r="AC90" s="3317"/>
      <c r="AD90" s="3317"/>
      <c r="AE90" s="3317"/>
      <c r="AF90" s="3317"/>
      <c r="AG90" s="3317"/>
    </row>
    <row r="91" spans="1:33">
      <c r="A91" s="3316"/>
      <c r="B91" s="3316"/>
      <c r="C91" s="3317"/>
      <c r="D91" s="3317"/>
      <c r="E91" s="3317"/>
      <c r="F91" s="3317"/>
      <c r="G91" s="3317"/>
      <c r="H91" s="3317"/>
      <c r="I91" s="3317"/>
      <c r="J91" s="3317"/>
      <c r="K91" s="3317"/>
      <c r="L91" s="3317"/>
      <c r="M91" s="3317"/>
      <c r="N91" s="3317"/>
      <c r="O91" s="3317"/>
      <c r="P91" s="3317"/>
      <c r="Q91" s="3317"/>
      <c r="R91" s="3317"/>
      <c r="S91" s="3317"/>
      <c r="T91" s="3317"/>
      <c r="U91" s="3317"/>
      <c r="V91" s="3317"/>
      <c r="W91" s="3317"/>
      <c r="X91" s="3317"/>
      <c r="Y91" s="3317"/>
      <c r="Z91" s="3317"/>
      <c r="AA91" s="3317"/>
      <c r="AB91" s="3317"/>
      <c r="AC91" s="3317"/>
      <c r="AD91" s="3317"/>
      <c r="AE91" s="3317"/>
      <c r="AF91" s="3317"/>
      <c r="AG91" s="3317"/>
    </row>
    <row r="92" spans="1:33">
      <c r="A92" s="3316"/>
      <c r="B92" s="3316"/>
      <c r="C92" s="3317"/>
      <c r="D92" s="3317"/>
      <c r="E92" s="3317"/>
      <c r="F92" s="3317"/>
      <c r="G92" s="3317"/>
      <c r="H92" s="3317"/>
      <c r="I92" s="3317"/>
      <c r="J92" s="3317"/>
      <c r="K92" s="3317"/>
      <c r="L92" s="3317"/>
      <c r="M92" s="3317"/>
      <c r="N92" s="3317"/>
      <c r="O92" s="3317"/>
      <c r="P92" s="3317"/>
      <c r="Q92" s="3317"/>
      <c r="R92" s="3317"/>
      <c r="S92" s="3317"/>
      <c r="T92" s="3317"/>
      <c r="U92" s="3317"/>
      <c r="V92" s="3317"/>
      <c r="W92" s="3317"/>
      <c r="X92" s="3317"/>
      <c r="Y92" s="3317"/>
      <c r="Z92" s="3317"/>
      <c r="AA92" s="3317"/>
      <c r="AB92" s="3317"/>
      <c r="AC92" s="3317"/>
      <c r="AD92" s="3317"/>
      <c r="AE92" s="3317"/>
      <c r="AF92" s="3317"/>
      <c r="AG92" s="3317"/>
    </row>
    <row r="93" spans="1:33">
      <c r="A93" s="3316"/>
      <c r="B93" s="3316"/>
      <c r="C93" s="3317"/>
      <c r="D93" s="3317"/>
      <c r="E93" s="3317"/>
      <c r="F93" s="3317"/>
      <c r="G93" s="3317"/>
      <c r="H93" s="3317"/>
      <c r="I93" s="3317"/>
      <c r="J93" s="3317"/>
      <c r="K93" s="3317"/>
      <c r="L93" s="3317"/>
      <c r="M93" s="3317"/>
      <c r="N93" s="3317"/>
      <c r="O93" s="3317"/>
      <c r="P93" s="3317"/>
      <c r="Q93" s="3317"/>
      <c r="R93" s="3317"/>
      <c r="S93" s="3317"/>
      <c r="T93" s="3317"/>
      <c r="U93" s="3317"/>
      <c r="V93" s="3317"/>
      <c r="W93" s="3317"/>
      <c r="X93" s="3317"/>
      <c r="Y93" s="3317"/>
      <c r="Z93" s="3317"/>
      <c r="AA93" s="3317"/>
      <c r="AB93" s="3317"/>
      <c r="AC93" s="3317"/>
      <c r="AD93" s="3317"/>
      <c r="AE93" s="3317"/>
      <c r="AF93" s="3317"/>
      <c r="AG93" s="3317"/>
    </row>
    <row r="94" spans="1:33">
      <c r="A94" s="3316"/>
      <c r="B94" s="3316"/>
      <c r="C94" s="3317"/>
      <c r="D94" s="3317"/>
      <c r="E94" s="3317"/>
      <c r="F94" s="3317"/>
      <c r="G94" s="3317"/>
      <c r="H94" s="3317"/>
      <c r="I94" s="3317"/>
      <c r="J94" s="3317"/>
      <c r="K94" s="3317"/>
      <c r="L94" s="3317"/>
      <c r="M94" s="3317"/>
      <c r="N94" s="3317"/>
      <c r="O94" s="3317"/>
      <c r="P94" s="3317"/>
      <c r="Q94" s="3317"/>
      <c r="R94" s="3317"/>
      <c r="S94" s="3317"/>
      <c r="T94" s="3317"/>
      <c r="U94" s="3317"/>
      <c r="V94" s="3317"/>
      <c r="W94" s="3317"/>
      <c r="X94" s="3317"/>
      <c r="Y94" s="3317"/>
      <c r="Z94" s="3317"/>
      <c r="AA94" s="3317"/>
      <c r="AB94" s="3317"/>
      <c r="AC94" s="3317"/>
      <c r="AD94" s="3317"/>
      <c r="AE94" s="3317"/>
      <c r="AF94" s="3317"/>
      <c r="AG94" s="3317"/>
    </row>
    <row r="95" spans="1:33">
      <c r="A95" s="3316"/>
      <c r="B95" s="3316"/>
      <c r="C95" s="3317"/>
      <c r="D95" s="3317"/>
      <c r="E95" s="3317"/>
      <c r="F95" s="3317"/>
      <c r="G95" s="3317"/>
      <c r="H95" s="3317"/>
      <c r="I95" s="3317"/>
      <c r="J95" s="3317"/>
      <c r="K95" s="3317"/>
      <c r="L95" s="3317"/>
      <c r="M95" s="3317"/>
      <c r="N95" s="3317"/>
      <c r="O95" s="3317"/>
      <c r="P95" s="3317"/>
      <c r="Q95" s="3317"/>
      <c r="R95" s="3317"/>
      <c r="S95" s="3317"/>
      <c r="T95" s="3317"/>
      <c r="U95" s="3317"/>
      <c r="V95" s="3317"/>
      <c r="W95" s="3317"/>
      <c r="X95" s="3317"/>
      <c r="Y95" s="3317"/>
      <c r="Z95" s="3317"/>
      <c r="AA95" s="3317"/>
      <c r="AB95" s="3317"/>
      <c r="AC95" s="3317"/>
      <c r="AD95" s="3317"/>
      <c r="AE95" s="3317"/>
      <c r="AF95" s="3317"/>
      <c r="AG95" s="3317"/>
    </row>
    <row r="96" spans="1:33">
      <c r="A96" s="3316"/>
      <c r="B96" s="3316"/>
      <c r="C96" s="3317"/>
      <c r="D96" s="3317"/>
      <c r="E96" s="3317"/>
      <c r="F96" s="3317"/>
      <c r="G96" s="3317"/>
      <c r="H96" s="3317"/>
      <c r="I96" s="3317"/>
      <c r="J96" s="3317"/>
      <c r="K96" s="3317"/>
      <c r="L96" s="3317"/>
      <c r="M96" s="3317"/>
      <c r="N96" s="3317"/>
      <c r="O96" s="3317"/>
      <c r="P96" s="3317"/>
      <c r="Q96" s="3317"/>
      <c r="R96" s="3317"/>
      <c r="S96" s="3317"/>
      <c r="T96" s="3317"/>
      <c r="U96" s="3317"/>
      <c r="V96" s="3317"/>
      <c r="W96" s="3317"/>
      <c r="X96" s="3317"/>
      <c r="Y96" s="3317"/>
      <c r="Z96" s="3317"/>
      <c r="AA96" s="3317"/>
      <c r="AB96" s="3317"/>
      <c r="AC96" s="3317"/>
      <c r="AD96" s="3317"/>
      <c r="AE96" s="3317"/>
      <c r="AF96" s="3317"/>
      <c r="AG96" s="3317"/>
    </row>
    <row r="97" spans="1:33">
      <c r="A97" s="3316"/>
      <c r="B97" s="3316"/>
      <c r="C97" s="3317"/>
      <c r="D97" s="3317"/>
      <c r="E97" s="3317"/>
      <c r="F97" s="3317"/>
      <c r="G97" s="3317"/>
      <c r="H97" s="3317"/>
      <c r="I97" s="3317"/>
      <c r="J97" s="3317"/>
      <c r="K97" s="3317"/>
      <c r="L97" s="3317"/>
      <c r="M97" s="3317"/>
      <c r="N97" s="3317"/>
      <c r="O97" s="3317"/>
      <c r="P97" s="3317"/>
      <c r="Q97" s="3317"/>
      <c r="R97" s="3317"/>
      <c r="S97" s="3317"/>
      <c r="T97" s="3317"/>
      <c r="U97" s="3317"/>
      <c r="V97" s="3317"/>
      <c r="W97" s="3317"/>
      <c r="X97" s="3317"/>
      <c r="Y97" s="3317"/>
      <c r="Z97" s="3317"/>
      <c r="AA97" s="3317"/>
      <c r="AB97" s="3317"/>
      <c r="AC97" s="3317"/>
      <c r="AD97" s="3317"/>
      <c r="AE97" s="3317"/>
      <c r="AF97" s="3317"/>
      <c r="AG97" s="3317"/>
    </row>
    <row r="98" spans="1:33">
      <c r="A98" s="3316"/>
      <c r="B98" s="3316"/>
      <c r="C98" s="3317"/>
      <c r="D98" s="3317"/>
      <c r="E98" s="3317"/>
      <c r="F98" s="3317"/>
      <c r="G98" s="3317"/>
      <c r="H98" s="3317"/>
      <c r="I98" s="3317"/>
      <c r="J98" s="3317"/>
      <c r="K98" s="3317"/>
      <c r="L98" s="3317"/>
      <c r="M98" s="3317"/>
      <c r="N98" s="3317"/>
      <c r="O98" s="3317"/>
      <c r="P98" s="3317"/>
      <c r="Q98" s="3317"/>
      <c r="R98" s="3317"/>
      <c r="S98" s="3317"/>
      <c r="T98" s="3317"/>
      <c r="U98" s="3317"/>
      <c r="V98" s="3317"/>
      <c r="W98" s="3317"/>
      <c r="X98" s="3317"/>
      <c r="Y98" s="3317"/>
      <c r="Z98" s="3317"/>
      <c r="AA98" s="3317"/>
      <c r="AB98" s="3317"/>
      <c r="AC98" s="3317"/>
      <c r="AD98" s="3317"/>
      <c r="AE98" s="3317"/>
      <c r="AF98" s="3317"/>
      <c r="AG98" s="3317"/>
    </row>
    <row r="99" spans="1:33">
      <c r="A99" s="3316"/>
      <c r="B99" s="3316"/>
      <c r="C99" s="3317"/>
      <c r="D99" s="3317"/>
      <c r="E99" s="3317"/>
      <c r="F99" s="3317"/>
      <c r="G99" s="3317"/>
      <c r="H99" s="3317"/>
      <c r="I99" s="3317"/>
      <c r="J99" s="3317"/>
      <c r="K99" s="3317"/>
      <c r="L99" s="3317"/>
      <c r="M99" s="3317"/>
      <c r="N99" s="3317"/>
      <c r="O99" s="3317"/>
      <c r="P99" s="3317"/>
      <c r="Q99" s="3317"/>
      <c r="R99" s="3317"/>
      <c r="S99" s="3317"/>
      <c r="T99" s="3317"/>
      <c r="U99" s="3317"/>
      <c r="V99" s="3317"/>
      <c r="W99" s="3317"/>
      <c r="X99" s="3317"/>
      <c r="Y99" s="3317"/>
      <c r="Z99" s="3317"/>
      <c r="AA99" s="3317"/>
      <c r="AB99" s="3317"/>
      <c r="AC99" s="3317"/>
      <c r="AD99" s="3317"/>
      <c r="AE99" s="3317"/>
      <c r="AF99" s="3317"/>
      <c r="AG99" s="3317"/>
    </row>
    <row r="100" spans="1:33">
      <c r="A100" s="3316"/>
      <c r="B100" s="3316"/>
      <c r="C100" s="3317"/>
      <c r="D100" s="3317"/>
      <c r="E100" s="3317"/>
      <c r="F100" s="3317"/>
      <c r="G100" s="3317"/>
      <c r="H100" s="3317"/>
      <c r="I100" s="3317"/>
      <c r="J100" s="3317"/>
      <c r="K100" s="3317"/>
      <c r="L100" s="3317"/>
      <c r="M100" s="3317"/>
      <c r="N100" s="3317"/>
      <c r="O100" s="3317"/>
      <c r="P100" s="3317"/>
      <c r="Q100" s="3317"/>
      <c r="R100" s="3317"/>
      <c r="S100" s="3317"/>
      <c r="T100" s="3317"/>
      <c r="U100" s="3317"/>
      <c r="V100" s="3317"/>
      <c r="W100" s="3317"/>
      <c r="X100" s="3317"/>
      <c r="Y100" s="3317"/>
      <c r="Z100" s="3317"/>
      <c r="AA100" s="3317"/>
      <c r="AB100" s="3317"/>
      <c r="AC100" s="3317"/>
      <c r="AD100" s="3317"/>
      <c r="AE100" s="3317"/>
      <c r="AF100" s="3317"/>
      <c r="AG100" s="3317"/>
    </row>
    <row r="101" spans="1:33">
      <c r="A101" s="3316"/>
      <c r="B101" s="3316"/>
      <c r="C101" s="3317"/>
      <c r="D101" s="3317"/>
      <c r="E101" s="3317"/>
      <c r="F101" s="3317"/>
      <c r="G101" s="3317"/>
      <c r="H101" s="3317"/>
      <c r="I101" s="3317"/>
      <c r="J101" s="3317"/>
      <c r="K101" s="3317"/>
      <c r="L101" s="3317"/>
      <c r="M101" s="3317"/>
      <c r="N101" s="3317"/>
      <c r="O101" s="3317"/>
      <c r="P101" s="3317"/>
      <c r="Q101" s="3317"/>
      <c r="R101" s="3317"/>
      <c r="S101" s="3317"/>
      <c r="T101" s="3317"/>
      <c r="U101" s="3317"/>
      <c r="V101" s="3317"/>
      <c r="W101" s="3317"/>
      <c r="X101" s="3317"/>
      <c r="Y101" s="3317"/>
      <c r="Z101" s="3317"/>
      <c r="AA101" s="3317"/>
      <c r="AB101" s="3317"/>
      <c r="AC101" s="3317"/>
      <c r="AD101" s="3317"/>
      <c r="AE101" s="3317"/>
      <c r="AF101" s="3317"/>
      <c r="AG101" s="3317"/>
    </row>
    <row r="102" spans="1:33">
      <c r="A102" s="3316"/>
      <c r="B102" s="3316"/>
      <c r="C102" s="3317"/>
      <c r="D102" s="3317"/>
      <c r="E102" s="3317"/>
      <c r="F102" s="3317"/>
      <c r="G102" s="3317"/>
      <c r="H102" s="3317"/>
      <c r="I102" s="3317"/>
      <c r="J102" s="3317"/>
      <c r="K102" s="3317"/>
      <c r="L102" s="3317"/>
      <c r="M102" s="3317"/>
      <c r="N102" s="3317"/>
      <c r="O102" s="3317"/>
      <c r="P102" s="3317"/>
      <c r="Q102" s="3317"/>
      <c r="R102" s="3317"/>
      <c r="S102" s="3317"/>
      <c r="T102" s="3317"/>
      <c r="U102" s="3317"/>
      <c r="V102" s="3317"/>
      <c r="W102" s="3317"/>
      <c r="X102" s="3317"/>
      <c r="Y102" s="3317"/>
      <c r="Z102" s="3317"/>
      <c r="AA102" s="3317"/>
      <c r="AB102" s="3317"/>
      <c r="AC102" s="3317"/>
      <c r="AD102" s="3317"/>
      <c r="AE102" s="3317"/>
      <c r="AF102" s="3317"/>
      <c r="AG102" s="3317"/>
    </row>
    <row r="103" spans="1:33">
      <c r="A103" s="3316"/>
      <c r="B103" s="3316"/>
      <c r="C103" s="3317"/>
      <c r="D103" s="3317"/>
      <c r="E103" s="3317"/>
      <c r="F103" s="3317"/>
      <c r="G103" s="3317"/>
      <c r="H103" s="3317"/>
      <c r="I103" s="3317"/>
      <c r="J103" s="3317"/>
      <c r="K103" s="3317"/>
      <c r="L103" s="3317"/>
      <c r="M103" s="3317"/>
      <c r="N103" s="3317"/>
      <c r="O103" s="3317"/>
      <c r="P103" s="3317"/>
      <c r="Q103" s="3317"/>
      <c r="R103" s="3317"/>
      <c r="S103" s="3317"/>
      <c r="T103" s="3317"/>
      <c r="U103" s="3317"/>
      <c r="V103" s="3317"/>
      <c r="W103" s="3317"/>
      <c r="X103" s="3317"/>
      <c r="Y103" s="3317"/>
      <c r="Z103" s="3317"/>
      <c r="AA103" s="3317"/>
      <c r="AB103" s="3317"/>
      <c r="AC103" s="3317"/>
      <c r="AD103" s="3317"/>
      <c r="AE103" s="3317"/>
      <c r="AF103" s="3317"/>
      <c r="AG103" s="3317"/>
    </row>
    <row r="104" spans="1:33">
      <c r="A104" s="3316"/>
      <c r="B104" s="3316"/>
      <c r="C104" s="3317"/>
      <c r="D104" s="3317"/>
      <c r="E104" s="3317"/>
      <c r="F104" s="3317"/>
      <c r="G104" s="3317"/>
      <c r="H104" s="3317"/>
      <c r="I104" s="3317"/>
      <c r="J104" s="3317"/>
      <c r="K104" s="3317"/>
      <c r="L104" s="3317"/>
      <c r="M104" s="3317"/>
      <c r="N104" s="3317"/>
      <c r="O104" s="3317"/>
      <c r="P104" s="3317"/>
      <c r="Q104" s="3317"/>
      <c r="R104" s="3317"/>
      <c r="S104" s="3317"/>
      <c r="T104" s="3317"/>
      <c r="U104" s="3317"/>
      <c r="V104" s="3317"/>
      <c r="W104" s="3317"/>
      <c r="X104" s="3317"/>
      <c r="Y104" s="3317"/>
      <c r="Z104" s="3317"/>
      <c r="AA104" s="3317"/>
      <c r="AB104" s="3317"/>
      <c r="AC104" s="3317"/>
      <c r="AD104" s="3317"/>
      <c r="AE104" s="3317"/>
      <c r="AF104" s="3317"/>
      <c r="AG104" s="3317"/>
    </row>
    <row r="105" spans="1:33">
      <c r="A105" s="3316"/>
      <c r="B105" s="3316"/>
      <c r="C105" s="3322"/>
      <c r="D105" s="3322"/>
      <c r="E105" s="3322"/>
      <c r="F105" s="3317"/>
      <c r="G105" s="3317"/>
      <c r="H105" s="3317"/>
      <c r="I105" s="3317"/>
      <c r="J105" s="3317"/>
      <c r="K105" s="3317"/>
      <c r="L105" s="3317"/>
      <c r="M105" s="3317"/>
      <c r="N105" s="3317"/>
      <c r="O105" s="3317"/>
      <c r="P105" s="3317"/>
      <c r="Q105" s="3317"/>
      <c r="R105" s="3317"/>
      <c r="S105" s="3317"/>
      <c r="T105" s="3317"/>
      <c r="U105" s="3317"/>
      <c r="V105" s="3317"/>
      <c r="W105" s="3317"/>
      <c r="X105" s="3317"/>
      <c r="Y105" s="3317"/>
      <c r="Z105" s="3317"/>
      <c r="AA105" s="3317"/>
      <c r="AB105" s="3317"/>
      <c r="AC105" s="3317"/>
      <c r="AD105" s="3317"/>
      <c r="AE105" s="3317"/>
      <c r="AF105" s="3317"/>
      <c r="AG105" s="3317"/>
    </row>
    <row r="106" spans="1:33">
      <c r="A106" s="3316"/>
      <c r="B106" s="3316"/>
      <c r="C106" s="3322"/>
      <c r="D106" s="3322"/>
      <c r="E106" s="3322"/>
      <c r="F106" s="3317"/>
      <c r="G106" s="3317"/>
      <c r="H106" s="3317"/>
      <c r="I106" s="3317"/>
      <c r="J106" s="3317"/>
      <c r="K106" s="3317"/>
      <c r="L106" s="3317"/>
      <c r="M106" s="3317"/>
      <c r="N106" s="3317"/>
      <c r="O106" s="3317"/>
      <c r="P106" s="3317"/>
      <c r="Q106" s="3317"/>
      <c r="R106" s="3317"/>
      <c r="S106" s="3317"/>
      <c r="T106" s="3317"/>
      <c r="U106" s="3317"/>
      <c r="V106" s="3317"/>
      <c r="W106" s="3317"/>
      <c r="X106" s="3317"/>
      <c r="Y106" s="3317"/>
      <c r="Z106" s="3317"/>
      <c r="AA106" s="3317"/>
      <c r="AB106" s="3317"/>
      <c r="AC106" s="3317"/>
      <c r="AD106" s="3317"/>
      <c r="AE106" s="3317"/>
      <c r="AF106" s="3317"/>
      <c r="AG106" s="3317"/>
    </row>
    <row r="107" spans="1:33">
      <c r="A107" s="3316"/>
      <c r="B107" s="3316"/>
      <c r="C107" s="3322"/>
      <c r="D107" s="3322"/>
      <c r="E107" s="3322"/>
      <c r="F107" s="3317"/>
      <c r="G107" s="3317"/>
      <c r="H107" s="3317"/>
      <c r="I107" s="3317"/>
      <c r="J107" s="3317"/>
      <c r="K107" s="3317"/>
      <c r="L107" s="3317"/>
      <c r="M107" s="3317"/>
      <c r="N107" s="3317"/>
      <c r="O107" s="3317"/>
      <c r="P107" s="3317"/>
      <c r="Q107" s="3317"/>
      <c r="R107" s="3317"/>
      <c r="S107" s="3317"/>
      <c r="T107" s="3317"/>
      <c r="U107" s="3317"/>
      <c r="V107" s="3317"/>
      <c r="W107" s="3317"/>
      <c r="X107" s="3317"/>
      <c r="Y107" s="3317"/>
      <c r="Z107" s="3317"/>
      <c r="AA107" s="3317"/>
      <c r="AB107" s="3317"/>
      <c r="AC107" s="3317"/>
      <c r="AD107" s="3317"/>
      <c r="AE107" s="3317"/>
      <c r="AF107" s="3317"/>
      <c r="AG107" s="3317"/>
    </row>
    <row r="108" spans="1:33">
      <c r="A108" s="3316"/>
      <c r="B108" s="3316"/>
      <c r="C108" s="3322"/>
      <c r="D108" s="3322"/>
      <c r="E108" s="3322"/>
      <c r="F108" s="3317"/>
      <c r="G108" s="3317"/>
      <c r="H108" s="3317"/>
      <c r="I108" s="3317"/>
      <c r="J108" s="3317"/>
      <c r="K108" s="3317"/>
      <c r="L108" s="3317"/>
      <c r="M108" s="3317"/>
      <c r="N108" s="3317"/>
      <c r="O108" s="3317"/>
      <c r="P108" s="3317"/>
      <c r="Q108" s="3317"/>
      <c r="R108" s="3317"/>
      <c r="S108" s="3317"/>
      <c r="T108" s="3317"/>
      <c r="U108" s="3317"/>
      <c r="V108" s="3317"/>
      <c r="W108" s="3317"/>
      <c r="X108" s="3317"/>
      <c r="Y108" s="3317"/>
      <c r="Z108" s="3317"/>
      <c r="AA108" s="3317"/>
      <c r="AB108" s="3317"/>
      <c r="AC108" s="3317"/>
      <c r="AD108" s="3317"/>
      <c r="AE108" s="3317"/>
      <c r="AF108" s="3317"/>
      <c r="AG108" s="3317"/>
    </row>
    <row r="109" spans="1:33">
      <c r="A109" s="3316"/>
      <c r="B109" s="3316"/>
      <c r="C109" s="3322"/>
      <c r="D109" s="3322"/>
      <c r="E109" s="3322"/>
      <c r="F109" s="3317"/>
      <c r="G109" s="3317"/>
      <c r="H109" s="3317"/>
      <c r="I109" s="3317"/>
      <c r="J109" s="3317"/>
      <c r="K109" s="3317"/>
      <c r="L109" s="3317"/>
      <c r="M109" s="3317"/>
      <c r="N109" s="3317"/>
      <c r="O109" s="3317"/>
      <c r="P109" s="3317"/>
      <c r="Q109" s="3317"/>
      <c r="R109" s="3317"/>
      <c r="S109" s="3317"/>
      <c r="T109" s="3317"/>
      <c r="U109" s="3317"/>
      <c r="V109" s="3317"/>
      <c r="W109" s="3317"/>
      <c r="X109" s="3317"/>
      <c r="Y109" s="3317"/>
      <c r="Z109" s="3317"/>
      <c r="AA109" s="3317"/>
      <c r="AB109" s="3317"/>
      <c r="AC109" s="3317"/>
      <c r="AD109" s="3317"/>
      <c r="AE109" s="3317"/>
      <c r="AF109" s="3317"/>
      <c r="AG109" s="3317"/>
    </row>
    <row r="110" spans="1:33">
      <c r="A110" s="3316"/>
      <c r="B110" s="3316"/>
      <c r="C110" s="3322"/>
      <c r="D110" s="3322"/>
      <c r="E110" s="3322"/>
      <c r="F110" s="3317"/>
      <c r="G110" s="3317"/>
      <c r="H110" s="3317"/>
      <c r="I110" s="3317"/>
      <c r="J110" s="3317"/>
      <c r="K110" s="3317"/>
      <c r="L110" s="3317"/>
      <c r="M110" s="3317"/>
      <c r="N110" s="3317"/>
      <c r="O110" s="3317"/>
      <c r="P110" s="3317"/>
      <c r="Q110" s="3317"/>
      <c r="R110" s="3317"/>
      <c r="S110" s="3317"/>
      <c r="T110" s="3317"/>
      <c r="U110" s="3317"/>
      <c r="V110" s="3317"/>
      <c r="W110" s="3317"/>
      <c r="X110" s="3317"/>
      <c r="Y110" s="3317"/>
      <c r="Z110" s="3317"/>
      <c r="AA110" s="3317"/>
      <c r="AB110" s="3317"/>
      <c r="AC110" s="3317"/>
      <c r="AD110" s="3317"/>
      <c r="AE110" s="3317"/>
      <c r="AF110" s="3317"/>
      <c r="AG110" s="3317"/>
    </row>
    <row r="111" spans="1:33">
      <c r="A111" s="3316"/>
      <c r="B111" s="3316"/>
      <c r="C111" s="3322"/>
      <c r="D111" s="3322"/>
      <c r="E111" s="3322"/>
      <c r="F111" s="3317"/>
      <c r="G111" s="3317"/>
      <c r="H111" s="3317"/>
      <c r="I111" s="3317"/>
      <c r="J111" s="3317"/>
      <c r="K111" s="3317"/>
      <c r="L111" s="3317"/>
      <c r="M111" s="3317"/>
      <c r="N111" s="3317"/>
      <c r="O111" s="3317"/>
      <c r="P111" s="3317"/>
      <c r="Q111" s="3317"/>
      <c r="R111" s="3317"/>
      <c r="S111" s="3317"/>
      <c r="T111" s="3317"/>
      <c r="U111" s="3317"/>
      <c r="V111" s="3317"/>
      <c r="W111" s="3317"/>
      <c r="X111" s="3317"/>
      <c r="Y111" s="3317"/>
      <c r="Z111" s="3317"/>
      <c r="AA111" s="3317"/>
      <c r="AB111" s="3317"/>
      <c r="AC111" s="3317"/>
      <c r="AD111" s="3317"/>
      <c r="AE111" s="3317"/>
      <c r="AF111" s="3317"/>
      <c r="AG111" s="3317"/>
    </row>
    <row r="112" spans="1:33">
      <c r="A112" s="3316"/>
      <c r="B112" s="3316"/>
      <c r="C112" s="3322"/>
      <c r="D112" s="3322"/>
      <c r="E112" s="3322"/>
      <c r="F112" s="3317"/>
      <c r="G112" s="3317"/>
      <c r="H112" s="3317"/>
      <c r="I112" s="3317"/>
      <c r="J112" s="3317"/>
      <c r="K112" s="3317"/>
      <c r="L112" s="3317"/>
      <c r="M112" s="3317"/>
      <c r="N112" s="3317"/>
      <c r="O112" s="3317"/>
      <c r="P112" s="3317"/>
      <c r="Q112" s="3317"/>
      <c r="R112" s="3317"/>
      <c r="S112" s="3317"/>
      <c r="T112" s="3317"/>
      <c r="U112" s="3317"/>
      <c r="V112" s="3317"/>
      <c r="W112" s="3317"/>
      <c r="X112" s="3317"/>
      <c r="Y112" s="3317"/>
      <c r="Z112" s="3317"/>
      <c r="AA112" s="3317"/>
      <c r="AB112" s="3317"/>
      <c r="AC112" s="3317"/>
      <c r="AD112" s="3317"/>
      <c r="AE112" s="3317"/>
      <c r="AF112" s="3317"/>
      <c r="AG112" s="3317"/>
    </row>
    <row r="113" spans="1:33">
      <c r="A113" s="3316"/>
      <c r="B113" s="3316"/>
      <c r="C113" s="3322"/>
      <c r="D113" s="3322"/>
      <c r="E113" s="3322"/>
      <c r="F113" s="3317"/>
      <c r="G113" s="3317"/>
      <c r="H113" s="3317"/>
      <c r="I113" s="3317"/>
      <c r="J113" s="3317"/>
      <c r="K113" s="3317"/>
      <c r="L113" s="3317"/>
      <c r="M113" s="3317"/>
      <c r="N113" s="3317"/>
      <c r="O113" s="3317"/>
      <c r="P113" s="3317"/>
      <c r="Q113" s="3317"/>
      <c r="R113" s="3317"/>
      <c r="S113" s="3317"/>
      <c r="T113" s="3317"/>
      <c r="U113" s="3317"/>
      <c r="V113" s="3317"/>
      <c r="W113" s="3317"/>
      <c r="X113" s="3317"/>
      <c r="Y113" s="3317"/>
      <c r="Z113" s="3317"/>
      <c r="AA113" s="3317"/>
      <c r="AB113" s="3317"/>
      <c r="AC113" s="3317"/>
      <c r="AD113" s="3317"/>
      <c r="AE113" s="3317"/>
      <c r="AF113" s="3317"/>
      <c r="AG113" s="3317"/>
    </row>
    <row r="114" spans="1:33">
      <c r="A114" s="3316"/>
      <c r="B114" s="3316"/>
      <c r="C114" s="3322"/>
      <c r="D114" s="3322"/>
      <c r="E114" s="3322"/>
      <c r="F114" s="3317"/>
      <c r="G114" s="3317"/>
      <c r="H114" s="3317"/>
      <c r="I114" s="3317"/>
      <c r="J114" s="3317"/>
      <c r="K114" s="3317"/>
      <c r="L114" s="3317"/>
      <c r="M114" s="3317"/>
      <c r="N114" s="3317"/>
      <c r="O114" s="3317"/>
      <c r="P114" s="3317"/>
      <c r="Q114" s="3317"/>
      <c r="R114" s="3317"/>
      <c r="S114" s="3317"/>
      <c r="T114" s="3317"/>
      <c r="U114" s="3317"/>
      <c r="V114" s="3317"/>
      <c r="W114" s="3317"/>
      <c r="X114" s="3317"/>
      <c r="Y114" s="3317"/>
      <c r="Z114" s="3317"/>
      <c r="AA114" s="3317"/>
      <c r="AB114" s="3317"/>
      <c r="AC114" s="3317"/>
      <c r="AD114" s="3317"/>
      <c r="AE114" s="3317"/>
      <c r="AF114" s="3317"/>
      <c r="AG114" s="3317"/>
    </row>
    <row r="115" spans="1:33">
      <c r="A115" s="3316"/>
      <c r="B115" s="3316"/>
      <c r="C115" s="3322"/>
      <c r="D115" s="3322"/>
      <c r="E115" s="3322"/>
      <c r="F115" s="3317"/>
      <c r="G115" s="3317"/>
      <c r="H115" s="3317"/>
      <c r="I115" s="3317"/>
      <c r="J115" s="3317"/>
      <c r="K115" s="3317"/>
      <c r="L115" s="3317"/>
      <c r="M115" s="3317"/>
      <c r="N115" s="3317"/>
      <c r="O115" s="3317"/>
      <c r="P115" s="3317"/>
      <c r="Q115" s="3317"/>
      <c r="R115" s="3317"/>
      <c r="S115" s="3317"/>
      <c r="T115" s="3317"/>
      <c r="U115" s="3317"/>
      <c r="V115" s="3317"/>
      <c r="W115" s="3317"/>
      <c r="X115" s="3317"/>
      <c r="Y115" s="3317"/>
      <c r="Z115" s="3317"/>
      <c r="AA115" s="3317"/>
      <c r="AB115" s="3317"/>
      <c r="AC115" s="3317"/>
      <c r="AD115" s="3317"/>
      <c r="AE115" s="3317"/>
      <c r="AF115" s="3317"/>
      <c r="AG115" s="3317"/>
    </row>
    <row r="116" spans="1:33">
      <c r="A116" s="3316"/>
      <c r="B116" s="3316"/>
      <c r="C116" s="3322"/>
      <c r="D116" s="3322"/>
      <c r="E116" s="3322"/>
      <c r="F116" s="3317"/>
      <c r="G116" s="3317"/>
      <c r="H116" s="3317"/>
      <c r="I116" s="3317"/>
      <c r="J116" s="3317"/>
      <c r="K116" s="3317"/>
      <c r="L116" s="3317"/>
      <c r="M116" s="3317"/>
      <c r="N116" s="3317"/>
      <c r="O116" s="3317"/>
      <c r="P116" s="3317"/>
      <c r="Q116" s="3317"/>
      <c r="R116" s="3317"/>
      <c r="S116" s="3317"/>
      <c r="T116" s="3317"/>
      <c r="U116" s="3317"/>
      <c r="V116" s="3317"/>
      <c r="W116" s="3317"/>
      <c r="X116" s="3317"/>
      <c r="Y116" s="3317"/>
      <c r="Z116" s="3317"/>
      <c r="AA116" s="3317"/>
      <c r="AB116" s="3317"/>
      <c r="AC116" s="3317"/>
      <c r="AD116" s="3317"/>
      <c r="AE116" s="3317"/>
      <c r="AF116" s="3317"/>
      <c r="AG116" s="3317"/>
    </row>
    <row r="117" spans="1:33">
      <c r="A117" s="3316"/>
      <c r="B117" s="3316"/>
      <c r="C117" s="3322"/>
      <c r="D117" s="3322"/>
      <c r="E117" s="3322"/>
      <c r="F117" s="3317"/>
      <c r="G117" s="3317"/>
      <c r="H117" s="3317"/>
      <c r="I117" s="3317"/>
      <c r="J117" s="3317"/>
      <c r="K117" s="3317"/>
      <c r="L117" s="3317"/>
      <c r="M117" s="3317"/>
      <c r="N117" s="3317"/>
      <c r="O117" s="3317"/>
      <c r="P117" s="3317"/>
      <c r="Q117" s="3317"/>
      <c r="R117" s="3317"/>
      <c r="S117" s="3317"/>
      <c r="T117" s="3317"/>
      <c r="U117" s="3317"/>
      <c r="V117" s="3317"/>
      <c r="W117" s="3317"/>
      <c r="X117" s="3317"/>
      <c r="Y117" s="3317"/>
      <c r="Z117" s="3317"/>
      <c r="AA117" s="3317"/>
      <c r="AB117" s="3317"/>
      <c r="AC117" s="3317"/>
      <c r="AD117" s="3317"/>
      <c r="AE117" s="3317"/>
      <c r="AF117" s="3317"/>
      <c r="AG117" s="3317"/>
    </row>
    <row r="118" spans="1:33">
      <c r="A118" s="3316"/>
      <c r="B118" s="3316"/>
      <c r="C118" s="3322"/>
      <c r="D118" s="3322"/>
      <c r="E118" s="3322"/>
      <c r="F118" s="3317"/>
      <c r="G118" s="3317"/>
      <c r="H118" s="3317"/>
      <c r="I118" s="3317"/>
      <c r="J118" s="3317"/>
      <c r="K118" s="3317"/>
      <c r="L118" s="3317"/>
      <c r="M118" s="3317"/>
      <c r="N118" s="3317"/>
      <c r="O118" s="3317"/>
      <c r="P118" s="3317"/>
      <c r="Q118" s="3317"/>
      <c r="R118" s="3317"/>
      <c r="S118" s="3317"/>
      <c r="T118" s="3317"/>
      <c r="U118" s="3317"/>
      <c r="V118" s="3317"/>
      <c r="W118" s="3317"/>
      <c r="X118" s="3317"/>
      <c r="Y118" s="3317"/>
      <c r="Z118" s="3317"/>
      <c r="AA118" s="3317"/>
      <c r="AB118" s="3317"/>
      <c r="AC118" s="3317"/>
      <c r="AD118" s="3317"/>
      <c r="AE118" s="3317"/>
      <c r="AF118" s="3317"/>
      <c r="AG118" s="3317"/>
    </row>
    <row r="119" spans="1:33">
      <c r="A119" s="3316"/>
      <c r="B119" s="3316"/>
      <c r="C119" s="3322"/>
      <c r="D119" s="3322"/>
      <c r="E119" s="3322"/>
      <c r="F119" s="3317"/>
      <c r="G119" s="3317"/>
      <c r="H119" s="3317"/>
      <c r="I119" s="3317"/>
      <c r="J119" s="3317"/>
      <c r="K119" s="3317"/>
      <c r="L119" s="3317"/>
      <c r="M119" s="3317"/>
      <c r="N119" s="3317"/>
      <c r="O119" s="3317"/>
      <c r="P119" s="3317"/>
      <c r="Q119" s="3317"/>
      <c r="R119" s="3317"/>
      <c r="S119" s="3317"/>
      <c r="T119" s="3317"/>
      <c r="U119" s="3317"/>
      <c r="V119" s="3317"/>
      <c r="W119" s="3317"/>
      <c r="X119" s="3317"/>
      <c r="Y119" s="3317"/>
      <c r="Z119" s="3317"/>
      <c r="AA119" s="3317"/>
      <c r="AB119" s="3317"/>
      <c r="AC119" s="3317"/>
      <c r="AD119" s="3317"/>
      <c r="AE119" s="3317"/>
      <c r="AF119" s="3317"/>
      <c r="AG119" s="3317"/>
    </row>
    <row r="120" spans="1:33">
      <c r="A120" s="3316"/>
      <c r="B120" s="3316"/>
      <c r="C120" s="3322"/>
      <c r="D120" s="3322"/>
      <c r="E120" s="3322"/>
      <c r="F120" s="3317"/>
      <c r="G120" s="3317"/>
      <c r="H120" s="3317"/>
      <c r="I120" s="3317"/>
      <c r="J120" s="3317"/>
      <c r="K120" s="3317"/>
      <c r="L120" s="3317"/>
      <c r="M120" s="3317"/>
      <c r="N120" s="3317"/>
      <c r="O120" s="3317"/>
      <c r="P120" s="3317"/>
      <c r="Q120" s="3317"/>
      <c r="R120" s="3317"/>
      <c r="S120" s="3317"/>
      <c r="T120" s="3317"/>
      <c r="U120" s="3317"/>
      <c r="V120" s="3317"/>
      <c r="W120" s="3317"/>
      <c r="X120" s="3317"/>
      <c r="Y120" s="3317"/>
      <c r="Z120" s="3317"/>
      <c r="AA120" s="3317"/>
      <c r="AB120" s="3317"/>
      <c r="AC120" s="3317"/>
      <c r="AD120" s="3317"/>
      <c r="AE120" s="3317"/>
      <c r="AF120" s="3317"/>
      <c r="AG120" s="3317"/>
    </row>
    <row r="121" spans="1:33">
      <c r="A121" s="3316"/>
      <c r="B121" s="3316"/>
      <c r="C121" s="3322"/>
      <c r="D121" s="3322"/>
      <c r="E121" s="3322"/>
      <c r="F121" s="3317"/>
      <c r="G121" s="3317"/>
      <c r="H121" s="3317"/>
      <c r="I121" s="3317"/>
      <c r="J121" s="3317"/>
      <c r="K121" s="3317"/>
      <c r="L121" s="3317"/>
      <c r="M121" s="3317"/>
      <c r="N121" s="3317"/>
      <c r="O121" s="3317"/>
      <c r="P121" s="3317"/>
      <c r="Q121" s="3317"/>
      <c r="R121" s="3317"/>
      <c r="S121" s="3317"/>
      <c r="T121" s="3317"/>
      <c r="U121" s="3317"/>
      <c r="V121" s="3317"/>
      <c r="W121" s="3317"/>
      <c r="X121" s="3317"/>
      <c r="Y121" s="3317"/>
      <c r="Z121" s="3317"/>
      <c r="AA121" s="3317"/>
      <c r="AB121" s="3317"/>
      <c r="AC121" s="3317"/>
      <c r="AD121" s="3317"/>
      <c r="AE121" s="3317"/>
      <c r="AF121" s="3317"/>
      <c r="AG121" s="3317"/>
    </row>
    <row r="122" spans="1:33">
      <c r="A122" s="3316"/>
      <c r="B122" s="3316"/>
      <c r="C122" s="3322"/>
      <c r="D122" s="3322"/>
      <c r="E122" s="3322"/>
      <c r="F122" s="3317"/>
      <c r="G122" s="3317"/>
      <c r="H122" s="3317"/>
      <c r="I122" s="3317"/>
      <c r="J122" s="3317"/>
      <c r="K122" s="3317"/>
      <c r="L122" s="3317"/>
      <c r="M122" s="3317"/>
      <c r="N122" s="3317"/>
      <c r="O122" s="3317"/>
      <c r="P122" s="3317"/>
      <c r="Q122" s="3317"/>
      <c r="R122" s="3317"/>
      <c r="S122" s="3317"/>
      <c r="T122" s="3317"/>
      <c r="U122" s="3317"/>
      <c r="V122" s="3317"/>
      <c r="W122" s="3317"/>
      <c r="X122" s="3317"/>
      <c r="Y122" s="3317"/>
      <c r="Z122" s="3317"/>
      <c r="AA122" s="3317"/>
      <c r="AB122" s="3317"/>
      <c r="AC122" s="3317"/>
      <c r="AD122" s="3317"/>
      <c r="AE122" s="3317"/>
      <c r="AF122" s="3317"/>
      <c r="AG122" s="3317"/>
    </row>
    <row r="123" spans="1:33">
      <c r="A123" s="3316"/>
      <c r="B123" s="3316"/>
      <c r="C123" s="3322"/>
      <c r="D123" s="3322"/>
      <c r="E123" s="3322"/>
      <c r="F123" s="3317"/>
      <c r="G123" s="3317"/>
      <c r="H123" s="3317"/>
      <c r="I123" s="3317"/>
      <c r="J123" s="3317"/>
      <c r="K123" s="3317"/>
      <c r="L123" s="3317"/>
      <c r="M123" s="3317"/>
      <c r="N123" s="3317"/>
      <c r="O123" s="3317"/>
      <c r="P123" s="3317"/>
      <c r="Q123" s="3317"/>
      <c r="R123" s="3317"/>
      <c r="S123" s="3317"/>
      <c r="T123" s="3317"/>
      <c r="U123" s="3317"/>
      <c r="V123" s="3317"/>
      <c r="W123" s="3317"/>
      <c r="X123" s="3317"/>
      <c r="Y123" s="3317"/>
      <c r="Z123" s="3317"/>
      <c r="AA123" s="3317"/>
      <c r="AB123" s="3317"/>
      <c r="AC123" s="3317"/>
      <c r="AD123" s="3317"/>
      <c r="AE123" s="3317"/>
      <c r="AF123" s="3317"/>
      <c r="AG123" s="3317"/>
    </row>
    <row r="124" spans="1:33">
      <c r="A124" s="3316"/>
      <c r="B124" s="3316"/>
      <c r="C124" s="3322"/>
      <c r="D124" s="3322"/>
      <c r="E124" s="3322"/>
      <c r="F124" s="3317"/>
      <c r="G124" s="3317"/>
      <c r="H124" s="3317"/>
      <c r="I124" s="3317"/>
      <c r="J124" s="3317"/>
      <c r="K124" s="3317"/>
      <c r="L124" s="3317"/>
      <c r="M124" s="3317"/>
      <c r="N124" s="3317"/>
      <c r="O124" s="3317"/>
      <c r="P124" s="3317"/>
      <c r="Q124" s="3317"/>
      <c r="R124" s="3317"/>
      <c r="S124" s="3317"/>
      <c r="T124" s="3317"/>
      <c r="U124" s="3317"/>
      <c r="V124" s="3317"/>
      <c r="W124" s="3317"/>
      <c r="X124" s="3317"/>
      <c r="Y124" s="3317"/>
      <c r="Z124" s="3317"/>
      <c r="AA124" s="3317"/>
      <c r="AB124" s="3317"/>
      <c r="AC124" s="3317"/>
      <c r="AD124" s="3317"/>
      <c r="AE124" s="3317"/>
      <c r="AF124" s="3317"/>
      <c r="AG124" s="3317"/>
    </row>
    <row r="125" spans="1:33">
      <c r="A125" s="3316"/>
      <c r="B125" s="3316"/>
      <c r="C125" s="3322"/>
      <c r="D125" s="3322"/>
      <c r="E125" s="3322"/>
      <c r="F125" s="3317"/>
      <c r="G125" s="3317"/>
      <c r="H125" s="3317"/>
      <c r="I125" s="3317"/>
      <c r="J125" s="3317"/>
      <c r="K125" s="3317"/>
      <c r="L125" s="3317"/>
      <c r="M125" s="3317"/>
      <c r="N125" s="3317"/>
      <c r="O125" s="3317"/>
      <c r="P125" s="3317"/>
      <c r="Q125" s="3317"/>
      <c r="R125" s="3317"/>
      <c r="S125" s="3317"/>
      <c r="T125" s="3317"/>
      <c r="U125" s="3317"/>
      <c r="V125" s="3317"/>
      <c r="W125" s="3317"/>
      <c r="X125" s="3317"/>
      <c r="Y125" s="3317"/>
      <c r="Z125" s="3317"/>
      <c r="AA125" s="3317"/>
      <c r="AB125" s="3317"/>
      <c r="AC125" s="3317"/>
      <c r="AD125" s="3317"/>
      <c r="AE125" s="3317"/>
      <c r="AF125" s="3317"/>
      <c r="AG125" s="3317"/>
    </row>
    <row r="126" spans="1:33">
      <c r="A126" s="3316"/>
      <c r="B126" s="3316"/>
      <c r="C126" s="3322"/>
      <c r="D126" s="3322"/>
      <c r="E126" s="3322"/>
      <c r="F126" s="3317"/>
      <c r="G126" s="3317"/>
      <c r="H126" s="3317"/>
      <c r="I126" s="3317"/>
      <c r="J126" s="3317"/>
      <c r="K126" s="3317"/>
      <c r="L126" s="3317"/>
      <c r="M126" s="3317"/>
      <c r="N126" s="3317"/>
      <c r="O126" s="3317"/>
      <c r="P126" s="3317"/>
      <c r="Q126" s="3317"/>
      <c r="R126" s="3317"/>
      <c r="S126" s="3317"/>
      <c r="T126" s="3317"/>
      <c r="U126" s="3317"/>
      <c r="V126" s="3317"/>
      <c r="W126" s="3317"/>
      <c r="X126" s="3317"/>
      <c r="Y126" s="3317"/>
      <c r="Z126" s="3317"/>
      <c r="AA126" s="3317"/>
      <c r="AB126" s="3317"/>
      <c r="AC126" s="3317"/>
      <c r="AD126" s="3317"/>
      <c r="AE126" s="3317"/>
      <c r="AF126" s="3317"/>
      <c r="AG126" s="3317"/>
    </row>
    <row r="127" spans="1:33">
      <c r="A127" s="3316"/>
      <c r="B127" s="3316"/>
      <c r="C127" s="3322"/>
      <c r="D127" s="3322"/>
      <c r="E127" s="3322"/>
      <c r="F127" s="3317"/>
      <c r="G127" s="3317"/>
      <c r="H127" s="3317"/>
      <c r="I127" s="3317"/>
      <c r="J127" s="3317"/>
      <c r="K127" s="3317"/>
      <c r="L127" s="3317"/>
      <c r="M127" s="3317"/>
      <c r="N127" s="3317"/>
      <c r="O127" s="3317"/>
      <c r="P127" s="3317"/>
      <c r="Q127" s="3317"/>
      <c r="R127" s="3317"/>
      <c r="S127" s="3317"/>
      <c r="T127" s="3317"/>
      <c r="U127" s="3317"/>
      <c r="V127" s="3317"/>
      <c r="W127" s="3317"/>
      <c r="X127" s="3317"/>
      <c r="Y127" s="3317"/>
      <c r="Z127" s="3317"/>
      <c r="AA127" s="3317"/>
      <c r="AB127" s="3317"/>
      <c r="AC127" s="3317"/>
      <c r="AD127" s="3317"/>
      <c r="AE127" s="3317"/>
      <c r="AF127" s="3317"/>
      <c r="AG127" s="3317"/>
    </row>
    <row r="128" spans="1:33">
      <c r="A128" s="3316"/>
      <c r="B128" s="3316"/>
      <c r="C128" s="3322"/>
      <c r="D128" s="3322"/>
      <c r="E128" s="3322"/>
      <c r="F128" s="3317"/>
      <c r="G128" s="3317"/>
      <c r="H128" s="3317"/>
      <c r="I128" s="3317"/>
      <c r="J128" s="3317"/>
      <c r="K128" s="3317"/>
      <c r="L128" s="3317"/>
      <c r="M128" s="3317"/>
      <c r="N128" s="3317"/>
      <c r="O128" s="3317"/>
      <c r="P128" s="3317"/>
      <c r="Q128" s="3317"/>
      <c r="R128" s="3317"/>
      <c r="S128" s="3317"/>
      <c r="T128" s="3317"/>
      <c r="U128" s="3317"/>
      <c r="V128" s="3317"/>
      <c r="W128" s="3317"/>
      <c r="X128" s="3317"/>
      <c r="Y128" s="3317"/>
      <c r="Z128" s="3317"/>
      <c r="AA128" s="3317"/>
      <c r="AB128" s="3317"/>
      <c r="AC128" s="3317"/>
      <c r="AD128" s="3317"/>
      <c r="AE128" s="3317"/>
      <c r="AF128" s="3317"/>
      <c r="AG128" s="3317"/>
    </row>
    <row r="129" spans="1:33">
      <c r="A129" s="3316"/>
      <c r="B129" s="3316"/>
      <c r="C129" s="3322"/>
      <c r="D129" s="3322"/>
      <c r="E129" s="3322"/>
      <c r="F129" s="3317"/>
      <c r="G129" s="3317"/>
      <c r="H129" s="3317"/>
      <c r="I129" s="3317"/>
      <c r="J129" s="3317"/>
      <c r="K129" s="3317"/>
      <c r="L129" s="3317"/>
      <c r="M129" s="3317"/>
      <c r="N129" s="3317"/>
      <c r="O129" s="3317"/>
      <c r="P129" s="3317"/>
      <c r="Q129" s="3317"/>
      <c r="R129" s="3317"/>
      <c r="S129" s="3317"/>
      <c r="T129" s="3317"/>
      <c r="U129" s="3317"/>
      <c r="V129" s="3317"/>
      <c r="W129" s="3317"/>
      <c r="X129" s="3317"/>
      <c r="Y129" s="3317"/>
      <c r="Z129" s="3317"/>
      <c r="AA129" s="3317"/>
      <c r="AB129" s="3317"/>
      <c r="AC129" s="3317"/>
      <c r="AD129" s="3317"/>
      <c r="AE129" s="3317"/>
      <c r="AF129" s="3317"/>
      <c r="AG129" s="3317"/>
    </row>
    <row r="130" spans="1:33">
      <c r="A130" s="3316"/>
      <c r="B130" s="3316"/>
      <c r="C130" s="3322"/>
      <c r="D130" s="3322"/>
      <c r="E130" s="3322"/>
      <c r="F130" s="3317"/>
      <c r="G130" s="3317"/>
      <c r="H130" s="3317"/>
      <c r="I130" s="3317"/>
      <c r="J130" s="3317"/>
      <c r="K130" s="3317"/>
      <c r="L130" s="3317"/>
      <c r="M130" s="3317"/>
      <c r="N130" s="3317"/>
      <c r="O130" s="3317"/>
      <c r="P130" s="3317"/>
      <c r="Q130" s="3317"/>
      <c r="R130" s="3317"/>
      <c r="S130" s="3317"/>
      <c r="T130" s="3317"/>
      <c r="U130" s="3317"/>
      <c r="V130" s="3317"/>
      <c r="W130" s="3317"/>
      <c r="X130" s="3317"/>
      <c r="Y130" s="3317"/>
      <c r="Z130" s="3317"/>
      <c r="AA130" s="3317"/>
      <c r="AB130" s="3317"/>
      <c r="AC130" s="3317"/>
      <c r="AD130" s="3317"/>
      <c r="AE130" s="3317"/>
      <c r="AF130" s="3317"/>
      <c r="AG130" s="3317"/>
    </row>
    <row r="131" spans="1:33">
      <c r="A131" s="3316"/>
      <c r="B131" s="3316"/>
      <c r="C131" s="3322"/>
      <c r="D131" s="3322"/>
      <c r="E131" s="3322"/>
      <c r="F131" s="3317"/>
      <c r="G131" s="3317"/>
      <c r="H131" s="3317"/>
      <c r="I131" s="3317"/>
      <c r="J131" s="3317"/>
      <c r="K131" s="3317"/>
      <c r="L131" s="3317"/>
      <c r="M131" s="3317"/>
      <c r="N131" s="3317"/>
      <c r="O131" s="3317"/>
      <c r="P131" s="3317"/>
      <c r="Q131" s="3317"/>
      <c r="R131" s="3317"/>
      <c r="S131" s="3317"/>
      <c r="T131" s="3317"/>
      <c r="U131" s="3317"/>
      <c r="V131" s="3317"/>
      <c r="W131" s="3317"/>
      <c r="X131" s="3317"/>
      <c r="Y131" s="3317"/>
      <c r="Z131" s="3317"/>
      <c r="AA131" s="3322"/>
      <c r="AB131" s="3322"/>
      <c r="AC131" s="3322"/>
      <c r="AD131" s="3322"/>
      <c r="AE131" s="3322"/>
      <c r="AF131" s="3322"/>
      <c r="AG131" s="3322"/>
    </row>
    <row r="132" spans="1:33">
      <c r="A132" s="3316"/>
      <c r="B132" s="3316"/>
      <c r="C132" s="3322"/>
      <c r="D132" s="3322"/>
      <c r="E132" s="3322"/>
      <c r="F132" s="3317"/>
      <c r="G132" s="3317"/>
      <c r="H132" s="3317"/>
      <c r="I132" s="3317"/>
      <c r="J132" s="3317"/>
      <c r="K132" s="3317"/>
      <c r="L132" s="3317"/>
      <c r="M132" s="3317"/>
      <c r="N132" s="3317"/>
      <c r="O132" s="3317"/>
      <c r="P132" s="3317"/>
      <c r="Q132" s="3317"/>
      <c r="R132" s="3317"/>
      <c r="S132" s="3317"/>
      <c r="T132" s="3317"/>
      <c r="U132" s="3317"/>
      <c r="V132" s="3317"/>
      <c r="W132" s="3317"/>
      <c r="X132" s="3317"/>
      <c r="Y132" s="3317"/>
      <c r="Z132" s="3317"/>
      <c r="AA132" s="3322"/>
      <c r="AB132" s="3322"/>
      <c r="AC132" s="3322"/>
      <c r="AD132" s="3322"/>
      <c r="AE132" s="3322"/>
      <c r="AF132" s="3322"/>
      <c r="AG132" s="3322"/>
    </row>
    <row r="133" spans="1:33">
      <c r="A133" s="3316"/>
      <c r="B133" s="3316"/>
      <c r="C133" s="3322"/>
      <c r="D133" s="3322"/>
      <c r="E133" s="3322"/>
      <c r="F133" s="3317"/>
      <c r="G133" s="3317"/>
      <c r="H133" s="3317"/>
      <c r="I133" s="3317"/>
      <c r="J133" s="3317"/>
      <c r="K133" s="3317"/>
      <c r="L133" s="3317"/>
      <c r="M133" s="3317"/>
      <c r="N133" s="3317"/>
      <c r="O133" s="3317"/>
      <c r="P133" s="3317"/>
      <c r="Q133" s="3317"/>
      <c r="R133" s="3317"/>
      <c r="S133" s="3317"/>
      <c r="T133" s="3317"/>
      <c r="U133" s="3317"/>
      <c r="V133" s="3317"/>
      <c r="W133" s="3317"/>
      <c r="X133" s="3317"/>
      <c r="Y133" s="3317"/>
      <c r="Z133" s="3317"/>
      <c r="AA133" s="3322"/>
      <c r="AB133" s="3322"/>
      <c r="AC133" s="3322"/>
      <c r="AD133" s="3322"/>
      <c r="AE133" s="3322"/>
      <c r="AF133" s="3322"/>
      <c r="AG133" s="3322"/>
    </row>
    <row r="134" spans="1:33">
      <c r="A134" s="3316"/>
      <c r="B134" s="3316"/>
      <c r="C134" s="3322"/>
      <c r="D134" s="3322"/>
      <c r="E134" s="3322"/>
      <c r="F134" s="3317"/>
      <c r="G134" s="3317"/>
      <c r="H134" s="3317"/>
      <c r="I134" s="3317"/>
      <c r="J134" s="3317"/>
      <c r="K134" s="3317"/>
      <c r="L134" s="3317"/>
      <c r="M134" s="3317"/>
      <c r="N134" s="3317"/>
      <c r="O134" s="3317"/>
      <c r="P134" s="3317"/>
      <c r="Q134" s="3317"/>
      <c r="R134" s="3317"/>
      <c r="S134" s="3317"/>
      <c r="T134" s="3317"/>
      <c r="U134" s="3317"/>
      <c r="V134" s="3317"/>
      <c r="W134" s="3317"/>
      <c r="X134" s="3317"/>
      <c r="Y134" s="3317"/>
      <c r="Z134" s="3317"/>
      <c r="AA134" s="3322"/>
      <c r="AB134" s="3322"/>
      <c r="AC134" s="3322"/>
      <c r="AD134" s="3322"/>
      <c r="AE134" s="3322"/>
      <c r="AF134" s="3322"/>
      <c r="AG134" s="3322"/>
    </row>
    <row r="135" spans="1:33">
      <c r="A135" s="3316"/>
      <c r="B135" s="3316"/>
      <c r="C135" s="3322"/>
      <c r="D135" s="3322"/>
      <c r="E135" s="3322"/>
      <c r="F135" s="3317"/>
      <c r="G135" s="3317"/>
      <c r="H135" s="3317"/>
      <c r="I135" s="3317"/>
      <c r="J135" s="3317"/>
      <c r="K135" s="3317"/>
      <c r="L135" s="3317"/>
      <c r="M135" s="3317"/>
      <c r="N135" s="3317"/>
      <c r="O135" s="3317"/>
      <c r="P135" s="3317"/>
      <c r="Q135" s="3317"/>
      <c r="R135" s="3317"/>
      <c r="S135" s="3317"/>
      <c r="T135" s="3317"/>
      <c r="U135" s="3317"/>
      <c r="V135" s="3317"/>
      <c r="W135" s="3317"/>
      <c r="X135" s="3317"/>
      <c r="Y135" s="3317"/>
      <c r="Z135" s="3317"/>
      <c r="AA135" s="3322"/>
      <c r="AB135" s="3322"/>
      <c r="AC135" s="3322"/>
      <c r="AD135" s="3322"/>
      <c r="AE135" s="3322"/>
      <c r="AF135" s="3322"/>
      <c r="AG135" s="3322"/>
    </row>
    <row r="136" spans="1:33">
      <c r="A136" s="3316"/>
      <c r="B136" s="3316"/>
      <c r="C136" s="3322"/>
      <c r="D136" s="3322"/>
      <c r="E136" s="3322"/>
      <c r="F136" s="3317"/>
      <c r="G136" s="3317"/>
      <c r="H136" s="3317"/>
      <c r="I136" s="3317"/>
      <c r="J136" s="3317"/>
      <c r="K136" s="3317"/>
      <c r="L136" s="3317"/>
      <c r="M136" s="3317"/>
      <c r="N136" s="3317"/>
      <c r="O136" s="3317"/>
      <c r="P136" s="3317"/>
      <c r="Q136" s="3317"/>
      <c r="R136" s="3317"/>
      <c r="S136" s="3317"/>
      <c r="T136" s="3317"/>
      <c r="U136" s="3317"/>
      <c r="V136" s="3317"/>
      <c r="W136" s="3317"/>
      <c r="X136" s="3317"/>
      <c r="Y136" s="3317"/>
      <c r="Z136" s="3317"/>
      <c r="AA136" s="3322"/>
      <c r="AB136" s="3322"/>
      <c r="AC136" s="3322"/>
      <c r="AD136" s="3322"/>
      <c r="AE136" s="3322"/>
      <c r="AF136" s="3322"/>
      <c r="AG136" s="3322"/>
    </row>
    <row r="137" spans="1:33">
      <c r="A137" s="3316"/>
      <c r="B137" s="3316"/>
      <c r="C137" s="3322"/>
      <c r="D137" s="3322"/>
      <c r="E137" s="3322"/>
      <c r="F137" s="3317"/>
      <c r="G137" s="3317"/>
      <c r="H137" s="3317"/>
      <c r="I137" s="3317"/>
      <c r="J137" s="3317"/>
      <c r="K137" s="3317"/>
      <c r="L137" s="3317"/>
      <c r="M137" s="3317"/>
      <c r="N137" s="3317"/>
      <c r="O137" s="3317"/>
      <c r="P137" s="3317"/>
      <c r="Q137" s="3317"/>
      <c r="R137" s="3317"/>
      <c r="S137" s="3317"/>
      <c r="T137" s="3317"/>
      <c r="U137" s="3317"/>
      <c r="V137" s="3317"/>
      <c r="W137" s="3317"/>
      <c r="X137" s="3317"/>
      <c r="Y137" s="3317"/>
      <c r="Z137" s="3317"/>
      <c r="AA137" s="3322"/>
      <c r="AB137" s="3322"/>
      <c r="AC137" s="3322"/>
      <c r="AD137" s="3322"/>
      <c r="AE137" s="3322"/>
      <c r="AF137" s="3322"/>
      <c r="AG137" s="3322"/>
    </row>
    <row r="138" spans="1:33">
      <c r="A138" s="3316"/>
      <c r="B138" s="3316"/>
      <c r="C138" s="3322"/>
      <c r="D138" s="3322"/>
      <c r="E138" s="3322"/>
      <c r="F138" s="3317"/>
      <c r="G138" s="3317"/>
      <c r="H138" s="3317"/>
      <c r="I138" s="3317"/>
      <c r="J138" s="3317"/>
      <c r="K138" s="3317"/>
      <c r="L138" s="3317"/>
      <c r="M138" s="3317"/>
      <c r="N138" s="3317"/>
      <c r="O138" s="3317"/>
      <c r="P138" s="3317"/>
      <c r="Q138" s="3317"/>
      <c r="R138" s="3317"/>
      <c r="S138" s="3317"/>
      <c r="T138" s="3317"/>
      <c r="U138" s="3317"/>
      <c r="V138" s="3317"/>
      <c r="W138" s="3317"/>
      <c r="X138" s="3317"/>
      <c r="Y138" s="3317"/>
      <c r="Z138" s="3317"/>
      <c r="AA138" s="3322"/>
      <c r="AB138" s="3322"/>
      <c r="AC138" s="3322"/>
      <c r="AD138" s="3322"/>
      <c r="AE138" s="3322"/>
      <c r="AF138" s="3322"/>
      <c r="AG138" s="3322"/>
    </row>
    <row r="139" spans="1:33">
      <c r="A139" s="3316"/>
      <c r="B139" s="3316"/>
      <c r="C139" s="3322"/>
      <c r="D139" s="3322"/>
      <c r="E139" s="3322"/>
      <c r="F139" s="3317"/>
      <c r="G139" s="3317"/>
      <c r="H139" s="3317"/>
      <c r="I139" s="3317"/>
      <c r="J139" s="3317"/>
      <c r="K139" s="3317"/>
      <c r="L139" s="3317"/>
      <c r="M139" s="3317"/>
      <c r="N139" s="3317"/>
      <c r="O139" s="3317"/>
      <c r="P139" s="3317"/>
      <c r="Q139" s="3317"/>
      <c r="R139" s="3317"/>
      <c r="S139" s="3317"/>
      <c r="T139" s="3317"/>
      <c r="U139" s="3317"/>
      <c r="V139" s="3317"/>
      <c r="W139" s="3317"/>
      <c r="X139" s="3317"/>
      <c r="Y139" s="3317"/>
      <c r="Z139" s="3317"/>
      <c r="AA139" s="3322"/>
      <c r="AB139" s="3322"/>
      <c r="AC139" s="3322"/>
      <c r="AD139" s="3322"/>
      <c r="AE139" s="3322"/>
      <c r="AF139" s="3322"/>
      <c r="AG139" s="3322"/>
    </row>
    <row r="140" spans="1:33">
      <c r="A140" s="3316"/>
      <c r="B140" s="3316"/>
      <c r="C140" s="3322"/>
      <c r="D140" s="3322"/>
      <c r="E140" s="3322"/>
      <c r="F140" s="3317"/>
      <c r="G140" s="3317"/>
      <c r="H140" s="3317"/>
      <c r="I140" s="3317"/>
      <c r="J140" s="3317"/>
      <c r="K140" s="3317"/>
      <c r="L140" s="3317"/>
      <c r="M140" s="3317"/>
      <c r="N140" s="3317"/>
      <c r="O140" s="3317"/>
      <c r="P140" s="3317"/>
      <c r="Q140" s="3317"/>
      <c r="R140" s="3317"/>
      <c r="S140" s="3317"/>
      <c r="T140" s="3317"/>
      <c r="U140" s="3317"/>
      <c r="V140" s="3317"/>
      <c r="W140" s="3317"/>
      <c r="X140" s="3317"/>
      <c r="Y140" s="3317"/>
      <c r="Z140" s="3317"/>
      <c r="AA140" s="3322"/>
      <c r="AB140" s="3322"/>
      <c r="AC140" s="3322"/>
      <c r="AD140" s="3322"/>
      <c r="AE140" s="3322"/>
      <c r="AF140" s="3322"/>
      <c r="AG140" s="3322"/>
    </row>
    <row r="141" spans="1:33">
      <c r="A141" s="3316"/>
      <c r="B141" s="3316"/>
      <c r="C141" s="3322"/>
      <c r="D141" s="3322"/>
      <c r="E141" s="3322"/>
      <c r="F141" s="3317"/>
      <c r="G141" s="3317"/>
      <c r="H141" s="3317"/>
      <c r="I141" s="3317"/>
      <c r="J141" s="3317"/>
      <c r="K141" s="3317"/>
      <c r="L141" s="3317"/>
      <c r="M141" s="3317"/>
      <c r="N141" s="3317"/>
      <c r="O141" s="3317"/>
      <c r="P141" s="3317"/>
      <c r="Q141" s="3317"/>
      <c r="R141" s="3317"/>
      <c r="S141" s="3317"/>
      <c r="T141" s="3317"/>
      <c r="U141" s="3317"/>
      <c r="V141" s="3317"/>
      <c r="W141" s="3317"/>
      <c r="X141" s="3317"/>
      <c r="Y141" s="3317"/>
      <c r="Z141" s="3317"/>
      <c r="AA141" s="3322"/>
      <c r="AB141" s="3322"/>
      <c r="AC141" s="3322"/>
      <c r="AD141" s="3322"/>
      <c r="AE141" s="3322"/>
      <c r="AF141" s="3322"/>
      <c r="AG141" s="3322"/>
    </row>
    <row r="142" spans="1:33">
      <c r="A142" s="3316"/>
      <c r="B142" s="3316"/>
      <c r="C142" s="3322"/>
      <c r="D142" s="3322"/>
      <c r="E142" s="3322"/>
      <c r="F142" s="3317"/>
      <c r="G142" s="3317"/>
      <c r="H142" s="3317"/>
      <c r="I142" s="3317"/>
      <c r="J142" s="3317"/>
      <c r="K142" s="3317"/>
      <c r="L142" s="3317"/>
      <c r="M142" s="3317"/>
      <c r="N142" s="3317"/>
      <c r="O142" s="3317"/>
      <c r="P142" s="3317"/>
      <c r="Q142" s="3317"/>
      <c r="R142" s="3317"/>
      <c r="S142" s="3317"/>
      <c r="T142" s="3317"/>
      <c r="U142" s="3317"/>
      <c r="V142" s="3317"/>
      <c r="W142" s="3317"/>
      <c r="X142" s="3317"/>
      <c r="Y142" s="3317"/>
      <c r="Z142" s="3317"/>
      <c r="AA142" s="3322"/>
      <c r="AB142" s="3322"/>
      <c r="AC142" s="3322"/>
      <c r="AD142" s="3322"/>
      <c r="AE142" s="3322"/>
      <c r="AF142" s="3322"/>
      <c r="AG142" s="3322"/>
    </row>
    <row r="143" spans="1:33">
      <c r="A143" s="3316"/>
      <c r="B143" s="3316"/>
      <c r="C143" s="3322"/>
      <c r="D143" s="3322"/>
      <c r="E143" s="3322"/>
      <c r="F143" s="3317"/>
      <c r="G143" s="3317"/>
      <c r="H143" s="3317"/>
      <c r="I143" s="3317"/>
      <c r="J143" s="3317"/>
      <c r="K143" s="3317"/>
      <c r="L143" s="3317"/>
      <c r="M143" s="3317"/>
      <c r="N143" s="3317"/>
      <c r="O143" s="3317"/>
      <c r="P143" s="3317"/>
      <c r="Q143" s="3317"/>
      <c r="R143" s="3317"/>
      <c r="S143" s="3317"/>
      <c r="T143" s="3317"/>
      <c r="U143" s="3317"/>
      <c r="V143" s="3317"/>
      <c r="W143" s="3317"/>
      <c r="X143" s="3317"/>
      <c r="Y143" s="3317"/>
      <c r="Z143" s="3317"/>
      <c r="AA143" s="3322"/>
      <c r="AB143" s="3322"/>
      <c r="AC143" s="3322"/>
      <c r="AD143" s="3322"/>
      <c r="AE143" s="3322"/>
      <c r="AF143" s="3322"/>
      <c r="AG143" s="3322"/>
    </row>
    <row r="144" spans="1:33">
      <c r="A144" s="3316"/>
      <c r="B144" s="3316"/>
      <c r="C144" s="3322"/>
      <c r="D144" s="3322"/>
      <c r="E144" s="3322"/>
      <c r="F144" s="3317"/>
      <c r="G144" s="3317"/>
      <c r="H144" s="3317"/>
      <c r="I144" s="3317"/>
      <c r="J144" s="3317"/>
      <c r="K144" s="3317"/>
      <c r="L144" s="3317"/>
      <c r="M144" s="3317"/>
      <c r="N144" s="3317"/>
      <c r="O144" s="3317"/>
      <c r="P144" s="3317"/>
      <c r="Q144" s="3317"/>
      <c r="R144" s="3317"/>
      <c r="S144" s="3317"/>
      <c r="T144" s="3317"/>
      <c r="U144" s="3317"/>
      <c r="V144" s="3317"/>
      <c r="W144" s="3317"/>
      <c r="X144" s="3317"/>
      <c r="Y144" s="3317"/>
      <c r="Z144" s="3317"/>
      <c r="AA144" s="3322"/>
      <c r="AB144" s="3322"/>
      <c r="AC144" s="3322"/>
      <c r="AD144" s="3322"/>
      <c r="AE144" s="3322"/>
      <c r="AF144" s="3322"/>
      <c r="AG144" s="3322"/>
    </row>
    <row r="145" spans="1:33">
      <c r="A145" s="3316"/>
      <c r="B145" s="3316"/>
      <c r="C145" s="3322"/>
      <c r="D145" s="3322"/>
      <c r="E145" s="3322"/>
      <c r="F145" s="3317"/>
      <c r="G145" s="3317"/>
      <c r="H145" s="3317"/>
      <c r="I145" s="3317"/>
      <c r="J145" s="3317"/>
      <c r="K145" s="3317"/>
      <c r="L145" s="3317"/>
      <c r="M145" s="3317"/>
      <c r="N145" s="3317"/>
      <c r="O145" s="3317"/>
      <c r="P145" s="3317"/>
      <c r="Q145" s="3317"/>
      <c r="R145" s="3317"/>
      <c r="S145" s="3317"/>
      <c r="T145" s="3317"/>
      <c r="U145" s="3317"/>
      <c r="V145" s="3317"/>
      <c r="W145" s="3317"/>
      <c r="X145" s="3317"/>
      <c r="Y145" s="3317"/>
      <c r="Z145" s="3317"/>
      <c r="AA145" s="3322"/>
      <c r="AB145" s="3322"/>
      <c r="AC145" s="3322"/>
      <c r="AD145" s="3322"/>
      <c r="AE145" s="3322"/>
      <c r="AF145" s="3322"/>
      <c r="AG145" s="3322"/>
    </row>
    <row r="146" spans="1:33">
      <c r="A146" s="3316"/>
      <c r="B146" s="3316"/>
      <c r="C146" s="3322"/>
      <c r="D146" s="3322"/>
      <c r="E146" s="3322"/>
      <c r="F146" s="3317"/>
      <c r="G146" s="3317"/>
      <c r="H146" s="3317"/>
      <c r="I146" s="3317"/>
      <c r="J146" s="3317"/>
      <c r="K146" s="3317"/>
      <c r="L146" s="3317"/>
      <c r="M146" s="3317"/>
      <c r="N146" s="3317"/>
      <c r="O146" s="3317"/>
      <c r="P146" s="3317"/>
      <c r="Q146" s="3317"/>
      <c r="R146" s="3317"/>
      <c r="S146" s="3317"/>
      <c r="T146" s="3317"/>
      <c r="U146" s="3317"/>
      <c r="V146" s="3317"/>
      <c r="W146" s="3317"/>
      <c r="X146" s="3317"/>
      <c r="Y146" s="3317"/>
      <c r="Z146" s="3317"/>
      <c r="AA146" s="3322"/>
      <c r="AB146" s="3322"/>
      <c r="AC146" s="3322"/>
      <c r="AD146" s="3322"/>
      <c r="AE146" s="3322"/>
      <c r="AF146" s="3322"/>
      <c r="AG146" s="3322"/>
    </row>
    <row r="147" spans="1:33">
      <c r="A147" s="3316"/>
      <c r="B147" s="3316"/>
      <c r="C147" s="3322"/>
      <c r="D147" s="3322"/>
      <c r="E147" s="3322"/>
      <c r="F147" s="3317"/>
      <c r="G147" s="3317"/>
      <c r="H147" s="3317"/>
      <c r="I147" s="3317"/>
      <c r="J147" s="3317"/>
      <c r="K147" s="3317"/>
      <c r="L147" s="3317"/>
      <c r="M147" s="3317"/>
      <c r="N147" s="3317"/>
      <c r="O147" s="3317"/>
      <c r="P147" s="3317"/>
      <c r="Q147" s="3317"/>
      <c r="R147" s="3317"/>
      <c r="S147" s="3317"/>
      <c r="T147" s="3317"/>
      <c r="U147" s="3317"/>
      <c r="V147" s="3317"/>
      <c r="W147" s="3317"/>
      <c r="X147" s="3317"/>
      <c r="Y147" s="3317"/>
      <c r="Z147" s="3317"/>
      <c r="AA147" s="3322"/>
      <c r="AB147" s="3322"/>
      <c r="AC147" s="3322"/>
      <c r="AD147" s="3322"/>
      <c r="AE147" s="3322"/>
      <c r="AF147" s="3322"/>
      <c r="AG147" s="3322"/>
    </row>
    <row r="148" spans="1:33">
      <c r="A148" s="3316"/>
      <c r="B148" s="3316"/>
      <c r="C148" s="3322"/>
      <c r="D148" s="3322"/>
      <c r="E148" s="3322"/>
      <c r="F148" s="3317"/>
      <c r="G148" s="3317"/>
      <c r="H148" s="3317"/>
      <c r="I148" s="3317"/>
      <c r="J148" s="3317"/>
      <c r="K148" s="3317"/>
      <c r="L148" s="3317"/>
      <c r="M148" s="3317"/>
      <c r="N148" s="3317"/>
      <c r="O148" s="3317"/>
      <c r="P148" s="3317"/>
      <c r="Q148" s="3317"/>
      <c r="R148" s="3317"/>
      <c r="S148" s="3317"/>
      <c r="T148" s="3317"/>
      <c r="U148" s="3317"/>
      <c r="V148" s="3317"/>
      <c r="W148" s="3317"/>
      <c r="X148" s="3317"/>
      <c r="Y148" s="3317"/>
      <c r="Z148" s="3317"/>
      <c r="AA148" s="3322"/>
      <c r="AB148" s="3322"/>
      <c r="AC148" s="3322"/>
      <c r="AD148" s="3322"/>
      <c r="AE148" s="3322"/>
      <c r="AF148" s="3322"/>
      <c r="AG148" s="3322"/>
    </row>
    <row r="149" spans="1:33">
      <c r="A149" s="3316"/>
      <c r="B149" s="3316"/>
      <c r="C149" s="3322"/>
      <c r="D149" s="3322"/>
      <c r="E149" s="3322"/>
      <c r="F149" s="3317"/>
      <c r="G149" s="3317"/>
      <c r="H149" s="3317"/>
      <c r="I149" s="3317"/>
      <c r="J149" s="3317"/>
      <c r="K149" s="3317"/>
      <c r="L149" s="3317"/>
      <c r="M149" s="3317"/>
      <c r="N149" s="3317"/>
      <c r="O149" s="3317"/>
      <c r="P149" s="3317"/>
      <c r="Q149" s="3317"/>
      <c r="R149" s="3317"/>
      <c r="S149" s="3317"/>
      <c r="T149" s="3317"/>
      <c r="U149" s="3317"/>
      <c r="V149" s="3317"/>
      <c r="W149" s="3317"/>
      <c r="X149" s="3317"/>
      <c r="Y149" s="3317"/>
      <c r="Z149" s="3317"/>
      <c r="AA149" s="3322"/>
      <c r="AB149" s="3322"/>
      <c r="AC149" s="3322"/>
      <c r="AD149" s="3322"/>
      <c r="AE149" s="3322"/>
      <c r="AF149" s="3322"/>
      <c r="AG149" s="3322"/>
    </row>
    <row r="150" spans="1:33">
      <c r="A150" s="3316"/>
      <c r="B150" s="3316"/>
      <c r="C150" s="3322"/>
      <c r="D150" s="3322"/>
      <c r="E150" s="3322"/>
      <c r="F150" s="3317"/>
      <c r="G150" s="3317"/>
      <c r="H150" s="3317"/>
      <c r="I150" s="3317"/>
      <c r="J150" s="3317"/>
      <c r="K150" s="3317"/>
      <c r="L150" s="3317"/>
      <c r="M150" s="3317"/>
      <c r="N150" s="3317"/>
      <c r="O150" s="3317"/>
      <c r="P150" s="3317"/>
      <c r="Q150" s="3317"/>
      <c r="R150" s="3317"/>
      <c r="S150" s="3317"/>
      <c r="T150" s="3317"/>
      <c r="U150" s="3317"/>
      <c r="V150" s="3317"/>
      <c r="W150" s="3317"/>
      <c r="X150" s="3317"/>
      <c r="Y150" s="3317"/>
      <c r="Z150" s="3317"/>
      <c r="AA150" s="3322"/>
      <c r="AB150" s="3322"/>
      <c r="AC150" s="3322"/>
      <c r="AD150" s="3322"/>
      <c r="AE150" s="3322"/>
      <c r="AF150" s="3322"/>
      <c r="AG150" s="3322"/>
    </row>
    <row r="151" spans="1:33">
      <c r="A151" s="3316"/>
      <c r="B151" s="3316"/>
      <c r="C151" s="3322"/>
      <c r="D151" s="3322"/>
      <c r="E151" s="3322"/>
      <c r="F151" s="3317"/>
      <c r="G151" s="3317"/>
      <c r="H151" s="3317"/>
      <c r="I151" s="3317"/>
      <c r="J151" s="3317"/>
      <c r="K151" s="3317"/>
      <c r="L151" s="3317"/>
      <c r="M151" s="3317"/>
      <c r="N151" s="3317"/>
      <c r="O151" s="3317"/>
      <c r="P151" s="3317"/>
      <c r="Q151" s="3317"/>
      <c r="R151" s="3317"/>
      <c r="S151" s="3317"/>
      <c r="T151" s="3317"/>
      <c r="U151" s="3317"/>
      <c r="V151" s="3317"/>
      <c r="W151" s="3317"/>
      <c r="X151" s="3317"/>
      <c r="Y151" s="3317"/>
      <c r="Z151" s="3317"/>
      <c r="AA151" s="3322"/>
      <c r="AB151" s="3322"/>
      <c r="AC151" s="3322"/>
      <c r="AD151" s="3322"/>
      <c r="AE151" s="3322"/>
      <c r="AF151" s="3322"/>
      <c r="AG151" s="3322"/>
    </row>
    <row r="152" spans="1:33">
      <c r="A152" s="3316"/>
      <c r="B152" s="3316"/>
      <c r="C152" s="3322"/>
      <c r="D152" s="3322"/>
      <c r="E152" s="3322"/>
      <c r="F152" s="3317"/>
      <c r="G152" s="3317"/>
      <c r="H152" s="3317"/>
      <c r="I152" s="3317"/>
      <c r="J152" s="3317"/>
      <c r="K152" s="3317"/>
      <c r="L152" s="3317"/>
      <c r="M152" s="3317"/>
      <c r="N152" s="3317"/>
      <c r="O152" s="3317"/>
      <c r="P152" s="3317"/>
      <c r="Q152" s="3317"/>
      <c r="R152" s="3317"/>
      <c r="S152" s="3317"/>
      <c r="T152" s="3317"/>
      <c r="U152" s="3317"/>
      <c r="V152" s="3317"/>
      <c r="W152" s="3317"/>
      <c r="X152" s="3317"/>
      <c r="Y152" s="3317"/>
      <c r="Z152" s="3317"/>
      <c r="AA152" s="3322"/>
      <c r="AB152" s="3322"/>
      <c r="AC152" s="3322"/>
      <c r="AD152" s="3322"/>
      <c r="AE152" s="3322"/>
      <c r="AF152" s="3322"/>
      <c r="AG152" s="3322"/>
    </row>
    <row r="153" spans="1:33">
      <c r="A153" s="3316"/>
      <c r="B153" s="3316"/>
      <c r="C153" s="3322"/>
      <c r="D153" s="3322"/>
      <c r="E153" s="3322"/>
      <c r="F153" s="3317"/>
      <c r="G153" s="3317"/>
      <c r="H153" s="3317"/>
      <c r="I153" s="3317"/>
      <c r="J153" s="3317"/>
      <c r="K153" s="3317"/>
      <c r="L153" s="3317"/>
      <c r="M153" s="3317"/>
      <c r="N153" s="3317"/>
      <c r="O153" s="3317"/>
      <c r="P153" s="3317"/>
      <c r="Q153" s="3317"/>
      <c r="R153" s="3317"/>
      <c r="S153" s="3317"/>
      <c r="T153" s="3317"/>
      <c r="U153" s="3317"/>
      <c r="V153" s="3317"/>
      <c r="W153" s="3317"/>
      <c r="X153" s="3317"/>
      <c r="Y153" s="3317"/>
      <c r="Z153" s="3317"/>
      <c r="AA153" s="3322"/>
      <c r="AB153" s="3322"/>
      <c r="AC153" s="3322"/>
      <c r="AD153" s="3322"/>
      <c r="AE153" s="3322"/>
      <c r="AF153" s="3322"/>
      <c r="AG153" s="3322"/>
    </row>
    <row r="154" spans="1:33">
      <c r="A154" s="3316"/>
      <c r="B154" s="3316"/>
      <c r="C154" s="3322"/>
      <c r="D154" s="3322"/>
      <c r="E154" s="3322"/>
      <c r="F154" s="3317"/>
      <c r="G154" s="3317"/>
      <c r="H154" s="3317"/>
      <c r="I154" s="3317"/>
      <c r="J154" s="3317"/>
      <c r="K154" s="3317"/>
      <c r="L154" s="3317"/>
      <c r="M154" s="3317"/>
      <c r="N154" s="3317"/>
      <c r="O154" s="3317"/>
      <c r="P154" s="3317"/>
      <c r="Q154" s="3317"/>
      <c r="R154" s="3317"/>
      <c r="S154" s="3317"/>
      <c r="T154" s="3317"/>
      <c r="U154" s="3317"/>
      <c r="V154" s="3317"/>
      <c r="W154" s="3317"/>
      <c r="X154" s="3317"/>
      <c r="Y154" s="3317"/>
      <c r="Z154" s="3317"/>
      <c r="AA154" s="3322"/>
      <c r="AB154" s="3322"/>
      <c r="AC154" s="3322"/>
      <c r="AD154" s="3322"/>
      <c r="AE154" s="3322"/>
      <c r="AF154" s="3322"/>
      <c r="AG154" s="3322"/>
    </row>
    <row r="155" spans="1:33">
      <c r="A155" s="3316"/>
      <c r="B155" s="3316"/>
      <c r="C155" s="3322"/>
      <c r="D155" s="3322"/>
      <c r="E155" s="3322"/>
      <c r="F155" s="3317"/>
      <c r="G155" s="3317"/>
      <c r="H155" s="3317"/>
      <c r="I155" s="3317"/>
      <c r="J155" s="3317"/>
      <c r="K155" s="3317"/>
      <c r="L155" s="3317"/>
      <c r="M155" s="3317"/>
      <c r="N155" s="3317"/>
      <c r="O155" s="3317"/>
      <c r="P155" s="3317"/>
      <c r="Q155" s="3317"/>
      <c r="R155" s="3317"/>
      <c r="S155" s="3317"/>
      <c r="T155" s="3317"/>
      <c r="U155" s="3317"/>
      <c r="V155" s="3317"/>
      <c r="W155" s="3317"/>
      <c r="X155" s="3317"/>
      <c r="Y155" s="3317"/>
      <c r="Z155" s="3317"/>
      <c r="AA155" s="3322"/>
      <c r="AB155" s="3322"/>
      <c r="AC155" s="3322"/>
      <c r="AD155" s="3322"/>
      <c r="AE155" s="3322"/>
      <c r="AF155" s="3322"/>
      <c r="AG155" s="3322"/>
    </row>
    <row r="156" spans="1:33">
      <c r="A156" s="3316"/>
      <c r="B156" s="3316"/>
      <c r="C156" s="3322"/>
      <c r="D156" s="3322"/>
      <c r="E156" s="3322"/>
      <c r="F156" s="3317"/>
      <c r="G156" s="3317"/>
      <c r="H156" s="3317"/>
      <c r="I156" s="3317"/>
      <c r="J156" s="3317"/>
      <c r="K156" s="3317"/>
      <c r="L156" s="3317"/>
      <c r="M156" s="3317"/>
      <c r="N156" s="3317"/>
      <c r="O156" s="3317"/>
      <c r="P156" s="3317"/>
      <c r="Q156" s="3317"/>
      <c r="R156" s="3317"/>
      <c r="S156" s="3317"/>
      <c r="T156" s="3317"/>
      <c r="U156" s="3317"/>
      <c r="V156" s="3317"/>
      <c r="W156" s="3317"/>
      <c r="X156" s="3317"/>
      <c r="Y156" s="3317"/>
      <c r="Z156" s="3317"/>
      <c r="AA156" s="3322"/>
      <c r="AB156" s="3322"/>
      <c r="AC156" s="3322"/>
      <c r="AD156" s="3322"/>
      <c r="AE156" s="3322"/>
      <c r="AF156" s="3322"/>
      <c r="AG156" s="3322"/>
    </row>
    <row r="157" spans="1:33">
      <c r="A157" s="3316"/>
      <c r="B157" s="3316"/>
      <c r="C157" s="3322"/>
      <c r="D157" s="3322"/>
      <c r="E157" s="3322"/>
      <c r="F157" s="3317"/>
      <c r="G157" s="3317"/>
      <c r="H157" s="3317"/>
      <c r="I157" s="3317"/>
      <c r="J157" s="3317"/>
      <c r="K157" s="3317"/>
      <c r="L157" s="3317"/>
      <c r="M157" s="3317"/>
      <c r="N157" s="3317"/>
      <c r="O157" s="3317"/>
      <c r="P157" s="3317"/>
      <c r="Q157" s="3317"/>
      <c r="R157" s="3317"/>
      <c r="S157" s="3317"/>
      <c r="T157" s="3317"/>
      <c r="U157" s="3317"/>
      <c r="V157" s="3317"/>
      <c r="W157" s="3317"/>
      <c r="X157" s="3317"/>
      <c r="Y157" s="3317"/>
      <c r="Z157" s="3317"/>
      <c r="AA157" s="3322"/>
      <c r="AB157" s="3322"/>
      <c r="AC157" s="3322"/>
      <c r="AD157" s="3322"/>
      <c r="AE157" s="3322"/>
      <c r="AF157" s="3322"/>
      <c r="AG157" s="3322"/>
    </row>
    <row r="158" spans="1:33">
      <c r="A158" s="3316"/>
      <c r="B158" s="3316"/>
      <c r="C158" s="3322"/>
      <c r="D158" s="3322"/>
      <c r="E158" s="3322"/>
      <c r="F158" s="3317"/>
      <c r="G158" s="3317"/>
      <c r="H158" s="3317"/>
      <c r="I158" s="3317"/>
      <c r="J158" s="3317"/>
      <c r="K158" s="3317"/>
      <c r="L158" s="3317"/>
      <c r="M158" s="3317"/>
      <c r="N158" s="3317"/>
      <c r="O158" s="3317"/>
      <c r="P158" s="3317"/>
      <c r="Q158" s="3317"/>
      <c r="R158" s="3317"/>
      <c r="S158" s="3317"/>
      <c r="T158" s="3317"/>
      <c r="U158" s="3317"/>
      <c r="V158" s="3317"/>
      <c r="W158" s="3317"/>
      <c r="X158" s="3317"/>
      <c r="Y158" s="3317"/>
      <c r="Z158" s="3317"/>
      <c r="AA158" s="3322"/>
      <c r="AB158" s="3322"/>
      <c r="AC158" s="3322"/>
      <c r="AD158" s="3322"/>
      <c r="AE158" s="3322"/>
      <c r="AF158" s="3322"/>
      <c r="AG158" s="3322"/>
    </row>
    <row r="159" spans="1:33">
      <c r="A159" s="3316"/>
      <c r="B159" s="3316"/>
      <c r="C159" s="3322"/>
      <c r="D159" s="3322"/>
      <c r="E159" s="3322"/>
      <c r="F159" s="3317"/>
      <c r="G159" s="3317"/>
      <c r="H159" s="3317"/>
      <c r="I159" s="3317"/>
      <c r="J159" s="3317"/>
      <c r="K159" s="3317"/>
      <c r="L159" s="3317"/>
      <c r="M159" s="3317"/>
      <c r="N159" s="3317"/>
      <c r="O159" s="3317"/>
      <c r="P159" s="3317"/>
      <c r="Q159" s="3317"/>
      <c r="R159" s="3317"/>
      <c r="S159" s="3317"/>
      <c r="T159" s="3317"/>
      <c r="U159" s="3317"/>
      <c r="V159" s="3317"/>
      <c r="W159" s="3317"/>
      <c r="X159" s="3317"/>
      <c r="Y159" s="3317"/>
      <c r="Z159" s="3317"/>
      <c r="AA159" s="3322"/>
      <c r="AB159" s="3322"/>
      <c r="AC159" s="3322"/>
      <c r="AD159" s="3322"/>
      <c r="AE159" s="3322"/>
      <c r="AF159" s="3322"/>
      <c r="AG159" s="3322"/>
    </row>
    <row r="160" spans="1:33">
      <c r="A160" s="3316"/>
      <c r="B160" s="3316"/>
      <c r="C160" s="3322"/>
      <c r="D160" s="3322"/>
      <c r="E160" s="3322"/>
      <c r="F160" s="3317"/>
      <c r="G160" s="3317"/>
      <c r="H160" s="3317"/>
      <c r="I160" s="3317"/>
      <c r="J160" s="3317"/>
      <c r="K160" s="3317"/>
      <c r="L160" s="3317"/>
      <c r="M160" s="3317"/>
      <c r="N160" s="3317"/>
      <c r="O160" s="3317"/>
      <c r="P160" s="3317"/>
      <c r="Q160" s="3317"/>
      <c r="R160" s="3317"/>
      <c r="S160" s="3317"/>
      <c r="T160" s="3317"/>
      <c r="U160" s="3317"/>
      <c r="V160" s="3317"/>
      <c r="W160" s="3317"/>
      <c r="X160" s="3317"/>
      <c r="Y160" s="3317"/>
      <c r="Z160" s="3317"/>
      <c r="AA160" s="3322"/>
      <c r="AB160" s="3322"/>
      <c r="AC160" s="3322"/>
      <c r="AD160" s="3322"/>
      <c r="AE160" s="3322"/>
      <c r="AF160" s="3322"/>
      <c r="AG160" s="3322"/>
    </row>
    <row r="161" spans="1:33">
      <c r="A161" s="3316"/>
      <c r="B161" s="3316"/>
      <c r="C161" s="3322"/>
      <c r="D161" s="3322"/>
      <c r="E161" s="3322"/>
      <c r="F161" s="3317"/>
      <c r="G161" s="3317"/>
      <c r="H161" s="3317"/>
      <c r="I161" s="3317"/>
      <c r="J161" s="3317"/>
      <c r="K161" s="3317"/>
      <c r="L161" s="3317"/>
      <c r="M161" s="3317"/>
      <c r="N161" s="3317"/>
      <c r="O161" s="3317"/>
      <c r="P161" s="3317"/>
      <c r="Q161" s="3317"/>
      <c r="R161" s="3317"/>
      <c r="S161" s="3317"/>
      <c r="T161" s="3317"/>
      <c r="U161" s="3317"/>
      <c r="V161" s="3317"/>
      <c r="W161" s="3317"/>
      <c r="X161" s="3317"/>
      <c r="Y161" s="3317"/>
      <c r="Z161" s="3317"/>
      <c r="AA161" s="3322"/>
      <c r="AB161" s="3322"/>
      <c r="AC161" s="3322"/>
      <c r="AD161" s="3322"/>
      <c r="AE161" s="3322"/>
      <c r="AF161" s="3322"/>
      <c r="AG161" s="3322"/>
    </row>
    <row r="162" spans="1:33">
      <c r="A162" s="3316"/>
      <c r="B162" s="3316"/>
      <c r="C162" s="3322"/>
      <c r="D162" s="3322"/>
      <c r="E162" s="3322"/>
      <c r="F162" s="3317"/>
      <c r="G162" s="3317"/>
      <c r="H162" s="3317"/>
      <c r="I162" s="3317"/>
      <c r="J162" s="3317"/>
      <c r="K162" s="3317"/>
      <c r="L162" s="3317"/>
      <c r="M162" s="3317"/>
      <c r="N162" s="3317"/>
      <c r="O162" s="3317"/>
      <c r="P162" s="3317"/>
      <c r="Q162" s="3317"/>
      <c r="R162" s="3317"/>
      <c r="S162" s="3317"/>
      <c r="T162" s="3317"/>
      <c r="U162" s="3317"/>
      <c r="V162" s="3317"/>
      <c r="W162" s="3317"/>
      <c r="X162" s="3317"/>
      <c r="Y162" s="3317"/>
      <c r="Z162" s="3317"/>
      <c r="AA162" s="3322"/>
      <c r="AB162" s="3322"/>
      <c r="AC162" s="3322"/>
      <c r="AD162" s="3322"/>
      <c r="AE162" s="3322"/>
      <c r="AF162" s="3322"/>
      <c r="AG162" s="3322"/>
    </row>
    <row r="163" spans="1:33">
      <c r="A163" s="3316"/>
      <c r="B163" s="3316"/>
      <c r="C163" s="3322"/>
      <c r="D163" s="3322"/>
      <c r="E163" s="3322"/>
      <c r="F163" s="3317"/>
      <c r="G163" s="3317"/>
      <c r="H163" s="3317"/>
      <c r="I163" s="3317"/>
      <c r="J163" s="3317"/>
      <c r="K163" s="3317"/>
      <c r="L163" s="3317"/>
      <c r="M163" s="3317"/>
      <c r="N163" s="3317"/>
      <c r="O163" s="3317"/>
      <c r="P163" s="3317"/>
      <c r="Q163" s="3317"/>
      <c r="R163" s="3317"/>
      <c r="S163" s="3317"/>
      <c r="T163" s="3317"/>
      <c r="U163" s="3317"/>
      <c r="V163" s="3317"/>
      <c r="W163" s="3317"/>
      <c r="X163" s="3317"/>
      <c r="Y163" s="3317"/>
      <c r="Z163" s="3317"/>
      <c r="AA163" s="3322"/>
      <c r="AB163" s="3322"/>
      <c r="AC163" s="3322"/>
      <c r="AD163" s="3322"/>
      <c r="AE163" s="3322"/>
      <c r="AF163" s="3322"/>
      <c r="AG163" s="3322"/>
    </row>
    <row r="164" spans="1:33">
      <c r="A164" s="3316"/>
      <c r="B164" s="3316"/>
      <c r="C164" s="3322"/>
      <c r="D164" s="3322"/>
      <c r="E164" s="3322"/>
      <c r="F164" s="3317"/>
      <c r="G164" s="3317"/>
      <c r="H164" s="3317"/>
      <c r="I164" s="3317"/>
      <c r="J164" s="3317"/>
      <c r="K164" s="3317"/>
      <c r="L164" s="3317"/>
      <c r="M164" s="3317"/>
      <c r="N164" s="3317"/>
      <c r="O164" s="3317"/>
      <c r="P164" s="3317"/>
      <c r="Q164" s="3317"/>
      <c r="R164" s="3317"/>
      <c r="S164" s="3317"/>
      <c r="T164" s="3317"/>
      <c r="U164" s="3317"/>
      <c r="V164" s="3317"/>
      <c r="W164" s="3317"/>
      <c r="X164" s="3317"/>
      <c r="Y164" s="3317"/>
      <c r="Z164" s="3317"/>
      <c r="AA164" s="3322"/>
      <c r="AB164" s="3322"/>
      <c r="AC164" s="3322"/>
      <c r="AD164" s="3322"/>
      <c r="AE164" s="3322"/>
      <c r="AF164" s="3322"/>
      <c r="AG164" s="3322"/>
    </row>
    <row r="165" spans="1:33">
      <c r="A165" s="3316"/>
      <c r="B165" s="3316"/>
      <c r="C165" s="3322"/>
      <c r="D165" s="3322"/>
      <c r="E165" s="3322"/>
      <c r="F165" s="3317"/>
      <c r="G165" s="3317"/>
      <c r="H165" s="3317"/>
      <c r="I165" s="3317"/>
      <c r="J165" s="3317"/>
      <c r="K165" s="3317"/>
      <c r="L165" s="3317"/>
      <c r="M165" s="3317"/>
      <c r="N165" s="3317"/>
      <c r="O165" s="3317"/>
      <c r="P165" s="3317"/>
      <c r="Q165" s="3317"/>
      <c r="R165" s="3317"/>
      <c r="S165" s="3317"/>
      <c r="T165" s="3317"/>
      <c r="U165" s="3317"/>
      <c r="V165" s="3317"/>
      <c r="W165" s="3317"/>
      <c r="X165" s="3317"/>
      <c r="Y165" s="3317"/>
      <c r="Z165" s="3317"/>
      <c r="AA165" s="3322"/>
      <c r="AB165" s="3322"/>
      <c r="AC165" s="3322"/>
      <c r="AD165" s="3322"/>
      <c r="AE165" s="3322"/>
      <c r="AF165" s="3322"/>
      <c r="AG165" s="3322"/>
    </row>
    <row r="166" spans="1:33">
      <c r="A166" s="3316"/>
      <c r="B166" s="3316"/>
      <c r="C166" s="3322"/>
      <c r="D166" s="3322"/>
      <c r="E166" s="3322"/>
      <c r="F166" s="3317"/>
      <c r="G166" s="3317"/>
      <c r="H166" s="3317"/>
      <c r="I166" s="3317"/>
      <c r="J166" s="3317"/>
      <c r="K166" s="3317"/>
      <c r="L166" s="3317"/>
      <c r="M166" s="3317"/>
      <c r="N166" s="3317"/>
      <c r="O166" s="3317"/>
      <c r="P166" s="3317"/>
      <c r="Q166" s="3317"/>
      <c r="R166" s="3317"/>
      <c r="S166" s="3317"/>
      <c r="T166" s="3317"/>
      <c r="U166" s="3317"/>
      <c r="V166" s="3317"/>
      <c r="W166" s="3317"/>
      <c r="X166" s="3317"/>
      <c r="Y166" s="3317"/>
      <c r="Z166" s="3317"/>
      <c r="AA166" s="3322"/>
      <c r="AB166" s="3322"/>
      <c r="AC166" s="3322"/>
      <c r="AD166" s="3322"/>
      <c r="AE166" s="3322"/>
      <c r="AF166" s="3322"/>
      <c r="AG166" s="3322"/>
    </row>
    <row r="167" spans="1:33">
      <c r="A167" s="3316"/>
      <c r="B167" s="3316"/>
      <c r="C167" s="3322"/>
      <c r="D167" s="3322"/>
      <c r="E167" s="3322"/>
      <c r="F167" s="3317"/>
      <c r="G167" s="3317"/>
      <c r="H167" s="3317"/>
      <c r="I167" s="3317"/>
      <c r="J167" s="3317"/>
      <c r="K167" s="3317"/>
      <c r="L167" s="3317"/>
      <c r="M167" s="3317"/>
      <c r="N167" s="3317"/>
      <c r="O167" s="3317"/>
      <c r="P167" s="3317"/>
      <c r="Q167" s="3317"/>
      <c r="R167" s="3317"/>
      <c r="S167" s="3317"/>
      <c r="T167" s="3317"/>
      <c r="U167" s="3317"/>
      <c r="V167" s="3317"/>
      <c r="W167" s="3317"/>
      <c r="X167" s="3317"/>
      <c r="Y167" s="3317"/>
      <c r="Z167" s="3317"/>
      <c r="AA167" s="3322"/>
      <c r="AB167" s="3322"/>
      <c r="AC167" s="3322"/>
      <c r="AD167" s="3322"/>
      <c r="AE167" s="3322"/>
      <c r="AF167" s="3322"/>
      <c r="AG167" s="3322"/>
    </row>
    <row r="168" spans="1:33">
      <c r="A168" s="3316"/>
      <c r="B168" s="3316"/>
      <c r="C168" s="3322"/>
      <c r="D168" s="3322"/>
      <c r="E168" s="3322"/>
      <c r="F168" s="3317"/>
      <c r="G168" s="3317"/>
      <c r="H168" s="3317"/>
      <c r="I168" s="3317"/>
      <c r="J168" s="3317"/>
      <c r="K168" s="3317"/>
      <c r="L168" s="3317"/>
      <c r="M168" s="3317"/>
      <c r="N168" s="3317"/>
      <c r="O168" s="3317"/>
      <c r="P168" s="3317"/>
      <c r="Q168" s="3317"/>
      <c r="R168" s="3317"/>
      <c r="S168" s="3317"/>
      <c r="T168" s="3317"/>
      <c r="U168" s="3317"/>
      <c r="V168" s="3317"/>
      <c r="W168" s="3317"/>
      <c r="X168" s="3317"/>
      <c r="Y168" s="3317"/>
      <c r="Z168" s="3317"/>
      <c r="AA168" s="3322"/>
      <c r="AB168" s="3322"/>
      <c r="AC168" s="3322"/>
      <c r="AD168" s="3322"/>
      <c r="AE168" s="3322"/>
      <c r="AF168" s="3322"/>
      <c r="AG168" s="3322"/>
    </row>
    <row r="169" spans="1:33">
      <c r="A169" s="3316"/>
      <c r="B169" s="3316"/>
      <c r="C169" s="3322"/>
      <c r="D169" s="3322"/>
      <c r="E169" s="3322"/>
      <c r="F169" s="3317"/>
      <c r="G169" s="3317"/>
      <c r="H169" s="3317"/>
      <c r="I169" s="3317"/>
      <c r="J169" s="3317"/>
      <c r="K169" s="3317"/>
      <c r="L169" s="3317"/>
      <c r="M169" s="3317"/>
      <c r="N169" s="3317"/>
      <c r="O169" s="3317"/>
      <c r="P169" s="3317"/>
      <c r="Q169" s="3317"/>
      <c r="R169" s="3317"/>
      <c r="S169" s="3317"/>
      <c r="T169" s="3317"/>
      <c r="U169" s="3317"/>
      <c r="V169" s="3317"/>
      <c r="W169" s="3317"/>
      <c r="X169" s="3317"/>
      <c r="Y169" s="3317"/>
      <c r="Z169" s="3317"/>
      <c r="AA169" s="3322"/>
      <c r="AB169" s="3322"/>
      <c r="AC169" s="3322"/>
      <c r="AD169" s="3322"/>
      <c r="AE169" s="3322"/>
      <c r="AF169" s="3322"/>
      <c r="AG169" s="3322"/>
    </row>
    <row r="170" spans="1:33">
      <c r="A170" s="3316"/>
      <c r="B170" s="3316"/>
      <c r="C170" s="3322"/>
      <c r="D170" s="3322"/>
      <c r="E170" s="3322"/>
      <c r="F170" s="3317"/>
      <c r="G170" s="3317"/>
      <c r="H170" s="3317"/>
      <c r="I170" s="3317"/>
      <c r="J170" s="3317"/>
      <c r="K170" s="3317"/>
      <c r="L170" s="3317"/>
      <c r="M170" s="3317"/>
      <c r="N170" s="3317"/>
      <c r="O170" s="3317"/>
      <c r="P170" s="3317"/>
      <c r="Q170" s="3317"/>
      <c r="R170" s="3317"/>
      <c r="S170" s="3317"/>
      <c r="T170" s="3317"/>
      <c r="U170" s="3317"/>
      <c r="V170" s="3317"/>
      <c r="W170" s="3317"/>
      <c r="X170" s="3317"/>
      <c r="Y170" s="3317"/>
      <c r="Z170" s="3317"/>
      <c r="AA170" s="3322"/>
      <c r="AB170" s="3322"/>
      <c r="AC170" s="3322"/>
      <c r="AD170" s="3322"/>
      <c r="AE170" s="3322"/>
      <c r="AF170" s="3322"/>
      <c r="AG170" s="3322"/>
    </row>
    <row r="171" spans="1:33">
      <c r="A171" s="3316"/>
      <c r="B171" s="3316"/>
      <c r="C171" s="3322"/>
      <c r="D171" s="3322"/>
      <c r="E171" s="3322"/>
      <c r="F171" s="3317"/>
      <c r="G171" s="3317"/>
      <c r="H171" s="3317"/>
      <c r="I171" s="3317"/>
      <c r="J171" s="3317"/>
      <c r="K171" s="3317"/>
      <c r="L171" s="3317"/>
      <c r="M171" s="3317"/>
      <c r="N171" s="3317"/>
      <c r="O171" s="3317"/>
      <c r="P171" s="3317"/>
      <c r="Q171" s="3317"/>
      <c r="R171" s="3317"/>
      <c r="S171" s="3317"/>
      <c r="T171" s="3317"/>
      <c r="U171" s="3317"/>
      <c r="V171" s="3317"/>
      <c r="W171" s="3317"/>
      <c r="X171" s="3317"/>
      <c r="Y171" s="3317"/>
      <c r="Z171" s="3317"/>
      <c r="AA171" s="3322"/>
      <c r="AB171" s="3322"/>
      <c r="AC171" s="3322"/>
      <c r="AD171" s="3322"/>
      <c r="AE171" s="3322"/>
      <c r="AF171" s="3322"/>
      <c r="AG171" s="3322"/>
    </row>
    <row r="172" spans="1:33">
      <c r="A172" s="3316"/>
      <c r="B172" s="3316"/>
      <c r="C172" s="3322"/>
      <c r="D172" s="3322"/>
      <c r="E172" s="3322"/>
      <c r="F172" s="3317"/>
      <c r="G172" s="3317"/>
      <c r="H172" s="3317"/>
      <c r="I172" s="3317"/>
      <c r="J172" s="3317"/>
      <c r="K172" s="3317"/>
      <c r="L172" s="3317"/>
      <c r="M172" s="3317"/>
      <c r="N172" s="3317"/>
      <c r="O172" s="3317"/>
      <c r="P172" s="3317"/>
      <c r="Q172" s="3317"/>
      <c r="R172" s="3317"/>
      <c r="S172" s="3317"/>
      <c r="T172" s="3317"/>
      <c r="U172" s="3317"/>
      <c r="V172" s="3317"/>
      <c r="W172" s="3317"/>
      <c r="X172" s="3317"/>
      <c r="Y172" s="3317"/>
      <c r="Z172" s="3317"/>
      <c r="AA172" s="3322"/>
      <c r="AB172" s="3322"/>
      <c r="AC172" s="3322"/>
      <c r="AD172" s="3322"/>
      <c r="AE172" s="3322"/>
      <c r="AF172" s="3322"/>
      <c r="AG172" s="3322"/>
    </row>
    <row r="173" spans="1:33">
      <c r="A173" s="3316"/>
      <c r="B173" s="3316"/>
      <c r="C173" s="3322"/>
      <c r="D173" s="3322"/>
      <c r="E173" s="3322"/>
      <c r="F173" s="3317"/>
      <c r="G173" s="3317"/>
      <c r="H173" s="3317"/>
      <c r="I173" s="3317"/>
      <c r="J173" s="3317"/>
      <c r="K173" s="3317"/>
      <c r="L173" s="3317"/>
      <c r="M173" s="3317"/>
      <c r="N173" s="3317"/>
      <c r="O173" s="3317"/>
      <c r="P173" s="3317"/>
      <c r="Q173" s="3317"/>
      <c r="R173" s="3317"/>
      <c r="S173" s="3317"/>
      <c r="T173" s="3317"/>
      <c r="U173" s="3317"/>
      <c r="V173" s="3317"/>
      <c r="W173" s="3317"/>
      <c r="X173" s="3317"/>
      <c r="Y173" s="3317"/>
      <c r="Z173" s="3317"/>
      <c r="AA173" s="3322"/>
      <c r="AB173" s="3322"/>
      <c r="AC173" s="3322"/>
      <c r="AD173" s="3322"/>
      <c r="AE173" s="3322"/>
      <c r="AF173" s="3322"/>
      <c r="AG173" s="3322"/>
    </row>
    <row r="174" spans="1:33">
      <c r="A174" s="3316"/>
      <c r="B174" s="3316"/>
      <c r="C174" s="3322"/>
      <c r="D174" s="3322"/>
      <c r="E174" s="3322"/>
      <c r="F174" s="3317"/>
      <c r="G174" s="3317"/>
      <c r="H174" s="3317"/>
      <c r="I174" s="3317"/>
      <c r="J174" s="3317"/>
      <c r="K174" s="3317"/>
      <c r="L174" s="3317"/>
      <c r="M174" s="3317"/>
      <c r="N174" s="3317"/>
      <c r="O174" s="3317"/>
      <c r="P174" s="3317"/>
      <c r="Q174" s="3317"/>
      <c r="R174" s="3317"/>
      <c r="S174" s="3317"/>
      <c r="T174" s="3317"/>
      <c r="U174" s="3317"/>
      <c r="V174" s="3317"/>
      <c r="W174" s="3317"/>
      <c r="X174" s="3317"/>
      <c r="Y174" s="3317"/>
      <c r="Z174" s="3317"/>
      <c r="AA174" s="3322"/>
      <c r="AB174" s="3322"/>
      <c r="AC174" s="3322"/>
      <c r="AD174" s="3322"/>
      <c r="AE174" s="3322"/>
      <c r="AF174" s="3322"/>
      <c r="AG174" s="3322"/>
    </row>
    <row r="175" spans="1:33">
      <c r="A175" s="3316"/>
      <c r="B175" s="3316"/>
      <c r="C175" s="3322"/>
      <c r="D175" s="3322"/>
      <c r="E175" s="3322"/>
      <c r="F175" s="3317"/>
      <c r="G175" s="3317"/>
      <c r="H175" s="3317"/>
      <c r="I175" s="3317"/>
      <c r="J175" s="3317"/>
      <c r="K175" s="3317"/>
      <c r="L175" s="3317"/>
      <c r="M175" s="3317"/>
      <c r="N175" s="3317"/>
      <c r="O175" s="3317"/>
      <c r="P175" s="3317"/>
      <c r="Q175" s="3317"/>
      <c r="R175" s="3317"/>
      <c r="S175" s="3317"/>
      <c r="T175" s="3317"/>
      <c r="U175" s="3317"/>
      <c r="V175" s="3317"/>
      <c r="W175" s="3317"/>
      <c r="X175" s="3317"/>
      <c r="Y175" s="3317"/>
      <c r="Z175" s="3317"/>
      <c r="AA175" s="3322"/>
      <c r="AB175" s="3322"/>
      <c r="AC175" s="3322"/>
      <c r="AD175" s="3322"/>
      <c r="AE175" s="3322"/>
      <c r="AF175" s="3322"/>
      <c r="AG175" s="3322"/>
    </row>
    <row r="176" spans="1:33">
      <c r="A176" s="3316"/>
      <c r="B176" s="3316"/>
      <c r="C176" s="3322"/>
      <c r="D176" s="3322"/>
      <c r="E176" s="3322"/>
      <c r="F176" s="3317"/>
      <c r="G176" s="3317"/>
      <c r="H176" s="3317"/>
      <c r="I176" s="3317"/>
      <c r="J176" s="3317"/>
      <c r="K176" s="3317"/>
      <c r="L176" s="3317"/>
      <c r="M176" s="3317"/>
      <c r="N176" s="3317"/>
      <c r="O176" s="3317"/>
      <c r="P176" s="3317"/>
      <c r="Q176" s="3317"/>
      <c r="R176" s="3317"/>
      <c r="S176" s="3317"/>
      <c r="T176" s="3317"/>
      <c r="U176" s="3317"/>
      <c r="V176" s="3317"/>
      <c r="W176" s="3317"/>
      <c r="X176" s="3317"/>
      <c r="Y176" s="3317"/>
      <c r="Z176" s="3317"/>
      <c r="AA176" s="3322"/>
      <c r="AB176" s="3322"/>
      <c r="AC176" s="3322"/>
      <c r="AD176" s="3322"/>
      <c r="AE176" s="3322"/>
      <c r="AF176" s="3322"/>
      <c r="AG176" s="3322"/>
    </row>
    <row r="177" spans="1:33">
      <c r="A177" s="3316"/>
      <c r="B177" s="3316"/>
      <c r="C177" s="3322"/>
      <c r="D177" s="3322"/>
      <c r="E177" s="3322"/>
      <c r="F177" s="3317"/>
      <c r="G177" s="3317"/>
      <c r="H177" s="3317"/>
      <c r="I177" s="3317"/>
      <c r="J177" s="3317"/>
      <c r="K177" s="3317"/>
      <c r="L177" s="3317"/>
      <c r="M177" s="3317"/>
      <c r="N177" s="3317"/>
      <c r="O177" s="3317"/>
      <c r="P177" s="3317"/>
      <c r="Q177" s="3317"/>
      <c r="R177" s="3317"/>
      <c r="S177" s="3317"/>
      <c r="T177" s="3317"/>
      <c r="U177" s="3317"/>
      <c r="V177" s="3317"/>
      <c r="W177" s="3317"/>
      <c r="X177" s="3317"/>
      <c r="Y177" s="3317"/>
      <c r="Z177" s="3317"/>
      <c r="AA177" s="3322"/>
      <c r="AB177" s="3322"/>
      <c r="AC177" s="3322"/>
      <c r="AD177" s="3322"/>
      <c r="AE177" s="3322"/>
      <c r="AF177" s="3322"/>
      <c r="AG177" s="3322"/>
    </row>
    <row r="178" spans="1:33">
      <c r="A178" s="3316"/>
      <c r="B178" s="3316"/>
      <c r="C178" s="3322"/>
      <c r="D178" s="3322"/>
      <c r="E178" s="3322"/>
      <c r="F178" s="3317"/>
      <c r="G178" s="3317"/>
      <c r="H178" s="3317"/>
      <c r="I178" s="3317"/>
      <c r="J178" s="3317"/>
      <c r="K178" s="3317"/>
      <c r="L178" s="3317"/>
      <c r="M178" s="3317"/>
      <c r="N178" s="3317"/>
      <c r="O178" s="3317"/>
      <c r="P178" s="3317"/>
      <c r="Q178" s="3317"/>
      <c r="R178" s="3317"/>
      <c r="S178" s="3317"/>
      <c r="T178" s="3317"/>
      <c r="U178" s="3317"/>
      <c r="V178" s="3317"/>
      <c r="W178" s="3317"/>
      <c r="X178" s="3317"/>
      <c r="Y178" s="3317"/>
      <c r="Z178" s="3317"/>
      <c r="AA178" s="3322"/>
      <c r="AB178" s="3322"/>
      <c r="AC178" s="3322"/>
      <c r="AD178" s="3322"/>
      <c r="AE178" s="3322"/>
      <c r="AF178" s="3322"/>
      <c r="AG178" s="3322"/>
    </row>
    <row r="179" spans="1:33">
      <c r="A179" s="3316"/>
      <c r="B179" s="3316"/>
      <c r="C179" s="3322"/>
      <c r="D179" s="3322"/>
      <c r="E179" s="3322"/>
      <c r="F179" s="3317"/>
      <c r="G179" s="3317"/>
      <c r="H179" s="3317"/>
      <c r="I179" s="3317"/>
      <c r="J179" s="3317"/>
      <c r="K179" s="3317"/>
      <c r="L179" s="3317"/>
      <c r="M179" s="3317"/>
      <c r="N179" s="3317"/>
      <c r="O179" s="3317"/>
      <c r="P179" s="3317"/>
      <c r="Q179" s="3317"/>
      <c r="R179" s="3317"/>
      <c r="S179" s="3317"/>
      <c r="T179" s="3317"/>
      <c r="U179" s="3317"/>
      <c r="V179" s="3317"/>
      <c r="W179" s="3317"/>
      <c r="X179" s="3317"/>
      <c r="Y179" s="3317"/>
      <c r="Z179" s="3317"/>
      <c r="AA179" s="3322"/>
      <c r="AB179" s="3322"/>
      <c r="AC179" s="3322"/>
      <c r="AD179" s="3322"/>
      <c r="AE179" s="3322"/>
      <c r="AF179" s="3322"/>
      <c r="AG179" s="3322"/>
    </row>
    <row r="180" spans="1:33">
      <c r="A180" s="3316"/>
      <c r="B180" s="3316"/>
      <c r="C180" s="3322"/>
      <c r="D180" s="3322"/>
      <c r="E180" s="3322"/>
      <c r="F180" s="3317"/>
      <c r="G180" s="3317"/>
      <c r="H180" s="3317"/>
      <c r="I180" s="3317"/>
      <c r="J180" s="3317"/>
      <c r="K180" s="3317"/>
      <c r="L180" s="3317"/>
      <c r="M180" s="3317"/>
      <c r="N180" s="3317"/>
      <c r="O180" s="3317"/>
      <c r="P180" s="3317"/>
      <c r="Q180" s="3317"/>
      <c r="R180" s="3317"/>
      <c r="S180" s="3317"/>
      <c r="T180" s="3317"/>
      <c r="U180" s="3317"/>
      <c r="V180" s="3317"/>
      <c r="W180" s="3317"/>
      <c r="X180" s="3317"/>
      <c r="Y180" s="3317"/>
      <c r="Z180" s="3317"/>
      <c r="AA180" s="3322"/>
      <c r="AB180" s="3322"/>
      <c r="AC180" s="3322"/>
      <c r="AD180" s="3322"/>
      <c r="AE180" s="3322"/>
      <c r="AF180" s="3322"/>
      <c r="AG180" s="3322"/>
    </row>
    <row r="181" spans="1:33">
      <c r="A181" s="3316"/>
      <c r="B181" s="3316"/>
      <c r="C181" s="3322"/>
      <c r="D181" s="3322"/>
      <c r="E181" s="3322"/>
      <c r="F181" s="3317"/>
      <c r="G181" s="3317"/>
      <c r="H181" s="3317"/>
      <c r="I181" s="3317"/>
      <c r="J181" s="3317"/>
      <c r="K181" s="3317"/>
      <c r="L181" s="3317"/>
      <c r="M181" s="3317"/>
      <c r="N181" s="3317"/>
      <c r="O181" s="3317"/>
      <c r="P181" s="3317"/>
      <c r="Q181" s="3317"/>
      <c r="R181" s="3317"/>
      <c r="S181" s="3317"/>
      <c r="T181" s="3317"/>
      <c r="U181" s="3317"/>
      <c r="V181" s="3317"/>
      <c r="W181" s="3317"/>
      <c r="X181" s="3317"/>
      <c r="Y181" s="3317"/>
      <c r="Z181" s="3317"/>
      <c r="AA181" s="3322"/>
      <c r="AB181" s="3322"/>
      <c r="AC181" s="3322"/>
      <c r="AD181" s="3322"/>
      <c r="AE181" s="3322"/>
      <c r="AF181" s="3322"/>
      <c r="AG181" s="3322"/>
    </row>
    <row r="182" spans="1:33">
      <c r="A182" s="3316"/>
      <c r="B182" s="3316"/>
      <c r="C182" s="3322"/>
      <c r="D182" s="3322"/>
      <c r="E182" s="3322"/>
      <c r="F182" s="3317"/>
      <c r="G182" s="3317"/>
      <c r="H182" s="3317"/>
      <c r="I182" s="3317"/>
      <c r="J182" s="3317"/>
      <c r="K182" s="3317"/>
      <c r="L182" s="3317"/>
      <c r="M182" s="3317"/>
      <c r="N182" s="3317"/>
      <c r="O182" s="3317"/>
      <c r="P182" s="3317"/>
      <c r="Q182" s="3317"/>
      <c r="R182" s="3317"/>
      <c r="S182" s="3317"/>
      <c r="T182" s="3317"/>
      <c r="U182" s="3317"/>
      <c r="V182" s="3317"/>
      <c r="W182" s="3317"/>
      <c r="X182" s="3317"/>
      <c r="Y182" s="3317"/>
      <c r="Z182" s="3317"/>
      <c r="AA182" s="3322"/>
      <c r="AB182" s="3322"/>
      <c r="AC182" s="3322"/>
      <c r="AD182" s="3322"/>
      <c r="AE182" s="3322"/>
      <c r="AF182" s="3322"/>
      <c r="AG182" s="3322"/>
    </row>
    <row r="183" spans="1:33">
      <c r="A183" s="3316"/>
      <c r="B183" s="3316"/>
      <c r="C183" s="3322"/>
      <c r="D183" s="3322"/>
      <c r="E183" s="3322"/>
      <c r="F183" s="3317"/>
      <c r="G183" s="3317"/>
      <c r="H183" s="3317"/>
      <c r="I183" s="3317"/>
      <c r="J183" s="3317"/>
      <c r="K183" s="3317"/>
      <c r="L183" s="3317"/>
      <c r="M183" s="3317"/>
      <c r="N183" s="3317"/>
      <c r="O183" s="3317"/>
      <c r="P183" s="3317"/>
      <c r="Q183" s="3317"/>
      <c r="R183" s="3317"/>
      <c r="S183" s="3317"/>
      <c r="T183" s="3317"/>
      <c r="U183" s="3317"/>
      <c r="V183" s="3317"/>
      <c r="W183" s="3317"/>
      <c r="X183" s="3317"/>
      <c r="Y183" s="3317"/>
      <c r="Z183" s="3317"/>
      <c r="AA183" s="3322"/>
      <c r="AB183" s="3322"/>
      <c r="AC183" s="3322"/>
      <c r="AD183" s="3322"/>
      <c r="AE183" s="3322"/>
      <c r="AF183" s="3322"/>
      <c r="AG183" s="3322"/>
    </row>
    <row r="184" spans="1:33">
      <c r="A184" s="3316"/>
      <c r="B184" s="3316"/>
      <c r="C184" s="3322"/>
      <c r="D184" s="3322"/>
      <c r="E184" s="3322"/>
      <c r="F184" s="3317"/>
      <c r="G184" s="3317"/>
      <c r="H184" s="3317"/>
      <c r="I184" s="3317"/>
      <c r="J184" s="3317"/>
      <c r="K184" s="3317"/>
      <c r="L184" s="3317"/>
      <c r="M184" s="3317"/>
      <c r="N184" s="3317"/>
      <c r="O184" s="3317"/>
      <c r="P184" s="3317"/>
      <c r="Q184" s="3317"/>
      <c r="R184" s="3317"/>
      <c r="S184" s="3317"/>
      <c r="T184" s="3317"/>
      <c r="U184" s="3317"/>
      <c r="V184" s="3317"/>
      <c r="W184" s="3317"/>
      <c r="X184" s="3317"/>
      <c r="Y184" s="3317"/>
      <c r="Z184" s="3317"/>
      <c r="AA184" s="3322"/>
      <c r="AB184" s="3322"/>
      <c r="AC184" s="3322"/>
      <c r="AD184" s="3322"/>
      <c r="AE184" s="3322"/>
      <c r="AF184" s="3322"/>
      <c r="AG184" s="3322"/>
    </row>
    <row r="185" spans="1:33">
      <c r="A185" s="3316"/>
      <c r="B185" s="3316"/>
      <c r="C185" s="3322"/>
      <c r="D185" s="3322"/>
      <c r="E185" s="3322"/>
      <c r="F185" s="3317"/>
      <c r="G185" s="3317"/>
      <c r="H185" s="3317"/>
      <c r="I185" s="3317"/>
      <c r="J185" s="3317"/>
      <c r="K185" s="3317"/>
      <c r="L185" s="3317"/>
      <c r="M185" s="3317"/>
      <c r="N185" s="3317"/>
      <c r="O185" s="3317"/>
      <c r="P185" s="3317"/>
      <c r="Q185" s="3317"/>
      <c r="R185" s="3317"/>
      <c r="S185" s="3317"/>
      <c r="T185" s="3317"/>
      <c r="U185" s="3317"/>
      <c r="V185" s="3317"/>
      <c r="W185" s="3317"/>
      <c r="X185" s="3317"/>
      <c r="Y185" s="3317"/>
      <c r="Z185" s="3317"/>
      <c r="AA185" s="3322"/>
      <c r="AB185" s="3322"/>
      <c r="AC185" s="3322"/>
      <c r="AD185" s="3322"/>
      <c r="AE185" s="3322"/>
      <c r="AF185" s="3322"/>
      <c r="AG185" s="3322"/>
    </row>
    <row r="186" spans="1:33">
      <c r="A186" s="3316"/>
      <c r="B186" s="3316"/>
      <c r="C186" s="3322"/>
      <c r="D186" s="3322"/>
      <c r="E186" s="3322"/>
      <c r="F186" s="3317"/>
      <c r="G186" s="3317"/>
      <c r="H186" s="3317"/>
      <c r="I186" s="3317"/>
      <c r="J186" s="3317"/>
      <c r="K186" s="3317"/>
      <c r="L186" s="3317"/>
      <c r="M186" s="3317"/>
      <c r="N186" s="3317"/>
      <c r="O186" s="3317"/>
      <c r="P186" s="3317"/>
      <c r="Q186" s="3317"/>
      <c r="R186" s="3317"/>
      <c r="S186" s="3317"/>
      <c r="T186" s="3317"/>
      <c r="U186" s="3317"/>
      <c r="V186" s="3317"/>
      <c r="W186" s="3317"/>
      <c r="X186" s="3317"/>
      <c r="Y186" s="3317"/>
      <c r="Z186" s="3317"/>
      <c r="AA186" s="3322"/>
      <c r="AB186" s="3322"/>
      <c r="AC186" s="3322"/>
      <c r="AD186" s="3322"/>
      <c r="AE186" s="3322"/>
      <c r="AF186" s="3322"/>
      <c r="AG186" s="3322"/>
    </row>
    <row r="187" spans="1:33">
      <c r="A187" s="3316"/>
      <c r="B187" s="3316"/>
      <c r="C187" s="3322"/>
      <c r="D187" s="3322"/>
      <c r="E187" s="3322"/>
      <c r="F187" s="3317"/>
      <c r="G187" s="3317"/>
      <c r="H187" s="3317"/>
      <c r="I187" s="3317"/>
      <c r="J187" s="3317"/>
      <c r="K187" s="3317"/>
      <c r="L187" s="3317"/>
      <c r="M187" s="3317"/>
      <c r="N187" s="3317"/>
      <c r="O187" s="3317"/>
      <c r="P187" s="3317"/>
      <c r="Q187" s="3317"/>
      <c r="R187" s="3317"/>
      <c r="S187" s="3317"/>
      <c r="T187" s="3317"/>
      <c r="U187" s="3317"/>
      <c r="V187" s="3317"/>
      <c r="W187" s="3317"/>
      <c r="X187" s="3317"/>
      <c r="Y187" s="3317"/>
      <c r="Z187" s="3317"/>
      <c r="AA187" s="3322"/>
      <c r="AB187" s="3322"/>
      <c r="AC187" s="3322"/>
      <c r="AD187" s="3322"/>
      <c r="AE187" s="3322"/>
      <c r="AF187" s="3322"/>
      <c r="AG187" s="3322"/>
    </row>
    <row r="188" spans="1:33">
      <c r="A188" s="3316"/>
      <c r="B188" s="3316"/>
      <c r="C188" s="3322"/>
      <c r="D188" s="3322"/>
      <c r="E188" s="3322"/>
      <c r="F188" s="3317"/>
      <c r="G188" s="3317"/>
      <c r="H188" s="3317"/>
      <c r="I188" s="3317"/>
      <c r="J188" s="3317"/>
      <c r="K188" s="3317"/>
      <c r="L188" s="3317"/>
      <c r="M188" s="3317"/>
      <c r="N188" s="3317"/>
      <c r="O188" s="3317"/>
      <c r="P188" s="3317"/>
      <c r="Q188" s="3317"/>
      <c r="R188" s="3317"/>
      <c r="S188" s="3317"/>
      <c r="T188" s="3317"/>
      <c r="U188" s="3317"/>
      <c r="V188" s="3317"/>
      <c r="W188" s="3317"/>
      <c r="X188" s="3317"/>
      <c r="Y188" s="3317"/>
      <c r="Z188" s="3317"/>
      <c r="AA188" s="3322"/>
      <c r="AB188" s="3322"/>
      <c r="AC188" s="3322"/>
      <c r="AD188" s="3322"/>
      <c r="AE188" s="3322"/>
      <c r="AF188" s="3322"/>
      <c r="AG188" s="3322"/>
    </row>
    <row r="189" spans="1:33">
      <c r="A189" s="3316"/>
      <c r="B189" s="3316"/>
      <c r="C189" s="3322"/>
      <c r="D189" s="3322"/>
      <c r="E189" s="3322"/>
      <c r="F189" s="3317"/>
      <c r="G189" s="3317"/>
      <c r="H189" s="3317"/>
      <c r="I189" s="3317"/>
      <c r="J189" s="3317"/>
      <c r="K189" s="3317"/>
      <c r="L189" s="3317"/>
      <c r="M189" s="3317"/>
      <c r="N189" s="3317"/>
      <c r="O189" s="3317"/>
      <c r="P189" s="3317"/>
      <c r="Q189" s="3317"/>
      <c r="R189" s="3317"/>
      <c r="S189" s="3317"/>
      <c r="T189" s="3317"/>
      <c r="U189" s="3317"/>
      <c r="V189" s="3317"/>
      <c r="W189" s="3317"/>
      <c r="X189" s="3317"/>
      <c r="Y189" s="3317"/>
      <c r="Z189" s="3317"/>
      <c r="AA189" s="3322"/>
      <c r="AB189" s="3322"/>
      <c r="AC189" s="3322"/>
      <c r="AD189" s="3322"/>
      <c r="AE189" s="3322"/>
      <c r="AF189" s="3322"/>
      <c r="AG189" s="3322"/>
    </row>
    <row r="190" spans="1:33">
      <c r="A190" s="3316"/>
      <c r="B190" s="3316"/>
      <c r="C190" s="3322"/>
      <c r="D190" s="3322"/>
      <c r="E190" s="3322"/>
      <c r="F190" s="3317"/>
      <c r="G190" s="3317"/>
      <c r="H190" s="3317"/>
      <c r="I190" s="3317"/>
      <c r="J190" s="3317"/>
      <c r="K190" s="3317"/>
      <c r="L190" s="3317"/>
      <c r="M190" s="3317"/>
      <c r="N190" s="3317"/>
      <c r="O190" s="3317"/>
      <c r="P190" s="3317"/>
      <c r="Q190" s="3317"/>
      <c r="R190" s="3317"/>
      <c r="S190" s="3317"/>
      <c r="T190" s="3317"/>
      <c r="U190" s="3317"/>
      <c r="V190" s="3317"/>
      <c r="W190" s="3317"/>
      <c r="X190" s="3317"/>
      <c r="Y190" s="3317"/>
      <c r="Z190" s="3317"/>
      <c r="AA190" s="3322"/>
      <c r="AB190" s="3322"/>
      <c r="AC190" s="3322"/>
      <c r="AD190" s="3322"/>
      <c r="AE190" s="3322"/>
      <c r="AF190" s="3322"/>
      <c r="AG190" s="3322"/>
    </row>
    <row r="191" spans="1:33">
      <c r="A191" s="3316"/>
      <c r="B191" s="3316"/>
      <c r="C191" s="3322"/>
      <c r="D191" s="3322"/>
      <c r="E191" s="3322"/>
      <c r="F191" s="3317"/>
      <c r="G191" s="3317"/>
      <c r="H191" s="3317"/>
      <c r="I191" s="3317"/>
      <c r="J191" s="3317"/>
      <c r="K191" s="3317"/>
      <c r="L191" s="3317"/>
      <c r="M191" s="3317"/>
      <c r="N191" s="3317"/>
      <c r="O191" s="3317"/>
      <c r="P191" s="3317"/>
      <c r="Q191" s="3317"/>
      <c r="R191" s="3317"/>
      <c r="S191" s="3317"/>
      <c r="T191" s="3317"/>
      <c r="U191" s="3317"/>
      <c r="V191" s="3317"/>
      <c r="W191" s="3317"/>
      <c r="X191" s="3317"/>
      <c r="Y191" s="3317"/>
      <c r="Z191" s="3317"/>
      <c r="AA191" s="3322"/>
      <c r="AB191" s="3322"/>
      <c r="AC191" s="3322"/>
      <c r="AD191" s="3322"/>
      <c r="AE191" s="3322"/>
      <c r="AF191" s="3322"/>
      <c r="AG191" s="3322"/>
    </row>
    <row r="192" spans="1:33">
      <c r="A192" s="3316"/>
      <c r="B192" s="3316"/>
      <c r="C192" s="3322"/>
      <c r="D192" s="3322"/>
      <c r="E192" s="3322"/>
      <c r="F192" s="3317"/>
      <c r="G192" s="3317"/>
      <c r="H192" s="3317"/>
      <c r="I192" s="3317"/>
      <c r="J192" s="3317"/>
      <c r="K192" s="3317"/>
      <c r="L192" s="3317"/>
      <c r="M192" s="3317"/>
      <c r="N192" s="3317"/>
      <c r="O192" s="3317"/>
      <c r="P192" s="3317"/>
      <c r="Q192" s="3317"/>
      <c r="R192" s="3317"/>
      <c r="S192" s="3317"/>
      <c r="T192" s="3317"/>
      <c r="U192" s="3317"/>
      <c r="V192" s="3317"/>
      <c r="W192" s="3317"/>
      <c r="X192" s="3317"/>
      <c r="Y192" s="3317"/>
      <c r="Z192" s="3317"/>
      <c r="AA192" s="3322"/>
      <c r="AB192" s="3322"/>
      <c r="AC192" s="3322"/>
      <c r="AD192" s="3322"/>
      <c r="AE192" s="3322"/>
      <c r="AF192" s="3322"/>
      <c r="AG192" s="3322"/>
    </row>
    <row r="193" spans="1:33">
      <c r="A193" s="3316"/>
      <c r="B193" s="3316"/>
      <c r="C193" s="3322"/>
      <c r="D193" s="3322"/>
      <c r="E193" s="3322"/>
      <c r="F193" s="3317"/>
      <c r="G193" s="3317"/>
      <c r="H193" s="3317"/>
      <c r="I193" s="3317"/>
      <c r="J193" s="3317"/>
      <c r="K193" s="3317"/>
      <c r="L193" s="3317"/>
      <c r="M193" s="3317"/>
      <c r="N193" s="3317"/>
      <c r="O193" s="3317"/>
      <c r="P193" s="3317"/>
      <c r="Q193" s="3317"/>
      <c r="R193" s="3317"/>
      <c r="S193" s="3317"/>
      <c r="T193" s="3317"/>
      <c r="U193" s="3317"/>
      <c r="V193" s="3317"/>
      <c r="W193" s="3317"/>
      <c r="X193" s="3317"/>
      <c r="Y193" s="3317"/>
      <c r="Z193" s="3317"/>
      <c r="AA193" s="3322"/>
      <c r="AB193" s="3322"/>
      <c r="AC193" s="3322"/>
      <c r="AD193" s="3322"/>
      <c r="AE193" s="3322"/>
      <c r="AF193" s="3322"/>
      <c r="AG193" s="3322"/>
    </row>
    <row r="194" spans="1:33">
      <c r="A194" s="3316"/>
      <c r="B194" s="3316"/>
      <c r="C194" s="3322"/>
      <c r="D194" s="3322"/>
      <c r="E194" s="3322"/>
      <c r="F194" s="3317"/>
      <c r="G194" s="3317"/>
      <c r="H194" s="3317"/>
      <c r="I194" s="3317"/>
      <c r="J194" s="3317"/>
      <c r="K194" s="3317"/>
      <c r="L194" s="3317"/>
      <c r="M194" s="3317"/>
      <c r="N194" s="3317"/>
      <c r="O194" s="3317"/>
      <c r="P194" s="3317"/>
      <c r="Q194" s="3317"/>
      <c r="R194" s="3317"/>
      <c r="S194" s="3317"/>
      <c r="T194" s="3317"/>
      <c r="U194" s="3317"/>
      <c r="V194" s="3317"/>
      <c r="W194" s="3317"/>
      <c r="X194" s="3317"/>
      <c r="Y194" s="3317"/>
      <c r="Z194" s="3317"/>
      <c r="AA194" s="3322"/>
      <c r="AB194" s="3322"/>
      <c r="AC194" s="3322"/>
      <c r="AD194" s="3322"/>
      <c r="AE194" s="3322"/>
      <c r="AF194" s="3322"/>
      <c r="AG194" s="3322"/>
    </row>
    <row r="195" spans="1:33">
      <c r="A195" s="3316"/>
      <c r="B195" s="3316"/>
      <c r="C195" s="3322"/>
      <c r="D195" s="3322"/>
      <c r="E195" s="3322"/>
      <c r="F195" s="3317"/>
      <c r="G195" s="3317"/>
      <c r="H195" s="3317"/>
      <c r="I195" s="3317"/>
      <c r="J195" s="3317"/>
      <c r="K195" s="3317"/>
      <c r="L195" s="3317"/>
      <c r="M195" s="3317"/>
      <c r="N195" s="3317"/>
      <c r="O195" s="3317"/>
      <c r="P195" s="3317"/>
      <c r="Q195" s="3317"/>
      <c r="R195" s="3317"/>
      <c r="S195" s="3317"/>
      <c r="T195" s="3317"/>
      <c r="U195" s="3317"/>
      <c r="V195" s="3317"/>
      <c r="W195" s="3317"/>
      <c r="X195" s="3317"/>
      <c r="Y195" s="3317"/>
      <c r="Z195" s="3317"/>
      <c r="AA195" s="3322"/>
      <c r="AB195" s="3322"/>
      <c r="AC195" s="3322"/>
      <c r="AD195" s="3322"/>
      <c r="AE195" s="3322"/>
      <c r="AF195" s="3322"/>
      <c r="AG195" s="3322"/>
    </row>
    <row r="196" spans="1:33">
      <c r="A196" s="3316"/>
      <c r="B196" s="3316"/>
      <c r="C196" s="3322"/>
      <c r="D196" s="3322"/>
      <c r="E196" s="3322"/>
      <c r="F196" s="3317"/>
      <c r="G196" s="3317"/>
      <c r="H196" s="3317"/>
      <c r="I196" s="3317"/>
      <c r="J196" s="3317"/>
      <c r="K196" s="3317"/>
      <c r="L196" s="3317"/>
      <c r="M196" s="3317"/>
      <c r="N196" s="3317"/>
      <c r="O196" s="3317"/>
      <c r="P196" s="3317"/>
      <c r="Q196" s="3317"/>
      <c r="R196" s="3317"/>
      <c r="S196" s="3317"/>
      <c r="T196" s="3317"/>
      <c r="U196" s="3317"/>
      <c r="V196" s="3317"/>
      <c r="W196" s="3317"/>
      <c r="X196" s="3317"/>
      <c r="Y196" s="3317"/>
      <c r="Z196" s="3317"/>
      <c r="AA196" s="3322"/>
      <c r="AB196" s="3322"/>
      <c r="AC196" s="3322"/>
      <c r="AD196" s="3322"/>
      <c r="AE196" s="3322"/>
      <c r="AF196" s="3322"/>
      <c r="AG196" s="3322"/>
    </row>
    <row r="197" spans="1:33">
      <c r="A197" s="3316"/>
      <c r="B197" s="3316"/>
      <c r="C197" s="3322"/>
      <c r="D197" s="3322"/>
      <c r="E197" s="3322"/>
      <c r="F197" s="3317"/>
      <c r="G197" s="3317"/>
      <c r="H197" s="3317"/>
      <c r="I197" s="3317"/>
      <c r="J197" s="3317"/>
      <c r="K197" s="3317"/>
      <c r="L197" s="3317"/>
      <c r="M197" s="3317"/>
      <c r="N197" s="3317"/>
      <c r="O197" s="3317"/>
      <c r="P197" s="3317"/>
      <c r="Q197" s="3317"/>
      <c r="R197" s="3317"/>
      <c r="S197" s="3317"/>
      <c r="T197" s="3317"/>
      <c r="U197" s="3317"/>
      <c r="V197" s="3317"/>
      <c r="W197" s="3317"/>
      <c r="X197" s="3317"/>
      <c r="Y197" s="3317"/>
      <c r="Z197" s="3317"/>
      <c r="AA197" s="3322"/>
      <c r="AB197" s="3322"/>
      <c r="AC197" s="3322"/>
      <c r="AD197" s="3322"/>
      <c r="AE197" s="3322"/>
      <c r="AF197" s="3322"/>
      <c r="AG197" s="3322"/>
    </row>
    <row r="198" spans="1:33">
      <c r="A198" s="3316"/>
      <c r="B198" s="3316"/>
      <c r="C198" s="3322"/>
      <c r="D198" s="3322"/>
      <c r="E198" s="3322"/>
      <c r="F198" s="3317"/>
      <c r="G198" s="3317"/>
      <c r="H198" s="3317"/>
      <c r="I198" s="3317"/>
      <c r="J198" s="3317"/>
      <c r="K198" s="3317"/>
      <c r="L198" s="3317"/>
      <c r="M198" s="3317"/>
      <c r="N198" s="3317"/>
      <c r="O198" s="3317"/>
      <c r="P198" s="3317"/>
      <c r="Q198" s="3317"/>
      <c r="R198" s="3317"/>
      <c r="S198" s="3317"/>
      <c r="T198" s="3317"/>
      <c r="U198" s="3317"/>
      <c r="V198" s="3317"/>
      <c r="W198" s="3317"/>
      <c r="X198" s="3317"/>
      <c r="Y198" s="3317"/>
      <c r="Z198" s="3317"/>
      <c r="AA198" s="3322"/>
      <c r="AB198" s="3322"/>
      <c r="AC198" s="3322"/>
      <c r="AD198" s="3322"/>
      <c r="AE198" s="3322"/>
      <c r="AF198" s="3322"/>
      <c r="AG198" s="3322"/>
    </row>
    <row r="199" spans="1:33">
      <c r="A199" s="3316"/>
      <c r="B199" s="3316"/>
      <c r="C199" s="3322"/>
      <c r="D199" s="3322"/>
      <c r="E199" s="3322"/>
      <c r="F199" s="3317"/>
      <c r="G199" s="3317"/>
      <c r="H199" s="3317"/>
      <c r="I199" s="3317"/>
      <c r="J199" s="3317"/>
      <c r="K199" s="3317"/>
      <c r="L199" s="3317"/>
      <c r="M199" s="3317"/>
      <c r="N199" s="3317"/>
      <c r="O199" s="3317"/>
      <c r="P199" s="3317"/>
      <c r="Q199" s="3317"/>
      <c r="R199" s="3317"/>
      <c r="S199" s="3317"/>
      <c r="T199" s="3317"/>
      <c r="U199" s="3317"/>
      <c r="V199" s="3317"/>
      <c r="W199" s="3317"/>
      <c r="X199" s="3317"/>
      <c r="Y199" s="3317"/>
      <c r="Z199" s="3317"/>
      <c r="AA199" s="3322"/>
      <c r="AB199" s="3322"/>
      <c r="AC199" s="3322"/>
      <c r="AD199" s="3322"/>
      <c r="AE199" s="3322"/>
      <c r="AF199" s="3322"/>
      <c r="AG199" s="3322"/>
    </row>
    <row r="200" spans="1:33">
      <c r="A200" s="3316"/>
      <c r="B200" s="3316"/>
      <c r="C200" s="3322"/>
      <c r="D200" s="3322"/>
      <c r="E200" s="3322"/>
      <c r="F200" s="3317"/>
      <c r="G200" s="3317"/>
      <c r="H200" s="3317"/>
      <c r="I200" s="3317"/>
      <c r="J200" s="3317"/>
      <c r="K200" s="3317"/>
      <c r="L200" s="3317"/>
      <c r="M200" s="3317"/>
      <c r="N200" s="3317"/>
      <c r="O200" s="3317"/>
      <c r="P200" s="3317"/>
      <c r="Q200" s="3317"/>
      <c r="R200" s="3317"/>
      <c r="S200" s="3317"/>
      <c r="T200" s="3317"/>
      <c r="U200" s="3317"/>
      <c r="V200" s="3317"/>
      <c r="W200" s="3317"/>
      <c r="X200" s="3317"/>
      <c r="Y200" s="3317"/>
      <c r="Z200" s="3317"/>
      <c r="AA200" s="3322"/>
      <c r="AB200" s="3322"/>
      <c r="AC200" s="3322"/>
      <c r="AD200" s="3322"/>
      <c r="AE200" s="3322"/>
      <c r="AF200" s="3322"/>
      <c r="AG200" s="3322"/>
    </row>
    <row r="201" spans="1:33">
      <c r="A201" s="3316"/>
      <c r="B201" s="3316"/>
      <c r="C201" s="3322"/>
      <c r="D201" s="3322"/>
      <c r="E201" s="3322"/>
      <c r="F201" s="3317"/>
      <c r="G201" s="3317"/>
      <c r="H201" s="3317"/>
      <c r="I201" s="3317"/>
      <c r="J201" s="3317"/>
      <c r="K201" s="3317"/>
      <c r="L201" s="3317"/>
      <c r="M201" s="3317"/>
      <c r="N201" s="3317"/>
      <c r="O201" s="3317"/>
      <c r="P201" s="3317"/>
      <c r="Q201" s="3317"/>
      <c r="R201" s="3317"/>
      <c r="S201" s="3317"/>
      <c r="T201" s="3317"/>
      <c r="U201" s="3317"/>
      <c r="V201" s="3317"/>
      <c r="W201" s="3317"/>
      <c r="X201" s="3317"/>
      <c r="Y201" s="3317"/>
      <c r="Z201" s="3317"/>
      <c r="AA201" s="3322"/>
      <c r="AB201" s="3322"/>
      <c r="AC201" s="3322"/>
      <c r="AD201" s="3322"/>
      <c r="AE201" s="3322"/>
      <c r="AF201" s="3322"/>
      <c r="AG201" s="3322"/>
    </row>
    <row r="202" spans="1:33">
      <c r="A202" s="3316"/>
      <c r="B202" s="3316"/>
      <c r="C202" s="3322"/>
      <c r="D202" s="3322"/>
      <c r="E202" s="3322"/>
      <c r="F202" s="3317"/>
      <c r="G202" s="3317"/>
      <c r="H202" s="3317"/>
      <c r="I202" s="3317"/>
      <c r="J202" s="3317"/>
      <c r="K202" s="3317"/>
      <c r="L202" s="3317"/>
      <c r="M202" s="3317"/>
      <c r="N202" s="3317"/>
      <c r="O202" s="3317"/>
      <c r="P202" s="3317"/>
      <c r="Q202" s="3317"/>
      <c r="R202" s="3317"/>
      <c r="S202" s="3317"/>
      <c r="T202" s="3317"/>
      <c r="U202" s="3317"/>
      <c r="V202" s="3317"/>
      <c r="W202" s="3317"/>
      <c r="X202" s="3317"/>
      <c r="Y202" s="3317"/>
      <c r="Z202" s="3317"/>
      <c r="AA202" s="3322"/>
      <c r="AB202" s="3322"/>
      <c r="AC202" s="3322"/>
      <c r="AD202" s="3322"/>
      <c r="AE202" s="3322"/>
      <c r="AF202" s="3322"/>
      <c r="AG202" s="3322"/>
    </row>
    <row r="203" spans="1:33">
      <c r="A203" s="3316"/>
      <c r="B203" s="3316"/>
      <c r="C203" s="3322"/>
      <c r="D203" s="3322"/>
      <c r="E203" s="3322"/>
      <c r="F203" s="3317"/>
      <c r="G203" s="3317"/>
      <c r="H203" s="3317"/>
      <c r="I203" s="3317"/>
      <c r="J203" s="3317"/>
      <c r="K203" s="3317"/>
      <c r="L203" s="3317"/>
      <c r="M203" s="3317"/>
      <c r="N203" s="3317"/>
      <c r="O203" s="3317"/>
      <c r="P203" s="3317"/>
      <c r="Q203" s="3317"/>
      <c r="R203" s="3317"/>
      <c r="S203" s="3317"/>
      <c r="T203" s="3317"/>
      <c r="U203" s="3317"/>
      <c r="V203" s="3317"/>
      <c r="W203" s="3317"/>
      <c r="X203" s="3317"/>
      <c r="Y203" s="3317"/>
      <c r="Z203" s="3317"/>
      <c r="AA203" s="3322"/>
      <c r="AB203" s="3322"/>
      <c r="AC203" s="3322"/>
      <c r="AD203" s="3322"/>
      <c r="AE203" s="3322"/>
      <c r="AF203" s="3322"/>
      <c r="AG203" s="3322"/>
    </row>
    <row r="204" spans="1:33">
      <c r="A204" s="3316"/>
      <c r="B204" s="3316"/>
      <c r="C204" s="3322"/>
      <c r="D204" s="3322"/>
      <c r="E204" s="3322"/>
      <c r="F204" s="3317"/>
      <c r="G204" s="3317"/>
      <c r="H204" s="3317"/>
      <c r="I204" s="3317"/>
      <c r="J204" s="3317"/>
      <c r="K204" s="3317"/>
      <c r="L204" s="3317"/>
      <c r="M204" s="3317"/>
      <c r="N204" s="3317"/>
      <c r="O204" s="3317"/>
      <c r="P204" s="3317"/>
      <c r="Q204" s="3317"/>
      <c r="R204" s="3317"/>
      <c r="S204" s="3317"/>
      <c r="T204" s="3317"/>
      <c r="U204" s="3317"/>
      <c r="V204" s="3317"/>
      <c r="W204" s="3317"/>
      <c r="X204" s="3317"/>
      <c r="Y204" s="3317"/>
      <c r="Z204" s="3317"/>
      <c r="AA204" s="3322"/>
      <c r="AB204" s="3322"/>
      <c r="AC204" s="3322"/>
      <c r="AD204" s="3322"/>
      <c r="AE204" s="3322"/>
      <c r="AF204" s="3322"/>
      <c r="AG204" s="3322"/>
    </row>
    <row r="205" spans="1:33">
      <c r="A205" s="3316"/>
      <c r="B205" s="3316"/>
      <c r="C205" s="3322"/>
      <c r="D205" s="3322"/>
      <c r="E205" s="3322"/>
      <c r="F205" s="3317"/>
      <c r="G205" s="3317"/>
      <c r="H205" s="3317"/>
      <c r="I205" s="3317"/>
      <c r="J205" s="3317"/>
      <c r="K205" s="3317"/>
      <c r="L205" s="3317"/>
      <c r="M205" s="3317"/>
      <c r="N205" s="3317"/>
      <c r="O205" s="3317"/>
      <c r="P205" s="3317"/>
      <c r="Q205" s="3317"/>
      <c r="R205" s="3317"/>
      <c r="S205" s="3317"/>
      <c r="T205" s="3317"/>
      <c r="U205" s="3317"/>
      <c r="V205" s="3317"/>
      <c r="W205" s="3317"/>
      <c r="X205" s="3317"/>
      <c r="Y205" s="3317"/>
      <c r="Z205" s="3317"/>
      <c r="AA205" s="3322"/>
      <c r="AB205" s="3322"/>
      <c r="AC205" s="3322"/>
      <c r="AD205" s="3322"/>
      <c r="AE205" s="3322"/>
      <c r="AF205" s="3322"/>
      <c r="AG205" s="3322"/>
    </row>
    <row r="206" spans="1:33">
      <c r="A206" s="3316"/>
      <c r="B206" s="3316"/>
      <c r="C206" s="3322"/>
      <c r="D206" s="3322"/>
      <c r="E206" s="3322"/>
      <c r="F206" s="3317"/>
      <c r="G206" s="3317"/>
      <c r="H206" s="3317"/>
      <c r="I206" s="3317"/>
      <c r="J206" s="3317"/>
      <c r="K206" s="3317"/>
      <c r="L206" s="3317"/>
      <c r="M206" s="3317"/>
      <c r="N206" s="3317"/>
      <c r="O206" s="3317"/>
      <c r="P206" s="3317"/>
      <c r="Q206" s="3317"/>
      <c r="R206" s="3317"/>
      <c r="S206" s="3317"/>
      <c r="T206" s="3317"/>
      <c r="U206" s="3317"/>
      <c r="V206" s="3317"/>
      <c r="W206" s="3317"/>
      <c r="X206" s="3317"/>
      <c r="Y206" s="3317"/>
      <c r="Z206" s="3317"/>
      <c r="AA206" s="3322"/>
      <c r="AB206" s="3322"/>
      <c r="AC206" s="3322"/>
      <c r="AD206" s="3322"/>
      <c r="AE206" s="3322"/>
      <c r="AF206" s="3322"/>
      <c r="AG206" s="3322"/>
    </row>
    <row r="207" spans="1:33">
      <c r="A207" s="3316"/>
      <c r="B207" s="3316"/>
      <c r="C207" s="3322"/>
      <c r="D207" s="3322"/>
      <c r="E207" s="3322"/>
      <c r="F207" s="3317"/>
      <c r="G207" s="3317"/>
      <c r="H207" s="3317"/>
      <c r="I207" s="3317"/>
      <c r="J207" s="3317"/>
      <c r="K207" s="3317"/>
      <c r="L207" s="3317"/>
      <c r="M207" s="3317"/>
      <c r="N207" s="3317"/>
      <c r="O207" s="3317"/>
      <c r="P207" s="3317"/>
      <c r="Q207" s="3317"/>
      <c r="R207" s="3317"/>
      <c r="S207" s="3317"/>
      <c r="T207" s="3317"/>
      <c r="U207" s="3317"/>
      <c r="V207" s="3317"/>
      <c r="W207" s="3317"/>
      <c r="X207" s="3317"/>
      <c r="Y207" s="3317"/>
      <c r="Z207" s="3317"/>
      <c r="AA207" s="3322"/>
      <c r="AB207" s="3322"/>
      <c r="AC207" s="3322"/>
      <c r="AD207" s="3322"/>
      <c r="AE207" s="3322"/>
      <c r="AF207" s="3322"/>
      <c r="AG207" s="3322"/>
    </row>
    <row r="208" spans="1:33">
      <c r="A208" s="3316"/>
      <c r="B208" s="3316"/>
      <c r="C208" s="3322"/>
      <c r="D208" s="3322"/>
      <c r="E208" s="3322"/>
      <c r="F208" s="3317"/>
      <c r="G208" s="3317"/>
      <c r="H208" s="3317"/>
      <c r="I208" s="3317"/>
      <c r="J208" s="3317"/>
      <c r="K208" s="3317"/>
      <c r="L208" s="3317"/>
      <c r="M208" s="3317"/>
      <c r="N208" s="3317"/>
      <c r="O208" s="3317"/>
      <c r="P208" s="3317"/>
      <c r="Q208" s="3317"/>
      <c r="R208" s="3317"/>
      <c r="S208" s="3317"/>
      <c r="T208" s="3317"/>
      <c r="U208" s="3317"/>
      <c r="V208" s="3317"/>
      <c r="W208" s="3317"/>
      <c r="X208" s="3317"/>
      <c r="Y208" s="3317"/>
      <c r="Z208" s="3317"/>
      <c r="AA208" s="3322"/>
      <c r="AB208" s="3322"/>
      <c r="AC208" s="3322"/>
      <c r="AD208" s="3322"/>
      <c r="AE208" s="3322"/>
      <c r="AF208" s="3322"/>
      <c r="AG208" s="3322"/>
    </row>
    <row r="209" spans="1:33">
      <c r="A209" s="3316"/>
      <c r="B209" s="3316"/>
      <c r="C209" s="3322"/>
      <c r="D209" s="3322"/>
      <c r="E209" s="3322"/>
      <c r="F209" s="3317"/>
      <c r="G209" s="3317"/>
      <c r="H209" s="3317"/>
      <c r="I209" s="3317"/>
      <c r="J209" s="3317"/>
      <c r="K209" s="3317"/>
      <c r="L209" s="3317"/>
      <c r="M209" s="3317"/>
      <c r="N209" s="3317"/>
      <c r="O209" s="3317"/>
      <c r="P209" s="3317"/>
      <c r="Q209" s="3317"/>
      <c r="R209" s="3317"/>
      <c r="S209" s="3317"/>
      <c r="T209" s="3317"/>
      <c r="U209" s="3317"/>
      <c r="V209" s="3317"/>
      <c r="W209" s="3317"/>
      <c r="X209" s="3317"/>
      <c r="Y209" s="3317"/>
      <c r="Z209" s="3317"/>
      <c r="AA209" s="3322"/>
      <c r="AB209" s="3322"/>
      <c r="AC209" s="3322"/>
      <c r="AD209" s="3322"/>
      <c r="AE209" s="3322"/>
      <c r="AF209" s="3322"/>
      <c r="AG209" s="3322"/>
    </row>
    <row r="210" spans="1:33">
      <c r="A210" s="3316"/>
      <c r="B210" s="3316"/>
      <c r="C210" s="3322"/>
      <c r="D210" s="3322"/>
      <c r="E210" s="3322"/>
      <c r="F210" s="3317"/>
      <c r="G210" s="3317"/>
      <c r="H210" s="3317"/>
      <c r="I210" s="3317"/>
      <c r="J210" s="3317"/>
      <c r="K210" s="3317"/>
      <c r="L210" s="3317"/>
      <c r="M210" s="3317"/>
      <c r="N210" s="3317"/>
      <c r="O210" s="3317"/>
      <c r="P210" s="3317"/>
      <c r="Q210" s="3317"/>
      <c r="R210" s="3317"/>
      <c r="S210" s="3317"/>
      <c r="T210" s="3317"/>
      <c r="U210" s="3317"/>
      <c r="V210" s="3317"/>
      <c r="W210" s="3317"/>
      <c r="X210" s="3317"/>
      <c r="Y210" s="3317"/>
      <c r="Z210" s="3317"/>
      <c r="AA210" s="3322"/>
      <c r="AB210" s="3322"/>
      <c r="AC210" s="3322"/>
      <c r="AD210" s="3322"/>
      <c r="AE210" s="3322"/>
      <c r="AF210" s="3322"/>
      <c r="AG210" s="3322"/>
    </row>
    <row r="211" spans="1:33">
      <c r="A211" s="3316"/>
      <c r="B211" s="3316"/>
      <c r="C211" s="3322"/>
      <c r="D211" s="3322"/>
      <c r="E211" s="3322"/>
      <c r="F211" s="3317"/>
      <c r="G211" s="3317"/>
      <c r="H211" s="3317"/>
      <c r="I211" s="3317"/>
      <c r="J211" s="3317"/>
      <c r="K211" s="3317"/>
      <c r="L211" s="3317"/>
      <c r="M211" s="3317"/>
      <c r="N211" s="3317"/>
      <c r="O211" s="3317"/>
      <c r="P211" s="3317"/>
      <c r="Q211" s="3317"/>
      <c r="R211" s="3317"/>
      <c r="S211" s="3317"/>
      <c r="T211" s="3317"/>
      <c r="U211" s="3317"/>
      <c r="V211" s="3317"/>
      <c r="W211" s="3317"/>
      <c r="X211" s="3317"/>
      <c r="Y211" s="3317"/>
      <c r="Z211" s="3317"/>
      <c r="AA211" s="3322"/>
      <c r="AB211" s="3322"/>
      <c r="AC211" s="3322"/>
      <c r="AD211" s="3322"/>
      <c r="AE211" s="3322"/>
      <c r="AF211" s="3322"/>
      <c r="AG211" s="3322"/>
    </row>
    <row r="212" spans="1:33">
      <c r="A212" s="3316"/>
      <c r="B212" s="3316"/>
      <c r="C212" s="3322"/>
      <c r="D212" s="3322"/>
      <c r="E212" s="3322"/>
      <c r="F212" s="3317"/>
      <c r="G212" s="3317"/>
      <c r="H212" s="3317"/>
      <c r="I212" s="3317"/>
      <c r="J212" s="3317"/>
      <c r="K212" s="3317"/>
      <c r="L212" s="3317"/>
      <c r="M212" s="3317"/>
      <c r="N212" s="3317"/>
      <c r="O212" s="3317"/>
      <c r="P212" s="3317"/>
      <c r="Q212" s="3317"/>
      <c r="R212" s="3317"/>
      <c r="S212" s="3317"/>
      <c r="T212" s="3317"/>
      <c r="U212" s="3317"/>
      <c r="V212" s="3317"/>
      <c r="W212" s="3317"/>
      <c r="X212" s="3317"/>
      <c r="Y212" s="3317"/>
      <c r="Z212" s="3317"/>
      <c r="AA212" s="3322"/>
      <c r="AB212" s="3322"/>
      <c r="AC212" s="3322"/>
      <c r="AD212" s="3322"/>
      <c r="AE212" s="3322"/>
      <c r="AF212" s="3322"/>
      <c r="AG212" s="3322"/>
    </row>
    <row r="213" spans="1:33">
      <c r="A213" s="3316"/>
      <c r="B213" s="3316"/>
      <c r="C213" s="3322"/>
      <c r="D213" s="3322"/>
      <c r="E213" s="3322"/>
      <c r="F213" s="3317"/>
      <c r="G213" s="3317"/>
      <c r="H213" s="3317"/>
      <c r="I213" s="3317"/>
      <c r="J213" s="3317"/>
      <c r="K213" s="3317"/>
      <c r="L213" s="3317"/>
      <c r="M213" s="3317"/>
      <c r="N213" s="3317"/>
      <c r="O213" s="3317"/>
      <c r="P213" s="3317"/>
      <c r="Q213" s="3317"/>
      <c r="R213" s="3317"/>
      <c r="S213" s="3317"/>
      <c r="T213" s="3317"/>
      <c r="U213" s="3317"/>
      <c r="V213" s="3317"/>
      <c r="W213" s="3317"/>
      <c r="X213" s="3317"/>
      <c r="Y213" s="3317"/>
      <c r="Z213" s="3317"/>
      <c r="AA213" s="3322"/>
      <c r="AB213" s="3322"/>
      <c r="AC213" s="3322"/>
      <c r="AD213" s="3322"/>
      <c r="AE213" s="3322"/>
      <c r="AF213" s="3322"/>
      <c r="AG213" s="3322"/>
    </row>
    <row r="214" spans="1:33">
      <c r="A214" s="3316"/>
      <c r="B214" s="3316"/>
      <c r="C214" s="3322"/>
      <c r="D214" s="3322"/>
      <c r="E214" s="3322"/>
      <c r="F214" s="3317"/>
      <c r="G214" s="3317"/>
      <c r="H214" s="3317"/>
      <c r="I214" s="3317"/>
      <c r="J214" s="3317"/>
      <c r="K214" s="3317"/>
      <c r="L214" s="3317"/>
      <c r="M214" s="3317"/>
      <c r="N214" s="3317"/>
      <c r="O214" s="3317"/>
      <c r="P214" s="3317"/>
      <c r="Q214" s="3317"/>
      <c r="R214" s="3317"/>
      <c r="S214" s="3317"/>
      <c r="T214" s="3317"/>
      <c r="U214" s="3317"/>
      <c r="V214" s="3317"/>
      <c r="W214" s="3317"/>
      <c r="X214" s="3317"/>
      <c r="Y214" s="3317"/>
      <c r="Z214" s="3317"/>
      <c r="AA214" s="3322"/>
      <c r="AB214" s="3322"/>
      <c r="AC214" s="3322"/>
      <c r="AD214" s="3322"/>
      <c r="AE214" s="3322"/>
      <c r="AF214" s="3322"/>
      <c r="AG214" s="3322"/>
    </row>
    <row r="215" spans="1:33">
      <c r="A215" s="3316"/>
      <c r="B215" s="3316"/>
      <c r="C215" s="3322"/>
      <c r="D215" s="3322"/>
      <c r="E215" s="3322"/>
      <c r="F215" s="3317"/>
      <c r="G215" s="3317"/>
      <c r="H215" s="3317"/>
      <c r="I215" s="3317"/>
      <c r="J215" s="3317"/>
      <c r="K215" s="3317"/>
      <c r="L215" s="3317"/>
      <c r="M215" s="3317"/>
      <c r="N215" s="3317"/>
      <c r="O215" s="3317"/>
      <c r="P215" s="3317"/>
      <c r="Q215" s="3317"/>
      <c r="R215" s="3317"/>
      <c r="S215" s="3317"/>
      <c r="T215" s="3317"/>
      <c r="U215" s="3317"/>
      <c r="V215" s="3317"/>
      <c r="W215" s="3317"/>
      <c r="X215" s="3317"/>
      <c r="Y215" s="3317"/>
      <c r="Z215" s="3317"/>
      <c r="AA215" s="3322"/>
      <c r="AB215" s="3322"/>
      <c r="AC215" s="3322"/>
      <c r="AD215" s="3322"/>
      <c r="AE215" s="3322"/>
      <c r="AF215" s="3322"/>
      <c r="AG215" s="3322"/>
    </row>
    <row r="216" spans="1:33">
      <c r="A216" s="3316"/>
      <c r="B216" s="3316"/>
      <c r="C216" s="3322"/>
      <c r="D216" s="3322"/>
      <c r="E216" s="3322"/>
      <c r="F216" s="3317"/>
      <c r="G216" s="3317"/>
      <c r="H216" s="3317"/>
      <c r="I216" s="3317"/>
      <c r="J216" s="3317"/>
      <c r="K216" s="3317"/>
      <c r="L216" s="3317"/>
      <c r="M216" s="3317"/>
      <c r="N216" s="3317"/>
      <c r="O216" s="3317"/>
      <c r="P216" s="3317"/>
      <c r="Q216" s="3317"/>
      <c r="R216" s="3317"/>
      <c r="S216" s="3317"/>
      <c r="T216" s="3317"/>
      <c r="U216" s="3317"/>
      <c r="V216" s="3317"/>
      <c r="W216" s="3317"/>
      <c r="X216" s="3317"/>
      <c r="Y216" s="3317"/>
      <c r="Z216" s="3317"/>
      <c r="AA216" s="3322"/>
      <c r="AB216" s="3322"/>
      <c r="AC216" s="3322"/>
      <c r="AD216" s="3322"/>
      <c r="AE216" s="3322"/>
      <c r="AF216" s="3322"/>
      <c r="AG216" s="3322"/>
    </row>
    <row r="217" spans="1:33">
      <c r="A217" s="3316"/>
      <c r="B217" s="3316"/>
      <c r="C217" s="3322"/>
      <c r="D217" s="3322"/>
      <c r="E217" s="3322"/>
      <c r="F217" s="3317"/>
      <c r="G217" s="3317"/>
      <c r="H217" s="3317"/>
      <c r="I217" s="3317"/>
      <c r="J217" s="3317"/>
      <c r="K217" s="3317"/>
      <c r="L217" s="3317"/>
      <c r="M217" s="3317"/>
      <c r="N217" s="3317"/>
      <c r="O217" s="3317"/>
      <c r="P217" s="3317"/>
      <c r="Q217" s="3317"/>
      <c r="R217" s="3317"/>
      <c r="S217" s="3317"/>
      <c r="T217" s="3317"/>
      <c r="U217" s="3317"/>
      <c r="V217" s="3317"/>
      <c r="W217" s="3317"/>
      <c r="X217" s="3317"/>
      <c r="Y217" s="3317"/>
      <c r="Z217" s="3317"/>
      <c r="AA217" s="3322"/>
      <c r="AB217" s="3322"/>
      <c r="AC217" s="3322"/>
      <c r="AD217" s="3322"/>
      <c r="AE217" s="3322"/>
      <c r="AF217" s="3322"/>
      <c r="AG217" s="3322"/>
    </row>
    <row r="218" spans="1:33">
      <c r="A218" s="3316"/>
      <c r="B218" s="3316"/>
      <c r="C218" s="3322"/>
      <c r="D218" s="3322"/>
      <c r="E218" s="3322"/>
      <c r="F218" s="3317"/>
      <c r="G218" s="3317"/>
      <c r="H218" s="3317"/>
      <c r="I218" s="3317"/>
      <c r="J218" s="3317"/>
      <c r="K218" s="3317"/>
      <c r="L218" s="3317"/>
      <c r="M218" s="3317"/>
      <c r="N218" s="3317"/>
      <c r="O218" s="3317"/>
      <c r="P218" s="3317"/>
      <c r="Q218" s="3317"/>
      <c r="R218" s="3317"/>
      <c r="S218" s="3317"/>
      <c r="T218" s="3317"/>
      <c r="U218" s="3317"/>
      <c r="V218" s="3317"/>
      <c r="W218" s="3317"/>
      <c r="X218" s="3317"/>
      <c r="Y218" s="3317"/>
      <c r="Z218" s="3317"/>
      <c r="AA218" s="3322"/>
      <c r="AB218" s="3322"/>
      <c r="AC218" s="3322"/>
      <c r="AD218" s="3322"/>
      <c r="AE218" s="3322"/>
      <c r="AF218" s="3322"/>
      <c r="AG218" s="3322"/>
    </row>
    <row r="219" spans="1:33">
      <c r="A219" s="3316"/>
      <c r="B219" s="3316"/>
      <c r="C219" s="3322"/>
      <c r="D219" s="3322"/>
      <c r="E219" s="3322"/>
      <c r="F219" s="3317"/>
      <c r="G219" s="3317"/>
      <c r="H219" s="3317"/>
      <c r="I219" s="3317"/>
      <c r="J219" s="3317"/>
      <c r="K219" s="3317"/>
      <c r="L219" s="3317"/>
      <c r="M219" s="3317"/>
      <c r="N219" s="3317"/>
      <c r="O219" s="3317"/>
      <c r="P219" s="3317"/>
      <c r="Q219" s="3317"/>
      <c r="R219" s="3317"/>
      <c r="S219" s="3317"/>
      <c r="T219" s="3317"/>
      <c r="U219" s="3317"/>
      <c r="V219" s="3317"/>
      <c r="W219" s="3317"/>
      <c r="X219" s="3317"/>
      <c r="Y219" s="3317"/>
      <c r="Z219" s="3317"/>
      <c r="AA219" s="3322"/>
      <c r="AB219" s="3322"/>
      <c r="AC219" s="3322"/>
      <c r="AD219" s="3322"/>
      <c r="AE219" s="3322"/>
      <c r="AF219" s="3322"/>
      <c r="AG219" s="3322"/>
    </row>
    <row r="220" spans="1:33">
      <c r="A220" s="3316"/>
      <c r="B220" s="3316"/>
      <c r="C220" s="3322"/>
      <c r="D220" s="3322"/>
      <c r="E220" s="3322"/>
      <c r="F220" s="3317"/>
      <c r="G220" s="3317"/>
      <c r="H220" s="3317"/>
      <c r="I220" s="3317"/>
      <c r="J220" s="3317"/>
      <c r="K220" s="3317"/>
      <c r="L220" s="3317"/>
      <c r="M220" s="3317"/>
      <c r="N220" s="3317"/>
      <c r="O220" s="3317"/>
      <c r="P220" s="3317"/>
      <c r="Q220" s="3317"/>
      <c r="R220" s="3317"/>
      <c r="S220" s="3317"/>
      <c r="T220" s="3317"/>
      <c r="U220" s="3317"/>
      <c r="V220" s="3317"/>
      <c r="W220" s="3317"/>
      <c r="X220" s="3317"/>
      <c r="Y220" s="3317"/>
      <c r="Z220" s="3317"/>
      <c r="AA220" s="3322"/>
      <c r="AB220" s="3322"/>
      <c r="AC220" s="3322"/>
      <c r="AD220" s="3322"/>
      <c r="AE220" s="3322"/>
      <c r="AF220" s="3322"/>
      <c r="AG220" s="3322"/>
    </row>
    <row r="221" spans="1:33">
      <c r="A221" s="3316"/>
      <c r="B221" s="3316"/>
      <c r="C221" s="3322"/>
      <c r="D221" s="3322"/>
      <c r="E221" s="3322"/>
      <c r="F221" s="3317"/>
      <c r="G221" s="3317"/>
      <c r="H221" s="3317"/>
      <c r="I221" s="3317"/>
      <c r="J221" s="3317"/>
      <c r="K221" s="3317"/>
      <c r="L221" s="3317"/>
      <c r="M221" s="3317"/>
      <c r="N221" s="3317"/>
      <c r="O221" s="3317"/>
      <c r="P221" s="3317"/>
      <c r="Q221" s="3317"/>
      <c r="R221" s="3317"/>
      <c r="S221" s="3317"/>
      <c r="T221" s="3317"/>
      <c r="U221" s="3317"/>
      <c r="V221" s="3317"/>
      <c r="W221" s="3317"/>
      <c r="X221" s="3317"/>
      <c r="Y221" s="3317"/>
      <c r="Z221" s="3317"/>
      <c r="AA221" s="3322"/>
      <c r="AB221" s="3322"/>
      <c r="AC221" s="3322"/>
      <c r="AD221" s="3322"/>
      <c r="AE221" s="3322"/>
      <c r="AF221" s="3322"/>
      <c r="AG221" s="3322"/>
    </row>
    <row r="222" spans="1:33">
      <c r="A222" s="3316"/>
      <c r="B222" s="3316"/>
      <c r="C222" s="3322"/>
      <c r="D222" s="3322"/>
      <c r="E222" s="3322"/>
      <c r="F222" s="3317"/>
      <c r="G222" s="3317"/>
      <c r="H222" s="3317"/>
      <c r="I222" s="3317"/>
      <c r="J222" s="3317"/>
      <c r="K222" s="3317"/>
      <c r="L222" s="3317"/>
      <c r="M222" s="3317"/>
      <c r="N222" s="3317"/>
      <c r="O222" s="3317"/>
      <c r="P222" s="3317"/>
      <c r="Q222" s="3317"/>
      <c r="R222" s="3317"/>
      <c r="S222" s="3317"/>
      <c r="T222" s="3317"/>
      <c r="U222" s="3317"/>
      <c r="V222" s="3317"/>
      <c r="W222" s="3317"/>
      <c r="X222" s="3317"/>
      <c r="Y222" s="3317"/>
      <c r="Z222" s="3317"/>
      <c r="AA222" s="3322"/>
      <c r="AB222" s="3322"/>
      <c r="AC222" s="3322"/>
      <c r="AD222" s="3322"/>
      <c r="AE222" s="3322"/>
      <c r="AF222" s="3322"/>
      <c r="AG222" s="3322"/>
    </row>
    <row r="223" spans="1:33">
      <c r="A223" s="3316"/>
      <c r="B223" s="3316"/>
      <c r="C223" s="3322"/>
      <c r="D223" s="3322"/>
      <c r="E223" s="3322"/>
      <c r="F223" s="3317"/>
      <c r="G223" s="3317"/>
      <c r="H223" s="3317"/>
      <c r="I223" s="3317"/>
      <c r="J223" s="3317"/>
      <c r="K223" s="3317"/>
      <c r="L223" s="3317"/>
      <c r="M223" s="3317"/>
      <c r="N223" s="3317"/>
      <c r="O223" s="3317"/>
      <c r="P223" s="3317"/>
      <c r="Q223" s="3317"/>
      <c r="R223" s="3317"/>
      <c r="S223" s="3317"/>
      <c r="T223" s="3317"/>
      <c r="U223" s="3317"/>
      <c r="V223" s="3317"/>
      <c r="W223" s="3317"/>
      <c r="X223" s="3317"/>
      <c r="Y223" s="3317"/>
      <c r="Z223" s="3317"/>
      <c r="AA223" s="3322"/>
      <c r="AB223" s="3322"/>
      <c r="AC223" s="3322"/>
      <c r="AD223" s="3322"/>
      <c r="AE223" s="3322"/>
      <c r="AF223" s="3322"/>
      <c r="AG223" s="3322"/>
    </row>
    <row r="224" spans="1:33">
      <c r="A224" s="3316"/>
      <c r="B224" s="3316"/>
      <c r="C224" s="3322"/>
      <c r="D224" s="3322"/>
      <c r="E224" s="3322"/>
      <c r="F224" s="3317"/>
      <c r="G224" s="3317"/>
      <c r="H224" s="3317"/>
      <c r="I224" s="3317"/>
      <c r="J224" s="3317"/>
      <c r="K224" s="3317"/>
      <c r="L224" s="3317"/>
      <c r="M224" s="3317"/>
      <c r="N224" s="3317"/>
      <c r="O224" s="3317"/>
      <c r="P224" s="3317"/>
      <c r="Q224" s="3317"/>
      <c r="R224" s="3317"/>
      <c r="S224" s="3317"/>
      <c r="T224" s="3317"/>
      <c r="U224" s="3317"/>
      <c r="V224" s="3317"/>
      <c r="W224" s="3317"/>
      <c r="X224" s="3317"/>
      <c r="Y224" s="3317"/>
      <c r="Z224" s="3317"/>
      <c r="AA224" s="3322"/>
      <c r="AB224" s="3322"/>
      <c r="AC224" s="3322"/>
      <c r="AD224" s="3322"/>
      <c r="AE224" s="3322"/>
      <c r="AF224" s="3322"/>
      <c r="AG224" s="3322"/>
    </row>
    <row r="225" spans="1:33">
      <c r="A225" s="3316"/>
      <c r="B225" s="3316"/>
      <c r="C225" s="3322"/>
      <c r="D225" s="3322"/>
      <c r="E225" s="3322"/>
      <c r="F225" s="3317"/>
      <c r="G225" s="3317"/>
      <c r="H225" s="3317"/>
      <c r="I225" s="3317"/>
      <c r="J225" s="3317"/>
      <c r="K225" s="3317"/>
      <c r="L225" s="3317"/>
      <c r="M225" s="3317"/>
      <c r="N225" s="3317"/>
      <c r="O225" s="3317"/>
      <c r="P225" s="3317"/>
      <c r="Q225" s="3317"/>
      <c r="R225" s="3317"/>
      <c r="S225" s="3317"/>
      <c r="T225" s="3317"/>
      <c r="U225" s="3317"/>
      <c r="V225" s="3317"/>
      <c r="W225" s="3317"/>
      <c r="X225" s="3317"/>
      <c r="Y225" s="3317"/>
      <c r="Z225" s="3317"/>
      <c r="AA225" s="3322"/>
      <c r="AB225" s="3322"/>
      <c r="AC225" s="3322"/>
      <c r="AD225" s="3322"/>
      <c r="AE225" s="3322"/>
      <c r="AF225" s="3322"/>
      <c r="AG225" s="3322"/>
    </row>
    <row r="226" spans="1:33">
      <c r="A226" s="3316"/>
      <c r="B226" s="3316"/>
      <c r="C226" s="3322"/>
      <c r="D226" s="3322"/>
      <c r="E226" s="3322"/>
      <c r="F226" s="3317"/>
      <c r="G226" s="3317"/>
      <c r="H226" s="3317"/>
      <c r="I226" s="3317"/>
      <c r="J226" s="3317"/>
      <c r="K226" s="3317"/>
      <c r="L226" s="3317"/>
      <c r="M226" s="3317"/>
      <c r="N226" s="3317"/>
      <c r="O226" s="3317"/>
      <c r="P226" s="3317"/>
      <c r="Q226" s="3317"/>
      <c r="R226" s="3317"/>
      <c r="S226" s="3317"/>
      <c r="T226" s="3317"/>
      <c r="U226" s="3317"/>
      <c r="V226" s="3317"/>
      <c r="W226" s="3317"/>
      <c r="X226" s="3317"/>
      <c r="Y226" s="3317"/>
      <c r="Z226" s="3317"/>
      <c r="AA226" s="3322"/>
      <c r="AB226" s="3322"/>
      <c r="AC226" s="3322"/>
      <c r="AD226" s="3322"/>
      <c r="AE226" s="3322"/>
      <c r="AF226" s="3322"/>
      <c r="AG226" s="3322"/>
    </row>
    <row r="227" spans="1:33">
      <c r="A227" s="3316"/>
      <c r="B227" s="3316"/>
      <c r="C227" s="3322"/>
      <c r="D227" s="3322"/>
      <c r="E227" s="3322"/>
      <c r="F227" s="3317"/>
      <c r="G227" s="3317"/>
      <c r="H227" s="3317"/>
      <c r="I227" s="3317"/>
      <c r="J227" s="3317"/>
      <c r="K227" s="3317"/>
      <c r="L227" s="3317"/>
      <c r="M227" s="3317"/>
      <c r="N227" s="3317"/>
      <c r="O227" s="3317"/>
      <c r="P227" s="3317"/>
      <c r="Q227" s="3317"/>
      <c r="R227" s="3317"/>
      <c r="S227" s="3317"/>
      <c r="T227" s="3317"/>
      <c r="U227" s="3317"/>
      <c r="V227" s="3317"/>
      <c r="W227" s="3317"/>
      <c r="X227" s="3317"/>
      <c r="Y227" s="3317"/>
      <c r="Z227" s="3317"/>
      <c r="AA227" s="3322"/>
      <c r="AB227" s="3322"/>
      <c r="AC227" s="3322"/>
      <c r="AD227" s="3322"/>
      <c r="AE227" s="3322"/>
      <c r="AF227" s="3322"/>
      <c r="AG227" s="3322"/>
    </row>
    <row r="228" spans="1:33">
      <c r="A228" s="3316"/>
      <c r="B228" s="3316"/>
      <c r="C228" s="3322"/>
      <c r="D228" s="3322"/>
      <c r="E228" s="3322"/>
      <c r="F228" s="3317"/>
      <c r="G228" s="3317"/>
      <c r="H228" s="3317"/>
      <c r="I228" s="3317"/>
      <c r="J228" s="3317"/>
      <c r="K228" s="3317"/>
      <c r="L228" s="3317"/>
      <c r="M228" s="3317"/>
      <c r="N228" s="3317"/>
      <c r="O228" s="3317"/>
      <c r="P228" s="3317"/>
      <c r="Q228" s="3317"/>
      <c r="R228" s="3317"/>
      <c r="S228" s="3317"/>
      <c r="T228" s="3317"/>
      <c r="U228" s="3317"/>
      <c r="V228" s="3317"/>
      <c r="W228" s="3317"/>
      <c r="X228" s="3317"/>
      <c r="Y228" s="3317"/>
      <c r="Z228" s="3317"/>
      <c r="AA228" s="3322"/>
      <c r="AB228" s="3322"/>
      <c r="AC228" s="3322"/>
      <c r="AD228" s="3322"/>
      <c r="AE228" s="3322"/>
      <c r="AF228" s="3322"/>
      <c r="AG228" s="3322"/>
    </row>
    <row r="229" spans="1:33">
      <c r="A229" s="3316"/>
      <c r="B229" s="3316"/>
      <c r="C229" s="3322"/>
      <c r="D229" s="3322"/>
      <c r="E229" s="3322"/>
      <c r="F229" s="3317"/>
      <c r="G229" s="3317"/>
      <c r="H229" s="3317"/>
      <c r="I229" s="3317"/>
      <c r="J229" s="3317"/>
      <c r="K229" s="3317"/>
      <c r="L229" s="3317"/>
      <c r="M229" s="3317"/>
      <c r="N229" s="3317"/>
      <c r="O229" s="3317"/>
      <c r="P229" s="3317"/>
      <c r="Q229" s="3317"/>
      <c r="R229" s="3317"/>
      <c r="S229" s="3317"/>
      <c r="T229" s="3317"/>
      <c r="U229" s="3317"/>
      <c r="V229" s="3317"/>
      <c r="W229" s="3317"/>
      <c r="X229" s="3317"/>
      <c r="Y229" s="3317"/>
      <c r="Z229" s="3317"/>
      <c r="AA229" s="3322"/>
      <c r="AB229" s="3322"/>
      <c r="AC229" s="3322"/>
      <c r="AD229" s="3322"/>
      <c r="AE229" s="3322"/>
      <c r="AF229" s="3322"/>
      <c r="AG229" s="3322"/>
    </row>
    <row r="230" spans="1:33">
      <c r="A230" s="3316"/>
      <c r="B230" s="3316"/>
      <c r="C230" s="3322"/>
      <c r="D230" s="3322"/>
      <c r="E230" s="3322"/>
      <c r="F230" s="3317"/>
      <c r="G230" s="3317"/>
      <c r="H230" s="3317"/>
      <c r="I230" s="3317"/>
      <c r="J230" s="3317"/>
      <c r="K230" s="3317"/>
      <c r="L230" s="3317"/>
      <c r="M230" s="3317"/>
      <c r="N230" s="3317"/>
      <c r="O230" s="3317"/>
      <c r="P230" s="3317"/>
      <c r="Q230" s="3317"/>
      <c r="R230" s="3317"/>
      <c r="S230" s="3317"/>
      <c r="T230" s="3317"/>
      <c r="U230" s="3317"/>
      <c r="V230" s="3317"/>
      <c r="W230" s="3317"/>
      <c r="X230" s="3317"/>
      <c r="Y230" s="3317"/>
      <c r="Z230" s="3317"/>
      <c r="AA230" s="3322"/>
      <c r="AB230" s="3322"/>
      <c r="AC230" s="3322"/>
      <c r="AD230" s="3322"/>
      <c r="AE230" s="3322"/>
      <c r="AF230" s="3322"/>
      <c r="AG230" s="3322"/>
    </row>
    <row r="231" spans="1:33">
      <c r="A231" s="3316"/>
      <c r="B231" s="3316"/>
      <c r="C231" s="3322"/>
      <c r="D231" s="3322"/>
      <c r="E231" s="3322"/>
      <c r="F231" s="3317"/>
      <c r="G231" s="3317"/>
      <c r="H231" s="3317"/>
      <c r="I231" s="3317"/>
      <c r="J231" s="3317"/>
      <c r="K231" s="3317"/>
      <c r="L231" s="3317"/>
      <c r="M231" s="3317"/>
      <c r="N231" s="3317"/>
      <c r="O231" s="3317"/>
      <c r="P231" s="3317"/>
      <c r="Q231" s="3317"/>
      <c r="R231" s="3317"/>
      <c r="S231" s="3317"/>
      <c r="T231" s="3317"/>
      <c r="U231" s="3317"/>
      <c r="V231" s="3317"/>
      <c r="W231" s="3317"/>
      <c r="X231" s="3317"/>
      <c r="Y231" s="3317"/>
      <c r="Z231" s="3317"/>
      <c r="AA231" s="3322"/>
      <c r="AB231" s="3322"/>
      <c r="AC231" s="3322"/>
      <c r="AD231" s="3322"/>
      <c r="AE231" s="3322"/>
      <c r="AF231" s="3322"/>
      <c r="AG231" s="3322"/>
    </row>
    <row r="232" spans="1:33">
      <c r="A232" s="3316"/>
      <c r="B232" s="3316"/>
      <c r="C232" s="3322"/>
      <c r="D232" s="3322"/>
      <c r="E232" s="3322"/>
      <c r="F232" s="3317"/>
      <c r="G232" s="3317"/>
      <c r="H232" s="3317"/>
      <c r="I232" s="3317"/>
      <c r="J232" s="3317"/>
      <c r="K232" s="3317"/>
      <c r="L232" s="3317"/>
      <c r="M232" s="3317"/>
      <c r="N232" s="3317"/>
      <c r="O232" s="3317"/>
      <c r="P232" s="3317"/>
      <c r="Q232" s="3317"/>
      <c r="R232" s="3317"/>
      <c r="S232" s="3317"/>
      <c r="T232" s="3317"/>
      <c r="U232" s="3317"/>
      <c r="V232" s="3317"/>
      <c r="W232" s="3317"/>
      <c r="X232" s="3317"/>
      <c r="Y232" s="3317"/>
      <c r="Z232" s="3317"/>
      <c r="AA232" s="3322"/>
      <c r="AB232" s="3322"/>
      <c r="AC232" s="3322"/>
      <c r="AD232" s="3322"/>
      <c r="AE232" s="3322"/>
      <c r="AF232" s="3322"/>
      <c r="AG232" s="3322"/>
    </row>
    <row r="233" spans="1:33">
      <c r="A233" s="3316"/>
      <c r="B233" s="3316"/>
      <c r="C233" s="3322"/>
      <c r="D233" s="3322"/>
      <c r="E233" s="3322"/>
      <c r="F233" s="3317"/>
      <c r="G233" s="3317"/>
      <c r="H233" s="3317"/>
      <c r="I233" s="3317"/>
      <c r="J233" s="3317"/>
      <c r="K233" s="3317"/>
      <c r="L233" s="3317"/>
      <c r="M233" s="3317"/>
      <c r="N233" s="3317"/>
      <c r="O233" s="3317"/>
      <c r="P233" s="3317"/>
      <c r="Q233" s="3317"/>
      <c r="R233" s="3317"/>
      <c r="S233" s="3317"/>
      <c r="T233" s="3317"/>
      <c r="U233" s="3317"/>
      <c r="V233" s="3317"/>
      <c r="W233" s="3317"/>
      <c r="X233" s="3317"/>
      <c r="Y233" s="3317"/>
      <c r="Z233" s="3317"/>
      <c r="AA233" s="3322"/>
      <c r="AB233" s="3322"/>
      <c r="AC233" s="3322"/>
      <c r="AD233" s="3322"/>
      <c r="AE233" s="3322"/>
      <c r="AF233" s="3322"/>
      <c r="AG233" s="3322"/>
    </row>
    <row r="234" spans="1:33">
      <c r="A234" s="3316"/>
      <c r="B234" s="3316"/>
      <c r="C234" s="3322"/>
      <c r="D234" s="3322"/>
      <c r="E234" s="3322"/>
      <c r="F234" s="3317"/>
      <c r="G234" s="3317"/>
      <c r="H234" s="3317"/>
      <c r="I234" s="3317"/>
      <c r="J234" s="3317"/>
      <c r="K234" s="3317"/>
      <c r="L234" s="3317"/>
      <c r="M234" s="3317"/>
      <c r="N234" s="3317"/>
      <c r="O234" s="3317"/>
      <c r="P234" s="3317"/>
      <c r="Q234" s="3317"/>
      <c r="R234" s="3317"/>
      <c r="S234" s="3317"/>
      <c r="T234" s="3317"/>
      <c r="U234" s="3317"/>
      <c r="V234" s="3317"/>
      <c r="W234" s="3317"/>
      <c r="X234" s="3317"/>
      <c r="Y234" s="3317"/>
      <c r="Z234" s="3317"/>
      <c r="AA234" s="3322"/>
      <c r="AB234" s="3322"/>
      <c r="AC234" s="3322"/>
      <c r="AD234" s="3322"/>
      <c r="AE234" s="3322"/>
      <c r="AF234" s="3322"/>
      <c r="AG234" s="3322"/>
    </row>
    <row r="235" spans="1:33">
      <c r="A235" s="3316"/>
      <c r="B235" s="3316"/>
      <c r="C235" s="3322"/>
      <c r="D235" s="3322"/>
      <c r="E235" s="3322"/>
      <c r="F235" s="3317"/>
      <c r="G235" s="3317"/>
      <c r="H235" s="3317"/>
      <c r="I235" s="3317"/>
      <c r="J235" s="3317"/>
      <c r="K235" s="3317"/>
      <c r="L235" s="3317"/>
      <c r="M235" s="3317"/>
      <c r="N235" s="3317"/>
      <c r="O235" s="3317"/>
      <c r="P235" s="3317"/>
      <c r="Q235" s="3317"/>
      <c r="R235" s="3317"/>
      <c r="S235" s="3317"/>
      <c r="T235" s="3317"/>
      <c r="U235" s="3317"/>
      <c r="V235" s="3317"/>
      <c r="W235" s="3317"/>
      <c r="X235" s="3317"/>
      <c r="Y235" s="3317"/>
      <c r="Z235" s="3317"/>
      <c r="AA235" s="3322"/>
      <c r="AB235" s="3322"/>
      <c r="AC235" s="3322"/>
      <c r="AD235" s="3322"/>
      <c r="AE235" s="3322"/>
      <c r="AF235" s="3322"/>
      <c r="AG235" s="3322"/>
    </row>
    <row r="236" spans="1:33">
      <c r="A236" s="3316"/>
      <c r="B236" s="3316"/>
      <c r="C236" s="3322"/>
      <c r="D236" s="3322"/>
      <c r="E236" s="3322"/>
      <c r="F236" s="3317"/>
      <c r="G236" s="3317"/>
      <c r="H236" s="3317"/>
      <c r="I236" s="3317"/>
      <c r="J236" s="3317"/>
      <c r="K236" s="3317"/>
      <c r="L236" s="3317"/>
      <c r="M236" s="3317"/>
      <c r="N236" s="3317"/>
      <c r="O236" s="3317"/>
      <c r="P236" s="3317"/>
      <c r="Q236" s="3317"/>
      <c r="R236" s="3317"/>
      <c r="S236" s="3317"/>
      <c r="T236" s="3317"/>
      <c r="U236" s="3317"/>
      <c r="V236" s="3317"/>
      <c r="W236" s="3317"/>
      <c r="X236" s="3317"/>
      <c r="Y236" s="3317"/>
      <c r="Z236" s="3317"/>
      <c r="AA236" s="3322"/>
      <c r="AB236" s="3322"/>
      <c r="AC236" s="3322"/>
      <c r="AD236" s="3322"/>
      <c r="AE236" s="3322"/>
      <c r="AF236" s="3322"/>
      <c r="AG236" s="3322"/>
    </row>
    <row r="237" spans="1:33">
      <c r="A237" s="3316"/>
      <c r="B237" s="3316"/>
      <c r="C237" s="3322"/>
      <c r="D237" s="3322"/>
      <c r="E237" s="3322"/>
      <c r="F237" s="3317"/>
      <c r="G237" s="3317"/>
      <c r="H237" s="3317"/>
      <c r="I237" s="3317"/>
      <c r="J237" s="3317"/>
      <c r="K237" s="3317"/>
      <c r="L237" s="3317"/>
      <c r="M237" s="3317"/>
      <c r="N237" s="3317"/>
      <c r="O237" s="3317"/>
      <c r="P237" s="3317"/>
      <c r="Q237" s="3317"/>
      <c r="R237" s="3317"/>
      <c r="S237" s="3317"/>
      <c r="T237" s="3317"/>
      <c r="U237" s="3317"/>
      <c r="V237" s="3317"/>
      <c r="W237" s="3317"/>
      <c r="X237" s="3317"/>
      <c r="Y237" s="3317"/>
      <c r="Z237" s="3317"/>
      <c r="AA237" s="3322"/>
      <c r="AB237" s="3322"/>
      <c r="AC237" s="3322"/>
      <c r="AD237" s="3322"/>
      <c r="AE237" s="3322"/>
      <c r="AF237" s="3322"/>
      <c r="AG237" s="3322"/>
    </row>
    <row r="238" spans="1:33">
      <c r="A238" s="3316"/>
      <c r="B238" s="3316"/>
      <c r="C238" s="3322"/>
      <c r="D238" s="3322"/>
      <c r="E238" s="3322"/>
      <c r="F238" s="3317"/>
      <c r="G238" s="3317"/>
      <c r="H238" s="3317"/>
      <c r="I238" s="3317"/>
      <c r="J238" s="3317"/>
      <c r="K238" s="3317"/>
      <c r="L238" s="3317"/>
      <c r="M238" s="3317"/>
      <c r="N238" s="3317"/>
      <c r="O238" s="3317"/>
      <c r="P238" s="3317"/>
      <c r="Q238" s="3317"/>
      <c r="R238" s="3317"/>
      <c r="S238" s="3317"/>
      <c r="T238" s="3317"/>
      <c r="U238" s="3317"/>
      <c r="V238" s="3317"/>
      <c r="W238" s="3317"/>
      <c r="X238" s="3317"/>
      <c r="Y238" s="3317"/>
      <c r="Z238" s="3317"/>
      <c r="AA238" s="3322"/>
      <c r="AB238" s="3322"/>
      <c r="AC238" s="3322"/>
      <c r="AD238" s="3322"/>
      <c r="AE238" s="3322"/>
      <c r="AF238" s="3322"/>
      <c r="AG238" s="3322"/>
    </row>
    <row r="239" spans="1:33">
      <c r="A239" s="3316"/>
      <c r="B239" s="3316"/>
      <c r="C239" s="3322"/>
      <c r="D239" s="3322"/>
      <c r="E239" s="3322"/>
      <c r="F239" s="3317"/>
      <c r="G239" s="3317"/>
      <c r="H239" s="3317"/>
      <c r="I239" s="3317"/>
      <c r="J239" s="3317"/>
      <c r="K239" s="3317"/>
      <c r="L239" s="3317"/>
      <c r="M239" s="3317"/>
      <c r="N239" s="3317"/>
      <c r="O239" s="3317"/>
      <c r="P239" s="3317"/>
      <c r="Q239" s="3317"/>
      <c r="R239" s="3317"/>
      <c r="S239" s="3317"/>
      <c r="T239" s="3317"/>
      <c r="U239" s="3317"/>
      <c r="V239" s="3317"/>
      <c r="W239" s="3317"/>
      <c r="X239" s="3317"/>
      <c r="Y239" s="3317"/>
      <c r="Z239" s="3317"/>
      <c r="AA239" s="3322"/>
      <c r="AB239" s="3322"/>
      <c r="AC239" s="3322"/>
      <c r="AD239" s="3322"/>
      <c r="AE239" s="3322"/>
      <c r="AF239" s="3322"/>
      <c r="AG239" s="3322"/>
    </row>
    <row r="240" spans="1:33">
      <c r="A240" s="3316"/>
      <c r="B240" s="3316"/>
      <c r="C240" s="3322"/>
      <c r="D240" s="3322"/>
      <c r="E240" s="3322"/>
      <c r="F240" s="3317"/>
      <c r="G240" s="3317"/>
      <c r="H240" s="3317"/>
      <c r="I240" s="3317"/>
      <c r="J240" s="3317"/>
      <c r="K240" s="3317"/>
      <c r="L240" s="3317"/>
      <c r="M240" s="3317"/>
      <c r="N240" s="3317"/>
      <c r="O240" s="3317"/>
      <c r="P240" s="3317"/>
      <c r="Q240" s="3317"/>
      <c r="R240" s="3317"/>
      <c r="S240" s="3317"/>
      <c r="T240" s="3317"/>
      <c r="U240" s="3317"/>
      <c r="V240" s="3317"/>
      <c r="W240" s="3317"/>
      <c r="X240" s="3317"/>
      <c r="Y240" s="3317"/>
      <c r="Z240" s="3317"/>
      <c r="AA240" s="3322"/>
      <c r="AB240" s="3322"/>
      <c r="AC240" s="3322"/>
      <c r="AD240" s="3322"/>
      <c r="AE240" s="3322"/>
      <c r="AF240" s="3322"/>
      <c r="AG240" s="3322"/>
    </row>
    <row r="241" spans="1:33">
      <c r="A241" s="3316"/>
      <c r="B241" s="3316"/>
      <c r="C241" s="3322"/>
      <c r="D241" s="3322"/>
      <c r="E241" s="3322"/>
      <c r="F241" s="3317"/>
      <c r="G241" s="3317"/>
      <c r="H241" s="3317"/>
      <c r="I241" s="3317"/>
      <c r="J241" s="3317"/>
      <c r="K241" s="3317"/>
      <c r="L241" s="3317"/>
      <c r="M241" s="3317"/>
      <c r="N241" s="3317"/>
      <c r="O241" s="3317"/>
      <c r="P241" s="3317"/>
      <c r="Q241" s="3317"/>
      <c r="R241" s="3317"/>
      <c r="S241" s="3317"/>
      <c r="T241" s="3317"/>
      <c r="U241" s="3317"/>
      <c r="V241" s="3317"/>
      <c r="W241" s="3317"/>
      <c r="X241" s="3317"/>
      <c r="Y241" s="3317"/>
      <c r="Z241" s="3317"/>
      <c r="AA241" s="3322"/>
      <c r="AB241" s="3322"/>
      <c r="AC241" s="3322"/>
      <c r="AD241" s="3322"/>
      <c r="AE241" s="3322"/>
      <c r="AF241" s="3322"/>
      <c r="AG241" s="3322"/>
    </row>
    <row r="242" spans="1:33">
      <c r="A242" s="3316"/>
      <c r="B242" s="3316"/>
      <c r="C242" s="3322"/>
      <c r="D242" s="3322"/>
      <c r="E242" s="3322"/>
      <c r="F242" s="3317"/>
      <c r="G242" s="3317"/>
      <c r="H242" s="3317"/>
      <c r="I242" s="3317"/>
      <c r="J242" s="3317"/>
      <c r="K242" s="3317"/>
      <c r="L242" s="3317"/>
      <c r="M242" s="3317"/>
      <c r="N242" s="3317"/>
      <c r="O242" s="3317"/>
      <c r="P242" s="3317"/>
      <c r="Q242" s="3317"/>
      <c r="R242" s="3317"/>
      <c r="S242" s="3317"/>
      <c r="T242" s="3317"/>
      <c r="U242" s="3317"/>
      <c r="V242" s="3317"/>
      <c r="W242" s="3317"/>
      <c r="X242" s="3317"/>
      <c r="Y242" s="3317"/>
      <c r="Z242" s="3317"/>
      <c r="AA242" s="3322"/>
      <c r="AB242" s="3322"/>
      <c r="AC242" s="3322"/>
      <c r="AD242" s="3322"/>
      <c r="AE242" s="3322"/>
      <c r="AF242" s="3322"/>
      <c r="AG242" s="3322"/>
    </row>
    <row r="243" spans="1:33">
      <c r="A243" s="3316"/>
      <c r="B243" s="3316"/>
      <c r="C243" s="3322"/>
      <c r="D243" s="3322"/>
      <c r="E243" s="3322"/>
      <c r="F243" s="3317"/>
      <c r="G243" s="3317"/>
      <c r="H243" s="3317"/>
      <c r="I243" s="3317"/>
      <c r="J243" s="3317"/>
      <c r="K243" s="3317"/>
      <c r="L243" s="3317"/>
      <c r="M243" s="3317"/>
      <c r="N243" s="3317"/>
      <c r="O243" s="3317"/>
      <c r="P243" s="3317"/>
      <c r="Q243" s="3317"/>
      <c r="R243" s="3317"/>
      <c r="S243" s="3317"/>
      <c r="T243" s="3317"/>
      <c r="U243" s="3317"/>
      <c r="V243" s="3317"/>
      <c r="W243" s="3317"/>
      <c r="X243" s="3317"/>
      <c r="Y243" s="3317"/>
      <c r="Z243" s="3317"/>
      <c r="AA243" s="3322"/>
      <c r="AB243" s="3322"/>
      <c r="AC243" s="3322"/>
      <c r="AD243" s="3322"/>
      <c r="AE243" s="3322"/>
      <c r="AF243" s="3322"/>
      <c r="AG243" s="3322"/>
    </row>
    <row r="244" spans="1:33">
      <c r="A244" s="3316"/>
      <c r="B244" s="3316"/>
      <c r="C244" s="3322"/>
      <c r="D244" s="3322"/>
      <c r="E244" s="3322"/>
      <c r="F244" s="3317"/>
      <c r="G244" s="3317"/>
      <c r="H244" s="3317"/>
      <c r="I244" s="3317"/>
      <c r="J244" s="3317"/>
      <c r="K244" s="3317"/>
      <c r="L244" s="3317"/>
      <c r="M244" s="3317"/>
      <c r="N244" s="3317"/>
      <c r="O244" s="3317"/>
      <c r="P244" s="3317"/>
      <c r="Q244" s="3317"/>
      <c r="R244" s="3317"/>
      <c r="S244" s="3317"/>
      <c r="T244" s="3317"/>
      <c r="U244" s="3317"/>
      <c r="V244" s="3317"/>
      <c r="W244" s="3317"/>
      <c r="X244" s="3317"/>
      <c r="Y244" s="3317"/>
      <c r="Z244" s="3317"/>
      <c r="AA244" s="3322"/>
      <c r="AB244" s="3322"/>
      <c r="AC244" s="3322"/>
      <c r="AD244" s="3322"/>
      <c r="AE244" s="3322"/>
      <c r="AF244" s="3322"/>
      <c r="AG244" s="3322"/>
    </row>
    <row r="245" spans="1:33">
      <c r="A245" s="3316"/>
      <c r="B245" s="3316"/>
      <c r="C245" s="3322"/>
      <c r="D245" s="3322"/>
      <c r="E245" s="3322"/>
      <c r="F245" s="3317"/>
      <c r="G245" s="3317"/>
      <c r="H245" s="3317"/>
      <c r="I245" s="3317"/>
      <c r="J245" s="3317"/>
      <c r="K245" s="3317"/>
      <c r="L245" s="3317"/>
      <c r="M245" s="3317"/>
      <c r="N245" s="3317"/>
      <c r="O245" s="3317"/>
      <c r="P245" s="3317"/>
      <c r="Q245" s="3317"/>
      <c r="R245" s="3317"/>
      <c r="S245" s="3317"/>
      <c r="T245" s="3317"/>
      <c r="U245" s="3317"/>
      <c r="V245" s="3317"/>
      <c r="W245" s="3317"/>
      <c r="X245" s="3317"/>
      <c r="Y245" s="3317"/>
      <c r="Z245" s="3317"/>
      <c r="AA245" s="3322"/>
      <c r="AB245" s="3322"/>
      <c r="AC245" s="3322"/>
      <c r="AD245" s="3322"/>
      <c r="AE245" s="3322"/>
      <c r="AF245" s="3322"/>
      <c r="AG245" s="3322"/>
    </row>
    <row r="246" spans="1:33">
      <c r="A246" s="3316"/>
      <c r="B246" s="3316"/>
      <c r="C246" s="3322"/>
      <c r="D246" s="3322"/>
      <c r="E246" s="3322"/>
      <c r="F246" s="3317"/>
      <c r="G246" s="3317"/>
      <c r="H246" s="3317"/>
      <c r="I246" s="3317"/>
      <c r="J246" s="3317"/>
      <c r="K246" s="3317"/>
      <c r="L246" s="3317"/>
      <c r="M246" s="3317"/>
      <c r="N246" s="3317"/>
      <c r="O246" s="3317"/>
      <c r="P246" s="3317"/>
      <c r="Q246" s="3317"/>
      <c r="R246" s="3317"/>
      <c r="S246" s="3317"/>
      <c r="T246" s="3317"/>
      <c r="U246" s="3317"/>
      <c r="V246" s="3317"/>
      <c r="W246" s="3317"/>
      <c r="X246" s="3317"/>
      <c r="Y246" s="3317"/>
      <c r="Z246" s="3317"/>
      <c r="AA246" s="3322"/>
      <c r="AB246" s="3322"/>
      <c r="AC246" s="3322"/>
      <c r="AD246" s="3322"/>
      <c r="AE246" s="3322"/>
      <c r="AF246" s="3322"/>
      <c r="AG246" s="3322"/>
    </row>
    <row r="247" spans="1:33">
      <c r="A247" s="3316"/>
      <c r="B247" s="3316"/>
      <c r="C247" s="3322"/>
      <c r="D247" s="3322"/>
      <c r="E247" s="3322"/>
      <c r="F247" s="3317"/>
      <c r="G247" s="3317"/>
      <c r="H247" s="3317"/>
      <c r="I247" s="3317"/>
      <c r="J247" s="3317"/>
      <c r="K247" s="3317"/>
      <c r="L247" s="3317"/>
      <c r="M247" s="3317"/>
      <c r="N247" s="3317"/>
      <c r="O247" s="3317"/>
      <c r="P247" s="3317"/>
      <c r="Q247" s="3317"/>
      <c r="R247" s="3317"/>
      <c r="S247" s="3317"/>
      <c r="T247" s="3317"/>
      <c r="U247" s="3317"/>
      <c r="V247" s="3317"/>
      <c r="W247" s="3317"/>
      <c r="X247" s="3317"/>
      <c r="Y247" s="3317"/>
      <c r="Z247" s="3317"/>
      <c r="AA247" s="3322"/>
      <c r="AB247" s="3322"/>
      <c r="AC247" s="3322"/>
      <c r="AD247" s="3322"/>
      <c r="AE247" s="3322"/>
      <c r="AF247" s="3322"/>
      <c r="AG247" s="3322"/>
    </row>
    <row r="248" spans="1:33">
      <c r="A248" s="3316"/>
      <c r="B248" s="3316"/>
      <c r="C248" s="3322"/>
      <c r="D248" s="3322"/>
      <c r="E248" s="3322"/>
      <c r="F248" s="3317"/>
      <c r="G248" s="3317"/>
      <c r="H248" s="3317"/>
      <c r="I248" s="3317"/>
      <c r="J248" s="3317"/>
      <c r="K248" s="3317"/>
      <c r="L248" s="3317"/>
      <c r="M248" s="3317"/>
      <c r="N248" s="3317"/>
      <c r="O248" s="3317"/>
      <c r="P248" s="3317"/>
      <c r="Q248" s="3317"/>
      <c r="R248" s="3317"/>
      <c r="S248" s="3317"/>
      <c r="T248" s="3317"/>
      <c r="U248" s="3317"/>
      <c r="V248" s="3317"/>
      <c r="W248" s="3317"/>
      <c r="X248" s="3317"/>
      <c r="Y248" s="3317"/>
      <c r="Z248" s="3317"/>
      <c r="AA248" s="3322"/>
      <c r="AB248" s="3322"/>
      <c r="AC248" s="3322"/>
      <c r="AD248" s="3322"/>
      <c r="AE248" s="3322"/>
      <c r="AF248" s="3322"/>
      <c r="AG248" s="3322"/>
    </row>
    <row r="249" spans="1:33">
      <c r="A249" s="3316"/>
      <c r="B249" s="3316"/>
      <c r="C249" s="3322"/>
      <c r="D249" s="3322"/>
      <c r="E249" s="3322"/>
      <c r="F249" s="3317"/>
      <c r="G249" s="3317"/>
      <c r="H249" s="3317"/>
      <c r="I249" s="3317"/>
      <c r="J249" s="3317"/>
      <c r="K249" s="3317"/>
      <c r="L249" s="3317"/>
      <c r="M249" s="3317"/>
      <c r="N249" s="3317"/>
      <c r="O249" s="3317"/>
      <c r="P249" s="3317"/>
      <c r="Q249" s="3317"/>
      <c r="R249" s="3317"/>
      <c r="S249" s="3317"/>
      <c r="T249" s="3317"/>
      <c r="U249" s="3317"/>
      <c r="V249" s="3317"/>
      <c r="W249" s="3317"/>
      <c r="X249" s="3317"/>
      <c r="Y249" s="3317"/>
      <c r="Z249" s="3317"/>
      <c r="AA249" s="3322"/>
      <c r="AB249" s="3322"/>
      <c r="AC249" s="3322"/>
      <c r="AD249" s="3322"/>
      <c r="AE249" s="3322"/>
      <c r="AF249" s="3322"/>
      <c r="AG249" s="3322"/>
    </row>
    <row r="250" spans="1:33">
      <c r="A250" s="3316"/>
      <c r="B250" s="3316"/>
      <c r="C250" s="3322"/>
      <c r="D250" s="3322"/>
      <c r="E250" s="3322"/>
      <c r="F250" s="3317"/>
      <c r="G250" s="3317"/>
      <c r="H250" s="3317"/>
      <c r="I250" s="3317"/>
      <c r="J250" s="3317"/>
      <c r="K250" s="3317"/>
      <c r="L250" s="3317"/>
      <c r="M250" s="3317"/>
      <c r="N250" s="3317"/>
      <c r="O250" s="3317"/>
      <c r="P250" s="3317"/>
      <c r="Q250" s="3317"/>
      <c r="R250" s="3317"/>
      <c r="S250" s="3317"/>
      <c r="T250" s="3317"/>
      <c r="U250" s="3317"/>
      <c r="V250" s="3317"/>
      <c r="W250" s="3317"/>
      <c r="X250" s="3317"/>
      <c r="Y250" s="3317"/>
      <c r="Z250" s="3317"/>
      <c r="AA250" s="3322"/>
      <c r="AB250" s="3322"/>
      <c r="AC250" s="3322"/>
      <c r="AD250" s="3322"/>
      <c r="AE250" s="3322"/>
      <c r="AF250" s="3322"/>
      <c r="AG250" s="3322"/>
    </row>
    <row r="251" spans="1:33">
      <c r="A251" s="3316"/>
      <c r="B251" s="3316"/>
      <c r="C251" s="3322"/>
      <c r="D251" s="3322"/>
      <c r="E251" s="3322"/>
      <c r="F251" s="3317"/>
      <c r="G251" s="3317"/>
      <c r="H251" s="3317"/>
      <c r="I251" s="3317"/>
      <c r="J251" s="3317"/>
      <c r="K251" s="3317"/>
      <c r="L251" s="3317"/>
      <c r="M251" s="3317"/>
      <c r="N251" s="3317"/>
      <c r="O251" s="3317"/>
      <c r="P251" s="3317"/>
      <c r="Q251" s="3317"/>
      <c r="R251" s="3317"/>
      <c r="S251" s="3317"/>
      <c r="T251" s="3317"/>
      <c r="U251" s="3317"/>
      <c r="V251" s="3317"/>
      <c r="W251" s="3317"/>
      <c r="X251" s="3317"/>
      <c r="Y251" s="3317"/>
      <c r="Z251" s="3317"/>
      <c r="AA251" s="3322"/>
      <c r="AB251" s="3322"/>
      <c r="AC251" s="3322"/>
      <c r="AD251" s="3322"/>
      <c r="AE251" s="3322"/>
      <c r="AF251" s="3322"/>
      <c r="AG251" s="3322"/>
    </row>
    <row r="252" spans="1:33">
      <c r="A252" s="3316"/>
      <c r="B252" s="3316"/>
      <c r="C252" s="3322"/>
      <c r="D252" s="3322"/>
      <c r="E252" s="3322"/>
      <c r="F252" s="3317"/>
      <c r="G252" s="3317"/>
      <c r="H252" s="3317"/>
      <c r="I252" s="3317"/>
      <c r="J252" s="3317"/>
      <c r="K252" s="3317"/>
      <c r="L252" s="3317"/>
      <c r="M252" s="3317"/>
      <c r="N252" s="3317"/>
      <c r="O252" s="3317"/>
      <c r="P252" s="3317"/>
      <c r="Q252" s="3317"/>
      <c r="R252" s="3317"/>
      <c r="S252" s="3317"/>
      <c r="T252" s="3317"/>
      <c r="U252" s="3317"/>
      <c r="V252" s="3317"/>
      <c r="W252" s="3317"/>
      <c r="X252" s="3317"/>
      <c r="Y252" s="3317"/>
      <c r="Z252" s="3317"/>
      <c r="AA252" s="3322"/>
      <c r="AB252" s="3322"/>
      <c r="AC252" s="3322"/>
      <c r="AD252" s="3322"/>
      <c r="AE252" s="3322"/>
      <c r="AF252" s="3322"/>
      <c r="AG252" s="3322"/>
    </row>
    <row r="253" spans="1:33">
      <c r="A253" s="3316"/>
      <c r="B253" s="3316"/>
      <c r="C253" s="3322"/>
      <c r="D253" s="3322"/>
      <c r="E253" s="3322"/>
      <c r="F253" s="3317"/>
      <c r="G253" s="3317"/>
      <c r="H253" s="3317"/>
      <c r="I253" s="3317"/>
      <c r="J253" s="3317"/>
      <c r="K253" s="3317"/>
      <c r="L253" s="3317"/>
      <c r="M253" s="3317"/>
      <c r="N253" s="3317"/>
      <c r="O253" s="3317"/>
      <c r="P253" s="3317"/>
      <c r="Q253" s="3317"/>
      <c r="R253" s="3317"/>
      <c r="S253" s="3317"/>
      <c r="T253" s="3317"/>
      <c r="U253" s="3317"/>
      <c r="V253" s="3317"/>
      <c r="W253" s="3317"/>
      <c r="X253" s="3317"/>
      <c r="Y253" s="3317"/>
      <c r="Z253" s="3317"/>
      <c r="AA253" s="3322"/>
      <c r="AB253" s="3322"/>
      <c r="AC253" s="3322"/>
      <c r="AD253" s="3322"/>
      <c r="AE253" s="3322"/>
      <c r="AF253" s="3322"/>
      <c r="AG253" s="3322"/>
    </row>
    <row r="254" spans="1:33">
      <c r="A254" s="3316"/>
      <c r="B254" s="3316"/>
      <c r="C254" s="3322"/>
      <c r="D254" s="3322"/>
      <c r="E254" s="3322"/>
      <c r="F254" s="3317"/>
      <c r="G254" s="3317"/>
      <c r="H254" s="3317"/>
      <c r="I254" s="3317"/>
      <c r="J254" s="3317"/>
      <c r="K254" s="3317"/>
      <c r="L254" s="3317"/>
      <c r="M254" s="3317"/>
      <c r="N254" s="3317"/>
      <c r="O254" s="3317"/>
      <c r="P254" s="3317"/>
      <c r="Q254" s="3317"/>
      <c r="R254" s="3317"/>
      <c r="S254" s="3317"/>
      <c r="T254" s="3317"/>
      <c r="U254" s="3317"/>
      <c r="V254" s="3317"/>
      <c r="W254" s="3317"/>
      <c r="X254" s="3317"/>
      <c r="Y254" s="3317"/>
      <c r="Z254" s="3317"/>
      <c r="AA254" s="3322"/>
      <c r="AB254" s="3322"/>
      <c r="AC254" s="3322"/>
      <c r="AD254" s="3322"/>
      <c r="AE254" s="3322"/>
      <c r="AF254" s="3322"/>
      <c r="AG254" s="3322"/>
    </row>
    <row r="255" spans="1:33">
      <c r="A255" s="3316"/>
      <c r="B255" s="3316"/>
      <c r="C255" s="3322"/>
      <c r="D255" s="3322"/>
      <c r="E255" s="3322"/>
      <c r="F255" s="3317"/>
      <c r="G255" s="3317"/>
      <c r="H255" s="3317"/>
      <c r="I255" s="3317"/>
      <c r="J255" s="3317"/>
      <c r="K255" s="3317"/>
      <c r="L255" s="3317"/>
      <c r="M255" s="3317"/>
      <c r="N255" s="3317"/>
      <c r="O255" s="3317"/>
      <c r="P255" s="3317"/>
      <c r="Q255" s="3317"/>
      <c r="R255" s="3317"/>
      <c r="S255" s="3317"/>
      <c r="T255" s="3317"/>
      <c r="U255" s="3317"/>
      <c r="V255" s="3317"/>
      <c r="W255" s="3317"/>
      <c r="X255" s="3317"/>
      <c r="Y255" s="3317"/>
      <c r="Z255" s="3317"/>
      <c r="AA255" s="3322"/>
      <c r="AB255" s="3322"/>
      <c r="AC255" s="3322"/>
      <c r="AD255" s="3322"/>
      <c r="AE255" s="3322"/>
      <c r="AF255" s="3322"/>
      <c r="AG255" s="3322"/>
    </row>
    <row r="256" spans="1:33">
      <c r="A256" s="3316"/>
      <c r="B256" s="3316"/>
      <c r="C256" s="3322"/>
      <c r="D256" s="3322"/>
      <c r="E256" s="3322"/>
      <c r="F256" s="3317"/>
      <c r="G256" s="3317"/>
      <c r="H256" s="3317"/>
      <c r="I256" s="3317"/>
      <c r="J256" s="3317"/>
      <c r="K256" s="3317"/>
      <c r="L256" s="3317"/>
      <c r="M256" s="3317"/>
      <c r="N256" s="3317"/>
      <c r="O256" s="3317"/>
      <c r="P256" s="3317"/>
      <c r="Q256" s="3317"/>
      <c r="R256" s="3317"/>
      <c r="S256" s="3317"/>
      <c r="T256" s="3317"/>
      <c r="U256" s="3317"/>
      <c r="V256" s="3317"/>
      <c r="W256" s="3317"/>
      <c r="X256" s="3317"/>
      <c r="Y256" s="3317"/>
      <c r="Z256" s="3317"/>
      <c r="AA256" s="3322"/>
      <c r="AB256" s="3322"/>
      <c r="AC256" s="3322"/>
      <c r="AD256" s="3322"/>
      <c r="AE256" s="3322"/>
      <c r="AF256" s="3322"/>
      <c r="AG256" s="3322"/>
    </row>
    <row r="257" spans="1:33">
      <c r="A257" s="3316"/>
      <c r="B257" s="3316"/>
      <c r="C257" s="3322"/>
      <c r="D257" s="3322"/>
      <c r="E257" s="3322"/>
      <c r="F257" s="3317"/>
      <c r="G257" s="3317"/>
      <c r="H257" s="3317"/>
      <c r="I257" s="3317"/>
      <c r="J257" s="3317"/>
      <c r="K257" s="3317"/>
      <c r="L257" s="3317"/>
      <c r="M257" s="3317"/>
      <c r="N257" s="3317"/>
      <c r="O257" s="3317"/>
      <c r="P257" s="3317"/>
      <c r="Q257" s="3317"/>
      <c r="R257" s="3317"/>
      <c r="S257" s="3317"/>
      <c r="T257" s="3317"/>
      <c r="U257" s="3317"/>
      <c r="V257" s="3317"/>
      <c r="W257" s="3317"/>
      <c r="X257" s="3317"/>
      <c r="Y257" s="3317"/>
      <c r="Z257" s="3317"/>
      <c r="AA257" s="3322"/>
      <c r="AB257" s="3322"/>
      <c r="AC257" s="3322"/>
      <c r="AD257" s="3322"/>
      <c r="AE257" s="3322"/>
      <c r="AF257" s="3322"/>
      <c r="AG257" s="3322"/>
    </row>
    <row r="258" spans="1:33">
      <c r="A258" s="3316"/>
      <c r="B258" s="3316"/>
      <c r="C258" s="3322"/>
      <c r="D258" s="3322"/>
      <c r="E258" s="3322"/>
      <c r="F258" s="3317"/>
      <c r="G258" s="3317"/>
      <c r="H258" s="3317"/>
      <c r="I258" s="3317"/>
      <c r="J258" s="3317"/>
      <c r="K258" s="3317"/>
      <c r="L258" s="3317"/>
      <c r="M258" s="3317"/>
      <c r="N258" s="3317"/>
      <c r="O258" s="3317"/>
      <c r="P258" s="3317"/>
      <c r="Q258" s="3317"/>
      <c r="R258" s="3317"/>
      <c r="S258" s="3317"/>
      <c r="T258" s="3317"/>
      <c r="U258" s="3317"/>
      <c r="V258" s="3317"/>
      <c r="W258" s="3317"/>
      <c r="X258" s="3317"/>
      <c r="Y258" s="3317"/>
      <c r="Z258" s="3317"/>
      <c r="AA258" s="3322"/>
      <c r="AB258" s="3322"/>
      <c r="AC258" s="3322"/>
      <c r="AD258" s="3322"/>
      <c r="AE258" s="3322"/>
      <c r="AF258" s="3322"/>
      <c r="AG258" s="3322"/>
    </row>
    <row r="259" spans="1:33">
      <c r="A259" s="3316"/>
      <c r="B259" s="3316"/>
      <c r="C259" s="3322"/>
      <c r="D259" s="3322"/>
      <c r="E259" s="3322"/>
      <c r="F259" s="3317"/>
      <c r="G259" s="3317"/>
      <c r="H259" s="3317"/>
      <c r="I259" s="3317"/>
      <c r="J259" s="3317"/>
      <c r="K259" s="3317"/>
      <c r="L259" s="3317"/>
      <c r="M259" s="3317"/>
      <c r="N259" s="3317"/>
      <c r="O259" s="3317"/>
      <c r="P259" s="3317"/>
      <c r="Q259" s="3317"/>
      <c r="R259" s="3317"/>
      <c r="S259" s="3317"/>
      <c r="T259" s="3317"/>
      <c r="U259" s="3317"/>
      <c r="V259" s="3317"/>
      <c r="W259" s="3317"/>
      <c r="X259" s="3317"/>
      <c r="Y259" s="3317"/>
      <c r="Z259" s="3317"/>
      <c r="AA259" s="3322"/>
      <c r="AB259" s="3322"/>
      <c r="AC259" s="3322"/>
      <c r="AD259" s="3322"/>
      <c r="AE259" s="3322"/>
      <c r="AF259" s="3322"/>
      <c r="AG259" s="3322"/>
    </row>
    <row r="260" spans="1:33">
      <c r="A260" s="3316"/>
      <c r="B260" s="3316"/>
      <c r="C260" s="3322"/>
      <c r="D260" s="3322"/>
      <c r="E260" s="3322"/>
      <c r="F260" s="3317"/>
      <c r="G260" s="3317"/>
      <c r="H260" s="3317"/>
      <c r="I260" s="3317"/>
      <c r="J260" s="3317"/>
      <c r="K260" s="3317"/>
      <c r="L260" s="3317"/>
      <c r="M260" s="3317"/>
      <c r="N260" s="3317"/>
      <c r="O260" s="3317"/>
      <c r="P260" s="3317"/>
      <c r="Q260" s="3317"/>
      <c r="R260" s="3317"/>
      <c r="S260" s="3317"/>
      <c r="T260" s="3317"/>
      <c r="U260" s="3317"/>
      <c r="V260" s="3317"/>
      <c r="W260" s="3317"/>
      <c r="X260" s="3317"/>
      <c r="Y260" s="3317"/>
      <c r="Z260" s="3317"/>
      <c r="AA260" s="3322"/>
      <c r="AB260" s="3322"/>
      <c r="AC260" s="3322"/>
      <c r="AD260" s="3322"/>
      <c r="AE260" s="3322"/>
      <c r="AF260" s="3322"/>
      <c r="AG260" s="3322"/>
    </row>
    <row r="261" spans="1:33">
      <c r="A261" s="3316"/>
      <c r="B261" s="3316"/>
      <c r="C261" s="3322"/>
      <c r="D261" s="3322"/>
      <c r="E261" s="3322"/>
      <c r="F261" s="3317"/>
      <c r="G261" s="3317"/>
      <c r="H261" s="3317"/>
      <c r="I261" s="3317"/>
      <c r="J261" s="3317"/>
      <c r="K261" s="3317"/>
      <c r="L261" s="3317"/>
      <c r="M261" s="3317"/>
      <c r="N261" s="3317"/>
      <c r="O261" s="3317"/>
      <c r="P261" s="3317"/>
      <c r="Q261" s="3317"/>
      <c r="R261" s="3317"/>
      <c r="S261" s="3317"/>
      <c r="T261" s="3317"/>
      <c r="U261" s="3317"/>
      <c r="V261" s="3317"/>
      <c r="W261" s="3317"/>
      <c r="X261" s="3317"/>
      <c r="Y261" s="3317"/>
      <c r="Z261" s="3317"/>
      <c r="AA261" s="3322"/>
      <c r="AB261" s="3322"/>
      <c r="AC261" s="3322"/>
      <c r="AD261" s="3322"/>
      <c r="AE261" s="3322"/>
      <c r="AF261" s="3322"/>
      <c r="AG261" s="3322"/>
    </row>
    <row r="262" spans="1:33">
      <c r="A262" s="3316"/>
      <c r="B262" s="3316"/>
      <c r="C262" s="3322"/>
      <c r="D262" s="3322"/>
      <c r="E262" s="3322"/>
      <c r="F262" s="3317"/>
      <c r="G262" s="3317"/>
      <c r="H262" s="3317"/>
      <c r="I262" s="3317"/>
      <c r="J262" s="3317"/>
      <c r="K262" s="3317"/>
      <c r="L262" s="3317"/>
      <c r="M262" s="3317"/>
      <c r="N262" s="3317"/>
      <c r="O262" s="3317"/>
      <c r="P262" s="3317"/>
      <c r="Q262" s="3317"/>
      <c r="R262" s="3317"/>
      <c r="S262" s="3317"/>
      <c r="T262" s="3317"/>
      <c r="U262" s="3317"/>
      <c r="V262" s="3317"/>
      <c r="W262" s="3317"/>
      <c r="X262" s="3317"/>
      <c r="Y262" s="3317"/>
      <c r="Z262" s="3317"/>
      <c r="AA262" s="3322"/>
      <c r="AB262" s="3322"/>
      <c r="AC262" s="3322"/>
      <c r="AD262" s="3322"/>
      <c r="AE262" s="3322"/>
      <c r="AF262" s="3322"/>
      <c r="AG262" s="3322"/>
    </row>
    <row r="263" spans="1:33">
      <c r="A263" s="3316"/>
      <c r="B263" s="3316"/>
      <c r="C263" s="3322"/>
      <c r="D263" s="3322"/>
      <c r="E263" s="3322"/>
      <c r="F263" s="3317"/>
      <c r="G263" s="3317"/>
      <c r="H263" s="3317"/>
      <c r="I263" s="3317"/>
      <c r="J263" s="3317"/>
      <c r="K263" s="3317"/>
      <c r="L263" s="3317"/>
      <c r="M263" s="3317"/>
      <c r="N263" s="3317"/>
      <c r="O263" s="3317"/>
      <c r="P263" s="3317"/>
      <c r="Q263" s="3317"/>
      <c r="R263" s="3317"/>
      <c r="S263" s="3317"/>
      <c r="T263" s="3317"/>
      <c r="U263" s="3317"/>
      <c r="V263" s="3317"/>
      <c r="W263" s="3317"/>
      <c r="X263" s="3317"/>
      <c r="Y263" s="3317"/>
      <c r="Z263" s="3317"/>
      <c r="AA263" s="3322"/>
      <c r="AB263" s="3322"/>
      <c r="AC263" s="3322"/>
      <c r="AD263" s="3322"/>
      <c r="AE263" s="3322"/>
      <c r="AF263" s="3322"/>
      <c r="AG263" s="3322"/>
    </row>
    <row r="264" spans="1:33">
      <c r="A264" s="3316"/>
      <c r="B264" s="3316"/>
      <c r="C264" s="3322"/>
      <c r="D264" s="3322"/>
      <c r="E264" s="3322"/>
      <c r="F264" s="3317"/>
      <c r="G264" s="3317"/>
      <c r="H264" s="3317"/>
      <c r="I264" s="3317"/>
      <c r="J264" s="3317"/>
      <c r="K264" s="3317"/>
      <c r="L264" s="3317"/>
      <c r="M264" s="3317"/>
      <c r="N264" s="3317"/>
      <c r="O264" s="3317"/>
      <c r="P264" s="3317"/>
      <c r="Q264" s="3317"/>
      <c r="R264" s="3317"/>
      <c r="S264" s="3317"/>
      <c r="T264" s="3317"/>
      <c r="U264" s="3317"/>
      <c r="V264" s="3317"/>
      <c r="W264" s="3317"/>
      <c r="X264" s="3317"/>
      <c r="Y264" s="3317"/>
      <c r="Z264" s="3317"/>
      <c r="AA264" s="3322"/>
      <c r="AB264" s="3322"/>
      <c r="AC264" s="3322"/>
      <c r="AD264" s="3322"/>
      <c r="AE264" s="3322"/>
      <c r="AF264" s="3322"/>
      <c r="AG264" s="3322"/>
    </row>
    <row r="265" spans="1:33">
      <c r="A265" s="3316"/>
      <c r="B265" s="3316"/>
      <c r="C265" s="3322"/>
      <c r="D265" s="3322"/>
      <c r="E265" s="3322"/>
      <c r="F265" s="3317"/>
      <c r="G265" s="3317"/>
      <c r="H265" s="3317"/>
      <c r="I265" s="3317"/>
      <c r="J265" s="3317"/>
      <c r="K265" s="3317"/>
      <c r="L265" s="3317"/>
      <c r="M265" s="3317"/>
      <c r="N265" s="3317"/>
      <c r="O265" s="3317"/>
      <c r="P265" s="3317"/>
      <c r="Q265" s="3317"/>
      <c r="R265" s="3317"/>
      <c r="S265" s="3317"/>
      <c r="T265" s="3317"/>
      <c r="U265" s="3317"/>
      <c r="V265" s="3317"/>
      <c r="W265" s="3317"/>
      <c r="X265" s="3317"/>
      <c r="Y265" s="3317"/>
      <c r="Z265" s="3317"/>
      <c r="AA265" s="3322"/>
      <c r="AB265" s="3322"/>
      <c r="AC265" s="3322"/>
      <c r="AD265" s="3322"/>
      <c r="AE265" s="3322"/>
      <c r="AF265" s="3322"/>
      <c r="AG265" s="3322"/>
    </row>
    <row r="266" spans="1:33">
      <c r="A266" s="3316"/>
      <c r="B266" s="3316"/>
      <c r="C266" s="3322"/>
      <c r="D266" s="3322"/>
      <c r="E266" s="3322"/>
      <c r="F266" s="3317"/>
      <c r="G266" s="3317"/>
      <c r="H266" s="3317"/>
      <c r="I266" s="3317"/>
      <c r="J266" s="3317"/>
      <c r="K266" s="3317"/>
      <c r="L266" s="3317"/>
      <c r="M266" s="3317"/>
      <c r="N266" s="3317"/>
      <c r="O266" s="3317"/>
      <c r="P266" s="3317"/>
      <c r="Q266" s="3317"/>
      <c r="R266" s="3317"/>
      <c r="S266" s="3317"/>
      <c r="T266" s="3317"/>
      <c r="U266" s="3317"/>
      <c r="V266" s="3317"/>
      <c r="W266" s="3317"/>
      <c r="X266" s="3317"/>
      <c r="Y266" s="3317"/>
      <c r="Z266" s="3317"/>
      <c r="AA266" s="3322"/>
      <c r="AB266" s="3322"/>
      <c r="AC266" s="3322"/>
      <c r="AD266" s="3322"/>
      <c r="AE266" s="3322"/>
      <c r="AF266" s="3322"/>
      <c r="AG266" s="3322"/>
    </row>
    <row r="267" spans="1:33">
      <c r="A267" s="3316"/>
      <c r="B267" s="3316"/>
      <c r="C267" s="3322"/>
      <c r="D267" s="3322"/>
      <c r="E267" s="3322"/>
      <c r="F267" s="3317"/>
      <c r="G267" s="3317"/>
      <c r="H267" s="3317"/>
      <c r="I267" s="3317"/>
      <c r="J267" s="3317"/>
      <c r="K267" s="3317"/>
      <c r="L267" s="3317"/>
      <c r="M267" s="3317"/>
      <c r="N267" s="3317"/>
      <c r="O267" s="3317"/>
      <c r="P267" s="3317"/>
      <c r="Q267" s="3317"/>
      <c r="R267" s="3317"/>
      <c r="S267" s="3317"/>
      <c r="T267" s="3317"/>
      <c r="U267" s="3317"/>
      <c r="V267" s="3317"/>
      <c r="W267" s="3317"/>
      <c r="X267" s="3317"/>
      <c r="Y267" s="3317"/>
      <c r="Z267" s="3317"/>
      <c r="AA267" s="3322"/>
      <c r="AB267" s="3322"/>
      <c r="AC267" s="3322"/>
      <c r="AD267" s="3322"/>
      <c r="AE267" s="3322"/>
      <c r="AF267" s="3322"/>
      <c r="AG267" s="3322"/>
    </row>
    <row r="268" spans="1:33">
      <c r="A268" s="3316"/>
      <c r="B268" s="3316"/>
      <c r="C268" s="3322"/>
      <c r="D268" s="3322"/>
      <c r="E268" s="3322"/>
      <c r="F268" s="3317"/>
      <c r="G268" s="3317"/>
      <c r="H268" s="3317"/>
      <c r="I268" s="3317"/>
      <c r="J268" s="3317"/>
      <c r="K268" s="3317"/>
      <c r="L268" s="3317"/>
      <c r="M268" s="3317"/>
      <c r="N268" s="3317"/>
      <c r="O268" s="3317"/>
      <c r="P268" s="3317"/>
      <c r="Q268" s="3317"/>
      <c r="R268" s="3317"/>
      <c r="S268" s="3317"/>
      <c r="T268" s="3317"/>
      <c r="U268" s="3317"/>
      <c r="V268" s="3317"/>
      <c r="W268" s="3317"/>
      <c r="X268" s="3317"/>
      <c r="Y268" s="3317"/>
      <c r="Z268" s="3317"/>
      <c r="AA268" s="3322"/>
      <c r="AB268" s="3322"/>
      <c r="AC268" s="3322"/>
      <c r="AD268" s="3322"/>
      <c r="AE268" s="3322"/>
      <c r="AF268" s="3322"/>
      <c r="AG268" s="3322"/>
    </row>
    <row r="269" spans="1:33">
      <c r="A269" s="3316"/>
      <c r="B269" s="3316"/>
      <c r="C269" s="3322"/>
      <c r="D269" s="3322"/>
      <c r="E269" s="3322"/>
      <c r="F269" s="3317"/>
      <c r="G269" s="3317"/>
      <c r="H269" s="3317"/>
      <c r="I269" s="3317"/>
      <c r="J269" s="3317"/>
      <c r="K269" s="3317"/>
      <c r="L269" s="3317"/>
      <c r="M269" s="3317"/>
      <c r="N269" s="3317"/>
      <c r="O269" s="3317"/>
      <c r="P269" s="3317"/>
      <c r="Q269" s="3317"/>
      <c r="R269" s="3317"/>
      <c r="S269" s="3317"/>
      <c r="T269" s="3317"/>
      <c r="U269" s="3317"/>
      <c r="V269" s="3317"/>
      <c r="W269" s="3317"/>
      <c r="X269" s="3317"/>
      <c r="Y269" s="3317"/>
      <c r="Z269" s="3317"/>
      <c r="AA269" s="3322"/>
      <c r="AB269" s="3322"/>
      <c r="AC269" s="3322"/>
      <c r="AD269" s="3322"/>
      <c r="AE269" s="3322"/>
      <c r="AF269" s="3322"/>
      <c r="AG269" s="3322"/>
    </row>
    <row r="270" spans="1:33">
      <c r="A270" s="3316"/>
      <c r="B270" s="3316"/>
      <c r="C270" s="3322"/>
      <c r="D270" s="3322"/>
      <c r="E270" s="3322"/>
      <c r="F270" s="3317"/>
      <c r="G270" s="3317"/>
      <c r="H270" s="3317"/>
      <c r="I270" s="3317"/>
      <c r="J270" s="3317"/>
      <c r="K270" s="3317"/>
      <c r="L270" s="3317"/>
      <c r="M270" s="3317"/>
      <c r="N270" s="3317"/>
      <c r="O270" s="3317"/>
      <c r="P270" s="3317"/>
      <c r="Q270" s="3317"/>
      <c r="R270" s="3317"/>
      <c r="S270" s="3317"/>
      <c r="T270" s="3317"/>
      <c r="U270" s="3317"/>
      <c r="V270" s="3317"/>
      <c r="W270" s="3317"/>
      <c r="X270" s="3317"/>
      <c r="Y270" s="3317"/>
      <c r="Z270" s="3317"/>
      <c r="AA270" s="3322"/>
      <c r="AB270" s="3322"/>
      <c r="AC270" s="3322"/>
      <c r="AD270" s="3322"/>
      <c r="AE270" s="3322"/>
      <c r="AF270" s="3322"/>
      <c r="AG270" s="3322"/>
    </row>
    <row r="271" spans="1:33">
      <c r="A271" s="3316"/>
      <c r="B271" s="3316"/>
      <c r="C271" s="3322"/>
      <c r="D271" s="3322"/>
      <c r="E271" s="3322"/>
      <c r="F271" s="3317"/>
      <c r="G271" s="3317"/>
      <c r="H271" s="3317"/>
      <c r="I271" s="3317"/>
      <c r="J271" s="3317"/>
      <c r="K271" s="3317"/>
      <c r="L271" s="3317"/>
      <c r="M271" s="3317"/>
      <c r="N271" s="3317"/>
      <c r="O271" s="3317"/>
      <c r="P271" s="3317"/>
      <c r="Q271" s="3317"/>
      <c r="R271" s="3317"/>
      <c r="S271" s="3317"/>
      <c r="T271" s="3317"/>
      <c r="U271" s="3317"/>
      <c r="V271" s="3317"/>
      <c r="W271" s="3317"/>
      <c r="X271" s="3317"/>
      <c r="Y271" s="3317"/>
      <c r="Z271" s="3317"/>
      <c r="AA271" s="3322"/>
      <c r="AB271" s="3322"/>
      <c r="AC271" s="3322"/>
      <c r="AD271" s="3322"/>
      <c r="AE271" s="3322"/>
      <c r="AF271" s="3322"/>
      <c r="AG271" s="3322"/>
    </row>
    <row r="272" spans="1:33">
      <c r="A272" s="3316"/>
      <c r="B272" s="3316"/>
      <c r="C272" s="3322"/>
      <c r="D272" s="3322"/>
      <c r="E272" s="3322"/>
      <c r="F272" s="3317"/>
      <c r="G272" s="3317"/>
      <c r="H272" s="3317"/>
      <c r="I272" s="3317"/>
      <c r="J272" s="3317"/>
      <c r="K272" s="3317"/>
      <c r="L272" s="3317"/>
      <c r="M272" s="3317"/>
      <c r="N272" s="3317"/>
      <c r="O272" s="3317"/>
      <c r="P272" s="3317"/>
      <c r="Q272" s="3317"/>
      <c r="R272" s="3317"/>
      <c r="S272" s="3317"/>
      <c r="T272" s="3317"/>
      <c r="U272" s="3317"/>
      <c r="V272" s="3317"/>
      <c r="W272" s="3317"/>
      <c r="X272" s="3317"/>
      <c r="Y272" s="3317"/>
      <c r="Z272" s="3317"/>
      <c r="AA272" s="3322"/>
      <c r="AB272" s="3322"/>
      <c r="AC272" s="3322"/>
      <c r="AD272" s="3322"/>
      <c r="AE272" s="3322"/>
      <c r="AF272" s="3322"/>
      <c r="AG272" s="3322"/>
    </row>
    <row r="273" spans="1:33">
      <c r="A273" s="3316"/>
      <c r="B273" s="3316"/>
      <c r="C273" s="3322"/>
      <c r="D273" s="3322"/>
      <c r="E273" s="3322"/>
      <c r="F273" s="3317"/>
      <c r="G273" s="3317"/>
      <c r="H273" s="3317"/>
      <c r="I273" s="3317"/>
      <c r="J273" s="3317"/>
      <c r="K273" s="3317"/>
      <c r="L273" s="3317"/>
      <c r="M273" s="3317"/>
      <c r="N273" s="3317"/>
      <c r="O273" s="3317"/>
      <c r="P273" s="3317"/>
      <c r="Q273" s="3317"/>
      <c r="R273" s="3317"/>
      <c r="S273" s="3317"/>
      <c r="T273" s="3317"/>
      <c r="U273" s="3317"/>
      <c r="V273" s="3317"/>
      <c r="W273" s="3317"/>
      <c r="X273" s="3317"/>
      <c r="Y273" s="3317"/>
      <c r="Z273" s="3317"/>
      <c r="AA273" s="3322"/>
      <c r="AB273" s="3322"/>
      <c r="AC273" s="3322"/>
      <c r="AD273" s="3322"/>
      <c r="AE273" s="3322"/>
      <c r="AF273" s="3322"/>
      <c r="AG273" s="3322"/>
    </row>
    <row r="274" spans="1:33">
      <c r="A274" s="3316"/>
      <c r="B274" s="3316"/>
      <c r="C274" s="3322"/>
      <c r="D274" s="3322"/>
      <c r="E274" s="3322"/>
      <c r="F274" s="3317"/>
      <c r="G274" s="3317"/>
      <c r="H274" s="3317"/>
      <c r="I274" s="3317"/>
      <c r="J274" s="3317"/>
      <c r="K274" s="3317"/>
      <c r="L274" s="3317"/>
      <c r="M274" s="3317"/>
      <c r="N274" s="3317"/>
      <c r="O274" s="3317"/>
      <c r="P274" s="3317"/>
      <c r="Q274" s="3317"/>
      <c r="R274" s="3317"/>
      <c r="S274" s="3317"/>
      <c r="T274" s="3317"/>
      <c r="U274" s="3317"/>
      <c r="V274" s="3317"/>
      <c r="W274" s="3317"/>
      <c r="X274" s="3317"/>
      <c r="Y274" s="3317"/>
      <c r="Z274" s="3317"/>
      <c r="AA274" s="3322"/>
      <c r="AB274" s="3322"/>
      <c r="AC274" s="3322"/>
      <c r="AD274" s="3322"/>
      <c r="AE274" s="3322"/>
      <c r="AF274" s="3322"/>
      <c r="AG274" s="3322"/>
    </row>
    <row r="275" spans="1:33">
      <c r="A275" s="3316"/>
      <c r="B275" s="3316"/>
      <c r="C275" s="3322"/>
      <c r="D275" s="3322"/>
      <c r="E275" s="3322"/>
      <c r="F275" s="3317"/>
      <c r="G275" s="3317"/>
      <c r="H275" s="3317"/>
      <c r="I275" s="3317"/>
      <c r="J275" s="3317"/>
      <c r="K275" s="3317"/>
      <c r="L275" s="3317"/>
      <c r="M275" s="3317"/>
      <c r="N275" s="3317"/>
      <c r="O275" s="3317"/>
      <c r="P275" s="3317"/>
      <c r="Q275" s="3317"/>
      <c r="R275" s="3317"/>
      <c r="S275" s="3317"/>
      <c r="T275" s="3317"/>
      <c r="U275" s="3317"/>
      <c r="V275" s="3317"/>
      <c r="W275" s="3317"/>
      <c r="X275" s="3317"/>
      <c r="Y275" s="3317"/>
      <c r="Z275" s="3317"/>
      <c r="AA275" s="3322"/>
      <c r="AB275" s="3322"/>
      <c r="AC275" s="3322"/>
      <c r="AD275" s="3322"/>
      <c r="AE275" s="3322"/>
      <c r="AF275" s="3322"/>
      <c r="AG275" s="3322"/>
    </row>
    <row r="276" spans="1:33">
      <c r="A276" s="3316"/>
      <c r="B276" s="3316"/>
      <c r="C276" s="3322"/>
      <c r="D276" s="3322"/>
      <c r="E276" s="3322"/>
      <c r="F276" s="3317"/>
      <c r="G276" s="3317"/>
      <c r="H276" s="3317"/>
      <c r="I276" s="3317"/>
      <c r="J276" s="3317"/>
      <c r="K276" s="3317"/>
      <c r="L276" s="3317"/>
      <c r="M276" s="3317"/>
      <c r="N276" s="3317"/>
      <c r="O276" s="3317"/>
      <c r="P276" s="3317"/>
      <c r="Q276" s="3317"/>
      <c r="R276" s="3317"/>
      <c r="S276" s="3317"/>
      <c r="T276" s="3317"/>
      <c r="U276" s="3317"/>
      <c r="V276" s="3317"/>
      <c r="W276" s="3317"/>
      <c r="X276" s="3317"/>
      <c r="Y276" s="3317"/>
      <c r="Z276" s="3317"/>
      <c r="AA276" s="3322"/>
      <c r="AB276" s="3322"/>
      <c r="AC276" s="3322"/>
      <c r="AD276" s="3322"/>
      <c r="AE276" s="3322"/>
      <c r="AF276" s="3322"/>
      <c r="AG276" s="3322"/>
    </row>
    <row r="277" spans="1:33">
      <c r="A277" s="3316"/>
      <c r="B277" s="3316"/>
      <c r="C277" s="3322"/>
      <c r="D277" s="3322"/>
      <c r="E277" s="3322"/>
      <c r="F277" s="3317"/>
      <c r="G277" s="3317"/>
      <c r="H277" s="3317"/>
      <c r="I277" s="3317"/>
      <c r="J277" s="3317"/>
      <c r="K277" s="3317"/>
      <c r="L277" s="3317"/>
      <c r="M277" s="3317"/>
      <c r="N277" s="3317"/>
      <c r="O277" s="3317"/>
      <c r="P277" s="3317"/>
      <c r="Q277" s="3317"/>
      <c r="R277" s="3317"/>
      <c r="S277" s="3317"/>
      <c r="T277" s="3317"/>
      <c r="U277" s="3317"/>
      <c r="V277" s="3317"/>
      <c r="W277" s="3317"/>
      <c r="X277" s="3317"/>
      <c r="Y277" s="3317"/>
      <c r="Z277" s="3317"/>
      <c r="AA277" s="3322"/>
      <c r="AB277" s="3322"/>
      <c r="AC277" s="3322"/>
      <c r="AD277" s="3322"/>
      <c r="AE277" s="3322"/>
      <c r="AF277" s="3322"/>
      <c r="AG277" s="3322"/>
    </row>
    <row r="278" spans="1:33">
      <c r="A278" s="3316"/>
      <c r="B278" s="3316"/>
      <c r="C278" s="3322"/>
      <c r="D278" s="3322"/>
      <c r="E278" s="3322"/>
      <c r="F278" s="3317"/>
      <c r="G278" s="3317"/>
      <c r="H278" s="3317"/>
      <c r="I278" s="3317"/>
      <c r="J278" s="3317"/>
      <c r="K278" s="3317"/>
      <c r="L278" s="3317"/>
      <c r="M278" s="3317"/>
      <c r="N278" s="3317"/>
      <c r="O278" s="3317"/>
      <c r="P278" s="3317"/>
      <c r="Q278" s="3317"/>
      <c r="R278" s="3317"/>
      <c r="S278" s="3317"/>
      <c r="T278" s="3317"/>
      <c r="U278" s="3317"/>
      <c r="V278" s="3317"/>
      <c r="W278" s="3317"/>
      <c r="X278" s="3317"/>
      <c r="Y278" s="3317"/>
      <c r="Z278" s="3317"/>
      <c r="AA278" s="3322"/>
      <c r="AB278" s="3322"/>
      <c r="AC278" s="3322"/>
      <c r="AD278" s="3322"/>
      <c r="AE278" s="3322"/>
      <c r="AF278" s="3322"/>
      <c r="AG278" s="3322"/>
    </row>
    <row r="279" spans="1:33">
      <c r="A279" s="3316"/>
      <c r="B279" s="3316"/>
      <c r="C279" s="3322"/>
      <c r="D279" s="3322"/>
      <c r="E279" s="3322"/>
      <c r="F279" s="3317"/>
      <c r="G279" s="3317"/>
      <c r="H279" s="3317"/>
      <c r="I279" s="3317"/>
      <c r="J279" s="3317"/>
      <c r="K279" s="3317"/>
      <c r="L279" s="3317"/>
      <c r="M279" s="3317"/>
      <c r="N279" s="3317"/>
      <c r="O279" s="3317"/>
      <c r="P279" s="3317"/>
      <c r="Q279" s="3317"/>
      <c r="R279" s="3317"/>
      <c r="S279" s="3317"/>
      <c r="T279" s="3317"/>
      <c r="U279" s="3317"/>
      <c r="V279" s="3317"/>
      <c r="W279" s="3317"/>
      <c r="X279" s="3317"/>
      <c r="Y279" s="3317"/>
      <c r="Z279" s="3317"/>
      <c r="AA279" s="3322"/>
      <c r="AB279" s="3322"/>
      <c r="AC279" s="3322"/>
      <c r="AD279" s="3322"/>
      <c r="AE279" s="3322"/>
      <c r="AF279" s="3322"/>
      <c r="AG279" s="3322"/>
    </row>
    <row r="280" spans="1:33">
      <c r="A280" s="3316"/>
      <c r="B280" s="3316"/>
      <c r="C280" s="3322"/>
      <c r="D280" s="3322"/>
      <c r="E280" s="3322"/>
      <c r="F280" s="3317"/>
      <c r="G280" s="3317"/>
      <c r="H280" s="3317"/>
      <c r="I280" s="3317"/>
      <c r="J280" s="3317"/>
      <c r="K280" s="3317"/>
      <c r="L280" s="3317"/>
      <c r="M280" s="3317"/>
      <c r="N280" s="3317"/>
      <c r="O280" s="3317"/>
      <c r="P280" s="3317"/>
      <c r="Q280" s="3317"/>
      <c r="R280" s="3317"/>
      <c r="S280" s="3317"/>
      <c r="T280" s="3317"/>
      <c r="U280" s="3317"/>
      <c r="V280" s="3317"/>
      <c r="W280" s="3317"/>
      <c r="X280" s="3317"/>
      <c r="Y280" s="3317"/>
      <c r="Z280" s="3317"/>
      <c r="AA280" s="3322"/>
      <c r="AB280" s="3322"/>
      <c r="AC280" s="3322"/>
      <c r="AD280" s="3322"/>
      <c r="AE280" s="3322"/>
      <c r="AF280" s="3322"/>
      <c r="AG280" s="3322"/>
    </row>
    <row r="281" spans="1:33">
      <c r="A281" s="3316"/>
      <c r="B281" s="3316"/>
      <c r="C281" s="3322"/>
      <c r="D281" s="3322"/>
      <c r="E281" s="3322"/>
      <c r="F281" s="3317"/>
      <c r="G281" s="3317"/>
      <c r="H281" s="3317"/>
      <c r="I281" s="3317"/>
      <c r="J281" s="3317"/>
      <c r="K281" s="3317"/>
      <c r="L281" s="3317"/>
      <c r="M281" s="3317"/>
      <c r="N281" s="3317"/>
      <c r="O281" s="3317"/>
      <c r="P281" s="3317"/>
      <c r="Q281" s="3317"/>
      <c r="R281" s="3317"/>
      <c r="S281" s="3317"/>
      <c r="T281" s="3317"/>
      <c r="U281" s="3317"/>
      <c r="V281" s="3317"/>
      <c r="W281" s="3317"/>
      <c r="X281" s="3317"/>
      <c r="Y281" s="3317"/>
      <c r="Z281" s="3317"/>
      <c r="AA281" s="3322"/>
      <c r="AB281" s="3322"/>
      <c r="AC281" s="3322"/>
      <c r="AD281" s="3322"/>
      <c r="AE281" s="3322"/>
      <c r="AF281" s="3322"/>
      <c r="AG281" s="3322"/>
    </row>
    <row r="282" spans="1:33">
      <c r="A282" s="3316"/>
      <c r="B282" s="3316"/>
      <c r="C282" s="3322"/>
      <c r="D282" s="3322"/>
      <c r="E282" s="3322"/>
      <c r="F282" s="3317"/>
      <c r="G282" s="3317"/>
      <c r="H282" s="3317"/>
      <c r="I282" s="3317"/>
      <c r="J282" s="3317"/>
      <c r="K282" s="3317"/>
      <c r="L282" s="3317"/>
      <c r="M282" s="3317"/>
      <c r="N282" s="3317"/>
      <c r="O282" s="3317"/>
      <c r="P282" s="3317"/>
      <c r="Q282" s="3317"/>
      <c r="R282" s="3317"/>
      <c r="S282" s="3317"/>
      <c r="T282" s="3317"/>
      <c r="U282" s="3317"/>
      <c r="V282" s="3317"/>
      <c r="W282" s="3317"/>
      <c r="X282" s="3317"/>
      <c r="Y282" s="3317"/>
      <c r="Z282" s="3317"/>
      <c r="AA282" s="3322"/>
      <c r="AB282" s="3322"/>
      <c r="AC282" s="3322"/>
      <c r="AD282" s="3322"/>
      <c r="AE282" s="3322"/>
      <c r="AF282" s="3322"/>
      <c r="AG282" s="3322"/>
    </row>
    <row r="283" spans="1:33">
      <c r="A283" s="3316"/>
      <c r="B283" s="3316"/>
      <c r="C283" s="3322"/>
      <c r="D283" s="3322"/>
      <c r="E283" s="3322"/>
      <c r="F283" s="3317"/>
      <c r="G283" s="3317"/>
      <c r="H283" s="3317"/>
      <c r="I283" s="3317"/>
      <c r="J283" s="3317"/>
      <c r="K283" s="3317"/>
      <c r="L283" s="3317"/>
      <c r="M283" s="3317"/>
      <c r="N283" s="3317"/>
      <c r="O283" s="3317"/>
      <c r="P283" s="3317"/>
      <c r="Q283" s="3317"/>
      <c r="R283" s="3317"/>
      <c r="S283" s="3317"/>
      <c r="T283" s="3317"/>
      <c r="U283" s="3317"/>
      <c r="V283" s="3317"/>
      <c r="W283" s="3317"/>
      <c r="X283" s="3317"/>
      <c r="Y283" s="3317"/>
      <c r="Z283" s="3317"/>
      <c r="AA283" s="3322"/>
      <c r="AB283" s="3322"/>
      <c r="AC283" s="3322"/>
      <c r="AD283" s="3322"/>
      <c r="AE283" s="3322"/>
      <c r="AF283" s="3322"/>
      <c r="AG283" s="3322"/>
    </row>
    <row r="284" spans="1:33">
      <c r="A284" s="3316"/>
      <c r="B284" s="3316"/>
      <c r="C284" s="3322"/>
      <c r="D284" s="3322"/>
      <c r="E284" s="3322"/>
      <c r="F284" s="3317"/>
      <c r="G284" s="3317"/>
      <c r="H284" s="3317"/>
      <c r="I284" s="3317"/>
      <c r="J284" s="3317"/>
      <c r="K284" s="3317"/>
      <c r="L284" s="3317"/>
      <c r="M284" s="3317"/>
      <c r="N284" s="3317"/>
      <c r="O284" s="3317"/>
      <c r="P284" s="3317"/>
      <c r="Q284" s="3317"/>
      <c r="R284" s="3317"/>
      <c r="S284" s="3317"/>
      <c r="T284" s="3317"/>
      <c r="U284" s="3317"/>
      <c r="V284" s="3317"/>
      <c r="W284" s="3317"/>
      <c r="X284" s="3317"/>
      <c r="Y284" s="3317"/>
      <c r="Z284" s="3317"/>
      <c r="AA284" s="3322"/>
      <c r="AB284" s="3322"/>
      <c r="AC284" s="3322"/>
      <c r="AD284" s="3322"/>
      <c r="AE284" s="3322"/>
      <c r="AF284" s="3322"/>
      <c r="AG284" s="3322"/>
    </row>
    <row r="285" spans="1:33">
      <c r="A285" s="3316"/>
      <c r="B285" s="3316"/>
      <c r="C285" s="3322"/>
      <c r="D285" s="3322"/>
      <c r="E285" s="3322"/>
      <c r="F285" s="3317"/>
      <c r="G285" s="3317"/>
      <c r="H285" s="3317"/>
      <c r="I285" s="3317"/>
      <c r="J285" s="3317"/>
      <c r="K285" s="3317"/>
      <c r="L285" s="3317"/>
      <c r="M285" s="3317"/>
      <c r="N285" s="3317"/>
      <c r="O285" s="3317"/>
      <c r="P285" s="3317"/>
      <c r="Q285" s="3317"/>
      <c r="R285" s="3317"/>
      <c r="S285" s="3317"/>
      <c r="T285" s="3317"/>
      <c r="U285" s="3317"/>
      <c r="V285" s="3317"/>
      <c r="W285" s="3317"/>
      <c r="X285" s="3317"/>
      <c r="Y285" s="3317"/>
      <c r="Z285" s="3317"/>
      <c r="AA285" s="3322"/>
      <c r="AB285" s="3322"/>
      <c r="AC285" s="3322"/>
      <c r="AD285" s="3322"/>
      <c r="AE285" s="3322"/>
      <c r="AF285" s="3322"/>
      <c r="AG285" s="3322"/>
    </row>
    <row r="286" spans="1:33">
      <c r="A286" s="3316"/>
      <c r="B286" s="3316"/>
      <c r="C286" s="3322"/>
      <c r="D286" s="3322"/>
      <c r="E286" s="3322"/>
      <c r="F286" s="3317"/>
      <c r="G286" s="3317"/>
      <c r="H286" s="3317"/>
      <c r="I286" s="3317"/>
      <c r="J286" s="3317"/>
      <c r="K286" s="3317"/>
      <c r="L286" s="3317"/>
      <c r="M286" s="3317"/>
      <c r="N286" s="3317"/>
      <c r="O286" s="3317"/>
      <c r="P286" s="3317"/>
      <c r="Q286" s="3317"/>
      <c r="R286" s="3317"/>
      <c r="S286" s="3317"/>
      <c r="T286" s="3317"/>
      <c r="U286" s="3317"/>
      <c r="V286" s="3317"/>
      <c r="W286" s="3317"/>
      <c r="X286" s="3317"/>
      <c r="Y286" s="3317"/>
      <c r="Z286" s="3317"/>
      <c r="AA286" s="3322"/>
      <c r="AB286" s="3322"/>
      <c r="AC286" s="3322"/>
      <c r="AD286" s="3322"/>
      <c r="AE286" s="3322"/>
      <c r="AF286" s="3322"/>
      <c r="AG286" s="3322"/>
    </row>
    <row r="287" spans="1:33">
      <c r="A287" s="3316"/>
      <c r="B287" s="3316"/>
      <c r="C287" s="3322"/>
      <c r="D287" s="3322"/>
      <c r="E287" s="3322"/>
      <c r="F287" s="3317"/>
      <c r="G287" s="3317"/>
      <c r="H287" s="3317"/>
      <c r="I287" s="3317"/>
      <c r="J287" s="3317"/>
      <c r="K287" s="3317"/>
      <c r="L287" s="3317"/>
      <c r="M287" s="3317"/>
      <c r="N287" s="3317"/>
      <c r="O287" s="3317"/>
      <c r="P287" s="3317"/>
      <c r="Q287" s="3317"/>
      <c r="R287" s="3317"/>
      <c r="S287" s="3317"/>
      <c r="T287" s="3317"/>
      <c r="U287" s="3317"/>
      <c r="V287" s="3317"/>
      <c r="W287" s="3317"/>
      <c r="X287" s="3317"/>
      <c r="Y287" s="3317"/>
      <c r="Z287" s="3317"/>
      <c r="AA287" s="3322"/>
      <c r="AB287" s="3322"/>
      <c r="AC287" s="3322"/>
      <c r="AD287" s="3322"/>
      <c r="AE287" s="3322"/>
      <c r="AF287" s="3322"/>
      <c r="AG287" s="3322"/>
    </row>
    <row r="288" spans="1:33">
      <c r="A288" s="3316"/>
      <c r="B288" s="3316"/>
      <c r="C288" s="3322"/>
      <c r="D288" s="3322"/>
      <c r="E288" s="3322"/>
      <c r="F288" s="3317"/>
      <c r="G288" s="3317"/>
      <c r="H288" s="3317"/>
      <c r="I288" s="3317"/>
      <c r="J288" s="3317"/>
      <c r="K288" s="3317"/>
      <c r="L288" s="3317"/>
      <c r="M288" s="3317"/>
      <c r="N288" s="3317"/>
      <c r="O288" s="3317"/>
      <c r="P288" s="3317"/>
      <c r="Q288" s="3317"/>
      <c r="R288" s="3317"/>
      <c r="S288" s="3317"/>
      <c r="T288" s="3317"/>
      <c r="U288" s="3317"/>
      <c r="V288" s="3317"/>
      <c r="W288" s="3317"/>
      <c r="X288" s="3317"/>
      <c r="Y288" s="3317"/>
      <c r="Z288" s="3317"/>
      <c r="AA288" s="3322"/>
      <c r="AB288" s="3322"/>
      <c r="AC288" s="3322"/>
      <c r="AD288" s="3322"/>
      <c r="AE288" s="3322"/>
      <c r="AF288" s="3322"/>
      <c r="AG288" s="3322"/>
    </row>
    <row r="289" spans="1:33">
      <c r="A289" s="3316"/>
      <c r="B289" s="3316"/>
      <c r="C289" s="3322"/>
      <c r="D289" s="3322"/>
      <c r="E289" s="3322"/>
      <c r="F289" s="3317"/>
      <c r="G289" s="3317"/>
      <c r="H289" s="3317"/>
      <c r="I289" s="3317"/>
      <c r="J289" s="3317"/>
      <c r="K289" s="3317"/>
      <c r="L289" s="3317"/>
      <c r="M289" s="3317"/>
      <c r="N289" s="3317"/>
      <c r="O289" s="3317"/>
      <c r="P289" s="3317"/>
      <c r="Q289" s="3317"/>
      <c r="R289" s="3317"/>
      <c r="S289" s="3317"/>
      <c r="T289" s="3317"/>
      <c r="U289" s="3317"/>
      <c r="V289" s="3317"/>
      <c r="W289" s="3317"/>
      <c r="X289" s="3317"/>
      <c r="Y289" s="3317"/>
      <c r="Z289" s="3317"/>
      <c r="AA289" s="3322"/>
      <c r="AB289" s="3322"/>
      <c r="AC289" s="3322"/>
      <c r="AD289" s="3322"/>
      <c r="AE289" s="3322"/>
      <c r="AF289" s="3322"/>
      <c r="AG289" s="3322"/>
    </row>
    <row r="290" spans="1:33">
      <c r="A290" s="3316"/>
      <c r="B290" s="3316"/>
      <c r="C290" s="3322"/>
      <c r="D290" s="3322"/>
      <c r="E290" s="3322"/>
      <c r="F290" s="3317"/>
      <c r="G290" s="3317"/>
      <c r="H290" s="3317"/>
      <c r="I290" s="3317"/>
      <c r="J290" s="3317"/>
      <c r="K290" s="3317"/>
      <c r="L290" s="3317"/>
      <c r="M290" s="3317"/>
      <c r="N290" s="3317"/>
      <c r="O290" s="3317"/>
      <c r="P290" s="3317"/>
      <c r="Q290" s="3317"/>
      <c r="R290" s="3317"/>
      <c r="S290" s="3317"/>
      <c r="T290" s="3317"/>
      <c r="U290" s="3317"/>
      <c r="V290" s="3317"/>
      <c r="W290" s="3317"/>
      <c r="X290" s="3317"/>
      <c r="Y290" s="3317"/>
      <c r="Z290" s="3317"/>
      <c r="AA290" s="3322"/>
      <c r="AB290" s="3322"/>
      <c r="AC290" s="3322"/>
      <c r="AD290" s="3322"/>
      <c r="AE290" s="3322"/>
      <c r="AF290" s="3322"/>
      <c r="AG290" s="3322"/>
    </row>
    <row r="291" spans="1:33">
      <c r="A291" s="3316"/>
      <c r="B291" s="3316"/>
      <c r="C291" s="3322"/>
      <c r="D291" s="3322"/>
      <c r="E291" s="3322"/>
      <c r="F291" s="3317"/>
      <c r="G291" s="3317"/>
      <c r="H291" s="3317"/>
      <c r="I291" s="3317"/>
      <c r="J291" s="3317"/>
      <c r="K291" s="3317"/>
      <c r="L291" s="3317"/>
      <c r="M291" s="3317"/>
      <c r="N291" s="3317"/>
      <c r="O291" s="3317"/>
      <c r="P291" s="3317"/>
      <c r="Q291" s="3317"/>
      <c r="R291" s="3317"/>
      <c r="S291" s="3317"/>
      <c r="T291" s="3317"/>
      <c r="U291" s="3317"/>
      <c r="V291" s="3317"/>
      <c r="W291" s="3317"/>
      <c r="X291" s="3317"/>
      <c r="Y291" s="3317"/>
      <c r="Z291" s="3317"/>
      <c r="AA291" s="3322"/>
      <c r="AB291" s="3322"/>
      <c r="AC291" s="3322"/>
      <c r="AD291" s="3322"/>
      <c r="AE291" s="3322"/>
      <c r="AF291" s="3322"/>
      <c r="AG291" s="3322"/>
    </row>
    <row r="292" spans="1:33">
      <c r="A292" s="3316"/>
      <c r="B292" s="3316"/>
      <c r="C292" s="3322"/>
      <c r="D292" s="3322"/>
      <c r="E292" s="3322"/>
      <c r="F292" s="3317"/>
      <c r="G292" s="3317"/>
      <c r="H292" s="3317"/>
      <c r="I292" s="3317"/>
      <c r="J292" s="3317"/>
      <c r="K292" s="3317"/>
      <c r="L292" s="3317"/>
      <c r="M292" s="3317"/>
      <c r="N292" s="3317"/>
      <c r="O292" s="3317"/>
      <c r="P292" s="3317"/>
      <c r="Q292" s="3317"/>
      <c r="R292" s="3317"/>
      <c r="S292" s="3317"/>
      <c r="T292" s="3317"/>
      <c r="U292" s="3317"/>
      <c r="V292" s="3317"/>
      <c r="W292" s="3317"/>
      <c r="X292" s="3317"/>
      <c r="Y292" s="3317"/>
      <c r="Z292" s="3317"/>
      <c r="AA292" s="3322"/>
      <c r="AB292" s="3322"/>
      <c r="AC292" s="3322"/>
      <c r="AD292" s="3322"/>
      <c r="AE292" s="3322"/>
      <c r="AF292" s="3322"/>
      <c r="AG292" s="3322"/>
    </row>
    <row r="293" spans="1:33">
      <c r="A293" s="3316"/>
      <c r="B293" s="3316"/>
      <c r="C293" s="3322"/>
      <c r="D293" s="3322"/>
      <c r="E293" s="3322"/>
      <c r="F293" s="3317"/>
      <c r="G293" s="3317"/>
      <c r="H293" s="3317"/>
      <c r="I293" s="3317"/>
      <c r="J293" s="3317"/>
      <c r="K293" s="3317"/>
      <c r="L293" s="3317"/>
      <c r="M293" s="3317"/>
      <c r="N293" s="3317"/>
      <c r="O293" s="3317"/>
      <c r="P293" s="3317"/>
      <c r="Q293" s="3317"/>
      <c r="R293" s="3317"/>
      <c r="S293" s="3317"/>
      <c r="T293" s="3317"/>
      <c r="U293" s="3317"/>
      <c r="V293" s="3317"/>
      <c r="W293" s="3317"/>
      <c r="X293" s="3317"/>
      <c r="Y293" s="3317"/>
      <c r="Z293" s="3317"/>
      <c r="AA293" s="3322"/>
      <c r="AB293" s="3322"/>
      <c r="AC293" s="3322"/>
      <c r="AD293" s="3322"/>
      <c r="AE293" s="3322"/>
      <c r="AF293" s="3322"/>
      <c r="AG293" s="3322"/>
    </row>
    <row r="294" spans="1:33">
      <c r="A294" s="3316"/>
      <c r="B294" s="3316"/>
      <c r="C294" s="3322"/>
      <c r="D294" s="3322"/>
      <c r="E294" s="3322"/>
      <c r="F294" s="3317"/>
      <c r="G294" s="3317"/>
      <c r="H294" s="3317"/>
      <c r="I294" s="3317"/>
      <c r="J294" s="3317"/>
      <c r="K294" s="3317"/>
      <c r="L294" s="3317"/>
      <c r="M294" s="3317"/>
      <c r="N294" s="3317"/>
      <c r="O294" s="3317"/>
      <c r="P294" s="3317"/>
      <c r="Q294" s="3317"/>
      <c r="R294" s="3317"/>
      <c r="S294" s="3317"/>
      <c r="T294" s="3317"/>
      <c r="U294" s="3317"/>
      <c r="V294" s="3317"/>
      <c r="W294" s="3317"/>
      <c r="X294" s="3317"/>
      <c r="Y294" s="3317"/>
      <c r="Z294" s="3317"/>
      <c r="AA294" s="3322"/>
      <c r="AB294" s="3322"/>
      <c r="AC294" s="3322"/>
      <c r="AD294" s="3322"/>
      <c r="AE294" s="3322"/>
      <c r="AF294" s="3322"/>
      <c r="AG294" s="3322"/>
    </row>
    <row r="295" spans="1:33">
      <c r="A295" s="3316"/>
      <c r="B295" s="3316"/>
      <c r="C295" s="3322"/>
      <c r="D295" s="3322"/>
      <c r="E295" s="3322"/>
      <c r="F295" s="3317"/>
      <c r="G295" s="3317"/>
      <c r="H295" s="3317"/>
      <c r="I295" s="3317"/>
      <c r="J295" s="3317"/>
      <c r="K295" s="3317"/>
      <c r="L295" s="3317"/>
      <c r="M295" s="3317"/>
      <c r="N295" s="3317"/>
      <c r="O295" s="3317"/>
      <c r="P295" s="3317"/>
      <c r="Q295" s="3317"/>
      <c r="R295" s="3317"/>
      <c r="S295" s="3317"/>
      <c r="T295" s="3317"/>
      <c r="U295" s="3317"/>
      <c r="V295" s="3317"/>
      <c r="W295" s="3317"/>
      <c r="X295" s="3317"/>
      <c r="Y295" s="3317"/>
      <c r="Z295" s="3317"/>
      <c r="AA295" s="3322"/>
      <c r="AB295" s="3322"/>
      <c r="AC295" s="3322"/>
      <c r="AD295" s="3322"/>
      <c r="AE295" s="3322"/>
      <c r="AF295" s="3322"/>
      <c r="AG295" s="3322"/>
    </row>
    <row r="296" spans="1:33">
      <c r="A296" s="3316"/>
      <c r="B296" s="3316"/>
      <c r="C296" s="3322"/>
      <c r="D296" s="3322"/>
      <c r="E296" s="3322"/>
      <c r="F296" s="3317"/>
      <c r="G296" s="3317"/>
      <c r="H296" s="3317"/>
      <c r="I296" s="3317"/>
      <c r="J296" s="3317"/>
      <c r="K296" s="3317"/>
      <c r="L296" s="3317"/>
      <c r="M296" s="3317"/>
      <c r="N296" s="3317"/>
      <c r="O296" s="3317"/>
      <c r="P296" s="3317"/>
      <c r="Q296" s="3317"/>
      <c r="R296" s="3317"/>
      <c r="S296" s="3317"/>
      <c r="T296" s="3317"/>
      <c r="U296" s="3317"/>
      <c r="V296" s="3317"/>
      <c r="W296" s="3317"/>
      <c r="X296" s="3317"/>
      <c r="Y296" s="3317"/>
      <c r="Z296" s="3317"/>
      <c r="AA296" s="3322"/>
      <c r="AB296" s="3322"/>
      <c r="AC296" s="3322"/>
      <c r="AD296" s="3322"/>
      <c r="AE296" s="3322"/>
      <c r="AF296" s="3322"/>
      <c r="AG296" s="3322"/>
    </row>
    <row r="297" spans="1:33">
      <c r="A297" s="3316"/>
      <c r="B297" s="3316"/>
      <c r="C297" s="3322"/>
      <c r="D297" s="3322"/>
      <c r="E297" s="3322"/>
      <c r="F297" s="3317"/>
      <c r="G297" s="3317"/>
      <c r="H297" s="3317"/>
      <c r="I297" s="3317"/>
      <c r="J297" s="3317"/>
      <c r="K297" s="3317"/>
      <c r="L297" s="3317"/>
      <c r="M297" s="3317"/>
      <c r="N297" s="3317"/>
      <c r="O297" s="3317"/>
      <c r="P297" s="3317"/>
      <c r="Q297" s="3317"/>
      <c r="R297" s="3317"/>
      <c r="S297" s="3317"/>
      <c r="T297" s="3317"/>
      <c r="U297" s="3317"/>
      <c r="V297" s="3317"/>
      <c r="W297" s="3317"/>
      <c r="X297" s="3317"/>
      <c r="Y297" s="3317"/>
      <c r="Z297" s="3317"/>
      <c r="AA297" s="3322"/>
      <c r="AB297" s="3322"/>
      <c r="AC297" s="3322"/>
      <c r="AD297" s="3322"/>
      <c r="AE297" s="3322"/>
      <c r="AF297" s="3322"/>
      <c r="AG297" s="3322"/>
    </row>
    <row r="298" spans="1:33">
      <c r="A298" s="3316"/>
      <c r="B298" s="3316"/>
      <c r="C298" s="3322"/>
      <c r="D298" s="3322"/>
      <c r="E298" s="3322"/>
      <c r="F298" s="3317"/>
      <c r="G298" s="3317"/>
      <c r="H298" s="3317"/>
      <c r="I298" s="3317"/>
      <c r="J298" s="3317"/>
      <c r="K298" s="3317"/>
      <c r="L298" s="3317"/>
      <c r="M298" s="3317"/>
      <c r="N298" s="3317"/>
      <c r="O298" s="3317"/>
      <c r="P298" s="3317"/>
      <c r="Q298" s="3317"/>
      <c r="R298" s="3317"/>
      <c r="S298" s="3317"/>
      <c r="T298" s="3317"/>
      <c r="U298" s="3317"/>
      <c r="V298" s="3317"/>
      <c r="W298" s="3317"/>
      <c r="X298" s="3317"/>
      <c r="Y298" s="3317"/>
      <c r="Z298" s="3317"/>
      <c r="AA298" s="3322"/>
      <c r="AB298" s="3322"/>
      <c r="AC298" s="3322"/>
      <c r="AD298" s="3322"/>
      <c r="AE298" s="3322"/>
      <c r="AF298" s="3322"/>
      <c r="AG298" s="3322"/>
    </row>
    <row r="299" spans="1:33">
      <c r="A299" s="3316"/>
      <c r="B299" s="3316"/>
      <c r="C299" s="3322"/>
      <c r="D299" s="3322"/>
      <c r="E299" s="3322"/>
      <c r="F299" s="3317"/>
      <c r="G299" s="3317"/>
      <c r="H299" s="3317"/>
      <c r="I299" s="3317"/>
      <c r="J299" s="3317"/>
      <c r="K299" s="3317"/>
      <c r="L299" s="3317"/>
      <c r="M299" s="3317"/>
      <c r="N299" s="3317"/>
      <c r="O299" s="3317"/>
      <c r="P299" s="3317"/>
      <c r="Q299" s="3317"/>
      <c r="R299" s="3317"/>
      <c r="S299" s="3317"/>
      <c r="T299" s="3317"/>
      <c r="U299" s="3317"/>
      <c r="V299" s="3317"/>
      <c r="W299" s="3317"/>
      <c r="X299" s="3317"/>
      <c r="Y299" s="3317"/>
      <c r="Z299" s="3317"/>
      <c r="AA299" s="3322"/>
      <c r="AB299" s="3322"/>
      <c r="AC299" s="3322"/>
      <c r="AD299" s="3322"/>
      <c r="AE299" s="3322"/>
      <c r="AF299" s="3322"/>
      <c r="AG299" s="3322"/>
    </row>
    <row r="300" spans="1:33">
      <c r="A300" s="3316"/>
      <c r="B300" s="3316"/>
      <c r="C300" s="3322"/>
      <c r="D300" s="3322"/>
      <c r="E300" s="3322"/>
      <c r="F300" s="3317"/>
      <c r="G300" s="3317"/>
      <c r="H300" s="3317"/>
      <c r="I300" s="3317"/>
      <c r="J300" s="3317"/>
      <c r="K300" s="3317"/>
      <c r="L300" s="3317"/>
      <c r="M300" s="3317"/>
      <c r="N300" s="3317"/>
      <c r="O300" s="3317"/>
      <c r="P300" s="3317"/>
      <c r="Q300" s="3317"/>
      <c r="R300" s="3317"/>
      <c r="S300" s="3317"/>
      <c r="T300" s="3317"/>
      <c r="U300" s="3317"/>
      <c r="V300" s="3317"/>
      <c r="W300" s="3317"/>
      <c r="X300" s="3317"/>
      <c r="Y300" s="3317"/>
      <c r="Z300" s="3317"/>
      <c r="AA300" s="3322"/>
      <c r="AB300" s="3322"/>
      <c r="AC300" s="3322"/>
      <c r="AD300" s="3322"/>
      <c r="AE300" s="3322"/>
      <c r="AF300" s="3322"/>
      <c r="AG300" s="3322"/>
    </row>
    <row r="301" spans="1:33">
      <c r="A301" s="3316"/>
      <c r="B301" s="3316"/>
      <c r="C301" s="3322"/>
      <c r="D301" s="3322"/>
      <c r="E301" s="3322"/>
      <c r="F301" s="3317"/>
      <c r="G301" s="3317"/>
      <c r="H301" s="3317"/>
      <c r="I301" s="3317"/>
      <c r="J301" s="3317"/>
      <c r="K301" s="3317"/>
      <c r="L301" s="3317"/>
      <c r="M301" s="3317"/>
      <c r="N301" s="3317"/>
      <c r="O301" s="3317"/>
      <c r="P301" s="3317"/>
      <c r="Q301" s="3317"/>
      <c r="R301" s="3317"/>
      <c r="S301" s="3317"/>
      <c r="T301" s="3317"/>
      <c r="U301" s="3317"/>
      <c r="V301" s="3317"/>
      <c r="W301" s="3317"/>
      <c r="X301" s="3317"/>
      <c r="Y301" s="3317"/>
      <c r="Z301" s="3317"/>
      <c r="AA301" s="3322"/>
      <c r="AB301" s="3322"/>
      <c r="AC301" s="3322"/>
      <c r="AD301" s="3322"/>
      <c r="AE301" s="3322"/>
      <c r="AF301" s="3322"/>
      <c r="AG301" s="3322"/>
    </row>
    <row r="302" spans="1:33">
      <c r="A302" s="3316"/>
      <c r="B302" s="3316"/>
      <c r="C302" s="3322"/>
      <c r="D302" s="3322"/>
      <c r="E302" s="3322"/>
      <c r="F302" s="3317"/>
      <c r="G302" s="3317"/>
      <c r="H302" s="3317"/>
      <c r="I302" s="3317"/>
      <c r="J302" s="3317"/>
      <c r="K302" s="3317"/>
      <c r="L302" s="3317"/>
      <c r="M302" s="3317"/>
      <c r="N302" s="3317"/>
      <c r="O302" s="3317"/>
      <c r="P302" s="3317"/>
      <c r="Q302" s="3317"/>
      <c r="R302" s="3317"/>
      <c r="S302" s="3317"/>
      <c r="T302" s="3317"/>
      <c r="U302" s="3317"/>
      <c r="V302" s="3317"/>
      <c r="W302" s="3317"/>
      <c r="X302" s="3317"/>
      <c r="Y302" s="3317"/>
      <c r="Z302" s="3317"/>
      <c r="AA302" s="3322"/>
      <c r="AB302" s="3322"/>
      <c r="AC302" s="3322"/>
      <c r="AD302" s="3322"/>
      <c r="AE302" s="3322"/>
      <c r="AF302" s="3322"/>
      <c r="AG302" s="3322"/>
    </row>
    <row r="303" spans="1:33">
      <c r="A303" s="3316"/>
      <c r="B303" s="3316"/>
      <c r="C303" s="3322"/>
      <c r="D303" s="3322"/>
      <c r="E303" s="3322"/>
      <c r="F303" s="3317"/>
      <c r="G303" s="3317"/>
      <c r="H303" s="3317"/>
      <c r="I303" s="3317"/>
      <c r="J303" s="3317"/>
      <c r="K303" s="3317"/>
      <c r="L303" s="3317"/>
      <c r="M303" s="3317"/>
      <c r="N303" s="3317"/>
      <c r="O303" s="3317"/>
      <c r="P303" s="3317"/>
      <c r="Q303" s="3317"/>
      <c r="R303" s="3317"/>
      <c r="S303" s="3317"/>
      <c r="T303" s="3317"/>
      <c r="U303" s="3317"/>
      <c r="V303" s="3317"/>
      <c r="W303" s="3317"/>
      <c r="X303" s="3317"/>
      <c r="Y303" s="3317"/>
      <c r="Z303" s="3317"/>
      <c r="AA303" s="3322"/>
      <c r="AB303" s="3322"/>
      <c r="AC303" s="3322"/>
      <c r="AD303" s="3322"/>
      <c r="AE303" s="3322"/>
      <c r="AF303" s="3322"/>
      <c r="AG303" s="3322"/>
    </row>
    <row r="304" spans="1:33">
      <c r="A304" s="3316"/>
      <c r="B304" s="3316"/>
      <c r="C304" s="3322"/>
      <c r="D304" s="3322"/>
      <c r="E304" s="3322"/>
      <c r="F304" s="3317"/>
      <c r="G304" s="3317"/>
      <c r="H304" s="3317"/>
      <c r="I304" s="3317"/>
      <c r="J304" s="3317"/>
      <c r="K304" s="3317"/>
      <c r="L304" s="3317"/>
      <c r="M304" s="3317"/>
      <c r="N304" s="3317"/>
      <c r="O304" s="3317"/>
      <c r="P304" s="3317"/>
      <c r="Q304" s="3317"/>
      <c r="R304" s="3317"/>
      <c r="S304" s="3317"/>
      <c r="T304" s="3317"/>
      <c r="U304" s="3317"/>
      <c r="V304" s="3317"/>
      <c r="W304" s="3317"/>
      <c r="X304" s="3317"/>
      <c r="Y304" s="3317"/>
      <c r="Z304" s="3317"/>
      <c r="AA304" s="3322"/>
      <c r="AB304" s="3322"/>
      <c r="AC304" s="3322"/>
      <c r="AD304" s="3322"/>
      <c r="AE304" s="3322"/>
      <c r="AF304" s="3322"/>
      <c r="AG304" s="3322"/>
    </row>
    <row r="305" spans="1:33">
      <c r="A305" s="3316"/>
      <c r="B305" s="3316"/>
      <c r="C305" s="3322"/>
      <c r="D305" s="3322"/>
      <c r="E305" s="3322"/>
      <c r="F305" s="3317"/>
      <c r="G305" s="3317"/>
      <c r="H305" s="3317"/>
      <c r="I305" s="3317"/>
      <c r="J305" s="3317"/>
      <c r="K305" s="3317"/>
      <c r="L305" s="3317"/>
      <c r="M305" s="3317"/>
      <c r="N305" s="3317"/>
      <c r="O305" s="3317"/>
      <c r="P305" s="3317"/>
      <c r="Q305" s="3317"/>
      <c r="R305" s="3317"/>
      <c r="S305" s="3317"/>
      <c r="T305" s="3317"/>
      <c r="U305" s="3317"/>
      <c r="V305" s="3317"/>
      <c r="W305" s="3317"/>
      <c r="X305" s="3317"/>
      <c r="Y305" s="3317"/>
      <c r="Z305" s="3317"/>
      <c r="AA305" s="3322"/>
      <c r="AB305" s="3322"/>
      <c r="AC305" s="3322"/>
      <c r="AD305" s="3322"/>
      <c r="AE305" s="3322"/>
      <c r="AF305" s="3322"/>
      <c r="AG305" s="3322"/>
    </row>
    <row r="306" spans="1:33">
      <c r="A306" s="3316"/>
      <c r="B306" s="3316"/>
      <c r="C306" s="3322"/>
      <c r="D306" s="3322"/>
      <c r="E306" s="3322"/>
      <c r="F306" s="3317"/>
      <c r="G306" s="3317"/>
      <c r="H306" s="3317"/>
      <c r="I306" s="3317"/>
      <c r="J306" s="3317"/>
      <c r="K306" s="3317"/>
      <c r="L306" s="3317"/>
      <c r="M306" s="3317"/>
      <c r="N306" s="3317"/>
      <c r="O306" s="3317"/>
      <c r="P306" s="3317"/>
      <c r="Q306" s="3317"/>
      <c r="R306" s="3317"/>
      <c r="S306" s="3317"/>
      <c r="T306" s="3317"/>
      <c r="U306" s="3317"/>
      <c r="V306" s="3317"/>
      <c r="W306" s="3317"/>
      <c r="X306" s="3317"/>
      <c r="Y306" s="3317"/>
      <c r="Z306" s="3317"/>
      <c r="AA306" s="3322"/>
      <c r="AB306" s="3322"/>
      <c r="AC306" s="3322"/>
      <c r="AD306" s="3322"/>
      <c r="AE306" s="3322"/>
      <c r="AF306" s="3322"/>
      <c r="AG306" s="3322"/>
    </row>
    <row r="307" spans="1:33">
      <c r="A307" s="3316"/>
      <c r="B307" s="3316"/>
      <c r="C307" s="3322"/>
      <c r="D307" s="3322"/>
      <c r="E307" s="3322"/>
      <c r="F307" s="3317"/>
      <c r="G307" s="3317"/>
      <c r="H307" s="3317"/>
      <c r="I307" s="3317"/>
      <c r="J307" s="3317"/>
      <c r="K307" s="3317"/>
      <c r="L307" s="3317"/>
      <c r="M307" s="3317"/>
      <c r="N307" s="3317"/>
      <c r="O307" s="3317"/>
      <c r="P307" s="3317"/>
      <c r="Q307" s="3317"/>
      <c r="R307" s="3317"/>
      <c r="S307" s="3317"/>
      <c r="T307" s="3317"/>
      <c r="U307" s="3317"/>
      <c r="V307" s="3317"/>
      <c r="W307" s="3317"/>
      <c r="X307" s="3317"/>
      <c r="Y307" s="3317"/>
      <c r="Z307" s="3317"/>
      <c r="AA307" s="3322"/>
      <c r="AB307" s="3322"/>
      <c r="AC307" s="3322"/>
      <c r="AD307" s="3322"/>
      <c r="AE307" s="3322"/>
      <c r="AF307" s="3322"/>
      <c r="AG307" s="3322"/>
    </row>
    <row r="308" spans="1:33">
      <c r="A308" s="3316"/>
      <c r="B308" s="3316"/>
      <c r="C308" s="3322"/>
      <c r="D308" s="3322"/>
      <c r="E308" s="3322"/>
      <c r="F308" s="3317"/>
      <c r="G308" s="3317"/>
      <c r="H308" s="3317"/>
      <c r="I308" s="3317"/>
      <c r="J308" s="3317"/>
      <c r="K308" s="3317"/>
      <c r="L308" s="3317"/>
      <c r="M308" s="3317"/>
      <c r="N308" s="3317"/>
      <c r="O308" s="3317"/>
      <c r="P308" s="3317"/>
      <c r="Q308" s="3317"/>
      <c r="R308" s="3317"/>
      <c r="S308" s="3317"/>
      <c r="T308" s="3317"/>
      <c r="U308" s="3317"/>
      <c r="V308" s="3317"/>
      <c r="W308" s="3317"/>
      <c r="X308" s="3317"/>
      <c r="Y308" s="3317"/>
      <c r="Z308" s="3317"/>
      <c r="AA308" s="3322"/>
      <c r="AB308" s="3322"/>
      <c r="AC308" s="3322"/>
      <c r="AD308" s="3322"/>
      <c r="AE308" s="3322"/>
      <c r="AF308" s="3322"/>
      <c r="AG308" s="3322"/>
    </row>
    <row r="309" spans="1:33">
      <c r="A309" s="3316"/>
      <c r="B309" s="3316"/>
      <c r="C309" s="3322"/>
      <c r="D309" s="3322"/>
      <c r="E309" s="3322"/>
      <c r="F309" s="3317"/>
      <c r="G309" s="3317"/>
      <c r="H309" s="3317"/>
      <c r="I309" s="3317"/>
      <c r="J309" s="3317"/>
      <c r="K309" s="3317"/>
      <c r="L309" s="3317"/>
      <c r="M309" s="3317"/>
      <c r="N309" s="3317"/>
      <c r="O309" s="3317"/>
      <c r="P309" s="3317"/>
      <c r="Q309" s="3317"/>
      <c r="R309" s="3317"/>
      <c r="S309" s="3317"/>
      <c r="T309" s="3317"/>
      <c r="U309" s="3317"/>
      <c r="V309" s="3317"/>
      <c r="W309" s="3317"/>
      <c r="X309" s="3317"/>
      <c r="Y309" s="3317"/>
      <c r="Z309" s="3317"/>
      <c r="AA309" s="3322"/>
      <c r="AB309" s="3322"/>
      <c r="AC309" s="3322"/>
      <c r="AD309" s="3322"/>
      <c r="AE309" s="3322"/>
      <c r="AF309" s="3322"/>
      <c r="AG309" s="3322"/>
    </row>
    <row r="310" spans="1:33">
      <c r="A310" s="3316"/>
      <c r="B310" s="3316"/>
      <c r="C310" s="3322"/>
      <c r="D310" s="3322"/>
      <c r="E310" s="3322"/>
      <c r="F310" s="3317"/>
      <c r="G310" s="3317"/>
      <c r="H310" s="3317"/>
      <c r="I310" s="3317"/>
      <c r="J310" s="3317"/>
      <c r="K310" s="3317"/>
      <c r="L310" s="3317"/>
      <c r="M310" s="3317"/>
      <c r="N310" s="3317"/>
      <c r="O310" s="3317"/>
      <c r="P310" s="3317"/>
      <c r="Q310" s="3317"/>
      <c r="R310" s="3317"/>
      <c r="S310" s="3317"/>
      <c r="T310" s="3317"/>
      <c r="U310" s="3317"/>
      <c r="V310" s="3317"/>
      <c r="W310" s="3317"/>
      <c r="X310" s="3317"/>
      <c r="Y310" s="3317"/>
      <c r="Z310" s="3317"/>
      <c r="AA310" s="3322"/>
      <c r="AB310" s="3322"/>
      <c r="AC310" s="3322"/>
      <c r="AD310" s="3322"/>
      <c r="AE310" s="3322"/>
      <c r="AF310" s="3322"/>
      <c r="AG310" s="3322"/>
    </row>
    <row r="311" spans="1:33">
      <c r="A311" s="3316"/>
      <c r="B311" s="3316"/>
      <c r="C311" s="3322"/>
      <c r="D311" s="3322"/>
      <c r="E311" s="3322"/>
      <c r="F311" s="3317"/>
      <c r="G311" s="3317"/>
      <c r="H311" s="3317"/>
      <c r="I311" s="3317"/>
      <c r="J311" s="3317"/>
      <c r="K311" s="3317"/>
      <c r="L311" s="3317"/>
      <c r="M311" s="3317"/>
      <c r="N311" s="3317"/>
      <c r="O311" s="3317"/>
      <c r="P311" s="3317"/>
      <c r="Q311" s="3317"/>
      <c r="R311" s="3317"/>
      <c r="S311" s="3317"/>
      <c r="T311" s="3317"/>
      <c r="U311" s="3317"/>
      <c r="V311" s="3317"/>
      <c r="W311" s="3317"/>
      <c r="X311" s="3317"/>
      <c r="Y311" s="3317"/>
      <c r="Z311" s="3317"/>
      <c r="AA311" s="3322"/>
      <c r="AB311" s="3322"/>
      <c r="AC311" s="3322"/>
      <c r="AD311" s="3322"/>
      <c r="AE311" s="3322"/>
      <c r="AF311" s="3322"/>
      <c r="AG311" s="3322"/>
    </row>
    <row r="312" spans="1:33">
      <c r="A312" s="3316"/>
      <c r="B312" s="3316"/>
      <c r="C312" s="3322"/>
      <c r="D312" s="3322"/>
      <c r="E312" s="3322"/>
      <c r="F312" s="3317"/>
      <c r="G312" s="3317"/>
      <c r="H312" s="3317"/>
      <c r="I312" s="3317"/>
      <c r="J312" s="3317"/>
      <c r="K312" s="3317"/>
      <c r="L312" s="3317"/>
      <c r="M312" s="3317"/>
      <c r="N312" s="3317"/>
      <c r="O312" s="3317"/>
      <c r="P312" s="3317"/>
      <c r="Q312" s="3317"/>
      <c r="R312" s="3317"/>
      <c r="S312" s="3317"/>
      <c r="T312" s="3317"/>
      <c r="U312" s="3317"/>
      <c r="V312" s="3317"/>
      <c r="W312" s="3317"/>
      <c r="X312" s="3317"/>
      <c r="Y312" s="3317"/>
      <c r="Z312" s="3317"/>
      <c r="AA312" s="3322"/>
      <c r="AB312" s="3322"/>
      <c r="AC312" s="3322"/>
      <c r="AD312" s="3322"/>
      <c r="AE312" s="3322"/>
      <c r="AF312" s="3322"/>
      <c r="AG312" s="3322"/>
    </row>
    <row r="313" spans="1:33">
      <c r="A313" s="3316"/>
      <c r="B313" s="3316"/>
      <c r="C313" s="3322"/>
      <c r="D313" s="3322"/>
      <c r="E313" s="3322"/>
      <c r="F313" s="3317"/>
      <c r="G313" s="3317"/>
      <c r="H313" s="3317"/>
      <c r="I313" s="3317"/>
      <c r="J313" s="3317"/>
      <c r="K313" s="3317"/>
      <c r="L313" s="3317"/>
      <c r="M313" s="3317"/>
      <c r="N313" s="3317"/>
      <c r="O313" s="3317"/>
      <c r="P313" s="3317"/>
      <c r="Q313" s="3317"/>
      <c r="R313" s="3317"/>
      <c r="S313" s="3317"/>
      <c r="T313" s="3317"/>
      <c r="U313" s="3317"/>
      <c r="V313" s="3317"/>
      <c r="W313" s="3317"/>
      <c r="X313" s="3317"/>
      <c r="Y313" s="3317"/>
      <c r="Z313" s="3317"/>
      <c r="AA313" s="3322"/>
      <c r="AB313" s="3322"/>
      <c r="AC313" s="3322"/>
      <c r="AD313" s="3322"/>
      <c r="AE313" s="3322"/>
      <c r="AF313" s="3322"/>
      <c r="AG313" s="3322"/>
    </row>
    <row r="314" spans="1:33">
      <c r="A314" s="3316"/>
      <c r="B314" s="3316"/>
      <c r="C314" s="3322"/>
      <c r="D314" s="3322"/>
      <c r="E314" s="3322"/>
      <c r="F314" s="3317"/>
      <c r="G314" s="3317"/>
      <c r="H314" s="3317"/>
      <c r="I314" s="3317"/>
      <c r="J314" s="3317"/>
      <c r="K314" s="3317"/>
      <c r="L314" s="3317"/>
      <c r="M314" s="3317"/>
      <c r="N314" s="3317"/>
      <c r="O314" s="3317"/>
      <c r="P314" s="3317"/>
      <c r="Q314" s="3317"/>
      <c r="R314" s="3317"/>
      <c r="S314" s="3317"/>
      <c r="T314" s="3317"/>
      <c r="U314" s="3317"/>
      <c r="V314" s="3317"/>
      <c r="W314" s="3317"/>
      <c r="X314" s="3317"/>
      <c r="Y314" s="3317"/>
      <c r="Z314" s="3317"/>
      <c r="AA314" s="3322"/>
      <c r="AB314" s="3322"/>
      <c r="AC314" s="3322"/>
      <c r="AD314" s="3322"/>
      <c r="AE314" s="3322"/>
      <c r="AF314" s="3322"/>
      <c r="AG314" s="3322"/>
    </row>
    <row r="315" spans="1:33">
      <c r="A315" s="3316"/>
      <c r="B315" s="3316"/>
      <c r="C315" s="3322"/>
      <c r="D315" s="3322"/>
      <c r="E315" s="3322"/>
      <c r="F315" s="3317"/>
      <c r="G315" s="3317"/>
      <c r="H315" s="3317"/>
      <c r="I315" s="3317"/>
      <c r="J315" s="3317"/>
      <c r="K315" s="3317"/>
      <c r="L315" s="3317"/>
      <c r="M315" s="3317"/>
      <c r="N315" s="3317"/>
      <c r="O315" s="3317"/>
      <c r="P315" s="3317"/>
      <c r="Q315" s="3317"/>
      <c r="R315" s="3317"/>
      <c r="S315" s="3317"/>
      <c r="T315" s="3317"/>
      <c r="U315" s="3317"/>
      <c r="V315" s="3317"/>
      <c r="W315" s="3317"/>
      <c r="X315" s="3317"/>
      <c r="Y315" s="3317"/>
      <c r="Z315" s="3317"/>
      <c r="AA315" s="3322"/>
      <c r="AB315" s="3322"/>
      <c r="AC315" s="3322"/>
      <c r="AD315" s="3322"/>
      <c r="AE315" s="3322"/>
      <c r="AF315" s="3322"/>
      <c r="AG315" s="3322"/>
    </row>
    <row r="316" spans="1:33">
      <c r="A316" s="3316"/>
      <c r="B316" s="3316"/>
      <c r="C316" s="3322"/>
      <c r="D316" s="3322"/>
      <c r="E316" s="3322"/>
      <c r="F316" s="3317"/>
      <c r="G316" s="3317"/>
      <c r="H316" s="3317"/>
      <c r="I316" s="3317"/>
      <c r="J316" s="3317"/>
      <c r="K316" s="3317"/>
      <c r="L316" s="3317"/>
      <c r="M316" s="3317"/>
      <c r="N316" s="3317"/>
      <c r="O316" s="3317"/>
      <c r="P316" s="3317"/>
      <c r="Q316" s="3317"/>
      <c r="R316" s="3317"/>
      <c r="S316" s="3317"/>
      <c r="T316" s="3317"/>
      <c r="U316" s="3317"/>
      <c r="V316" s="3317"/>
      <c r="W316" s="3317"/>
      <c r="X316" s="3317"/>
      <c r="Y316" s="3317"/>
      <c r="Z316" s="3317"/>
      <c r="AA316" s="3322"/>
      <c r="AB316" s="3322"/>
      <c r="AC316" s="3322"/>
      <c r="AD316" s="3322"/>
      <c r="AE316" s="3322"/>
      <c r="AF316" s="3322"/>
      <c r="AG316" s="3322"/>
    </row>
    <row r="317" spans="1:33">
      <c r="A317" s="3316"/>
      <c r="B317" s="3316"/>
      <c r="C317" s="3322"/>
      <c r="D317" s="3322"/>
      <c r="E317" s="3322"/>
      <c r="F317" s="3317"/>
      <c r="G317" s="3317"/>
      <c r="H317" s="3317"/>
      <c r="I317" s="3317"/>
      <c r="J317" s="3317"/>
      <c r="K317" s="3317"/>
      <c r="L317" s="3317"/>
      <c r="M317" s="3317"/>
      <c r="N317" s="3317"/>
      <c r="O317" s="3317"/>
      <c r="P317" s="3317"/>
      <c r="Q317" s="3317"/>
      <c r="R317" s="3317"/>
      <c r="S317" s="3317"/>
      <c r="T317" s="3317"/>
      <c r="U317" s="3317"/>
      <c r="V317" s="3317"/>
      <c r="W317" s="3317"/>
      <c r="X317" s="3317"/>
      <c r="Y317" s="3317"/>
      <c r="Z317" s="3317"/>
      <c r="AA317" s="3322"/>
      <c r="AB317" s="3322"/>
      <c r="AC317" s="3322"/>
      <c r="AD317" s="3322"/>
      <c r="AE317" s="3322"/>
      <c r="AF317" s="3322"/>
      <c r="AG317" s="3322"/>
    </row>
    <row r="318" spans="1:33">
      <c r="A318" s="3316"/>
      <c r="B318" s="3316"/>
      <c r="C318" s="3322"/>
      <c r="D318" s="3322"/>
      <c r="E318" s="3322"/>
      <c r="F318" s="3317"/>
      <c r="G318" s="3317"/>
      <c r="H318" s="3317"/>
      <c r="I318" s="3317"/>
      <c r="J318" s="3317"/>
      <c r="K318" s="3317"/>
      <c r="L318" s="3317"/>
      <c r="M318" s="3317"/>
      <c r="N318" s="3317"/>
      <c r="O318" s="3317"/>
      <c r="P318" s="3317"/>
      <c r="Q318" s="3317"/>
      <c r="R318" s="3317"/>
      <c r="S318" s="3317"/>
      <c r="T318" s="3317"/>
      <c r="U318" s="3317"/>
      <c r="V318" s="3317"/>
      <c r="W318" s="3317"/>
      <c r="X318" s="3317"/>
      <c r="Y318" s="3317"/>
      <c r="Z318" s="3317"/>
      <c r="AA318" s="3322"/>
      <c r="AB318" s="3322"/>
      <c r="AC318" s="3322"/>
      <c r="AD318" s="3322"/>
      <c r="AE318" s="3322"/>
      <c r="AF318" s="3322"/>
      <c r="AG318" s="3322"/>
    </row>
    <row r="319" spans="1:33">
      <c r="A319" s="3316"/>
      <c r="B319" s="3316"/>
      <c r="C319" s="3322"/>
      <c r="D319" s="3322"/>
      <c r="E319" s="3322"/>
      <c r="F319" s="3317"/>
      <c r="G319" s="3317"/>
      <c r="H319" s="3317"/>
      <c r="I319" s="3317"/>
      <c r="J319" s="3317"/>
      <c r="K319" s="3317"/>
      <c r="L319" s="3317"/>
      <c r="M319" s="3317"/>
      <c r="N319" s="3317"/>
      <c r="O319" s="3317"/>
      <c r="P319" s="3317"/>
      <c r="Q319" s="3317"/>
      <c r="R319" s="3317"/>
      <c r="S319" s="3317"/>
      <c r="T319" s="3317"/>
      <c r="U319" s="3317"/>
      <c r="V319" s="3317"/>
      <c r="W319" s="3317"/>
      <c r="X319" s="3317"/>
      <c r="Y319" s="3317"/>
      <c r="Z319" s="3317"/>
      <c r="AA319" s="3322"/>
      <c r="AB319" s="3322"/>
      <c r="AC319" s="3322"/>
      <c r="AD319" s="3322"/>
      <c r="AE319" s="3322"/>
      <c r="AF319" s="3322"/>
      <c r="AG319" s="3322"/>
    </row>
    <row r="320" spans="1:33">
      <c r="A320" s="3316"/>
      <c r="B320" s="3316"/>
      <c r="C320" s="3322"/>
      <c r="D320" s="3322"/>
      <c r="E320" s="3322"/>
      <c r="F320" s="3317"/>
      <c r="G320" s="3317"/>
      <c r="H320" s="3317"/>
      <c r="I320" s="3317"/>
      <c r="J320" s="3317"/>
      <c r="K320" s="3317"/>
      <c r="L320" s="3317"/>
      <c r="M320" s="3317"/>
      <c r="N320" s="3317"/>
      <c r="O320" s="3317"/>
      <c r="P320" s="3317"/>
      <c r="Q320" s="3317"/>
      <c r="R320" s="3317"/>
      <c r="S320" s="3317"/>
      <c r="T320" s="3317"/>
      <c r="U320" s="3317"/>
      <c r="V320" s="3317"/>
      <c r="W320" s="3317"/>
      <c r="X320" s="3317"/>
      <c r="Y320" s="3317"/>
      <c r="Z320" s="3317"/>
      <c r="AA320" s="3322"/>
      <c r="AB320" s="3322"/>
      <c r="AC320" s="3322"/>
      <c r="AD320" s="3322"/>
      <c r="AE320" s="3322"/>
      <c r="AF320" s="3322"/>
      <c r="AG320" s="3322"/>
    </row>
    <row r="321" spans="1:33">
      <c r="A321" s="3316"/>
      <c r="B321" s="3316"/>
      <c r="C321" s="3322"/>
      <c r="D321" s="3322"/>
      <c r="E321" s="3322"/>
      <c r="F321" s="3317"/>
      <c r="G321" s="3317"/>
      <c r="H321" s="3317"/>
      <c r="I321" s="3317"/>
      <c r="J321" s="3317"/>
      <c r="K321" s="3317"/>
      <c r="L321" s="3317"/>
      <c r="M321" s="3317"/>
      <c r="N321" s="3317"/>
      <c r="O321" s="3317"/>
      <c r="P321" s="3317"/>
      <c r="Q321" s="3317"/>
      <c r="R321" s="3317"/>
      <c r="S321" s="3317"/>
      <c r="T321" s="3317"/>
      <c r="U321" s="3317"/>
      <c r="V321" s="3317"/>
      <c r="W321" s="3317"/>
      <c r="X321" s="3317"/>
      <c r="Y321" s="3317"/>
      <c r="Z321" s="3317"/>
      <c r="AA321" s="3322"/>
      <c r="AB321" s="3322"/>
      <c r="AC321" s="3322"/>
      <c r="AD321" s="3322"/>
      <c r="AE321" s="3322"/>
      <c r="AF321" s="3322"/>
      <c r="AG321" s="3322"/>
    </row>
    <row r="322" spans="1:33">
      <c r="A322" s="3316"/>
      <c r="B322" s="3316"/>
      <c r="C322" s="3322"/>
      <c r="D322" s="3322"/>
      <c r="E322" s="3322"/>
      <c r="F322" s="3317"/>
      <c r="G322" s="3317"/>
      <c r="H322" s="3317"/>
      <c r="I322" s="3317"/>
      <c r="J322" s="3317"/>
      <c r="K322" s="3317"/>
      <c r="L322" s="3317"/>
      <c r="M322" s="3317"/>
      <c r="N322" s="3317"/>
      <c r="O322" s="3317"/>
      <c r="P322" s="3317"/>
      <c r="Q322" s="3317"/>
      <c r="R322" s="3317"/>
      <c r="S322" s="3317"/>
      <c r="T322" s="3317"/>
      <c r="U322" s="3317"/>
      <c r="V322" s="3317"/>
      <c r="W322" s="3317"/>
      <c r="X322" s="3317"/>
      <c r="Y322" s="3317"/>
      <c r="Z322" s="3317"/>
      <c r="AA322" s="3322"/>
      <c r="AB322" s="3322"/>
      <c r="AC322" s="3322"/>
      <c r="AD322" s="3322"/>
      <c r="AE322" s="3322"/>
      <c r="AF322" s="3322"/>
      <c r="AG322" s="3322"/>
    </row>
    <row r="323" spans="1:33">
      <c r="A323" s="3316"/>
      <c r="B323" s="3316"/>
      <c r="C323" s="3322"/>
      <c r="D323" s="3322"/>
      <c r="E323" s="3322"/>
      <c r="F323" s="3317"/>
      <c r="G323" s="3317"/>
      <c r="H323" s="3317"/>
      <c r="I323" s="3317"/>
      <c r="J323" s="3317"/>
      <c r="K323" s="3317"/>
      <c r="L323" s="3317"/>
      <c r="M323" s="3317"/>
      <c r="N323" s="3317"/>
      <c r="O323" s="3317"/>
      <c r="P323" s="3317"/>
      <c r="Q323" s="3317"/>
      <c r="R323" s="3317"/>
      <c r="S323" s="3317"/>
      <c r="T323" s="3317"/>
      <c r="U323" s="3317"/>
      <c r="V323" s="3317"/>
      <c r="W323" s="3317"/>
      <c r="X323" s="3317"/>
      <c r="Y323" s="3317"/>
      <c r="Z323" s="3317"/>
      <c r="AA323" s="3322"/>
      <c r="AB323" s="3322"/>
      <c r="AC323" s="3322"/>
      <c r="AD323" s="3322"/>
      <c r="AE323" s="3322"/>
      <c r="AF323" s="3322"/>
      <c r="AG323" s="3322"/>
    </row>
    <row r="324" spans="1:33">
      <c r="A324" s="3316"/>
      <c r="B324" s="3316"/>
      <c r="C324" s="3322"/>
      <c r="D324" s="3322"/>
      <c r="E324" s="3322"/>
      <c r="F324" s="3317"/>
      <c r="G324" s="3317"/>
      <c r="H324" s="3317"/>
      <c r="I324" s="3317"/>
      <c r="J324" s="3317"/>
      <c r="K324" s="3317"/>
      <c r="L324" s="3317"/>
      <c r="M324" s="3317"/>
      <c r="N324" s="3317"/>
      <c r="O324" s="3317"/>
      <c r="P324" s="3317"/>
      <c r="Q324" s="3317"/>
      <c r="R324" s="3317"/>
      <c r="S324" s="3317"/>
      <c r="T324" s="3317"/>
      <c r="U324" s="3317"/>
      <c r="V324" s="3317"/>
      <c r="W324" s="3317"/>
      <c r="X324" s="3317"/>
      <c r="Y324" s="3317"/>
      <c r="Z324" s="3317"/>
      <c r="AA324" s="3322"/>
      <c r="AB324" s="3322"/>
      <c r="AC324" s="3322"/>
      <c r="AD324" s="3322"/>
      <c r="AE324" s="3322"/>
      <c r="AF324" s="3322"/>
      <c r="AG324" s="3322"/>
    </row>
    <row r="325" spans="1:33">
      <c r="A325" s="3316"/>
      <c r="B325" s="3316"/>
      <c r="C325" s="3322"/>
      <c r="D325" s="3322"/>
      <c r="E325" s="3322"/>
      <c r="F325" s="3317"/>
      <c r="G325" s="3317"/>
      <c r="H325" s="3317"/>
      <c r="I325" s="3317"/>
      <c r="J325" s="3317"/>
      <c r="K325" s="3317"/>
      <c r="L325" s="3317"/>
      <c r="M325" s="3317"/>
      <c r="N325" s="3317"/>
      <c r="O325" s="3317"/>
      <c r="P325" s="3317"/>
      <c r="Q325" s="3317"/>
      <c r="R325" s="3317"/>
      <c r="S325" s="3317"/>
      <c r="T325" s="3317"/>
      <c r="U325" s="3317"/>
      <c r="V325" s="3317"/>
      <c r="W325" s="3317"/>
      <c r="X325" s="3317"/>
      <c r="Y325" s="3317"/>
      <c r="Z325" s="3317"/>
      <c r="AA325" s="3322"/>
      <c r="AB325" s="3322"/>
      <c r="AC325" s="3322"/>
      <c r="AD325" s="3322"/>
      <c r="AE325" s="3322"/>
      <c r="AF325" s="3322"/>
      <c r="AG325" s="3322"/>
    </row>
    <row r="326" spans="1:33">
      <c r="A326" s="3316"/>
      <c r="B326" s="3316"/>
      <c r="C326" s="3322"/>
      <c r="D326" s="3322"/>
      <c r="E326" s="3322"/>
      <c r="F326" s="3317"/>
      <c r="G326" s="3317"/>
      <c r="H326" s="3317"/>
      <c r="I326" s="3317"/>
      <c r="J326" s="3317"/>
      <c r="K326" s="3317"/>
      <c r="L326" s="3317"/>
      <c r="M326" s="3317"/>
      <c r="N326" s="3317"/>
      <c r="O326" s="3317"/>
      <c r="P326" s="3317"/>
      <c r="Q326" s="3317"/>
      <c r="R326" s="3317"/>
      <c r="S326" s="3317"/>
      <c r="T326" s="3317"/>
      <c r="U326" s="3317"/>
      <c r="V326" s="3317"/>
      <c r="W326" s="3317"/>
      <c r="X326" s="3317"/>
      <c r="Y326" s="3317"/>
      <c r="Z326" s="3317"/>
      <c r="AA326" s="3322"/>
      <c r="AB326" s="3322"/>
      <c r="AC326" s="3322"/>
      <c r="AD326" s="3322"/>
      <c r="AE326" s="3322"/>
      <c r="AF326" s="3322"/>
      <c r="AG326" s="3322"/>
    </row>
    <row r="327" spans="1:33">
      <c r="A327" s="3316"/>
      <c r="B327" s="3316"/>
      <c r="C327" s="3322"/>
      <c r="D327" s="3322"/>
      <c r="E327" s="3322"/>
      <c r="F327" s="3317"/>
      <c r="G327" s="3317"/>
      <c r="H327" s="3317"/>
      <c r="I327" s="3317"/>
      <c r="J327" s="3317"/>
      <c r="K327" s="3317"/>
      <c r="L327" s="3317"/>
      <c r="M327" s="3317"/>
      <c r="N327" s="3317"/>
      <c r="O327" s="3317"/>
      <c r="P327" s="3317"/>
      <c r="Q327" s="3317"/>
      <c r="R327" s="3317"/>
      <c r="S327" s="3317"/>
      <c r="T327" s="3317"/>
      <c r="U327" s="3317"/>
      <c r="V327" s="3317"/>
      <c r="W327" s="3317"/>
      <c r="X327" s="3317"/>
      <c r="Y327" s="3317"/>
      <c r="Z327" s="3317"/>
      <c r="AA327" s="3322"/>
      <c r="AB327" s="3322"/>
      <c r="AC327" s="3322"/>
      <c r="AD327" s="3322"/>
      <c r="AE327" s="3322"/>
      <c r="AF327" s="3322"/>
      <c r="AG327" s="3322"/>
    </row>
    <row r="328" spans="1:33">
      <c r="A328" s="3316"/>
      <c r="B328" s="3316"/>
      <c r="C328" s="3322"/>
      <c r="D328" s="3322"/>
      <c r="E328" s="3322"/>
      <c r="F328" s="3317"/>
      <c r="G328" s="3317"/>
      <c r="H328" s="3317"/>
      <c r="I328" s="3317"/>
      <c r="J328" s="3317"/>
      <c r="K328" s="3317"/>
      <c r="L328" s="3317"/>
      <c r="M328" s="3317"/>
      <c r="N328" s="3317"/>
      <c r="O328" s="3317"/>
      <c r="P328" s="3317"/>
      <c r="Q328" s="3317"/>
      <c r="R328" s="3317"/>
      <c r="S328" s="3317"/>
      <c r="T328" s="3317"/>
      <c r="U328" s="3317"/>
      <c r="V328" s="3317"/>
      <c r="W328" s="3317"/>
      <c r="X328" s="3317"/>
      <c r="Y328" s="3317"/>
      <c r="Z328" s="3317"/>
      <c r="AA328" s="3322"/>
      <c r="AB328" s="3322"/>
      <c r="AC328" s="3322"/>
      <c r="AD328" s="3322"/>
      <c r="AE328" s="3322"/>
      <c r="AF328" s="3322"/>
      <c r="AG328" s="3322"/>
    </row>
    <row r="329" spans="1:33">
      <c r="A329" s="3316"/>
      <c r="B329" s="3316"/>
      <c r="C329" s="3322"/>
      <c r="D329" s="3322"/>
      <c r="E329" s="3322"/>
      <c r="F329" s="3317"/>
      <c r="G329" s="3317"/>
      <c r="H329" s="3317"/>
      <c r="I329" s="3317"/>
      <c r="J329" s="3317"/>
      <c r="K329" s="3317"/>
      <c r="L329" s="3317"/>
      <c r="M329" s="3317"/>
      <c r="N329" s="3317"/>
      <c r="O329" s="3317"/>
      <c r="P329" s="3317"/>
      <c r="Q329" s="3317"/>
      <c r="R329" s="3317"/>
      <c r="S329" s="3317"/>
      <c r="T329" s="3317"/>
      <c r="U329" s="3317"/>
      <c r="V329" s="3317"/>
      <c r="W329" s="3317"/>
      <c r="X329" s="3317"/>
      <c r="Y329" s="3317"/>
      <c r="Z329" s="3317"/>
      <c r="AA329" s="3322"/>
      <c r="AB329" s="3322"/>
      <c r="AC329" s="3322"/>
      <c r="AD329" s="3322"/>
      <c r="AE329" s="3322"/>
      <c r="AF329" s="3322"/>
      <c r="AG329" s="3322"/>
    </row>
    <row r="330" spans="1:33">
      <c r="A330" s="3316"/>
      <c r="B330" s="3316"/>
      <c r="C330" s="3322"/>
      <c r="D330" s="3322"/>
      <c r="E330" s="3322"/>
      <c r="F330" s="3317"/>
      <c r="G330" s="3317"/>
      <c r="H330" s="3317"/>
      <c r="I330" s="3317"/>
      <c r="J330" s="3317"/>
      <c r="K330" s="3317"/>
      <c r="L330" s="3317"/>
      <c r="M330" s="3317"/>
      <c r="N330" s="3317"/>
      <c r="O330" s="3317"/>
      <c r="P330" s="3317"/>
      <c r="Q330" s="3317"/>
      <c r="R330" s="3317"/>
      <c r="S330" s="3317"/>
      <c r="T330" s="3317"/>
      <c r="U330" s="3317"/>
      <c r="V330" s="3317"/>
      <c r="W330" s="3317"/>
      <c r="X330" s="3317"/>
      <c r="Y330" s="3317"/>
      <c r="Z330" s="3317"/>
      <c r="AA330" s="3322"/>
      <c r="AB330" s="3322"/>
      <c r="AC330" s="3322"/>
      <c r="AD330" s="3322"/>
      <c r="AE330" s="3322"/>
      <c r="AF330" s="3322"/>
      <c r="AG330" s="3322"/>
    </row>
    <row r="331" spans="1:33">
      <c r="A331" s="3316"/>
      <c r="B331" s="3316"/>
      <c r="C331" s="3322"/>
      <c r="D331" s="3322"/>
      <c r="E331" s="3322"/>
      <c r="F331" s="3317"/>
      <c r="G331" s="3317"/>
      <c r="H331" s="3317"/>
      <c r="I331" s="3317"/>
      <c r="J331" s="3317"/>
      <c r="K331" s="3317"/>
      <c r="L331" s="3317"/>
      <c r="M331" s="3317"/>
      <c r="N331" s="3317"/>
      <c r="O331" s="3317"/>
      <c r="P331" s="3317"/>
      <c r="Q331" s="3317"/>
      <c r="R331" s="3317"/>
      <c r="S331" s="3317"/>
      <c r="T331" s="3317"/>
      <c r="U331" s="3317"/>
      <c r="V331" s="3317"/>
      <c r="W331" s="3317"/>
      <c r="X331" s="3317"/>
      <c r="Y331" s="3317"/>
      <c r="Z331" s="3317"/>
      <c r="AA331" s="3322"/>
      <c r="AB331" s="3322"/>
      <c r="AC331" s="3322"/>
      <c r="AD331" s="3322"/>
      <c r="AE331" s="3322"/>
      <c r="AF331" s="3322"/>
      <c r="AG331" s="3322"/>
    </row>
    <row r="332" spans="1:33">
      <c r="A332" s="3316"/>
      <c r="B332" s="3316"/>
      <c r="C332" s="3322"/>
      <c r="D332" s="3322"/>
      <c r="E332" s="3322"/>
      <c r="F332" s="3317"/>
      <c r="G332" s="3317"/>
      <c r="H332" s="3317"/>
      <c r="I332" s="3317"/>
      <c r="J332" s="3317"/>
      <c r="K332" s="3317"/>
      <c r="L332" s="3317"/>
      <c r="M332" s="3317"/>
      <c r="N332" s="3317"/>
      <c r="O332" s="3317"/>
      <c r="P332" s="3317"/>
      <c r="Q332" s="3317"/>
      <c r="R332" s="3317"/>
      <c r="S332" s="3317"/>
      <c r="T332" s="3317"/>
      <c r="U332" s="3317"/>
      <c r="V332" s="3317"/>
      <c r="W332" s="3317"/>
      <c r="X332" s="3317"/>
      <c r="Y332" s="3317"/>
      <c r="Z332" s="3317"/>
      <c r="AA332" s="3322"/>
      <c r="AB332" s="3322"/>
      <c r="AC332" s="3322"/>
      <c r="AD332" s="3322"/>
      <c r="AE332" s="3322"/>
      <c r="AF332" s="3322"/>
      <c r="AG332" s="3322"/>
    </row>
    <row r="333" spans="1:33">
      <c r="A333" s="3316"/>
      <c r="B333" s="3316"/>
      <c r="C333" s="3322"/>
      <c r="D333" s="3322"/>
      <c r="E333" s="3322"/>
      <c r="F333" s="3317"/>
      <c r="G333" s="3317"/>
      <c r="H333" s="3317"/>
      <c r="I333" s="3317"/>
      <c r="J333" s="3317"/>
      <c r="K333" s="3317"/>
      <c r="L333" s="3317"/>
      <c r="M333" s="3317"/>
      <c r="N333" s="3317"/>
      <c r="O333" s="3317"/>
      <c r="P333" s="3317"/>
      <c r="Q333" s="3317"/>
      <c r="R333" s="3317"/>
      <c r="S333" s="3317"/>
      <c r="T333" s="3317"/>
      <c r="U333" s="3317"/>
      <c r="V333" s="3317"/>
      <c r="W333" s="3317"/>
      <c r="X333" s="3317"/>
      <c r="Y333" s="3317"/>
      <c r="Z333" s="3317"/>
      <c r="AA333" s="3322"/>
      <c r="AB333" s="3322"/>
      <c r="AC333" s="3322"/>
      <c r="AD333" s="3322"/>
      <c r="AE333" s="3322"/>
      <c r="AF333" s="3322"/>
      <c r="AG333" s="3322"/>
    </row>
    <row r="334" spans="1:33">
      <c r="A334" s="3316"/>
      <c r="B334" s="3316"/>
      <c r="C334" s="3322"/>
      <c r="D334" s="3322"/>
      <c r="E334" s="3322"/>
      <c r="F334" s="3317"/>
      <c r="G334" s="3317"/>
      <c r="H334" s="3317"/>
      <c r="I334" s="3317"/>
      <c r="J334" s="3317"/>
      <c r="K334" s="3317"/>
      <c r="L334" s="3317"/>
      <c r="M334" s="3317"/>
      <c r="N334" s="3317"/>
      <c r="O334" s="3317"/>
      <c r="P334" s="3317"/>
      <c r="Q334" s="3317"/>
      <c r="R334" s="3317"/>
      <c r="S334" s="3317"/>
      <c r="T334" s="3317"/>
      <c r="U334" s="3317"/>
      <c r="V334" s="3317"/>
      <c r="W334" s="3317"/>
      <c r="X334" s="3317"/>
      <c r="Y334" s="3317"/>
      <c r="Z334" s="3317"/>
      <c r="AA334" s="3322"/>
      <c r="AB334" s="3322"/>
      <c r="AC334" s="3322"/>
      <c r="AD334" s="3322"/>
      <c r="AE334" s="3322"/>
      <c r="AF334" s="3322"/>
      <c r="AG334" s="3322"/>
    </row>
    <row r="335" spans="1:33">
      <c r="A335" s="3316"/>
      <c r="B335" s="3316"/>
      <c r="C335" s="3322"/>
      <c r="D335" s="3322"/>
      <c r="E335" s="3322"/>
      <c r="F335" s="3317"/>
      <c r="G335" s="3317"/>
      <c r="H335" s="3317"/>
      <c r="I335" s="3317"/>
      <c r="J335" s="3317"/>
      <c r="K335" s="3317"/>
      <c r="L335" s="3317"/>
      <c r="M335" s="3317"/>
      <c r="N335" s="3317"/>
      <c r="O335" s="3317"/>
      <c r="P335" s="3317"/>
      <c r="Q335" s="3317"/>
      <c r="R335" s="3317"/>
      <c r="S335" s="3317"/>
      <c r="T335" s="3317"/>
      <c r="U335" s="3317"/>
      <c r="V335" s="3317"/>
      <c r="W335" s="3317"/>
      <c r="X335" s="3317"/>
      <c r="Y335" s="3317"/>
      <c r="Z335" s="3317"/>
      <c r="AA335" s="3322"/>
      <c r="AB335" s="3322"/>
      <c r="AC335" s="3322"/>
      <c r="AD335" s="3322"/>
      <c r="AE335" s="3322"/>
      <c r="AF335" s="3322"/>
      <c r="AG335" s="3322"/>
    </row>
    <row r="336" spans="1:33">
      <c r="A336" s="3316"/>
      <c r="B336" s="3316"/>
      <c r="C336" s="3322"/>
      <c r="D336" s="3322"/>
      <c r="E336" s="3322"/>
      <c r="F336" s="3317"/>
      <c r="G336" s="3317"/>
      <c r="H336" s="3317"/>
      <c r="I336" s="3317"/>
      <c r="J336" s="3317"/>
      <c r="K336" s="3317"/>
      <c r="L336" s="3317"/>
      <c r="M336" s="3317"/>
      <c r="N336" s="3317"/>
      <c r="O336" s="3317"/>
      <c r="P336" s="3317"/>
      <c r="Q336" s="3317"/>
      <c r="R336" s="3317"/>
      <c r="S336" s="3317"/>
      <c r="T336" s="3317"/>
      <c r="U336" s="3317"/>
      <c r="V336" s="3317"/>
      <c r="W336" s="3317"/>
      <c r="X336" s="3317"/>
      <c r="Y336" s="3317"/>
      <c r="Z336" s="3317"/>
      <c r="AA336" s="3322"/>
      <c r="AB336" s="3322"/>
      <c r="AC336" s="3322"/>
      <c r="AD336" s="3322"/>
      <c r="AE336" s="3322"/>
      <c r="AF336" s="3322"/>
      <c r="AG336" s="3322"/>
    </row>
    <row r="337" spans="1:33">
      <c r="A337" s="3316"/>
      <c r="B337" s="3316"/>
      <c r="C337" s="3322"/>
      <c r="D337" s="3322"/>
      <c r="E337" s="3322"/>
      <c r="F337" s="3317"/>
      <c r="G337" s="3317"/>
      <c r="H337" s="3317"/>
      <c r="I337" s="3317"/>
      <c r="J337" s="3317"/>
      <c r="K337" s="3317"/>
      <c r="L337" s="3317"/>
      <c r="M337" s="3317"/>
      <c r="N337" s="3317"/>
      <c r="O337" s="3317"/>
      <c r="P337" s="3317"/>
      <c r="Q337" s="3317"/>
      <c r="R337" s="3317"/>
      <c r="S337" s="3317"/>
      <c r="T337" s="3317"/>
      <c r="U337" s="3317"/>
      <c r="V337" s="3317"/>
      <c r="W337" s="3317"/>
      <c r="X337" s="3317"/>
      <c r="Y337" s="3317"/>
      <c r="Z337" s="3317"/>
      <c r="AA337" s="3322"/>
      <c r="AB337" s="3322"/>
      <c r="AC337" s="3322"/>
      <c r="AD337" s="3322"/>
      <c r="AE337" s="3322"/>
      <c r="AF337" s="3322"/>
      <c r="AG337" s="3322"/>
    </row>
    <row r="338" spans="1:33">
      <c r="A338" s="3316"/>
      <c r="B338" s="3316"/>
      <c r="C338" s="3322"/>
      <c r="D338" s="3322"/>
      <c r="E338" s="3322"/>
      <c r="F338" s="3317"/>
      <c r="G338" s="3317"/>
      <c r="H338" s="3317"/>
      <c r="I338" s="3317"/>
      <c r="J338" s="3317"/>
      <c r="K338" s="3317"/>
      <c r="L338" s="3317"/>
      <c r="M338" s="3317"/>
      <c r="N338" s="3317"/>
      <c r="O338" s="3317"/>
      <c r="P338" s="3317"/>
      <c r="Q338" s="3317"/>
      <c r="R338" s="3317"/>
      <c r="S338" s="3317"/>
      <c r="T338" s="3317"/>
      <c r="U338" s="3317"/>
      <c r="V338" s="3317"/>
      <c r="W338" s="3317"/>
      <c r="X338" s="3317"/>
      <c r="Y338" s="3317"/>
      <c r="Z338" s="3317"/>
      <c r="AA338" s="3322"/>
      <c r="AB338" s="3322"/>
      <c r="AC338" s="3322"/>
      <c r="AD338" s="3322"/>
      <c r="AE338" s="3322"/>
      <c r="AF338" s="3322"/>
      <c r="AG338" s="3322"/>
    </row>
    <row r="339" spans="1:33">
      <c r="A339" s="3316"/>
      <c r="B339" s="3316"/>
      <c r="C339" s="3322"/>
      <c r="D339" s="3322"/>
      <c r="E339" s="3322"/>
      <c r="F339" s="3317"/>
      <c r="G339" s="3317"/>
      <c r="H339" s="3317"/>
      <c r="I339" s="3317"/>
      <c r="J339" s="3317"/>
      <c r="K339" s="3317"/>
      <c r="L339" s="3317"/>
      <c r="M339" s="3317"/>
      <c r="N339" s="3317"/>
      <c r="O339" s="3317"/>
      <c r="P339" s="3317"/>
      <c r="Q339" s="3317"/>
      <c r="R339" s="3317"/>
      <c r="S339" s="3317"/>
      <c r="T339" s="3317"/>
      <c r="U339" s="3317"/>
      <c r="V339" s="3317"/>
      <c r="W339" s="3317"/>
      <c r="X339" s="3317"/>
      <c r="Y339" s="3317"/>
      <c r="Z339" s="3317"/>
      <c r="AA339" s="3322"/>
      <c r="AB339" s="3322"/>
      <c r="AC339" s="3322"/>
      <c r="AD339" s="3322"/>
      <c r="AE339" s="3322"/>
      <c r="AF339" s="3322"/>
      <c r="AG339" s="3322"/>
    </row>
    <row r="340" spans="1:33">
      <c r="A340" s="3316"/>
      <c r="B340" s="3316"/>
      <c r="C340" s="3322"/>
      <c r="D340" s="3322"/>
      <c r="E340" s="3322"/>
      <c r="F340" s="3317"/>
      <c r="G340" s="3317"/>
      <c r="H340" s="3317"/>
      <c r="I340" s="3317"/>
      <c r="J340" s="3317"/>
      <c r="K340" s="3317"/>
      <c r="L340" s="3317"/>
      <c r="M340" s="3317"/>
      <c r="N340" s="3317"/>
      <c r="O340" s="3317"/>
      <c r="P340" s="3317"/>
      <c r="Q340" s="3317"/>
      <c r="R340" s="3317"/>
      <c r="S340" s="3317"/>
      <c r="T340" s="3317"/>
      <c r="U340" s="3317"/>
      <c r="V340" s="3317"/>
      <c r="W340" s="3317"/>
      <c r="X340" s="3317"/>
      <c r="Y340" s="3317"/>
      <c r="Z340" s="3317"/>
      <c r="AA340" s="3322"/>
      <c r="AB340" s="3322"/>
      <c r="AC340" s="3322"/>
      <c r="AD340" s="3322"/>
      <c r="AE340" s="3322"/>
      <c r="AF340" s="3322"/>
      <c r="AG340" s="3322"/>
    </row>
    <row r="341" spans="1:33">
      <c r="A341" s="3316"/>
      <c r="B341" s="3316"/>
      <c r="C341" s="3322"/>
      <c r="D341" s="3322"/>
      <c r="E341" s="3322"/>
      <c r="F341" s="3317"/>
      <c r="G341" s="3317"/>
      <c r="H341" s="3317"/>
      <c r="I341" s="3317"/>
      <c r="J341" s="3317"/>
      <c r="K341" s="3317"/>
      <c r="L341" s="3317"/>
      <c r="M341" s="3317"/>
      <c r="N341" s="3317"/>
      <c r="O341" s="3317"/>
      <c r="P341" s="3317"/>
      <c r="Q341" s="3317"/>
      <c r="R341" s="3317"/>
      <c r="S341" s="3317"/>
      <c r="T341" s="3317"/>
      <c r="U341" s="3317"/>
      <c r="V341" s="3317"/>
      <c r="W341" s="3317"/>
      <c r="X341" s="3317"/>
      <c r="Y341" s="3317"/>
      <c r="Z341" s="3317"/>
      <c r="AA341" s="3322"/>
      <c r="AB341" s="3322"/>
      <c r="AC341" s="3322"/>
      <c r="AD341" s="3322"/>
      <c r="AE341" s="3322"/>
      <c r="AF341" s="3322"/>
      <c r="AG341" s="3322"/>
    </row>
    <row r="342" spans="1:33">
      <c r="A342" s="3316"/>
      <c r="B342" s="3316"/>
      <c r="C342" s="3322"/>
      <c r="D342" s="3322"/>
      <c r="E342" s="3322"/>
      <c r="F342" s="3317"/>
      <c r="G342" s="3317"/>
      <c r="H342" s="3317"/>
      <c r="I342" s="3317"/>
      <c r="J342" s="3317"/>
      <c r="K342" s="3317"/>
      <c r="L342" s="3317"/>
      <c r="M342" s="3317"/>
      <c r="N342" s="3317"/>
      <c r="O342" s="3317"/>
      <c r="P342" s="3317"/>
      <c r="Q342" s="3317"/>
      <c r="R342" s="3317"/>
      <c r="S342" s="3317"/>
      <c r="T342" s="3317"/>
      <c r="U342" s="3317"/>
      <c r="V342" s="3317"/>
      <c r="W342" s="3317"/>
      <c r="X342" s="3317"/>
      <c r="Y342" s="3317"/>
      <c r="Z342" s="3317"/>
      <c r="AA342" s="3322"/>
      <c r="AB342" s="3322"/>
      <c r="AC342" s="3322"/>
      <c r="AD342" s="3322"/>
      <c r="AE342" s="3322"/>
      <c r="AF342" s="3322"/>
      <c r="AG342" s="3322"/>
    </row>
    <row r="343" spans="1:33">
      <c r="A343" s="3316"/>
      <c r="B343" s="3316"/>
      <c r="C343" s="3322"/>
      <c r="D343" s="3322"/>
      <c r="E343" s="3322"/>
      <c r="F343" s="3317"/>
      <c r="G343" s="3317"/>
      <c r="H343" s="3317"/>
      <c r="I343" s="3317"/>
      <c r="J343" s="3317"/>
      <c r="K343" s="3317"/>
      <c r="L343" s="3317"/>
      <c r="M343" s="3317"/>
      <c r="N343" s="3317"/>
      <c r="O343" s="3317"/>
      <c r="P343" s="3317"/>
      <c r="Q343" s="3317"/>
      <c r="R343" s="3317"/>
      <c r="S343" s="3317"/>
      <c r="T343" s="3317"/>
      <c r="U343" s="3317"/>
      <c r="V343" s="3317"/>
      <c r="W343" s="3317"/>
      <c r="X343" s="3317"/>
      <c r="Y343" s="3317"/>
      <c r="Z343" s="3317"/>
      <c r="AA343" s="3322"/>
      <c r="AB343" s="3322"/>
      <c r="AC343" s="3322"/>
      <c r="AD343" s="3322"/>
      <c r="AE343" s="3322"/>
      <c r="AF343" s="3322"/>
      <c r="AG343" s="3322"/>
    </row>
    <row r="344" spans="1:33">
      <c r="A344" s="3316"/>
      <c r="B344" s="3316"/>
      <c r="C344" s="3322"/>
      <c r="D344" s="3322"/>
      <c r="E344" s="3322"/>
      <c r="F344" s="3317"/>
      <c r="G344" s="3317"/>
      <c r="H344" s="3317"/>
      <c r="I344" s="3317"/>
      <c r="J344" s="3317"/>
      <c r="K344" s="3317"/>
      <c r="L344" s="3317"/>
      <c r="M344" s="3317"/>
      <c r="N344" s="3317"/>
      <c r="O344" s="3317"/>
      <c r="P344" s="3317"/>
      <c r="Q344" s="3317"/>
      <c r="R344" s="3317"/>
      <c r="S344" s="3317"/>
      <c r="T344" s="3317"/>
      <c r="U344" s="3317"/>
      <c r="V344" s="3317"/>
      <c r="W344" s="3317"/>
      <c r="X344" s="3317"/>
      <c r="Y344" s="3317"/>
      <c r="Z344" s="3317"/>
      <c r="AA344" s="3322"/>
      <c r="AB344" s="3322"/>
      <c r="AC344" s="3322"/>
      <c r="AD344" s="3322"/>
      <c r="AE344" s="3322"/>
      <c r="AF344" s="3322"/>
      <c r="AG344" s="3322"/>
    </row>
    <row r="345" spans="1:33">
      <c r="A345" s="3316"/>
      <c r="B345" s="3316"/>
      <c r="C345" s="3322"/>
      <c r="D345" s="3322"/>
      <c r="E345" s="3322"/>
      <c r="F345" s="3317"/>
      <c r="G345" s="3317"/>
      <c r="H345" s="3317"/>
      <c r="I345" s="3317"/>
      <c r="J345" s="3317"/>
      <c r="K345" s="3317"/>
      <c r="L345" s="3317"/>
      <c r="M345" s="3317"/>
      <c r="N345" s="3317"/>
      <c r="O345" s="3317"/>
      <c r="P345" s="3317"/>
      <c r="Q345" s="3317"/>
      <c r="R345" s="3317"/>
      <c r="S345" s="3317"/>
      <c r="T345" s="3317"/>
      <c r="U345" s="3317"/>
      <c r="V345" s="3317"/>
      <c r="W345" s="3317"/>
      <c r="X345" s="3317"/>
      <c r="Y345" s="3317"/>
      <c r="Z345" s="3317"/>
      <c r="AA345" s="3322"/>
      <c r="AB345" s="3322"/>
      <c r="AC345" s="3322"/>
      <c r="AD345" s="3322"/>
      <c r="AE345" s="3322"/>
      <c r="AF345" s="3322"/>
      <c r="AG345" s="3322"/>
    </row>
    <row r="346" spans="1:33">
      <c r="A346" s="3316"/>
      <c r="B346" s="3316"/>
      <c r="C346" s="3322"/>
      <c r="D346" s="3322"/>
      <c r="E346" s="3322"/>
      <c r="F346" s="3317"/>
      <c r="G346" s="3317"/>
      <c r="H346" s="3317"/>
      <c r="I346" s="3317"/>
      <c r="J346" s="3317"/>
      <c r="K346" s="3317"/>
      <c r="L346" s="3317"/>
      <c r="M346" s="3317"/>
      <c r="N346" s="3317"/>
      <c r="O346" s="3317"/>
      <c r="P346" s="3317"/>
      <c r="Q346" s="3317"/>
      <c r="R346" s="3317"/>
      <c r="S346" s="3317"/>
      <c r="T346" s="3317"/>
      <c r="U346" s="3317"/>
      <c r="V346" s="3317"/>
      <c r="W346" s="3317"/>
      <c r="X346" s="3317"/>
      <c r="Y346" s="3317"/>
      <c r="Z346" s="3317"/>
      <c r="AA346" s="3322"/>
      <c r="AB346" s="3322"/>
      <c r="AC346" s="3322"/>
      <c r="AD346" s="3322"/>
      <c r="AE346" s="3322"/>
      <c r="AF346" s="3322"/>
      <c r="AG346" s="3322"/>
    </row>
    <row r="347" spans="1:33">
      <c r="A347" s="3316"/>
      <c r="B347" s="3316"/>
      <c r="C347" s="3322"/>
      <c r="D347" s="3322"/>
      <c r="E347" s="3322"/>
      <c r="F347" s="3317"/>
      <c r="G347" s="3317"/>
      <c r="H347" s="3317"/>
      <c r="I347" s="3317"/>
      <c r="J347" s="3317"/>
      <c r="K347" s="3317"/>
      <c r="L347" s="3317"/>
      <c r="M347" s="3317"/>
      <c r="N347" s="3317"/>
      <c r="O347" s="3317"/>
      <c r="P347" s="3317"/>
      <c r="Q347" s="3317"/>
      <c r="R347" s="3317"/>
      <c r="S347" s="3317"/>
      <c r="T347" s="3317"/>
      <c r="U347" s="3317"/>
      <c r="V347" s="3317"/>
      <c r="W347" s="3317"/>
      <c r="X347" s="3317"/>
      <c r="Y347" s="3317"/>
      <c r="Z347" s="3317"/>
      <c r="AA347" s="3322"/>
      <c r="AB347" s="3322"/>
      <c r="AC347" s="3322"/>
      <c r="AD347" s="3322"/>
      <c r="AE347" s="3322"/>
      <c r="AF347" s="3322"/>
      <c r="AG347" s="3322"/>
    </row>
    <row r="348" spans="1:33">
      <c r="A348" s="3316"/>
      <c r="B348" s="3316"/>
      <c r="C348" s="3322"/>
      <c r="D348" s="3322"/>
      <c r="E348" s="3322"/>
      <c r="F348" s="3317"/>
      <c r="G348" s="3317"/>
      <c r="H348" s="3317"/>
      <c r="I348" s="3317"/>
      <c r="J348" s="3317"/>
      <c r="K348" s="3317"/>
      <c r="L348" s="3317"/>
      <c r="M348" s="3317"/>
      <c r="N348" s="3317"/>
      <c r="O348" s="3317"/>
      <c r="P348" s="3317"/>
      <c r="Q348" s="3317"/>
      <c r="R348" s="3317"/>
      <c r="S348" s="3317"/>
      <c r="T348" s="3317"/>
      <c r="U348" s="3317"/>
      <c r="V348" s="3317"/>
      <c r="W348" s="3317"/>
      <c r="X348" s="3317"/>
      <c r="Y348" s="3317"/>
      <c r="Z348" s="3317"/>
      <c r="AA348" s="3322"/>
      <c r="AB348" s="3322"/>
      <c r="AC348" s="3322"/>
      <c r="AD348" s="3322"/>
      <c r="AE348" s="3322"/>
      <c r="AF348" s="3322"/>
      <c r="AG348" s="3322"/>
    </row>
    <row r="349" spans="1:33">
      <c r="A349" s="3316"/>
      <c r="B349" s="3316"/>
      <c r="C349" s="3322"/>
      <c r="D349" s="3322"/>
      <c r="E349" s="3322"/>
      <c r="F349" s="3317"/>
      <c r="G349" s="3317"/>
      <c r="H349" s="3317"/>
      <c r="I349" s="3317"/>
      <c r="J349" s="3317"/>
      <c r="K349" s="3317"/>
      <c r="L349" s="3317"/>
      <c r="M349" s="3317"/>
      <c r="N349" s="3317"/>
      <c r="O349" s="3317"/>
      <c r="P349" s="3317"/>
      <c r="Q349" s="3317"/>
      <c r="R349" s="3317"/>
      <c r="S349" s="3317"/>
      <c r="T349" s="3317"/>
      <c r="U349" s="3317"/>
      <c r="V349" s="3317"/>
      <c r="W349" s="3317"/>
      <c r="X349" s="3317"/>
      <c r="Y349" s="3317"/>
      <c r="Z349" s="3317"/>
      <c r="AA349" s="3322"/>
      <c r="AB349" s="3322"/>
      <c r="AC349" s="3322"/>
      <c r="AD349" s="3322"/>
      <c r="AE349" s="3322"/>
      <c r="AF349" s="3322"/>
      <c r="AG349" s="3322"/>
    </row>
    <row r="350" spans="1:33">
      <c r="A350" s="3316"/>
      <c r="B350" s="3316"/>
      <c r="C350" s="3322"/>
      <c r="D350" s="3322"/>
      <c r="E350" s="3322"/>
      <c r="F350" s="3317"/>
      <c r="G350" s="3317"/>
      <c r="H350" s="3317"/>
      <c r="I350" s="3317"/>
      <c r="J350" s="3317"/>
      <c r="K350" s="3317"/>
      <c r="L350" s="3317"/>
      <c r="M350" s="3317"/>
      <c r="N350" s="3317"/>
      <c r="O350" s="3317"/>
      <c r="P350" s="3317"/>
      <c r="Q350" s="3317"/>
      <c r="R350" s="3317"/>
      <c r="S350" s="3317"/>
      <c r="T350" s="3317"/>
      <c r="U350" s="3317"/>
      <c r="V350" s="3317"/>
      <c r="W350" s="3317"/>
      <c r="X350" s="3317"/>
      <c r="Y350" s="3317"/>
      <c r="Z350" s="3317"/>
      <c r="AA350" s="3322"/>
      <c r="AB350" s="3322"/>
      <c r="AC350" s="3322"/>
      <c r="AD350" s="3322"/>
      <c r="AE350" s="3322"/>
      <c r="AF350" s="3322"/>
      <c r="AG350" s="3322"/>
    </row>
    <row r="351" spans="1:33">
      <c r="A351" s="3316"/>
      <c r="B351" s="3316"/>
      <c r="C351" s="3322"/>
      <c r="D351" s="3322"/>
      <c r="E351" s="3322"/>
      <c r="F351" s="3317"/>
      <c r="G351" s="3317"/>
      <c r="H351" s="3317"/>
      <c r="I351" s="3317"/>
      <c r="J351" s="3317"/>
      <c r="K351" s="3317"/>
      <c r="L351" s="3317"/>
      <c r="M351" s="3317"/>
      <c r="N351" s="3317"/>
      <c r="O351" s="3317"/>
      <c r="P351" s="3317"/>
      <c r="Q351" s="3317"/>
      <c r="R351" s="3317"/>
      <c r="S351" s="3317"/>
      <c r="T351" s="3317"/>
      <c r="U351" s="3317"/>
      <c r="V351" s="3317"/>
      <c r="W351" s="3317"/>
      <c r="X351" s="3317"/>
      <c r="Y351" s="3317"/>
      <c r="Z351" s="3317"/>
      <c r="AA351" s="3322"/>
      <c r="AB351" s="3322"/>
      <c r="AC351" s="3322"/>
      <c r="AD351" s="3322"/>
      <c r="AE351" s="3322"/>
      <c r="AF351" s="3322"/>
      <c r="AG351" s="3322"/>
    </row>
    <row r="352" spans="1:33">
      <c r="A352" s="3316"/>
      <c r="B352" s="3316"/>
      <c r="C352" s="3322"/>
      <c r="D352" s="3322"/>
      <c r="E352" s="3322"/>
      <c r="F352" s="3317"/>
      <c r="G352" s="3317"/>
      <c r="H352" s="3317"/>
      <c r="I352" s="3317"/>
      <c r="J352" s="3317"/>
      <c r="K352" s="3317"/>
      <c r="L352" s="3317"/>
      <c r="M352" s="3317"/>
      <c r="N352" s="3317"/>
      <c r="O352" s="3317"/>
      <c r="P352" s="3317"/>
      <c r="Q352" s="3317"/>
      <c r="R352" s="3317"/>
      <c r="S352" s="3317"/>
      <c r="T352" s="3317"/>
      <c r="U352" s="3317"/>
      <c r="V352" s="3317"/>
      <c r="W352" s="3317"/>
      <c r="X352" s="3317"/>
      <c r="Y352" s="3317"/>
      <c r="Z352" s="3317"/>
      <c r="AA352" s="3322"/>
      <c r="AB352" s="3322"/>
      <c r="AC352" s="3322"/>
      <c r="AD352" s="3322"/>
      <c r="AE352" s="3322"/>
      <c r="AF352" s="3322"/>
      <c r="AG352" s="3322"/>
    </row>
    <row r="353" spans="1:33">
      <c r="A353" s="3316"/>
      <c r="B353" s="3316"/>
      <c r="C353" s="3322"/>
      <c r="D353" s="3322"/>
      <c r="E353" s="3322"/>
      <c r="F353" s="3317"/>
      <c r="G353" s="3317"/>
      <c r="H353" s="3317"/>
      <c r="I353" s="3317"/>
      <c r="J353" s="3317"/>
      <c r="K353" s="3317"/>
      <c r="L353" s="3317"/>
      <c r="M353" s="3317"/>
      <c r="N353" s="3317"/>
      <c r="O353" s="3317"/>
      <c r="P353" s="3317"/>
      <c r="Q353" s="3317"/>
      <c r="R353" s="3317"/>
      <c r="S353" s="3317"/>
      <c r="T353" s="3317"/>
      <c r="U353" s="3317"/>
      <c r="V353" s="3317"/>
      <c r="W353" s="3317"/>
      <c r="X353" s="3317"/>
      <c r="Y353" s="3317"/>
      <c r="Z353" s="3317"/>
      <c r="AA353" s="3322"/>
      <c r="AB353" s="3322"/>
      <c r="AC353" s="3322"/>
      <c r="AD353" s="3322"/>
      <c r="AE353" s="3322"/>
      <c r="AF353" s="3322"/>
      <c r="AG353" s="3322"/>
    </row>
    <row r="354" spans="1:33">
      <c r="A354" s="3316"/>
      <c r="B354" s="3316"/>
      <c r="C354" s="3322"/>
      <c r="D354" s="3322"/>
      <c r="E354" s="3322"/>
      <c r="F354" s="3317"/>
      <c r="G354" s="3317"/>
      <c r="H354" s="3317"/>
      <c r="I354" s="3317"/>
      <c r="J354" s="3317"/>
      <c r="K354" s="3317"/>
      <c r="L354" s="3317"/>
      <c r="M354" s="3317"/>
      <c r="N354" s="3317"/>
      <c r="O354" s="3317"/>
      <c r="P354" s="3317"/>
      <c r="Q354" s="3317"/>
      <c r="R354" s="3317"/>
      <c r="S354" s="3317"/>
      <c r="T354" s="3317"/>
      <c r="U354" s="3317"/>
      <c r="V354" s="3317"/>
      <c r="W354" s="3317"/>
      <c r="X354" s="3317"/>
      <c r="Y354" s="3317"/>
      <c r="Z354" s="3317"/>
      <c r="AA354" s="3322"/>
      <c r="AB354" s="3322"/>
      <c r="AC354" s="3322"/>
      <c r="AD354" s="3322"/>
      <c r="AE354" s="3322"/>
      <c r="AF354" s="3322"/>
      <c r="AG354" s="3322"/>
    </row>
    <row r="355" spans="1:33">
      <c r="A355" s="3316"/>
      <c r="B355" s="3316"/>
      <c r="C355" s="3322"/>
      <c r="D355" s="3322"/>
      <c r="E355" s="3322"/>
      <c r="F355" s="3317"/>
      <c r="G355" s="3317"/>
      <c r="H355" s="3317"/>
      <c r="I355" s="3317"/>
      <c r="J355" s="3317"/>
      <c r="K355" s="3317"/>
      <c r="L355" s="3317"/>
      <c r="M355" s="3317"/>
      <c r="N355" s="3317"/>
      <c r="O355" s="3317"/>
      <c r="P355" s="3317"/>
      <c r="Q355" s="3317"/>
      <c r="R355" s="3317"/>
      <c r="S355" s="3317"/>
      <c r="T355" s="3317"/>
      <c r="U355" s="3317"/>
      <c r="V355" s="3317"/>
      <c r="W355" s="3317"/>
      <c r="X355" s="3317"/>
      <c r="Y355" s="3317"/>
      <c r="Z355" s="3317"/>
      <c r="AA355" s="3322"/>
      <c r="AB355" s="3322"/>
      <c r="AC355" s="3322"/>
      <c r="AD355" s="3322"/>
      <c r="AE355" s="3322"/>
      <c r="AF355" s="3322"/>
      <c r="AG355" s="3322"/>
    </row>
    <row r="356" spans="1:33">
      <c r="A356" s="3316"/>
      <c r="B356" s="3316"/>
      <c r="C356" s="3322"/>
      <c r="D356" s="3322"/>
      <c r="E356" s="3322"/>
      <c r="F356" s="3317"/>
      <c r="G356" s="3317"/>
      <c r="H356" s="3317"/>
      <c r="I356" s="3317"/>
      <c r="J356" s="3317"/>
      <c r="K356" s="3317"/>
      <c r="L356" s="3317"/>
      <c r="M356" s="3317"/>
      <c r="N356" s="3317"/>
      <c r="O356" s="3317"/>
      <c r="P356" s="3317"/>
      <c r="Q356" s="3317"/>
      <c r="R356" s="3317"/>
      <c r="S356" s="3317"/>
      <c r="T356" s="3317"/>
      <c r="U356" s="3317"/>
      <c r="V356" s="3317"/>
      <c r="W356" s="3317"/>
      <c r="X356" s="3317"/>
      <c r="Y356" s="3317"/>
      <c r="Z356" s="3317"/>
      <c r="AA356" s="3322"/>
      <c r="AB356" s="3322"/>
      <c r="AC356" s="3322"/>
      <c r="AD356" s="3322"/>
      <c r="AE356" s="3322"/>
      <c r="AF356" s="3322"/>
      <c r="AG356" s="3322"/>
    </row>
    <row r="357" spans="1:33">
      <c r="A357" s="3316"/>
      <c r="B357" s="3316"/>
      <c r="C357" s="3322"/>
      <c r="D357" s="3322"/>
      <c r="E357" s="3322"/>
      <c r="F357" s="3317"/>
      <c r="G357" s="3317"/>
      <c r="H357" s="3317"/>
      <c r="I357" s="3317"/>
      <c r="J357" s="3317"/>
      <c r="K357" s="3317"/>
      <c r="L357" s="3317"/>
      <c r="M357" s="3317"/>
      <c r="N357" s="3317"/>
      <c r="O357" s="3317"/>
      <c r="P357" s="3317"/>
      <c r="Q357" s="3317"/>
      <c r="R357" s="3317"/>
      <c r="S357" s="3317"/>
      <c r="T357" s="3317"/>
      <c r="U357" s="3317"/>
      <c r="V357" s="3317"/>
      <c r="W357" s="3317"/>
      <c r="X357" s="3317"/>
      <c r="Y357" s="3317"/>
      <c r="Z357" s="3317"/>
      <c r="AA357" s="3322"/>
      <c r="AB357" s="3322"/>
      <c r="AC357" s="3322"/>
      <c r="AD357" s="3322"/>
      <c r="AE357" s="3322"/>
      <c r="AF357" s="3322"/>
      <c r="AG357" s="3322"/>
    </row>
    <row r="358" spans="1:33">
      <c r="A358" s="3316"/>
      <c r="B358" s="3316"/>
      <c r="C358" s="3322"/>
      <c r="D358" s="3322"/>
      <c r="E358" s="3322"/>
      <c r="F358" s="3317"/>
      <c r="G358" s="3317"/>
      <c r="H358" s="3317"/>
      <c r="I358" s="3317"/>
      <c r="J358" s="3317"/>
      <c r="K358" s="3317"/>
      <c r="L358" s="3317"/>
      <c r="M358" s="3317"/>
      <c r="N358" s="3317"/>
      <c r="O358" s="3317"/>
      <c r="P358" s="3317"/>
      <c r="Q358" s="3317"/>
      <c r="R358" s="3317"/>
      <c r="S358" s="3317"/>
      <c r="T358" s="3317"/>
      <c r="U358" s="3317"/>
      <c r="V358" s="3317"/>
      <c r="W358" s="3317"/>
      <c r="X358" s="3317"/>
      <c r="Y358" s="3317"/>
      <c r="Z358" s="3317"/>
      <c r="AA358" s="3322"/>
      <c r="AB358" s="3322"/>
      <c r="AC358" s="3322"/>
      <c r="AD358" s="3322"/>
      <c r="AE358" s="3322"/>
      <c r="AF358" s="3322"/>
      <c r="AG358" s="3322"/>
    </row>
    <row r="359" spans="1:33">
      <c r="A359" s="3316"/>
      <c r="B359" s="3316"/>
      <c r="C359" s="3322"/>
      <c r="D359" s="3322"/>
      <c r="E359" s="3322"/>
      <c r="F359" s="3317"/>
      <c r="G359" s="3317"/>
      <c r="H359" s="3317"/>
      <c r="I359" s="3317"/>
      <c r="J359" s="3317"/>
      <c r="K359" s="3317"/>
      <c r="L359" s="3317"/>
      <c r="M359" s="3317"/>
      <c r="N359" s="3317"/>
      <c r="O359" s="3317"/>
      <c r="P359" s="3317"/>
      <c r="Q359" s="3317"/>
      <c r="R359" s="3317"/>
      <c r="S359" s="3317"/>
      <c r="T359" s="3317"/>
      <c r="U359" s="3317"/>
      <c r="V359" s="3317"/>
      <c r="W359" s="3317"/>
      <c r="X359" s="3317"/>
      <c r="Y359" s="3317"/>
      <c r="Z359" s="3317"/>
      <c r="AA359" s="3322"/>
      <c r="AB359" s="3322"/>
      <c r="AC359" s="3322"/>
      <c r="AD359" s="3322"/>
      <c r="AE359" s="3322"/>
      <c r="AF359" s="3322"/>
      <c r="AG359" s="3322"/>
    </row>
    <row r="360" spans="1:33">
      <c r="A360" s="3316"/>
      <c r="B360" s="3316"/>
      <c r="C360" s="3322"/>
      <c r="D360" s="3322"/>
      <c r="E360" s="3322"/>
      <c r="F360" s="3317"/>
      <c r="G360" s="3317"/>
      <c r="H360" s="3317"/>
      <c r="I360" s="3317"/>
      <c r="J360" s="3317"/>
      <c r="K360" s="3317"/>
      <c r="L360" s="3317"/>
      <c r="M360" s="3317"/>
      <c r="N360" s="3317"/>
      <c r="O360" s="3317"/>
      <c r="P360" s="3317"/>
      <c r="Q360" s="3317"/>
      <c r="R360" s="3317"/>
      <c r="S360" s="3317"/>
      <c r="T360" s="3317"/>
      <c r="U360" s="3317"/>
      <c r="V360" s="3317"/>
      <c r="W360" s="3317"/>
      <c r="X360" s="3317"/>
      <c r="Y360" s="3317"/>
      <c r="Z360" s="3317"/>
      <c r="AA360" s="3322"/>
      <c r="AB360" s="3322"/>
      <c r="AC360" s="3322"/>
      <c r="AD360" s="3322"/>
      <c r="AE360" s="3322"/>
      <c r="AF360" s="3322"/>
      <c r="AG360" s="3322"/>
    </row>
    <row r="361" spans="1:33">
      <c r="A361" s="3316"/>
      <c r="B361" s="3316"/>
      <c r="C361" s="3322"/>
      <c r="D361" s="3322"/>
      <c r="E361" s="3322"/>
      <c r="F361" s="3317"/>
      <c r="G361" s="3317"/>
      <c r="H361" s="3317"/>
      <c r="I361" s="3317"/>
      <c r="J361" s="3317"/>
      <c r="K361" s="3317"/>
      <c r="L361" s="3317"/>
      <c r="M361" s="3317"/>
      <c r="N361" s="3317"/>
      <c r="O361" s="3317"/>
      <c r="P361" s="3317"/>
      <c r="Q361" s="3317"/>
      <c r="R361" s="3317"/>
      <c r="S361" s="3317"/>
      <c r="T361" s="3317"/>
      <c r="U361" s="3317"/>
      <c r="V361" s="3317"/>
      <c r="W361" s="3317"/>
      <c r="X361" s="3317"/>
      <c r="Y361" s="3317"/>
      <c r="Z361" s="3317"/>
      <c r="AA361" s="3322"/>
      <c r="AB361" s="3322"/>
      <c r="AC361" s="3322"/>
      <c r="AD361" s="3322"/>
      <c r="AE361" s="3322"/>
      <c r="AF361" s="3322"/>
      <c r="AG361" s="3322"/>
    </row>
    <row r="362" spans="1:33">
      <c r="A362" s="3316"/>
      <c r="B362" s="3316"/>
      <c r="C362" s="3322"/>
      <c r="D362" s="3322"/>
      <c r="E362" s="3322"/>
      <c r="F362" s="3317"/>
      <c r="G362" s="3317"/>
      <c r="H362" s="3317"/>
      <c r="I362" s="3317"/>
      <c r="J362" s="3317"/>
      <c r="K362" s="3317"/>
      <c r="L362" s="3317"/>
      <c r="M362" s="3317"/>
      <c r="N362" s="3317"/>
      <c r="O362" s="3317"/>
      <c r="P362" s="3317"/>
      <c r="Q362" s="3317"/>
      <c r="R362" s="3317"/>
      <c r="S362" s="3317"/>
      <c r="T362" s="3317"/>
      <c r="U362" s="3317"/>
      <c r="V362" s="3317"/>
      <c r="W362" s="3317"/>
      <c r="X362" s="3317"/>
      <c r="Y362" s="3317"/>
      <c r="Z362" s="3317"/>
      <c r="AA362" s="3322"/>
      <c r="AB362" s="3322"/>
      <c r="AC362" s="3322"/>
      <c r="AD362" s="3322"/>
      <c r="AE362" s="3322"/>
      <c r="AF362" s="3322"/>
      <c r="AG362" s="3322"/>
    </row>
    <row r="363" spans="1:33">
      <c r="A363" s="3316"/>
      <c r="B363" s="3316"/>
      <c r="C363" s="3322"/>
      <c r="D363" s="3322"/>
      <c r="E363" s="3322"/>
      <c r="F363" s="3317"/>
      <c r="G363" s="3317"/>
      <c r="H363" s="3317"/>
      <c r="I363" s="3317"/>
      <c r="J363" s="3317"/>
      <c r="K363" s="3317"/>
      <c r="L363" s="3317"/>
      <c r="M363" s="3317"/>
      <c r="N363" s="3317"/>
      <c r="O363" s="3317"/>
      <c r="P363" s="3317"/>
      <c r="Q363" s="3317"/>
      <c r="R363" s="3317"/>
      <c r="S363" s="3317"/>
      <c r="T363" s="3317"/>
      <c r="U363" s="3317"/>
      <c r="V363" s="3317"/>
      <c r="W363" s="3317"/>
      <c r="X363" s="3317"/>
      <c r="Y363" s="3317"/>
      <c r="Z363" s="3317"/>
      <c r="AA363" s="3322"/>
      <c r="AB363" s="3322"/>
      <c r="AC363" s="3322"/>
      <c r="AD363" s="3322"/>
      <c r="AE363" s="3322"/>
      <c r="AF363" s="3322"/>
      <c r="AG363" s="3322"/>
    </row>
    <row r="364" spans="1:33">
      <c r="A364" s="3316"/>
      <c r="B364" s="3316"/>
      <c r="C364" s="3322"/>
      <c r="D364" s="3322"/>
      <c r="E364" s="3322"/>
      <c r="F364" s="3317"/>
      <c r="G364" s="3317"/>
      <c r="H364" s="3317"/>
      <c r="I364" s="3317"/>
      <c r="J364" s="3317"/>
      <c r="K364" s="3317"/>
      <c r="L364" s="3317"/>
      <c r="M364" s="3317"/>
      <c r="N364" s="3317"/>
      <c r="O364" s="3317"/>
      <c r="P364" s="3317"/>
      <c r="Q364" s="3317"/>
      <c r="R364" s="3317"/>
      <c r="S364" s="3317"/>
      <c r="T364" s="3317"/>
      <c r="U364" s="3317"/>
      <c r="V364" s="3317"/>
      <c r="W364" s="3317"/>
      <c r="X364" s="3317"/>
      <c r="Y364" s="3317"/>
      <c r="Z364" s="3317"/>
      <c r="AA364" s="3322"/>
      <c r="AB364" s="3322"/>
      <c r="AC364" s="3322"/>
      <c r="AD364" s="3322"/>
      <c r="AE364" s="3322"/>
      <c r="AF364" s="3322"/>
      <c r="AG364" s="3322"/>
    </row>
    <row r="365" spans="1:33">
      <c r="A365" s="3316"/>
      <c r="B365" s="3316"/>
      <c r="C365" s="3322"/>
      <c r="D365" s="3322"/>
      <c r="E365" s="3322"/>
      <c r="F365" s="3317"/>
      <c r="G365" s="3317"/>
      <c r="H365" s="3317"/>
      <c r="I365" s="3317"/>
      <c r="J365" s="3317"/>
      <c r="K365" s="3317"/>
      <c r="L365" s="3317"/>
      <c r="M365" s="3317"/>
      <c r="N365" s="3317"/>
      <c r="O365" s="3317"/>
      <c r="P365" s="3317"/>
      <c r="Q365" s="3317"/>
      <c r="R365" s="3317"/>
      <c r="S365" s="3317"/>
      <c r="T365" s="3317"/>
      <c r="U365" s="3317"/>
      <c r="V365" s="3317"/>
      <c r="W365" s="3317"/>
      <c r="X365" s="3317"/>
      <c r="Y365" s="3317"/>
      <c r="Z365" s="3317"/>
      <c r="AA365" s="3322"/>
      <c r="AB365" s="3322"/>
      <c r="AC365" s="3322"/>
      <c r="AD365" s="3322"/>
      <c r="AE365" s="3322"/>
      <c r="AF365" s="3322"/>
      <c r="AG365" s="3322"/>
    </row>
    <row r="366" spans="1:33">
      <c r="A366" s="3316"/>
      <c r="B366" s="3316"/>
      <c r="C366" s="3322"/>
      <c r="D366" s="3322"/>
      <c r="E366" s="3322"/>
      <c r="F366" s="3317"/>
      <c r="G366" s="3317"/>
      <c r="H366" s="3317"/>
      <c r="I366" s="3317"/>
      <c r="J366" s="3317"/>
      <c r="K366" s="3317"/>
      <c r="L366" s="3317"/>
      <c r="M366" s="3317"/>
      <c r="N366" s="3317"/>
      <c r="O366" s="3317"/>
      <c r="P366" s="3317"/>
      <c r="Q366" s="3317"/>
      <c r="R366" s="3317"/>
      <c r="S366" s="3317"/>
      <c r="T366" s="3317"/>
      <c r="U366" s="3317"/>
      <c r="V366" s="3317"/>
      <c r="W366" s="3317"/>
      <c r="X366" s="3317"/>
      <c r="Y366" s="3317"/>
      <c r="Z366" s="3317"/>
      <c r="AA366" s="3322"/>
      <c r="AB366" s="3322"/>
      <c r="AC366" s="3322"/>
      <c r="AD366" s="3322"/>
      <c r="AE366" s="3322"/>
      <c r="AF366" s="3322"/>
      <c r="AG366" s="3322"/>
    </row>
    <row r="367" spans="1:33">
      <c r="A367" s="3316"/>
      <c r="B367" s="3316"/>
      <c r="C367" s="3322"/>
      <c r="D367" s="3322"/>
      <c r="E367" s="3322"/>
      <c r="F367" s="3317"/>
      <c r="G367" s="3317"/>
      <c r="H367" s="3317"/>
      <c r="I367" s="3317"/>
      <c r="J367" s="3317"/>
      <c r="K367" s="3317"/>
      <c r="L367" s="3317"/>
      <c r="M367" s="3317"/>
      <c r="N367" s="3317"/>
      <c r="O367" s="3317"/>
      <c r="P367" s="3317"/>
      <c r="Q367" s="3317"/>
      <c r="R367" s="3317"/>
      <c r="S367" s="3317"/>
      <c r="T367" s="3317"/>
      <c r="U367" s="3317"/>
      <c r="V367" s="3317"/>
      <c r="W367" s="3317"/>
      <c r="X367" s="3317"/>
      <c r="Y367" s="3317"/>
      <c r="Z367" s="3317"/>
      <c r="AA367" s="3322"/>
      <c r="AB367" s="3322"/>
      <c r="AC367" s="3322"/>
      <c r="AD367" s="3322"/>
      <c r="AE367" s="3322"/>
      <c r="AF367" s="3322"/>
      <c r="AG367" s="3322"/>
    </row>
    <row r="368" spans="1:33">
      <c r="A368" s="3316"/>
      <c r="B368" s="3316"/>
      <c r="C368" s="3322"/>
      <c r="D368" s="3322"/>
      <c r="E368" s="3322"/>
      <c r="F368" s="3317"/>
      <c r="G368" s="3317"/>
      <c r="H368" s="3317"/>
      <c r="I368" s="3317"/>
      <c r="J368" s="3317"/>
      <c r="K368" s="3317"/>
      <c r="L368" s="3317"/>
      <c r="M368" s="3317"/>
      <c r="N368" s="3317"/>
      <c r="O368" s="3317"/>
      <c r="P368" s="3317"/>
      <c r="Q368" s="3317"/>
      <c r="R368" s="3317"/>
      <c r="S368" s="3317"/>
      <c r="T368" s="3317"/>
      <c r="U368" s="3317"/>
      <c r="V368" s="3317"/>
      <c r="W368" s="3317"/>
      <c r="X368" s="3317"/>
      <c r="Y368" s="3317"/>
      <c r="Z368" s="3317"/>
      <c r="AA368" s="3322"/>
      <c r="AB368" s="3322"/>
      <c r="AC368" s="3322"/>
      <c r="AD368" s="3322"/>
      <c r="AE368" s="3322"/>
      <c r="AF368" s="3322"/>
      <c r="AG368" s="3322"/>
    </row>
    <row r="369" spans="1:33">
      <c r="A369" s="3316"/>
      <c r="B369" s="3316"/>
      <c r="C369" s="3322"/>
      <c r="D369" s="3322"/>
      <c r="E369" s="3322"/>
      <c r="F369" s="3317"/>
      <c r="G369" s="3317"/>
      <c r="H369" s="3317"/>
      <c r="I369" s="3317"/>
      <c r="J369" s="3317"/>
      <c r="K369" s="3317"/>
      <c r="L369" s="3317"/>
      <c r="M369" s="3317"/>
      <c r="N369" s="3317"/>
      <c r="O369" s="3317"/>
      <c r="P369" s="3317"/>
      <c r="Q369" s="3317"/>
      <c r="R369" s="3317"/>
      <c r="S369" s="3317"/>
      <c r="T369" s="3317"/>
      <c r="U369" s="3317"/>
      <c r="V369" s="3317"/>
      <c r="W369" s="3317"/>
      <c r="X369" s="3317"/>
      <c r="Y369" s="3317"/>
      <c r="Z369" s="3317"/>
      <c r="AA369" s="3322"/>
      <c r="AB369" s="3322"/>
      <c r="AC369" s="3322"/>
      <c r="AD369" s="3322"/>
      <c r="AE369" s="3322"/>
      <c r="AF369" s="3322"/>
      <c r="AG369" s="3322"/>
    </row>
    <row r="370" spans="1:33">
      <c r="A370" s="3316"/>
      <c r="B370" s="3316"/>
      <c r="C370" s="3322"/>
      <c r="D370" s="3322"/>
      <c r="E370" s="3322"/>
      <c r="F370" s="3317"/>
      <c r="G370" s="3317"/>
      <c r="H370" s="3317"/>
      <c r="I370" s="3317"/>
      <c r="J370" s="3317"/>
      <c r="K370" s="3317"/>
      <c r="L370" s="3317"/>
      <c r="M370" s="3317"/>
      <c r="N370" s="3317"/>
      <c r="O370" s="3317"/>
      <c r="P370" s="3317"/>
      <c r="Q370" s="3317"/>
      <c r="R370" s="3317"/>
      <c r="S370" s="3317"/>
      <c r="T370" s="3317"/>
      <c r="U370" s="3317"/>
      <c r="V370" s="3317"/>
      <c r="W370" s="3317"/>
      <c r="X370" s="3317"/>
      <c r="Y370" s="3317"/>
      <c r="Z370" s="3317"/>
      <c r="AA370" s="3322"/>
      <c r="AB370" s="3322"/>
      <c r="AC370" s="3322"/>
      <c r="AD370" s="3322"/>
      <c r="AE370" s="3322"/>
      <c r="AF370" s="3322"/>
      <c r="AG370" s="3322"/>
    </row>
    <row r="371" spans="1:33">
      <c r="A371" s="3316"/>
      <c r="B371" s="3316"/>
      <c r="C371" s="3322"/>
      <c r="D371" s="3322"/>
      <c r="E371" s="3322"/>
      <c r="F371" s="3317"/>
      <c r="G371" s="3317"/>
      <c r="H371" s="3317"/>
      <c r="I371" s="3317"/>
      <c r="J371" s="3317"/>
      <c r="K371" s="3317"/>
      <c r="L371" s="3317"/>
      <c r="M371" s="3317"/>
      <c r="N371" s="3317"/>
      <c r="O371" s="3317"/>
      <c r="P371" s="3317"/>
      <c r="Q371" s="3317"/>
      <c r="R371" s="3317"/>
      <c r="S371" s="3317"/>
      <c r="T371" s="3317"/>
      <c r="U371" s="3317"/>
      <c r="V371" s="3317"/>
      <c r="W371" s="3317"/>
      <c r="X371" s="3317"/>
      <c r="Y371" s="3317"/>
      <c r="Z371" s="3317"/>
      <c r="AA371" s="3322"/>
      <c r="AB371" s="3322"/>
      <c r="AC371" s="3322"/>
      <c r="AD371" s="3322"/>
      <c r="AE371" s="3322"/>
      <c r="AF371" s="3322"/>
      <c r="AG371" s="3322"/>
    </row>
    <row r="372" spans="1:33">
      <c r="A372" s="3316"/>
      <c r="B372" s="3316"/>
      <c r="C372" s="3322"/>
      <c r="D372" s="3322"/>
      <c r="E372" s="3322"/>
      <c r="F372" s="3317"/>
      <c r="G372" s="3317"/>
      <c r="H372" s="3317"/>
      <c r="I372" s="3317"/>
      <c r="J372" s="3317"/>
      <c r="K372" s="3317"/>
      <c r="L372" s="3317"/>
      <c r="M372" s="3317"/>
      <c r="N372" s="3317"/>
      <c r="O372" s="3317"/>
      <c r="P372" s="3317"/>
      <c r="Q372" s="3317"/>
      <c r="R372" s="3317"/>
      <c r="S372" s="3317"/>
      <c r="T372" s="3317"/>
      <c r="U372" s="3317"/>
      <c r="V372" s="3317"/>
      <c r="W372" s="3317"/>
      <c r="X372" s="3317"/>
      <c r="Y372" s="3317"/>
      <c r="Z372" s="3317"/>
      <c r="AA372" s="3322"/>
      <c r="AB372" s="3322"/>
      <c r="AC372" s="3322"/>
      <c r="AD372" s="3322"/>
      <c r="AE372" s="3322"/>
      <c r="AF372" s="3322"/>
      <c r="AG372" s="3322"/>
    </row>
    <row r="373" spans="1:33">
      <c r="A373" s="3316"/>
      <c r="B373" s="3316"/>
      <c r="C373" s="3322"/>
      <c r="D373" s="3322"/>
      <c r="E373" s="3322"/>
      <c r="F373" s="3317"/>
      <c r="G373" s="3317"/>
      <c r="H373" s="3317"/>
      <c r="I373" s="3317"/>
      <c r="J373" s="3317"/>
      <c r="K373" s="3317"/>
      <c r="L373" s="3317"/>
      <c r="M373" s="3317"/>
      <c r="N373" s="3317"/>
      <c r="O373" s="3317"/>
      <c r="P373" s="3317"/>
      <c r="Q373" s="3317"/>
      <c r="R373" s="3317"/>
      <c r="S373" s="3317"/>
      <c r="T373" s="3317"/>
      <c r="U373" s="3317"/>
      <c r="V373" s="3317"/>
      <c r="W373" s="3317"/>
      <c r="X373" s="3317"/>
      <c r="Y373" s="3317"/>
      <c r="Z373" s="3317"/>
      <c r="AA373" s="3322"/>
      <c r="AB373" s="3322"/>
      <c r="AC373" s="3322"/>
      <c r="AD373" s="3322"/>
      <c r="AE373" s="3322"/>
      <c r="AF373" s="3322"/>
      <c r="AG373" s="3322"/>
    </row>
    <row r="374" spans="1:33">
      <c r="A374" s="3316"/>
      <c r="B374" s="3316"/>
      <c r="C374" s="3322"/>
      <c r="D374" s="3322"/>
      <c r="E374" s="3322"/>
      <c r="F374" s="3317"/>
      <c r="G374" s="3317"/>
      <c r="H374" s="3317"/>
      <c r="I374" s="3317"/>
      <c r="J374" s="3317"/>
      <c r="K374" s="3317"/>
      <c r="L374" s="3317"/>
      <c r="M374" s="3317"/>
      <c r="N374" s="3317"/>
      <c r="O374" s="3317"/>
      <c r="P374" s="3317"/>
      <c r="Q374" s="3317"/>
      <c r="R374" s="3317"/>
      <c r="S374" s="3317"/>
      <c r="T374" s="3317"/>
      <c r="U374" s="3317"/>
      <c r="V374" s="3317"/>
      <c r="W374" s="3317"/>
      <c r="X374" s="3317"/>
      <c r="Y374" s="3317"/>
      <c r="Z374" s="3317"/>
      <c r="AA374" s="3322"/>
      <c r="AB374" s="3322"/>
      <c r="AC374" s="3322"/>
      <c r="AD374" s="3322"/>
      <c r="AE374" s="3322"/>
      <c r="AF374" s="3322"/>
      <c r="AG374" s="3322"/>
    </row>
    <row r="375" spans="1:33">
      <c r="A375" s="3316"/>
      <c r="B375" s="3316"/>
      <c r="C375" s="3322"/>
      <c r="D375" s="3322"/>
      <c r="E375" s="3322"/>
      <c r="F375" s="3317"/>
      <c r="G375" s="3317"/>
      <c r="H375" s="3317"/>
      <c r="I375" s="3317"/>
      <c r="J375" s="3317"/>
      <c r="K375" s="3317"/>
      <c r="L375" s="3317"/>
      <c r="M375" s="3317"/>
      <c r="N375" s="3317"/>
      <c r="O375" s="3317"/>
      <c r="P375" s="3317"/>
      <c r="Q375" s="3317"/>
      <c r="R375" s="3317"/>
      <c r="S375" s="3317"/>
      <c r="T375" s="3317"/>
      <c r="U375" s="3317"/>
      <c r="V375" s="3317"/>
      <c r="W375" s="3317"/>
      <c r="X375" s="3317"/>
      <c r="Y375" s="3317"/>
      <c r="Z375" s="3317"/>
      <c r="AA375" s="3322"/>
      <c r="AB375" s="3322"/>
      <c r="AC375" s="3322"/>
      <c r="AD375" s="3322"/>
      <c r="AE375" s="3322"/>
      <c r="AF375" s="3322"/>
      <c r="AG375" s="3322"/>
    </row>
    <row r="376" spans="1:33">
      <c r="A376" s="3316"/>
      <c r="B376" s="3316"/>
      <c r="C376" s="3322"/>
      <c r="D376" s="3322"/>
      <c r="E376" s="3322"/>
      <c r="F376" s="3317"/>
      <c r="G376" s="3317"/>
      <c r="H376" s="3317"/>
      <c r="I376" s="3317"/>
      <c r="J376" s="3317"/>
      <c r="K376" s="3317"/>
      <c r="L376" s="3317"/>
      <c r="M376" s="3317"/>
      <c r="N376" s="3317"/>
      <c r="O376" s="3317"/>
      <c r="P376" s="3317"/>
      <c r="Q376" s="3317"/>
      <c r="R376" s="3317"/>
      <c r="S376" s="3317"/>
      <c r="T376" s="3317"/>
      <c r="U376" s="3317"/>
      <c r="V376" s="3317"/>
      <c r="W376" s="3317"/>
      <c r="X376" s="3317"/>
      <c r="Y376" s="3317"/>
      <c r="Z376" s="3317"/>
      <c r="AA376" s="3322"/>
      <c r="AB376" s="3322"/>
      <c r="AC376" s="3322"/>
      <c r="AD376" s="3322"/>
      <c r="AE376" s="3322"/>
      <c r="AF376" s="3322"/>
      <c r="AG376" s="3322"/>
    </row>
    <row r="377" spans="1:33">
      <c r="A377" s="3316"/>
      <c r="B377" s="3316"/>
      <c r="C377" s="3322"/>
      <c r="D377" s="3322"/>
      <c r="E377" s="3322"/>
      <c r="F377" s="3317"/>
      <c r="G377" s="3317"/>
      <c r="H377" s="3317"/>
      <c r="I377" s="3317"/>
      <c r="J377" s="3317"/>
      <c r="K377" s="3317"/>
      <c r="L377" s="3317"/>
      <c r="M377" s="3317"/>
      <c r="N377" s="3317"/>
      <c r="O377" s="3317"/>
      <c r="P377" s="3317"/>
      <c r="Q377" s="3317"/>
      <c r="R377" s="3317"/>
      <c r="S377" s="3317"/>
      <c r="T377" s="3317"/>
      <c r="U377" s="3317"/>
      <c r="V377" s="3317"/>
      <c r="W377" s="3317"/>
      <c r="X377" s="3317"/>
      <c r="Y377" s="3317"/>
      <c r="Z377" s="3317"/>
      <c r="AA377" s="3322"/>
      <c r="AB377" s="3322"/>
      <c r="AC377" s="3322"/>
      <c r="AD377" s="3322"/>
      <c r="AE377" s="3322"/>
      <c r="AF377" s="3322"/>
      <c r="AG377" s="3322"/>
    </row>
    <row r="378" spans="1:33">
      <c r="A378" s="3316"/>
      <c r="B378" s="3316"/>
      <c r="C378" s="3322"/>
      <c r="D378" s="3322"/>
      <c r="E378" s="3322"/>
      <c r="F378" s="3317"/>
      <c r="G378" s="3317"/>
      <c r="H378" s="3317"/>
      <c r="I378" s="3317"/>
      <c r="J378" s="3317"/>
      <c r="K378" s="3317"/>
      <c r="L378" s="3317"/>
      <c r="M378" s="3317"/>
      <c r="N378" s="3317"/>
      <c r="O378" s="3317"/>
      <c r="P378" s="3317"/>
      <c r="Q378" s="3317"/>
      <c r="R378" s="3317"/>
      <c r="S378" s="3317"/>
      <c r="T378" s="3317"/>
      <c r="U378" s="3317"/>
      <c r="V378" s="3317"/>
      <c r="W378" s="3317"/>
      <c r="X378" s="3317"/>
      <c r="Y378" s="3317"/>
      <c r="Z378" s="3317"/>
      <c r="AA378" s="3322"/>
      <c r="AB378" s="3322"/>
      <c r="AC378" s="3322"/>
      <c r="AD378" s="3322"/>
      <c r="AE378" s="3322"/>
      <c r="AF378" s="3322"/>
      <c r="AG378" s="3322"/>
    </row>
    <row r="379" spans="1:33">
      <c r="A379" s="3316"/>
      <c r="B379" s="3316"/>
      <c r="C379" s="3322"/>
      <c r="D379" s="3322"/>
      <c r="E379" s="3322"/>
      <c r="F379" s="3317"/>
      <c r="G379" s="3317"/>
      <c r="H379" s="3317"/>
      <c r="I379" s="3317"/>
      <c r="J379" s="3317"/>
      <c r="K379" s="3317"/>
      <c r="L379" s="3317"/>
      <c r="M379" s="3317"/>
      <c r="N379" s="3317"/>
      <c r="O379" s="3317"/>
      <c r="P379" s="3317"/>
      <c r="Q379" s="3317"/>
      <c r="R379" s="3317"/>
      <c r="S379" s="3317"/>
      <c r="T379" s="3317"/>
      <c r="U379" s="3317"/>
      <c r="V379" s="3317"/>
      <c r="W379" s="3317"/>
      <c r="X379" s="3317"/>
      <c r="Y379" s="3317"/>
      <c r="Z379" s="3317"/>
      <c r="AA379" s="3322"/>
      <c r="AB379" s="3322"/>
      <c r="AC379" s="3322"/>
      <c r="AD379" s="3322"/>
      <c r="AE379" s="3322"/>
      <c r="AF379" s="3322"/>
      <c r="AG379" s="3322"/>
    </row>
    <row r="380" spans="1:33">
      <c r="A380" s="3316"/>
      <c r="B380" s="3316"/>
      <c r="C380" s="3322"/>
      <c r="D380" s="3322"/>
      <c r="E380" s="3322"/>
      <c r="F380" s="3317"/>
      <c r="G380" s="3317"/>
      <c r="H380" s="3317"/>
      <c r="I380" s="3317"/>
      <c r="J380" s="3317"/>
      <c r="K380" s="3317"/>
      <c r="L380" s="3317"/>
      <c r="M380" s="3317"/>
      <c r="N380" s="3317"/>
      <c r="O380" s="3317"/>
      <c r="P380" s="3317"/>
      <c r="Q380" s="3317"/>
      <c r="R380" s="3317"/>
      <c r="S380" s="3317"/>
      <c r="T380" s="3317"/>
      <c r="U380" s="3317"/>
      <c r="V380" s="3317"/>
      <c r="W380" s="3317"/>
      <c r="X380" s="3317"/>
      <c r="Y380" s="3317"/>
      <c r="Z380" s="3317"/>
      <c r="AA380" s="3322"/>
      <c r="AB380" s="3322"/>
      <c r="AC380" s="3322"/>
      <c r="AD380" s="3322"/>
      <c r="AE380" s="3322"/>
      <c r="AF380" s="3322"/>
      <c r="AG380" s="3322"/>
    </row>
    <row r="381" spans="1:33">
      <c r="A381" s="3316"/>
      <c r="B381" s="3316"/>
      <c r="C381" s="3322"/>
      <c r="D381" s="3322"/>
      <c r="E381" s="3322"/>
      <c r="F381" s="3317"/>
      <c r="G381" s="3317"/>
      <c r="H381" s="3317"/>
      <c r="I381" s="3317"/>
      <c r="J381" s="3317"/>
      <c r="K381" s="3317"/>
      <c r="L381" s="3317"/>
      <c r="M381" s="3317"/>
      <c r="N381" s="3317"/>
      <c r="O381" s="3317"/>
      <c r="P381" s="3317"/>
      <c r="Q381" s="3317"/>
      <c r="R381" s="3317"/>
      <c r="S381" s="3317"/>
      <c r="T381" s="3317"/>
      <c r="U381" s="3317"/>
      <c r="V381" s="3317"/>
      <c r="W381" s="3317"/>
      <c r="X381" s="3317"/>
      <c r="Y381" s="3317"/>
      <c r="Z381" s="3317"/>
      <c r="AA381" s="3322"/>
      <c r="AB381" s="3322"/>
      <c r="AC381" s="3322"/>
      <c r="AD381" s="3322"/>
      <c r="AE381" s="3322"/>
      <c r="AF381" s="3322"/>
      <c r="AG381" s="3322"/>
    </row>
    <row r="382" spans="1:33">
      <c r="A382" s="3316"/>
      <c r="B382" s="3316"/>
      <c r="C382" s="3322"/>
      <c r="D382" s="3322"/>
      <c r="E382" s="3322"/>
      <c r="F382" s="3317"/>
      <c r="G382" s="3317"/>
      <c r="H382" s="3317"/>
      <c r="I382" s="3317"/>
      <c r="J382" s="3317"/>
      <c r="K382" s="3317"/>
      <c r="L382" s="3317"/>
      <c r="M382" s="3317"/>
      <c r="N382" s="3317"/>
      <c r="O382" s="3317"/>
      <c r="P382" s="3317"/>
      <c r="Q382" s="3317"/>
      <c r="R382" s="3317"/>
      <c r="S382" s="3317"/>
      <c r="T382" s="3317"/>
      <c r="U382" s="3317"/>
      <c r="V382" s="3317"/>
      <c r="W382" s="3317"/>
      <c r="X382" s="3317"/>
      <c r="Y382" s="3317"/>
      <c r="Z382" s="3317"/>
      <c r="AA382" s="3322"/>
      <c r="AB382" s="3322"/>
      <c r="AC382" s="3322"/>
      <c r="AD382" s="3322"/>
      <c r="AE382" s="3322"/>
      <c r="AF382" s="3322"/>
      <c r="AG382" s="3322"/>
    </row>
    <row r="383" spans="1:33">
      <c r="A383" s="3316"/>
      <c r="B383" s="3316"/>
      <c r="C383" s="3322"/>
      <c r="D383" s="3322"/>
      <c r="E383" s="3322"/>
      <c r="F383" s="3317"/>
      <c r="G383" s="3317"/>
      <c r="H383" s="3317"/>
      <c r="I383" s="3317"/>
      <c r="J383" s="3317"/>
      <c r="K383" s="3317"/>
      <c r="L383" s="3317"/>
      <c r="M383" s="3317"/>
      <c r="N383" s="3317"/>
      <c r="O383" s="3317"/>
      <c r="P383" s="3317"/>
      <c r="Q383" s="3317"/>
      <c r="R383" s="3317"/>
      <c r="S383" s="3317"/>
      <c r="T383" s="3317"/>
      <c r="U383" s="3317"/>
      <c r="V383" s="3317"/>
      <c r="W383" s="3317"/>
      <c r="X383" s="3317"/>
      <c r="Y383" s="3317"/>
      <c r="Z383" s="3317"/>
      <c r="AA383" s="3322"/>
      <c r="AB383" s="3322"/>
      <c r="AC383" s="3322"/>
      <c r="AD383" s="3322"/>
      <c r="AE383" s="3322"/>
      <c r="AF383" s="3322"/>
      <c r="AG383" s="3322"/>
    </row>
    <row r="384" spans="1:33">
      <c r="A384" s="3316"/>
      <c r="B384" s="3316"/>
      <c r="C384" s="3322"/>
      <c r="D384" s="3322"/>
      <c r="E384" s="3322"/>
      <c r="F384" s="3317"/>
      <c r="G384" s="3317"/>
      <c r="H384" s="3317"/>
      <c r="I384" s="3317"/>
      <c r="J384" s="3317"/>
      <c r="K384" s="3317"/>
      <c r="L384" s="3317"/>
      <c r="M384" s="3317"/>
      <c r="N384" s="3317"/>
      <c r="O384" s="3317"/>
      <c r="P384" s="3317"/>
      <c r="Q384" s="3317"/>
      <c r="R384" s="3317"/>
      <c r="S384" s="3317"/>
      <c r="T384" s="3317"/>
      <c r="U384" s="3317"/>
      <c r="V384" s="3317"/>
      <c r="W384" s="3317"/>
      <c r="X384" s="3317"/>
      <c r="Y384" s="3317"/>
      <c r="Z384" s="3317"/>
      <c r="AA384" s="3322"/>
      <c r="AB384" s="3322"/>
      <c r="AC384" s="3322"/>
      <c r="AD384" s="3322"/>
      <c r="AE384" s="3322"/>
      <c r="AF384" s="3322"/>
      <c r="AG384" s="3322"/>
    </row>
    <row r="385" spans="1:33">
      <c r="A385" s="3316"/>
      <c r="B385" s="3316"/>
      <c r="C385" s="3322"/>
      <c r="D385" s="3322"/>
      <c r="E385" s="3322"/>
      <c r="F385" s="3317"/>
      <c r="G385" s="3317"/>
      <c r="H385" s="3317"/>
      <c r="I385" s="3317"/>
      <c r="J385" s="3317"/>
      <c r="K385" s="3317"/>
      <c r="L385" s="3317"/>
      <c r="M385" s="3317"/>
      <c r="N385" s="3317"/>
      <c r="O385" s="3317"/>
      <c r="P385" s="3317"/>
      <c r="Q385" s="3317"/>
      <c r="R385" s="3317"/>
      <c r="S385" s="3317"/>
      <c r="T385" s="3317"/>
      <c r="U385" s="3317"/>
      <c r="V385" s="3317"/>
      <c r="W385" s="3317"/>
      <c r="X385" s="3317"/>
      <c r="Y385" s="3317"/>
      <c r="Z385" s="3317"/>
      <c r="AA385" s="3322"/>
      <c r="AB385" s="3322"/>
      <c r="AC385" s="3322"/>
      <c r="AD385" s="3322"/>
      <c r="AE385" s="3322"/>
      <c r="AF385" s="3322"/>
      <c r="AG385" s="3322"/>
    </row>
    <row r="386" spans="1:33">
      <c r="A386" s="3316"/>
      <c r="B386" s="3316"/>
      <c r="C386" s="3322"/>
      <c r="D386" s="3322"/>
      <c r="E386" s="3322"/>
      <c r="F386" s="3317"/>
      <c r="G386" s="3317"/>
      <c r="H386" s="3317"/>
      <c r="I386" s="3317"/>
      <c r="J386" s="3317"/>
      <c r="K386" s="3317"/>
      <c r="L386" s="3317"/>
      <c r="M386" s="3317"/>
      <c r="N386" s="3317"/>
      <c r="O386" s="3317"/>
      <c r="P386" s="3317"/>
      <c r="Q386" s="3317"/>
      <c r="R386" s="3317"/>
      <c r="S386" s="3317"/>
      <c r="T386" s="3317"/>
      <c r="U386" s="3317"/>
      <c r="V386" s="3317"/>
      <c r="W386" s="3317"/>
      <c r="X386" s="3317"/>
      <c r="Y386" s="3317"/>
      <c r="Z386" s="3317"/>
      <c r="AA386" s="3322"/>
      <c r="AB386" s="3322"/>
      <c r="AC386" s="3322"/>
      <c r="AD386" s="3322"/>
      <c r="AE386" s="3322"/>
      <c r="AF386" s="3322"/>
      <c r="AG386" s="3322"/>
    </row>
    <row r="387" spans="1:33">
      <c r="A387" s="3316"/>
      <c r="B387" s="3316"/>
      <c r="C387" s="3322"/>
      <c r="D387" s="3322"/>
      <c r="E387" s="3322"/>
      <c r="F387" s="3317"/>
      <c r="G387" s="3317"/>
      <c r="H387" s="3317"/>
      <c r="I387" s="3317"/>
      <c r="J387" s="3317"/>
      <c r="K387" s="3317"/>
      <c r="L387" s="3317"/>
      <c r="M387" s="3317"/>
      <c r="N387" s="3317"/>
      <c r="O387" s="3317"/>
      <c r="P387" s="3317"/>
      <c r="Q387" s="3317"/>
      <c r="R387" s="3317"/>
      <c r="S387" s="3317"/>
      <c r="T387" s="3317"/>
      <c r="U387" s="3317"/>
      <c r="V387" s="3317"/>
      <c r="W387" s="3317"/>
      <c r="X387" s="3317"/>
      <c r="Y387" s="3317"/>
      <c r="Z387" s="3317"/>
      <c r="AA387" s="3322"/>
      <c r="AB387" s="3322"/>
      <c r="AC387" s="3322"/>
      <c r="AD387" s="3322"/>
      <c r="AE387" s="3322"/>
      <c r="AF387" s="3322"/>
      <c r="AG387" s="3322"/>
    </row>
    <row r="388" spans="1:33">
      <c r="A388" s="3316"/>
      <c r="B388" s="3316"/>
      <c r="C388" s="3322"/>
      <c r="D388" s="3322"/>
      <c r="E388" s="3322"/>
      <c r="F388" s="3317"/>
      <c r="G388" s="3317"/>
      <c r="H388" s="3317"/>
      <c r="I388" s="3317"/>
      <c r="J388" s="3317"/>
      <c r="K388" s="3317"/>
      <c r="L388" s="3317"/>
      <c r="M388" s="3317"/>
      <c r="N388" s="3317"/>
      <c r="O388" s="3317"/>
      <c r="P388" s="3317"/>
      <c r="Q388" s="3317"/>
      <c r="R388" s="3317"/>
      <c r="S388" s="3317"/>
      <c r="T388" s="3317"/>
      <c r="U388" s="3317"/>
      <c r="V388" s="3317"/>
      <c r="W388" s="3317"/>
      <c r="X388" s="3317"/>
      <c r="Y388" s="3317"/>
      <c r="Z388" s="3317"/>
      <c r="AA388" s="3322"/>
      <c r="AB388" s="3322"/>
      <c r="AC388" s="3322"/>
      <c r="AD388" s="3322"/>
      <c r="AE388" s="3322"/>
      <c r="AF388" s="3322"/>
      <c r="AG388" s="3322"/>
    </row>
    <row r="389" spans="1:33">
      <c r="A389" s="3316"/>
      <c r="B389" s="3316"/>
      <c r="C389" s="3322"/>
      <c r="D389" s="3322"/>
      <c r="E389" s="3322"/>
      <c r="F389" s="3317"/>
      <c r="G389" s="3317"/>
      <c r="H389" s="3317"/>
      <c r="I389" s="3317"/>
      <c r="J389" s="3317"/>
      <c r="K389" s="3317"/>
      <c r="L389" s="3317"/>
      <c r="M389" s="3317"/>
      <c r="N389" s="3317"/>
      <c r="O389" s="3317"/>
      <c r="P389" s="3317"/>
      <c r="Q389" s="3317"/>
      <c r="R389" s="3317"/>
      <c r="S389" s="3317"/>
      <c r="T389" s="3317"/>
      <c r="U389" s="3317"/>
      <c r="V389" s="3317"/>
      <c r="W389" s="3317"/>
      <c r="X389" s="3317"/>
      <c r="Y389" s="3317"/>
      <c r="Z389" s="3317"/>
      <c r="AA389" s="3322"/>
      <c r="AB389" s="3322"/>
      <c r="AC389" s="3322"/>
      <c r="AD389" s="3322"/>
      <c r="AE389" s="3322"/>
      <c r="AF389" s="3322"/>
      <c r="AG389" s="3322"/>
    </row>
    <row r="390" spans="1:33">
      <c r="A390" s="3316"/>
      <c r="B390" s="3316"/>
      <c r="C390" s="3322"/>
      <c r="D390" s="3322"/>
      <c r="E390" s="3322"/>
      <c r="F390" s="3317"/>
      <c r="G390" s="3317"/>
      <c r="H390" s="3317"/>
      <c r="I390" s="3317"/>
      <c r="J390" s="3317"/>
      <c r="K390" s="3317"/>
      <c r="L390" s="3317"/>
      <c r="M390" s="3317"/>
      <c r="N390" s="3317"/>
      <c r="O390" s="3317"/>
      <c r="P390" s="3317"/>
      <c r="Q390" s="3317"/>
      <c r="R390" s="3317"/>
      <c r="S390" s="3317"/>
      <c r="T390" s="3317"/>
      <c r="U390" s="3317"/>
      <c r="V390" s="3317"/>
      <c r="W390" s="3317"/>
      <c r="X390" s="3317"/>
      <c r="Y390" s="3317"/>
      <c r="Z390" s="3317"/>
      <c r="AA390" s="3322"/>
      <c r="AB390" s="3322"/>
      <c r="AC390" s="3322"/>
      <c r="AD390" s="3322"/>
      <c r="AE390" s="3322"/>
      <c r="AF390" s="3322"/>
      <c r="AG390" s="3322"/>
    </row>
    <row r="391" spans="1:33">
      <c r="A391" s="3316"/>
      <c r="B391" s="3316"/>
      <c r="C391" s="3322"/>
      <c r="D391" s="3322"/>
      <c r="E391" s="3322"/>
      <c r="F391" s="3317"/>
      <c r="G391" s="3317"/>
      <c r="H391" s="3317"/>
      <c r="I391" s="3317"/>
      <c r="J391" s="3317"/>
      <c r="K391" s="3317"/>
      <c r="L391" s="3317"/>
      <c r="M391" s="3317"/>
      <c r="N391" s="3317"/>
      <c r="O391" s="3317"/>
      <c r="P391" s="3317"/>
      <c r="Q391" s="3317"/>
      <c r="R391" s="3317"/>
      <c r="S391" s="3317"/>
      <c r="T391" s="3317"/>
      <c r="U391" s="3317"/>
      <c r="V391" s="3317"/>
      <c r="W391" s="3317"/>
      <c r="X391" s="3317"/>
      <c r="Y391" s="3317"/>
      <c r="Z391" s="3317"/>
      <c r="AA391" s="3322"/>
      <c r="AB391" s="3322"/>
      <c r="AC391" s="3322"/>
      <c r="AD391" s="3322"/>
      <c r="AE391" s="3322"/>
      <c r="AF391" s="3322"/>
      <c r="AG391" s="3322"/>
    </row>
    <row r="392" spans="1:33">
      <c r="A392" s="3316"/>
      <c r="B392" s="3316"/>
      <c r="C392" s="3322"/>
      <c r="D392" s="3322"/>
      <c r="E392" s="3322"/>
      <c r="F392" s="3317"/>
      <c r="G392" s="3317"/>
      <c r="H392" s="3317"/>
      <c r="I392" s="3317"/>
      <c r="J392" s="3317"/>
      <c r="K392" s="3317"/>
      <c r="L392" s="3317"/>
      <c r="M392" s="3317"/>
      <c r="N392" s="3317"/>
      <c r="O392" s="3317"/>
      <c r="P392" s="3317"/>
      <c r="Q392" s="3317"/>
      <c r="R392" s="3317"/>
      <c r="S392" s="3317"/>
      <c r="T392" s="3317"/>
      <c r="U392" s="3317"/>
      <c r="V392" s="3317"/>
      <c r="W392" s="3317"/>
      <c r="X392" s="3317"/>
      <c r="Y392" s="3317"/>
      <c r="Z392" s="3317"/>
      <c r="AA392" s="3322"/>
      <c r="AB392" s="3322"/>
      <c r="AC392" s="3322"/>
      <c r="AD392" s="3322"/>
      <c r="AE392" s="3322"/>
      <c r="AF392" s="3322"/>
      <c r="AG392" s="3322"/>
    </row>
    <row r="393" spans="1:33">
      <c r="A393" s="3316"/>
      <c r="B393" s="3316"/>
      <c r="C393" s="3322"/>
      <c r="D393" s="3322"/>
      <c r="E393" s="3322"/>
      <c r="F393" s="3317"/>
      <c r="G393" s="3317"/>
      <c r="H393" s="3317"/>
      <c r="I393" s="3317"/>
      <c r="J393" s="3317"/>
      <c r="K393" s="3317"/>
      <c r="L393" s="3317"/>
      <c r="M393" s="3317"/>
      <c r="N393" s="3317"/>
      <c r="O393" s="3317"/>
      <c r="P393" s="3317"/>
      <c r="Q393" s="3317"/>
      <c r="R393" s="3317"/>
      <c r="S393" s="3317"/>
      <c r="T393" s="3317"/>
      <c r="U393" s="3317"/>
      <c r="V393" s="3317"/>
      <c r="W393" s="3317"/>
      <c r="X393" s="3317"/>
      <c r="Y393" s="3317"/>
      <c r="Z393" s="3317"/>
      <c r="AA393" s="3322"/>
      <c r="AB393" s="3322"/>
      <c r="AC393" s="3322"/>
      <c r="AD393" s="3322"/>
      <c r="AE393" s="3322"/>
      <c r="AF393" s="3322"/>
      <c r="AG393" s="3322"/>
    </row>
    <row r="394" spans="1:33">
      <c r="A394" s="3316"/>
      <c r="B394" s="3316"/>
      <c r="C394" s="3322"/>
      <c r="D394" s="3322"/>
      <c r="E394" s="3322"/>
      <c r="F394" s="3317"/>
      <c r="G394" s="3317"/>
      <c r="H394" s="3317"/>
      <c r="I394" s="3317"/>
      <c r="J394" s="3317"/>
      <c r="K394" s="3317"/>
      <c r="L394" s="3317"/>
      <c r="M394" s="3317"/>
      <c r="N394" s="3317"/>
      <c r="O394" s="3317"/>
      <c r="P394" s="3317"/>
      <c r="Q394" s="3317"/>
      <c r="R394" s="3317"/>
      <c r="S394" s="3317"/>
      <c r="T394" s="3317"/>
      <c r="U394" s="3317"/>
      <c r="V394" s="3317"/>
      <c r="W394" s="3317"/>
      <c r="X394" s="3317"/>
      <c r="Y394" s="3317"/>
      <c r="Z394" s="3317"/>
      <c r="AA394" s="3322"/>
      <c r="AB394" s="3322"/>
      <c r="AC394" s="3322"/>
      <c r="AD394" s="3322"/>
      <c r="AE394" s="3322"/>
      <c r="AF394" s="3322"/>
      <c r="AG394" s="3322"/>
    </row>
    <row r="395" spans="1:33">
      <c r="A395" s="3316"/>
      <c r="B395" s="3316"/>
      <c r="C395" s="3322"/>
      <c r="D395" s="3322"/>
      <c r="E395" s="3322"/>
      <c r="F395" s="3317"/>
      <c r="G395" s="3317"/>
      <c r="H395" s="3317"/>
      <c r="I395" s="3317"/>
      <c r="J395" s="3317"/>
      <c r="K395" s="3317"/>
      <c r="L395" s="3317"/>
      <c r="M395" s="3317"/>
      <c r="N395" s="3317"/>
      <c r="O395" s="3317"/>
      <c r="P395" s="3317"/>
      <c r="Q395" s="3317"/>
      <c r="R395" s="3317"/>
      <c r="S395" s="3317"/>
      <c r="T395" s="3317"/>
      <c r="U395" s="3317"/>
      <c r="V395" s="3317"/>
      <c r="W395" s="3317"/>
      <c r="X395" s="3317"/>
      <c r="Y395" s="3317"/>
      <c r="Z395" s="3317"/>
      <c r="AA395" s="3322"/>
      <c r="AB395" s="3322"/>
      <c r="AC395" s="3322"/>
      <c r="AD395" s="3322"/>
      <c r="AE395" s="3322"/>
      <c r="AF395" s="3322"/>
      <c r="AG395" s="3322"/>
    </row>
    <row r="396" spans="1:33">
      <c r="A396" s="3316"/>
      <c r="B396" s="3316"/>
      <c r="C396" s="3322"/>
      <c r="D396" s="3322"/>
      <c r="E396" s="3322"/>
      <c r="F396" s="3317"/>
      <c r="G396" s="3317"/>
      <c r="H396" s="3317"/>
      <c r="I396" s="3317"/>
      <c r="J396" s="3317"/>
      <c r="K396" s="3317"/>
      <c r="L396" s="3317"/>
      <c r="M396" s="3317"/>
      <c r="N396" s="3317"/>
      <c r="O396" s="3317"/>
      <c r="P396" s="3317"/>
      <c r="Q396" s="3317"/>
      <c r="R396" s="3317"/>
      <c r="S396" s="3317"/>
      <c r="T396" s="3317"/>
      <c r="U396" s="3317"/>
      <c r="V396" s="3317"/>
      <c r="W396" s="3317"/>
      <c r="X396" s="3317"/>
      <c r="Y396" s="3317"/>
      <c r="Z396" s="3317"/>
      <c r="AA396" s="3322"/>
      <c r="AB396" s="3322"/>
      <c r="AC396" s="3322"/>
      <c r="AD396" s="3322"/>
      <c r="AE396" s="3322"/>
      <c r="AF396" s="3322"/>
      <c r="AG396" s="3322"/>
    </row>
    <row r="397" spans="1:33">
      <c r="A397" s="3316"/>
      <c r="B397" s="3316"/>
      <c r="C397" s="3322"/>
      <c r="D397" s="3322"/>
      <c r="E397" s="3322"/>
      <c r="F397" s="3317"/>
      <c r="G397" s="3317"/>
      <c r="H397" s="3317"/>
      <c r="I397" s="3317"/>
      <c r="J397" s="3317"/>
      <c r="K397" s="3317"/>
      <c r="L397" s="3317"/>
      <c r="M397" s="3317"/>
      <c r="N397" s="3317"/>
      <c r="O397" s="3317"/>
      <c r="P397" s="3317"/>
      <c r="Q397" s="3317"/>
      <c r="R397" s="3317"/>
      <c r="S397" s="3317"/>
      <c r="T397" s="3317"/>
      <c r="U397" s="3317"/>
      <c r="V397" s="3317"/>
      <c r="W397" s="3317"/>
      <c r="X397" s="3317"/>
      <c r="Y397" s="3317"/>
      <c r="Z397" s="3317"/>
      <c r="AA397" s="3322"/>
      <c r="AB397" s="3322"/>
      <c r="AC397" s="3322"/>
      <c r="AD397" s="3322"/>
      <c r="AE397" s="3322"/>
      <c r="AF397" s="3322"/>
      <c r="AG397" s="3322"/>
    </row>
    <row r="398" spans="1:33">
      <c r="A398" s="3316"/>
      <c r="B398" s="3316"/>
      <c r="C398" s="3322"/>
      <c r="D398" s="3322"/>
      <c r="E398" s="3322"/>
      <c r="F398" s="3317"/>
      <c r="G398" s="3317"/>
      <c r="H398" s="3317"/>
      <c r="I398" s="3317"/>
      <c r="J398" s="3317"/>
      <c r="K398" s="3317"/>
      <c r="L398" s="3317"/>
      <c r="M398" s="3317"/>
      <c r="N398" s="3317"/>
      <c r="O398" s="3317"/>
      <c r="P398" s="3317"/>
      <c r="Q398" s="3317"/>
      <c r="R398" s="3317"/>
      <c r="S398" s="3317"/>
      <c r="T398" s="3317"/>
      <c r="U398" s="3317"/>
      <c r="V398" s="3317"/>
      <c r="W398" s="3317"/>
      <c r="X398" s="3317"/>
      <c r="Y398" s="3317"/>
      <c r="Z398" s="3317"/>
      <c r="AA398" s="3322"/>
      <c r="AB398" s="3322"/>
      <c r="AC398" s="3322"/>
      <c r="AD398" s="3322"/>
      <c r="AE398" s="3322"/>
      <c r="AF398" s="3322"/>
      <c r="AG398" s="3322"/>
    </row>
    <row r="399" spans="1:33">
      <c r="A399" s="3316"/>
      <c r="B399" s="3316"/>
      <c r="C399" s="3322"/>
      <c r="D399" s="3322"/>
      <c r="E399" s="3322"/>
      <c r="F399" s="3317"/>
      <c r="G399" s="3317"/>
      <c r="H399" s="3317"/>
      <c r="I399" s="3317"/>
      <c r="J399" s="3317"/>
      <c r="K399" s="3317"/>
      <c r="L399" s="3317"/>
      <c r="M399" s="3317"/>
      <c r="N399" s="3317"/>
      <c r="O399" s="3317"/>
      <c r="P399" s="3317"/>
      <c r="Q399" s="3317"/>
      <c r="R399" s="3317"/>
      <c r="S399" s="3317"/>
      <c r="T399" s="3317"/>
      <c r="U399" s="3317"/>
      <c r="V399" s="3317"/>
      <c r="W399" s="3317"/>
      <c r="X399" s="3317"/>
      <c r="Y399" s="3317"/>
      <c r="Z399" s="3317"/>
      <c r="AA399" s="3322"/>
      <c r="AB399" s="3322"/>
      <c r="AC399" s="3322"/>
      <c r="AD399" s="3322"/>
      <c r="AE399" s="3322"/>
      <c r="AF399" s="3322"/>
      <c r="AG399" s="3322"/>
    </row>
    <row r="400" spans="1:33">
      <c r="A400" s="3316"/>
      <c r="B400" s="3316"/>
      <c r="C400" s="3322"/>
      <c r="D400" s="3322"/>
      <c r="E400" s="3322"/>
      <c r="F400" s="3317"/>
      <c r="G400" s="3317"/>
      <c r="H400" s="3317"/>
      <c r="I400" s="3317"/>
      <c r="J400" s="3317"/>
      <c r="K400" s="3317"/>
      <c r="L400" s="3317"/>
      <c r="M400" s="3317"/>
      <c r="N400" s="3317"/>
      <c r="O400" s="3317"/>
      <c r="P400" s="3317"/>
      <c r="Q400" s="3317"/>
      <c r="R400" s="3317"/>
      <c r="S400" s="3317"/>
      <c r="T400" s="3317"/>
      <c r="U400" s="3317"/>
      <c r="V400" s="3317"/>
      <c r="W400" s="3317"/>
      <c r="X400" s="3317"/>
      <c r="Y400" s="3317"/>
      <c r="Z400" s="3317"/>
      <c r="AA400" s="3322"/>
      <c r="AB400" s="3322"/>
      <c r="AC400" s="3322"/>
      <c r="AD400" s="3322"/>
      <c r="AE400" s="3322"/>
      <c r="AF400" s="3322"/>
      <c r="AG400" s="3322"/>
    </row>
    <row r="401" spans="1:33">
      <c r="A401" s="3316"/>
      <c r="B401" s="3316"/>
      <c r="C401" s="3322"/>
      <c r="D401" s="3322"/>
      <c r="E401" s="3322"/>
      <c r="F401" s="3317"/>
      <c r="G401" s="3317"/>
      <c r="H401" s="3317"/>
      <c r="I401" s="3317"/>
      <c r="J401" s="3317"/>
      <c r="K401" s="3317"/>
      <c r="L401" s="3317"/>
      <c r="M401" s="3317"/>
      <c r="N401" s="3317"/>
      <c r="O401" s="3317"/>
      <c r="P401" s="3317"/>
      <c r="Q401" s="3317"/>
      <c r="R401" s="3317"/>
      <c r="S401" s="3317"/>
      <c r="T401" s="3317"/>
      <c r="U401" s="3317"/>
      <c r="V401" s="3317"/>
      <c r="W401" s="3317"/>
      <c r="X401" s="3317"/>
      <c r="Y401" s="3317"/>
      <c r="Z401" s="3317"/>
      <c r="AA401" s="3322"/>
      <c r="AB401" s="3322"/>
      <c r="AC401" s="3322"/>
      <c r="AD401" s="3322"/>
      <c r="AE401" s="3322"/>
      <c r="AF401" s="3322"/>
      <c r="AG401" s="3322"/>
    </row>
    <row r="402" spans="1:33">
      <c r="A402" s="3316"/>
      <c r="B402" s="3316"/>
      <c r="C402" s="3322"/>
      <c r="D402" s="3322"/>
      <c r="E402" s="3322"/>
      <c r="F402" s="3317"/>
      <c r="G402" s="3317"/>
      <c r="H402" s="3317"/>
      <c r="I402" s="3317"/>
      <c r="J402" s="3317"/>
      <c r="K402" s="3317"/>
      <c r="L402" s="3317"/>
      <c r="M402" s="3317"/>
      <c r="N402" s="3317"/>
      <c r="O402" s="3317"/>
      <c r="P402" s="3317"/>
      <c r="Q402" s="3317"/>
      <c r="R402" s="3317"/>
      <c r="S402" s="3317"/>
      <c r="T402" s="3317"/>
      <c r="U402" s="3317"/>
      <c r="V402" s="3317"/>
      <c r="W402" s="3317"/>
      <c r="X402" s="3317"/>
      <c r="Y402" s="3317"/>
      <c r="Z402" s="3317"/>
      <c r="AA402" s="3322"/>
      <c r="AB402" s="3322"/>
      <c r="AC402" s="3322"/>
      <c r="AD402" s="3322"/>
      <c r="AE402" s="3322"/>
      <c r="AF402" s="3322"/>
      <c r="AG402" s="3322"/>
    </row>
    <row r="403" spans="1:33">
      <c r="A403" s="3316"/>
      <c r="B403" s="3316"/>
      <c r="C403" s="3322"/>
      <c r="D403" s="3322"/>
      <c r="E403" s="3322"/>
      <c r="F403" s="3317"/>
      <c r="G403" s="3317"/>
      <c r="H403" s="3317"/>
      <c r="I403" s="3317"/>
      <c r="J403" s="3317"/>
      <c r="K403" s="3317"/>
      <c r="L403" s="3317"/>
      <c r="M403" s="3317"/>
      <c r="N403" s="3317"/>
      <c r="O403" s="3317"/>
      <c r="P403" s="3317"/>
      <c r="Q403" s="3317"/>
      <c r="R403" s="3317"/>
      <c r="S403" s="3317"/>
      <c r="T403" s="3317"/>
      <c r="U403" s="3317"/>
      <c r="V403" s="3317"/>
      <c r="W403" s="3317"/>
      <c r="X403" s="3317"/>
      <c r="Y403" s="3317"/>
      <c r="Z403" s="3317"/>
      <c r="AA403" s="3322"/>
      <c r="AB403" s="3322"/>
      <c r="AC403" s="3322"/>
      <c r="AD403" s="3322"/>
      <c r="AE403" s="3322"/>
      <c r="AF403" s="3322"/>
      <c r="AG403" s="3322"/>
    </row>
    <row r="404" spans="1:33">
      <c r="A404" s="3316"/>
      <c r="B404" s="3316"/>
      <c r="C404" s="3322"/>
      <c r="D404" s="3322"/>
      <c r="E404" s="3322"/>
      <c r="F404" s="3317"/>
      <c r="G404" s="3317"/>
      <c r="H404" s="3317"/>
      <c r="I404" s="3317"/>
      <c r="J404" s="3317"/>
      <c r="K404" s="3317"/>
      <c r="L404" s="3317"/>
      <c r="M404" s="3317"/>
      <c r="N404" s="3317"/>
      <c r="O404" s="3317"/>
      <c r="P404" s="3317"/>
      <c r="Q404" s="3317"/>
      <c r="R404" s="3317"/>
      <c r="S404" s="3317"/>
      <c r="T404" s="3317"/>
      <c r="U404" s="3317"/>
      <c r="V404" s="3317"/>
      <c r="W404" s="3317"/>
      <c r="X404" s="3317"/>
      <c r="Y404" s="3317"/>
      <c r="Z404" s="3317"/>
      <c r="AA404" s="3322"/>
      <c r="AB404" s="3322"/>
      <c r="AC404" s="3322"/>
      <c r="AD404" s="3322"/>
      <c r="AE404" s="3322"/>
      <c r="AF404" s="3322"/>
      <c r="AG404" s="3322"/>
    </row>
    <row r="405" spans="1:33">
      <c r="A405" s="3316"/>
      <c r="B405" s="3316"/>
      <c r="C405" s="3322"/>
      <c r="D405" s="3322"/>
      <c r="E405" s="3322"/>
      <c r="F405" s="3317"/>
      <c r="G405" s="3317"/>
      <c r="H405" s="3317"/>
      <c r="I405" s="3317"/>
      <c r="J405" s="3317"/>
      <c r="K405" s="3317"/>
      <c r="L405" s="3317"/>
      <c r="M405" s="3317"/>
      <c r="N405" s="3317"/>
      <c r="O405" s="3317"/>
      <c r="P405" s="3317"/>
      <c r="Q405" s="3317"/>
      <c r="R405" s="3317"/>
      <c r="S405" s="3317"/>
      <c r="T405" s="3317"/>
      <c r="U405" s="3317"/>
      <c r="V405" s="3317"/>
      <c r="W405" s="3317"/>
      <c r="X405" s="3317"/>
      <c r="Y405" s="3317"/>
      <c r="Z405" s="3317"/>
      <c r="AA405" s="3322"/>
      <c r="AB405" s="3322"/>
      <c r="AC405" s="3322"/>
      <c r="AD405" s="3322"/>
      <c r="AE405" s="3322"/>
      <c r="AF405" s="3322"/>
      <c r="AG405" s="3322"/>
    </row>
    <row r="406" spans="1:33">
      <c r="A406" s="3316"/>
      <c r="B406" s="3316"/>
      <c r="C406" s="3322"/>
      <c r="D406" s="3322"/>
      <c r="E406" s="3322"/>
      <c r="F406" s="3317"/>
      <c r="G406" s="3317"/>
      <c r="H406" s="3317"/>
      <c r="I406" s="3317"/>
      <c r="J406" s="3317"/>
      <c r="K406" s="3317"/>
      <c r="L406" s="3317"/>
      <c r="M406" s="3317"/>
      <c r="N406" s="3317"/>
      <c r="O406" s="3317"/>
      <c r="P406" s="3317"/>
      <c r="Q406" s="3317"/>
      <c r="R406" s="3317"/>
      <c r="S406" s="3317"/>
      <c r="T406" s="3317"/>
      <c r="U406" s="3317"/>
      <c r="V406" s="3317"/>
      <c r="W406" s="3317"/>
      <c r="X406" s="3317"/>
      <c r="Y406" s="3317"/>
      <c r="Z406" s="3317"/>
      <c r="AA406" s="3322"/>
      <c r="AB406" s="3322"/>
      <c r="AC406" s="3322"/>
      <c r="AD406" s="3322"/>
      <c r="AE406" s="3322"/>
      <c r="AF406" s="3322"/>
      <c r="AG406" s="3322"/>
    </row>
    <row r="407" spans="1:33">
      <c r="A407" s="3316"/>
      <c r="B407" s="3316"/>
      <c r="C407" s="3322"/>
      <c r="D407" s="3322"/>
      <c r="E407" s="3322"/>
      <c r="F407" s="3317"/>
      <c r="G407" s="3317"/>
      <c r="H407" s="3317"/>
      <c r="I407" s="3317"/>
      <c r="J407" s="3317"/>
      <c r="K407" s="3317"/>
      <c r="L407" s="3317"/>
      <c r="M407" s="3317"/>
      <c r="N407" s="3317"/>
      <c r="O407" s="3317"/>
      <c r="P407" s="3317"/>
      <c r="Q407" s="3317"/>
      <c r="R407" s="3317"/>
      <c r="S407" s="3317"/>
      <c r="T407" s="3317"/>
      <c r="U407" s="3317"/>
      <c r="V407" s="3317"/>
      <c r="W407" s="3317"/>
      <c r="X407" s="3317"/>
      <c r="Y407" s="3317"/>
      <c r="Z407" s="3317"/>
      <c r="AA407" s="3322"/>
      <c r="AB407" s="3322"/>
      <c r="AC407" s="3322"/>
      <c r="AD407" s="3322"/>
      <c r="AE407" s="3322"/>
      <c r="AF407" s="3322"/>
      <c r="AG407" s="3322"/>
    </row>
    <row r="408" spans="1:33">
      <c r="A408" s="3316"/>
      <c r="B408" s="3316"/>
      <c r="C408" s="3322"/>
      <c r="D408" s="3322"/>
      <c r="E408" s="3322"/>
      <c r="F408" s="3317"/>
      <c r="G408" s="3317"/>
      <c r="H408" s="3317"/>
      <c r="I408" s="3317"/>
      <c r="J408" s="3317"/>
      <c r="K408" s="3317"/>
      <c r="L408" s="3317"/>
      <c r="M408" s="3317"/>
      <c r="N408" s="3317"/>
      <c r="O408" s="3317"/>
      <c r="P408" s="3317"/>
      <c r="Q408" s="3317"/>
      <c r="R408" s="3317"/>
      <c r="S408" s="3317"/>
      <c r="T408" s="3317"/>
      <c r="U408" s="3317"/>
      <c r="V408" s="3317"/>
      <c r="W408" s="3317"/>
      <c r="X408" s="3317"/>
      <c r="Y408" s="3317"/>
      <c r="Z408" s="3317"/>
      <c r="AA408" s="3322"/>
      <c r="AB408" s="3322"/>
      <c r="AC408" s="3322"/>
      <c r="AD408" s="3322"/>
      <c r="AE408" s="3322"/>
      <c r="AF408" s="3322"/>
      <c r="AG408" s="3322"/>
    </row>
    <row r="409" spans="1:33">
      <c r="A409" s="3316"/>
      <c r="B409" s="3316"/>
      <c r="C409" s="3322"/>
      <c r="D409" s="3322"/>
      <c r="E409" s="3322"/>
      <c r="F409" s="3317"/>
      <c r="G409" s="3317"/>
      <c r="H409" s="3317"/>
      <c r="I409" s="3317"/>
      <c r="J409" s="3317"/>
      <c r="K409" s="3317"/>
      <c r="L409" s="3317"/>
      <c r="M409" s="3317"/>
      <c r="N409" s="3317"/>
      <c r="O409" s="3317"/>
      <c r="P409" s="3317"/>
      <c r="Q409" s="3317"/>
      <c r="R409" s="3317"/>
      <c r="S409" s="3317"/>
      <c r="T409" s="3317"/>
      <c r="U409" s="3317"/>
      <c r="V409" s="3317"/>
      <c r="W409" s="3317"/>
      <c r="X409" s="3317"/>
      <c r="Y409" s="3317"/>
      <c r="Z409" s="3317"/>
      <c r="AA409" s="3322"/>
      <c r="AB409" s="3322"/>
      <c r="AC409" s="3322"/>
      <c r="AD409" s="3322"/>
      <c r="AE409" s="3322"/>
      <c r="AF409" s="3322"/>
      <c r="AG409" s="3322"/>
    </row>
    <row r="410" spans="1:33">
      <c r="A410" s="3316"/>
      <c r="B410" s="3316"/>
      <c r="C410" s="3322"/>
      <c r="D410" s="3322"/>
      <c r="E410" s="3322"/>
      <c r="F410" s="3317"/>
      <c r="G410" s="3317"/>
      <c r="H410" s="3317"/>
      <c r="I410" s="3317"/>
      <c r="J410" s="3317"/>
      <c r="K410" s="3317"/>
      <c r="L410" s="3317"/>
      <c r="M410" s="3317"/>
      <c r="N410" s="3317"/>
      <c r="O410" s="3317"/>
      <c r="P410" s="3317"/>
      <c r="Q410" s="3317"/>
      <c r="R410" s="3317"/>
      <c r="S410" s="3317"/>
      <c r="T410" s="3317"/>
      <c r="U410" s="3317"/>
      <c r="V410" s="3317"/>
      <c r="W410" s="3317"/>
      <c r="X410" s="3317"/>
      <c r="Y410" s="3317"/>
      <c r="Z410" s="3317"/>
      <c r="AA410" s="3322"/>
      <c r="AB410" s="3322"/>
      <c r="AC410" s="3322"/>
      <c r="AD410" s="3322"/>
      <c r="AE410" s="3322"/>
      <c r="AF410" s="3322"/>
      <c r="AG410" s="3322"/>
    </row>
    <row r="411" spans="1:33">
      <c r="A411" s="3316"/>
      <c r="B411" s="3316"/>
      <c r="C411" s="3322"/>
      <c r="D411" s="3322"/>
      <c r="E411" s="3322"/>
      <c r="F411" s="3317"/>
      <c r="G411" s="3317"/>
      <c r="H411" s="3317"/>
      <c r="I411" s="3317"/>
      <c r="J411" s="3317"/>
      <c r="K411" s="3317"/>
      <c r="L411" s="3317"/>
      <c r="M411" s="3317"/>
      <c r="N411" s="3317"/>
      <c r="O411" s="3317"/>
      <c r="P411" s="3317"/>
      <c r="Q411" s="3317"/>
      <c r="R411" s="3317"/>
      <c r="S411" s="3317"/>
      <c r="T411" s="3317"/>
      <c r="U411" s="3317"/>
      <c r="V411" s="3317"/>
      <c r="W411" s="3317"/>
      <c r="X411" s="3317"/>
      <c r="Y411" s="3317"/>
      <c r="Z411" s="3317"/>
      <c r="AA411" s="3322"/>
      <c r="AB411" s="3322"/>
      <c r="AC411" s="3322"/>
      <c r="AD411" s="3322"/>
      <c r="AE411" s="3322"/>
      <c r="AF411" s="3322"/>
      <c r="AG411" s="3322"/>
    </row>
    <row r="412" spans="1:33">
      <c r="A412" s="3316"/>
      <c r="B412" s="3316"/>
      <c r="C412" s="3322"/>
      <c r="D412" s="3322"/>
      <c r="E412" s="3322"/>
      <c r="F412" s="3317"/>
      <c r="G412" s="3317"/>
      <c r="H412" s="3317"/>
      <c r="I412" s="3317"/>
      <c r="J412" s="3317"/>
      <c r="K412" s="3317"/>
      <c r="L412" s="3317"/>
      <c r="M412" s="3317"/>
      <c r="N412" s="3317"/>
      <c r="O412" s="3317"/>
      <c r="P412" s="3317"/>
      <c r="Q412" s="3317"/>
      <c r="R412" s="3317"/>
      <c r="S412" s="3317"/>
      <c r="T412" s="3317"/>
      <c r="U412" s="3317"/>
      <c r="V412" s="3317"/>
      <c r="W412" s="3317"/>
      <c r="X412" s="3317"/>
      <c r="Y412" s="3317"/>
      <c r="Z412" s="3317"/>
      <c r="AA412" s="3322"/>
      <c r="AB412" s="3322"/>
      <c r="AC412" s="3322"/>
      <c r="AD412" s="3322"/>
      <c r="AE412" s="3322"/>
      <c r="AF412" s="3322"/>
      <c r="AG412" s="3322"/>
    </row>
    <row r="413" spans="1:33">
      <c r="A413" s="3316"/>
      <c r="B413" s="3316"/>
      <c r="C413" s="3322"/>
      <c r="D413" s="3322"/>
      <c r="E413" s="3322"/>
      <c r="F413" s="3317"/>
      <c r="G413" s="3317"/>
      <c r="H413" s="3317"/>
      <c r="I413" s="3317"/>
      <c r="J413" s="3317"/>
      <c r="K413" s="3317"/>
      <c r="L413" s="3317"/>
      <c r="M413" s="3317"/>
      <c r="N413" s="3317"/>
      <c r="O413" s="3317"/>
      <c r="P413" s="3317"/>
      <c r="Q413" s="3317"/>
      <c r="R413" s="3317"/>
      <c r="S413" s="3317"/>
      <c r="T413" s="3317"/>
      <c r="U413" s="3317"/>
      <c r="V413" s="3317"/>
      <c r="W413" s="3317"/>
      <c r="X413" s="3317"/>
      <c r="Y413" s="3317"/>
      <c r="Z413" s="3317"/>
      <c r="AA413" s="3322"/>
      <c r="AB413" s="3322"/>
      <c r="AC413" s="3322"/>
      <c r="AD413" s="3322"/>
      <c r="AE413" s="3322"/>
      <c r="AF413" s="3322"/>
      <c r="AG413" s="3322"/>
    </row>
    <row r="414" spans="1:33">
      <c r="A414" s="3316"/>
      <c r="B414" s="3316"/>
      <c r="C414" s="3322"/>
      <c r="D414" s="3322"/>
      <c r="E414" s="3322"/>
      <c r="F414" s="3317"/>
      <c r="G414" s="3317"/>
      <c r="H414" s="3317"/>
      <c r="I414" s="3317"/>
      <c r="J414" s="3317"/>
      <c r="K414" s="3317"/>
      <c r="L414" s="3317"/>
      <c r="M414" s="3317"/>
      <c r="N414" s="3317"/>
      <c r="O414" s="3317"/>
      <c r="P414" s="3317"/>
      <c r="Q414" s="3317"/>
      <c r="R414" s="3317"/>
      <c r="S414" s="3317"/>
      <c r="T414" s="3317"/>
      <c r="U414" s="3317"/>
      <c r="V414" s="3317"/>
      <c r="W414" s="3317"/>
      <c r="X414" s="3317"/>
      <c r="Y414" s="3317"/>
      <c r="Z414" s="3317"/>
      <c r="AA414" s="3322"/>
      <c r="AB414" s="3322"/>
      <c r="AC414" s="3322"/>
      <c r="AD414" s="3322"/>
      <c r="AE414" s="3322"/>
      <c r="AF414" s="3322"/>
      <c r="AG414" s="3322"/>
    </row>
    <row r="415" spans="1:33">
      <c r="A415" s="3316"/>
      <c r="B415" s="3316"/>
      <c r="C415" s="3322"/>
      <c r="D415" s="3322"/>
      <c r="E415" s="3322"/>
      <c r="F415" s="3317"/>
      <c r="G415" s="3317"/>
      <c r="H415" s="3317"/>
      <c r="I415" s="3317"/>
      <c r="J415" s="3317"/>
      <c r="K415" s="3317"/>
      <c r="L415" s="3317"/>
      <c r="M415" s="3317"/>
      <c r="N415" s="3317"/>
      <c r="O415" s="3317"/>
      <c r="P415" s="3317"/>
      <c r="Q415" s="3317"/>
      <c r="R415" s="3317"/>
      <c r="S415" s="3317"/>
      <c r="T415" s="3317"/>
      <c r="U415" s="3317"/>
      <c r="V415" s="3317"/>
      <c r="W415" s="3317"/>
      <c r="X415" s="3317"/>
      <c r="Y415" s="3317"/>
      <c r="Z415" s="3317"/>
      <c r="AA415" s="3322"/>
      <c r="AB415" s="3322"/>
      <c r="AC415" s="3322"/>
      <c r="AD415" s="3322"/>
      <c r="AE415" s="3322"/>
      <c r="AF415" s="3322"/>
      <c r="AG415" s="3322"/>
    </row>
    <row r="416" spans="1:33">
      <c r="A416" s="3316"/>
      <c r="B416" s="3316"/>
      <c r="C416" s="3322"/>
      <c r="D416" s="3322"/>
      <c r="E416" s="3322"/>
      <c r="F416" s="3317"/>
      <c r="G416" s="3317"/>
      <c r="H416" s="3317"/>
      <c r="I416" s="3317"/>
      <c r="J416" s="3317"/>
      <c r="K416" s="3317"/>
      <c r="L416" s="3317"/>
      <c r="M416" s="3317"/>
      <c r="N416" s="3317"/>
      <c r="O416" s="3317"/>
      <c r="P416" s="3317"/>
      <c r="Q416" s="3317"/>
      <c r="R416" s="3317"/>
      <c r="S416" s="3317"/>
      <c r="T416" s="3317"/>
      <c r="U416" s="3317"/>
      <c r="V416" s="3317"/>
      <c r="W416" s="3317"/>
      <c r="X416" s="3317"/>
      <c r="Y416" s="3317"/>
      <c r="Z416" s="3317"/>
      <c r="AA416" s="3322"/>
      <c r="AB416" s="3322"/>
      <c r="AC416" s="3322"/>
      <c r="AD416" s="3322"/>
      <c r="AE416" s="3322"/>
      <c r="AF416" s="3322"/>
      <c r="AG416" s="3322"/>
    </row>
    <row r="417" spans="1:33">
      <c r="A417" s="3316"/>
      <c r="B417" s="3316"/>
      <c r="C417" s="3322"/>
      <c r="D417" s="3322"/>
      <c r="E417" s="3322"/>
      <c r="F417" s="3317"/>
      <c r="G417" s="3317"/>
      <c r="H417" s="3317"/>
      <c r="I417" s="3317"/>
      <c r="J417" s="3317"/>
      <c r="K417" s="3317"/>
      <c r="L417" s="3317"/>
      <c r="M417" s="3317"/>
      <c r="N417" s="3317"/>
      <c r="O417" s="3317"/>
      <c r="P417" s="3317"/>
      <c r="Q417" s="3317"/>
      <c r="R417" s="3317"/>
      <c r="S417" s="3317"/>
      <c r="T417" s="3317"/>
      <c r="U417" s="3317"/>
      <c r="V417" s="3317"/>
      <c r="W417" s="3317"/>
      <c r="X417" s="3317"/>
      <c r="Y417" s="3317"/>
      <c r="Z417" s="3317"/>
      <c r="AA417" s="3322"/>
      <c r="AB417" s="3322"/>
      <c r="AC417" s="3322"/>
      <c r="AD417" s="3322"/>
      <c r="AE417" s="3322"/>
      <c r="AF417" s="3322"/>
      <c r="AG417" s="3322"/>
    </row>
    <row r="418" spans="1:33">
      <c r="A418" s="3316"/>
      <c r="B418" s="3316"/>
      <c r="C418" s="3322"/>
      <c r="D418" s="3322"/>
      <c r="E418" s="3322"/>
      <c r="F418" s="3317"/>
      <c r="G418" s="3317"/>
      <c r="H418" s="3317"/>
      <c r="I418" s="3317"/>
      <c r="J418" s="3317"/>
      <c r="K418" s="3317"/>
      <c r="L418" s="3317"/>
      <c r="M418" s="3317"/>
      <c r="N418" s="3317"/>
      <c r="O418" s="3317"/>
      <c r="P418" s="3317"/>
      <c r="Q418" s="3317"/>
      <c r="R418" s="3317"/>
      <c r="S418" s="3317"/>
      <c r="T418" s="3317"/>
      <c r="U418" s="3317"/>
      <c r="V418" s="3317"/>
      <c r="W418" s="3317"/>
      <c r="X418" s="3317"/>
      <c r="Y418" s="3317"/>
      <c r="Z418" s="3317"/>
      <c r="AA418" s="3322"/>
      <c r="AB418" s="3322"/>
      <c r="AC418" s="3322"/>
      <c r="AD418" s="3322"/>
      <c r="AE418" s="3322"/>
      <c r="AF418" s="3322"/>
      <c r="AG418" s="3322"/>
    </row>
    <row r="419" spans="1:33">
      <c r="A419" s="3316"/>
      <c r="B419" s="3316"/>
      <c r="C419" s="3322"/>
      <c r="D419" s="3322"/>
      <c r="E419" s="3322"/>
      <c r="F419" s="3317"/>
      <c r="G419" s="3317"/>
      <c r="H419" s="3317"/>
      <c r="I419" s="3317"/>
      <c r="J419" s="3317"/>
      <c r="K419" s="3317"/>
      <c r="L419" s="3317"/>
      <c r="M419" s="3317"/>
      <c r="N419" s="3317"/>
      <c r="O419" s="3317"/>
      <c r="P419" s="3317"/>
      <c r="Q419" s="3317"/>
      <c r="R419" s="3317"/>
      <c r="S419" s="3317"/>
      <c r="T419" s="3317"/>
      <c r="U419" s="3317"/>
      <c r="V419" s="3317"/>
      <c r="W419" s="3317"/>
      <c r="X419" s="3317"/>
      <c r="Y419" s="3317"/>
      <c r="Z419" s="3317"/>
      <c r="AA419" s="3322"/>
      <c r="AB419" s="3322"/>
      <c r="AC419" s="3322"/>
      <c r="AD419" s="3322"/>
      <c r="AE419" s="3322"/>
      <c r="AF419" s="3322"/>
      <c r="AG419" s="3322"/>
    </row>
    <row r="420" spans="1:33">
      <c r="A420" s="3316"/>
      <c r="B420" s="3316"/>
      <c r="C420" s="3322"/>
      <c r="D420" s="3322"/>
      <c r="E420" s="3322"/>
      <c r="F420" s="3317"/>
      <c r="G420" s="3317"/>
      <c r="H420" s="3317"/>
      <c r="I420" s="3317"/>
      <c r="J420" s="3317"/>
      <c r="K420" s="3317"/>
      <c r="L420" s="3317"/>
      <c r="M420" s="3317"/>
      <c r="N420" s="3317"/>
      <c r="O420" s="3317"/>
      <c r="P420" s="3317"/>
      <c r="Q420" s="3317"/>
      <c r="R420" s="3317"/>
      <c r="S420" s="3317"/>
      <c r="T420" s="3317"/>
      <c r="U420" s="3317"/>
      <c r="V420" s="3317"/>
      <c r="W420" s="3317"/>
      <c r="X420" s="3317"/>
      <c r="Y420" s="3317"/>
      <c r="Z420" s="3317"/>
      <c r="AA420" s="3322"/>
      <c r="AB420" s="3322"/>
      <c r="AC420" s="3322"/>
      <c r="AD420" s="3322"/>
      <c r="AE420" s="3322"/>
      <c r="AF420" s="3322"/>
      <c r="AG420" s="3322"/>
    </row>
    <row r="421" spans="1:33">
      <c r="A421" s="3316"/>
      <c r="B421" s="3316"/>
      <c r="C421" s="3322"/>
      <c r="D421" s="3322"/>
      <c r="E421" s="3322"/>
      <c r="F421" s="3317"/>
      <c r="G421" s="3317"/>
      <c r="H421" s="3317"/>
      <c r="I421" s="3317"/>
      <c r="J421" s="3317"/>
      <c r="K421" s="3317"/>
      <c r="L421" s="3317"/>
      <c r="M421" s="3317"/>
      <c r="N421" s="3317"/>
      <c r="O421" s="3317"/>
      <c r="P421" s="3317"/>
      <c r="Q421" s="3317"/>
      <c r="R421" s="3317"/>
      <c r="S421" s="3317"/>
      <c r="T421" s="3317"/>
      <c r="U421" s="3317"/>
      <c r="V421" s="3317"/>
      <c r="W421" s="3317"/>
      <c r="X421" s="3317"/>
      <c r="Y421" s="3317"/>
      <c r="Z421" s="3317"/>
      <c r="AA421" s="3322"/>
      <c r="AB421" s="3322"/>
      <c r="AC421" s="3322"/>
      <c r="AD421" s="3322"/>
      <c r="AE421" s="3322"/>
      <c r="AF421" s="3322"/>
      <c r="AG421" s="3322"/>
    </row>
    <row r="422" spans="1:33">
      <c r="A422" s="3316"/>
      <c r="B422" s="3316"/>
      <c r="C422" s="3322"/>
      <c r="D422" s="3322"/>
      <c r="E422" s="3322"/>
      <c r="F422" s="3317"/>
      <c r="G422" s="3317"/>
      <c r="H422" s="3317"/>
      <c r="I422" s="3317"/>
      <c r="J422" s="3317"/>
      <c r="K422" s="3317"/>
      <c r="L422" s="3317"/>
      <c r="M422" s="3317"/>
      <c r="N422" s="3317"/>
      <c r="O422" s="3317"/>
      <c r="P422" s="3317"/>
      <c r="Q422" s="3317"/>
      <c r="R422" s="3317"/>
      <c r="S422" s="3317"/>
      <c r="T422" s="3317"/>
      <c r="U422" s="3317"/>
      <c r="V422" s="3317"/>
      <c r="W422" s="3317"/>
      <c r="X422" s="3317"/>
      <c r="Y422" s="3317"/>
      <c r="Z422" s="3317"/>
      <c r="AA422" s="3322"/>
      <c r="AB422" s="3322"/>
      <c r="AC422" s="3322"/>
      <c r="AD422" s="3322"/>
      <c r="AE422" s="3322"/>
      <c r="AF422" s="3322"/>
      <c r="AG422" s="3322"/>
    </row>
    <row r="423" spans="1:33">
      <c r="A423" s="3316"/>
      <c r="B423" s="3316"/>
      <c r="C423" s="3322"/>
      <c r="D423" s="3322"/>
      <c r="E423" s="3322"/>
      <c r="F423" s="3317"/>
      <c r="G423" s="3317"/>
      <c r="H423" s="3317"/>
      <c r="I423" s="3317"/>
      <c r="J423" s="3317"/>
      <c r="K423" s="3317"/>
      <c r="L423" s="3317"/>
      <c r="M423" s="3317"/>
      <c r="N423" s="3317"/>
      <c r="O423" s="3317"/>
      <c r="P423" s="3317"/>
      <c r="Q423" s="3317"/>
      <c r="R423" s="3317"/>
      <c r="S423" s="3317"/>
      <c r="T423" s="3317"/>
      <c r="U423" s="3317"/>
      <c r="V423" s="3317"/>
      <c r="W423" s="3317"/>
      <c r="X423" s="3317"/>
      <c r="Y423" s="3317"/>
      <c r="Z423" s="3317"/>
      <c r="AA423" s="3322"/>
      <c r="AB423" s="3322"/>
      <c r="AC423" s="3322"/>
      <c r="AD423" s="3322"/>
      <c r="AE423" s="3322"/>
      <c r="AF423" s="3322"/>
      <c r="AG423" s="3322"/>
    </row>
    <row r="424" spans="1:33">
      <c r="A424" s="3316"/>
      <c r="B424" s="3316"/>
      <c r="C424" s="3322"/>
      <c r="D424" s="3322"/>
      <c r="E424" s="3322"/>
      <c r="F424" s="3317"/>
      <c r="G424" s="3317"/>
      <c r="H424" s="3317"/>
      <c r="I424" s="3317"/>
      <c r="J424" s="3317"/>
      <c r="K424" s="3317"/>
      <c r="L424" s="3317"/>
      <c r="M424" s="3317"/>
      <c r="N424" s="3317"/>
      <c r="O424" s="3317"/>
      <c r="P424" s="3317"/>
      <c r="Q424" s="3317"/>
      <c r="R424" s="3317"/>
      <c r="S424" s="3317"/>
      <c r="T424" s="3317"/>
      <c r="U424" s="3317"/>
      <c r="V424" s="3317"/>
      <c r="W424" s="3317"/>
      <c r="X424" s="3317"/>
      <c r="Y424" s="3317"/>
      <c r="Z424" s="3317"/>
      <c r="AA424" s="3322"/>
      <c r="AB424" s="3322"/>
      <c r="AC424" s="3322"/>
      <c r="AD424" s="3322"/>
      <c r="AE424" s="3322"/>
      <c r="AF424" s="3322"/>
      <c r="AG424" s="3322"/>
    </row>
    <row r="425" spans="1:33">
      <c r="A425" s="3316"/>
      <c r="B425" s="3316"/>
      <c r="C425" s="3322"/>
      <c r="D425" s="3322"/>
      <c r="E425" s="3322"/>
      <c r="F425" s="3317"/>
      <c r="G425" s="3317"/>
      <c r="H425" s="3317"/>
      <c r="I425" s="3317"/>
      <c r="J425" s="3317"/>
      <c r="K425" s="3317"/>
      <c r="L425" s="3317"/>
      <c r="M425" s="3317"/>
      <c r="N425" s="3317"/>
      <c r="O425" s="3317"/>
      <c r="P425" s="3317"/>
      <c r="Q425" s="3317"/>
      <c r="R425" s="3317"/>
      <c r="S425" s="3317"/>
      <c r="T425" s="3317"/>
      <c r="U425" s="3317"/>
      <c r="V425" s="3317"/>
      <c r="W425" s="3317"/>
      <c r="X425" s="3317"/>
      <c r="Y425" s="3317"/>
      <c r="Z425" s="3317"/>
      <c r="AA425" s="3322"/>
      <c r="AB425" s="3322"/>
      <c r="AC425" s="3322"/>
      <c r="AD425" s="3322"/>
      <c r="AE425" s="3322"/>
      <c r="AF425" s="3322"/>
      <c r="AG425" s="3322"/>
    </row>
    <row r="426" spans="1:33">
      <c r="A426" s="3316"/>
      <c r="B426" s="3316"/>
      <c r="C426" s="3322"/>
      <c r="D426" s="3322"/>
      <c r="E426" s="3322"/>
      <c r="F426" s="3317"/>
      <c r="G426" s="3317"/>
      <c r="H426" s="3317"/>
      <c r="I426" s="3317"/>
      <c r="J426" s="3317"/>
      <c r="K426" s="3317"/>
      <c r="L426" s="3317"/>
      <c r="M426" s="3317"/>
      <c r="N426" s="3317"/>
      <c r="O426" s="3317"/>
      <c r="P426" s="3317"/>
      <c r="Q426" s="3317"/>
      <c r="R426" s="3317"/>
      <c r="S426" s="3317"/>
      <c r="T426" s="3317"/>
      <c r="U426" s="3317"/>
      <c r="V426" s="3317"/>
      <c r="W426" s="3317"/>
      <c r="X426" s="3317"/>
      <c r="Y426" s="3317"/>
      <c r="Z426" s="3317"/>
      <c r="AA426" s="3322"/>
      <c r="AB426" s="3322"/>
      <c r="AC426" s="3322"/>
      <c r="AD426" s="3322"/>
      <c r="AE426" s="3322"/>
      <c r="AF426" s="3322"/>
      <c r="AG426" s="3322"/>
    </row>
    <row r="427" spans="1:33">
      <c r="A427" s="3316"/>
      <c r="B427" s="3316"/>
      <c r="C427" s="3322"/>
      <c r="D427" s="3322"/>
      <c r="E427" s="3322"/>
      <c r="F427" s="3317"/>
      <c r="G427" s="3317"/>
      <c r="H427" s="3317"/>
      <c r="I427" s="3317"/>
      <c r="J427" s="3317"/>
      <c r="K427" s="3317"/>
      <c r="L427" s="3317"/>
      <c r="M427" s="3317"/>
      <c r="N427" s="3317"/>
      <c r="O427" s="3317"/>
      <c r="P427" s="3317"/>
      <c r="Q427" s="3317"/>
      <c r="R427" s="3317"/>
      <c r="S427" s="3317"/>
      <c r="T427" s="3317"/>
      <c r="U427" s="3317"/>
      <c r="V427" s="3317"/>
      <c r="W427" s="3317"/>
      <c r="X427" s="3317"/>
      <c r="Y427" s="3317"/>
      <c r="Z427" s="3317"/>
      <c r="AA427" s="3322"/>
      <c r="AB427" s="3322"/>
      <c r="AC427" s="3322"/>
      <c r="AD427" s="3322"/>
      <c r="AE427" s="3322"/>
      <c r="AF427" s="3322"/>
      <c r="AG427" s="3322"/>
    </row>
    <row r="428" spans="1:33">
      <c r="A428" s="3316"/>
      <c r="B428" s="3316"/>
      <c r="C428" s="3322"/>
      <c r="D428" s="3322"/>
      <c r="E428" s="3322"/>
      <c r="F428" s="3317"/>
      <c r="G428" s="3317"/>
      <c r="H428" s="3317"/>
      <c r="I428" s="3317"/>
      <c r="J428" s="3317"/>
      <c r="K428" s="3317"/>
      <c r="L428" s="3317"/>
      <c r="M428" s="3317"/>
      <c r="N428" s="3317"/>
      <c r="O428" s="3317"/>
      <c r="P428" s="3317"/>
      <c r="Q428" s="3317"/>
      <c r="R428" s="3317"/>
      <c r="S428" s="3317"/>
      <c r="T428" s="3317"/>
      <c r="U428" s="3317"/>
      <c r="V428" s="3317"/>
      <c r="W428" s="3317"/>
      <c r="X428" s="3317"/>
      <c r="Y428" s="3317"/>
      <c r="Z428" s="3317"/>
      <c r="AA428" s="3322"/>
      <c r="AB428" s="3322"/>
      <c r="AC428" s="3322"/>
      <c r="AD428" s="3322"/>
      <c r="AE428" s="3322"/>
      <c r="AF428" s="3322"/>
      <c r="AG428" s="3322"/>
    </row>
    <row r="429" spans="1:33">
      <c r="A429" s="3316"/>
      <c r="B429" s="3316"/>
      <c r="C429" s="3322"/>
      <c r="D429" s="3322"/>
      <c r="E429" s="3322"/>
      <c r="F429" s="3317"/>
      <c r="G429" s="3317"/>
      <c r="H429" s="3317"/>
      <c r="I429" s="3317"/>
      <c r="J429" s="3317"/>
      <c r="K429" s="3317"/>
      <c r="L429" s="3317"/>
      <c r="M429" s="3317"/>
      <c r="N429" s="3317"/>
      <c r="O429" s="3317"/>
      <c r="P429" s="3317"/>
      <c r="Q429" s="3317"/>
      <c r="R429" s="3317"/>
      <c r="S429" s="3317"/>
      <c r="T429" s="3317"/>
      <c r="U429" s="3317"/>
      <c r="V429" s="3317"/>
      <c r="W429" s="3317"/>
      <c r="X429" s="3317"/>
      <c r="Y429" s="3317"/>
      <c r="Z429" s="3317"/>
      <c r="AA429" s="3322"/>
      <c r="AB429" s="3322"/>
      <c r="AC429" s="3322"/>
      <c r="AD429" s="3322"/>
      <c r="AE429" s="3322"/>
      <c r="AF429" s="3322"/>
      <c r="AG429" s="3322"/>
    </row>
    <row r="430" spans="1:33">
      <c r="A430" s="3316"/>
      <c r="B430" s="3316"/>
      <c r="C430" s="3322"/>
      <c r="D430" s="3322"/>
      <c r="E430" s="3322"/>
      <c r="F430" s="3317"/>
      <c r="G430" s="3317"/>
      <c r="H430" s="3317"/>
      <c r="I430" s="3317"/>
      <c r="J430" s="3317"/>
      <c r="K430" s="3317"/>
      <c r="L430" s="3317"/>
      <c r="M430" s="3317"/>
      <c r="N430" s="3317"/>
      <c r="O430" s="3317"/>
      <c r="P430" s="3317"/>
      <c r="Q430" s="3317"/>
      <c r="R430" s="3317"/>
      <c r="S430" s="3317"/>
      <c r="T430" s="3317"/>
      <c r="U430" s="3317"/>
      <c r="V430" s="3317"/>
      <c r="W430" s="3317"/>
      <c r="X430" s="3317"/>
      <c r="Y430" s="3317"/>
      <c r="Z430" s="3317"/>
      <c r="AA430" s="3322"/>
      <c r="AB430" s="3322"/>
      <c r="AC430" s="3322"/>
      <c r="AD430" s="3322"/>
      <c r="AE430" s="3322"/>
      <c r="AF430" s="3322"/>
      <c r="AG430" s="3322"/>
    </row>
    <row r="431" spans="1:33">
      <c r="A431" s="3316"/>
      <c r="B431" s="3316"/>
      <c r="C431" s="3322"/>
      <c r="D431" s="3322"/>
      <c r="E431" s="3322"/>
      <c r="F431" s="3317"/>
      <c r="G431" s="3317"/>
      <c r="H431" s="3317"/>
      <c r="I431" s="3317"/>
      <c r="J431" s="3317"/>
      <c r="K431" s="3317"/>
      <c r="L431" s="3317"/>
      <c r="M431" s="3317"/>
      <c r="N431" s="3317"/>
      <c r="O431" s="3317"/>
      <c r="P431" s="3317"/>
      <c r="Q431" s="3317"/>
      <c r="R431" s="3317"/>
      <c r="S431" s="3317"/>
      <c r="T431" s="3317"/>
      <c r="U431" s="3317"/>
      <c r="V431" s="3317"/>
      <c r="W431" s="3317"/>
      <c r="X431" s="3317"/>
      <c r="Y431" s="3317"/>
      <c r="Z431" s="3317"/>
      <c r="AA431" s="3322"/>
      <c r="AB431" s="3322"/>
      <c r="AC431" s="3322"/>
      <c r="AD431" s="3322"/>
      <c r="AE431" s="3322"/>
      <c r="AF431" s="3322"/>
      <c r="AG431" s="3322"/>
    </row>
    <row r="432" spans="1:33">
      <c r="A432" s="3316"/>
      <c r="B432" s="3316"/>
      <c r="C432" s="3322"/>
      <c r="D432" s="3322"/>
      <c r="E432" s="3322"/>
      <c r="F432" s="3317"/>
      <c r="G432" s="3317"/>
      <c r="H432" s="3317"/>
      <c r="I432" s="3317"/>
      <c r="J432" s="3317"/>
      <c r="K432" s="3317"/>
      <c r="L432" s="3317"/>
      <c r="M432" s="3317"/>
      <c r="N432" s="3317"/>
      <c r="O432" s="3317"/>
      <c r="P432" s="3317"/>
      <c r="Q432" s="3317"/>
      <c r="R432" s="3317"/>
      <c r="S432" s="3317"/>
      <c r="T432" s="3317"/>
      <c r="U432" s="3317"/>
      <c r="V432" s="3317"/>
      <c r="W432" s="3317"/>
      <c r="X432" s="3317"/>
      <c r="Y432" s="3317"/>
      <c r="Z432" s="3317"/>
      <c r="AA432" s="3322"/>
      <c r="AB432" s="3322"/>
      <c r="AC432" s="3322"/>
      <c r="AD432" s="3322"/>
      <c r="AE432" s="3322"/>
      <c r="AF432" s="3322"/>
      <c r="AG432" s="3322"/>
    </row>
    <row r="433" spans="1:33">
      <c r="A433" s="3316"/>
      <c r="B433" s="3316"/>
      <c r="C433" s="3322"/>
      <c r="D433" s="3322"/>
      <c r="E433" s="3322"/>
      <c r="F433" s="3317"/>
      <c r="G433" s="3317"/>
      <c r="H433" s="3317"/>
      <c r="I433" s="3317"/>
      <c r="J433" s="3317"/>
      <c r="K433" s="3317"/>
      <c r="L433" s="3317"/>
      <c r="M433" s="3317"/>
      <c r="N433" s="3317"/>
      <c r="O433" s="3317"/>
      <c r="P433" s="3317"/>
      <c r="Q433" s="3317"/>
      <c r="R433" s="3317"/>
      <c r="S433" s="3317"/>
      <c r="T433" s="3317"/>
      <c r="U433" s="3317"/>
      <c r="V433" s="3317"/>
      <c r="W433" s="3317"/>
      <c r="X433" s="3317"/>
      <c r="Y433" s="3317"/>
      <c r="Z433" s="3317"/>
      <c r="AA433" s="3322"/>
      <c r="AB433" s="3322"/>
      <c r="AC433" s="3322"/>
      <c r="AD433" s="3322"/>
      <c r="AE433" s="3322"/>
      <c r="AF433" s="3322"/>
      <c r="AG433" s="3322"/>
    </row>
    <row r="434" spans="1:33">
      <c r="A434" s="3316"/>
      <c r="B434" s="3316"/>
      <c r="C434" s="3322"/>
      <c r="D434" s="3322"/>
      <c r="E434" s="3322"/>
      <c r="F434" s="3317"/>
      <c r="G434" s="3317"/>
      <c r="H434" s="3317"/>
      <c r="I434" s="3317"/>
      <c r="J434" s="3317"/>
      <c r="K434" s="3317"/>
      <c r="L434" s="3317"/>
      <c r="M434" s="3317"/>
      <c r="N434" s="3317"/>
      <c r="O434" s="3317"/>
      <c r="P434" s="3317"/>
      <c r="Q434" s="3317"/>
      <c r="R434" s="3317"/>
      <c r="S434" s="3317"/>
      <c r="T434" s="3317"/>
      <c r="U434" s="3317"/>
      <c r="V434" s="3317"/>
      <c r="W434" s="3317"/>
      <c r="X434" s="3317"/>
      <c r="Y434" s="3317"/>
      <c r="Z434" s="3317"/>
      <c r="AA434" s="3322"/>
      <c r="AB434" s="3322"/>
      <c r="AC434" s="3322"/>
      <c r="AD434" s="3322"/>
      <c r="AE434" s="3322"/>
      <c r="AF434" s="3322"/>
      <c r="AG434" s="3322"/>
    </row>
    <row r="435" spans="1:33">
      <c r="A435" s="3316"/>
      <c r="B435" s="3316"/>
      <c r="C435" s="3322"/>
      <c r="D435" s="3322"/>
      <c r="E435" s="3322"/>
      <c r="F435" s="3317"/>
      <c r="G435" s="3317"/>
      <c r="H435" s="3317"/>
      <c r="I435" s="3317"/>
      <c r="J435" s="3317"/>
      <c r="K435" s="3317"/>
      <c r="L435" s="3317"/>
      <c r="M435" s="3317"/>
      <c r="N435" s="3317"/>
      <c r="O435" s="3317"/>
      <c r="P435" s="3317"/>
      <c r="Q435" s="3317"/>
      <c r="R435" s="3317"/>
      <c r="S435" s="3317"/>
      <c r="T435" s="3317"/>
      <c r="U435" s="3317"/>
      <c r="V435" s="3317"/>
      <c r="W435" s="3317"/>
      <c r="X435" s="3317"/>
      <c r="Y435" s="3317"/>
      <c r="Z435" s="3317"/>
      <c r="AA435" s="3322"/>
      <c r="AB435" s="3322"/>
      <c r="AC435" s="3322"/>
      <c r="AD435" s="3322"/>
      <c r="AE435" s="3322"/>
      <c r="AF435" s="3322"/>
      <c r="AG435" s="3322"/>
    </row>
    <row r="436" spans="1:33">
      <c r="A436" s="3316"/>
      <c r="B436" s="3316"/>
      <c r="C436" s="3322"/>
      <c r="D436" s="3322"/>
      <c r="E436" s="3322"/>
      <c r="F436" s="3317"/>
      <c r="G436" s="3317"/>
      <c r="H436" s="3317"/>
      <c r="I436" s="3317"/>
      <c r="J436" s="3317"/>
      <c r="K436" s="3317"/>
      <c r="L436" s="3317"/>
      <c r="M436" s="3317"/>
      <c r="N436" s="3317"/>
      <c r="O436" s="3317"/>
      <c r="P436" s="3317"/>
      <c r="Q436" s="3317"/>
      <c r="R436" s="3317"/>
      <c r="S436" s="3317"/>
      <c r="T436" s="3317"/>
      <c r="U436" s="3317"/>
      <c r="V436" s="3317"/>
      <c r="W436" s="3317"/>
      <c r="X436" s="3317"/>
      <c r="Y436" s="3317"/>
      <c r="Z436" s="3317"/>
      <c r="AA436" s="3322"/>
      <c r="AB436" s="3322"/>
      <c r="AC436" s="3322"/>
      <c r="AD436" s="3322"/>
      <c r="AE436" s="3322"/>
      <c r="AF436" s="3322"/>
      <c r="AG436" s="3322"/>
    </row>
    <row r="437" spans="1:33">
      <c r="A437" s="3316"/>
      <c r="B437" s="3316"/>
      <c r="C437" s="3322"/>
      <c r="D437" s="3322"/>
      <c r="E437" s="3322"/>
      <c r="F437" s="3317"/>
      <c r="G437" s="3317"/>
      <c r="H437" s="3317"/>
      <c r="I437" s="3317"/>
      <c r="J437" s="3317"/>
      <c r="K437" s="3317"/>
      <c r="L437" s="3317"/>
      <c r="M437" s="3317"/>
      <c r="N437" s="3317"/>
      <c r="O437" s="3317"/>
      <c r="P437" s="3317"/>
      <c r="Q437" s="3317"/>
      <c r="R437" s="3317"/>
      <c r="S437" s="3317"/>
      <c r="T437" s="3317"/>
      <c r="U437" s="3317"/>
      <c r="V437" s="3317"/>
      <c r="W437" s="3317"/>
      <c r="X437" s="3317"/>
      <c r="Y437" s="3317"/>
      <c r="Z437" s="3317"/>
      <c r="AA437" s="3322"/>
      <c r="AB437" s="3322"/>
      <c r="AC437" s="3322"/>
      <c r="AD437" s="3322"/>
      <c r="AE437" s="3322"/>
      <c r="AF437" s="3322"/>
      <c r="AG437" s="3322"/>
    </row>
    <row r="438" spans="1:33">
      <c r="A438" s="3316"/>
      <c r="B438" s="3316"/>
      <c r="C438" s="3322"/>
      <c r="D438" s="3322"/>
      <c r="E438" s="3322"/>
      <c r="F438" s="3317"/>
      <c r="G438" s="3317"/>
      <c r="H438" s="3317"/>
      <c r="I438" s="3317"/>
      <c r="J438" s="3317"/>
      <c r="K438" s="3317"/>
      <c r="L438" s="3317"/>
      <c r="M438" s="3317"/>
      <c r="N438" s="3317"/>
      <c r="O438" s="3317"/>
      <c r="P438" s="3317"/>
      <c r="Q438" s="3317"/>
      <c r="R438" s="3317"/>
      <c r="S438" s="3317"/>
      <c r="T438" s="3317"/>
      <c r="U438" s="3317"/>
      <c r="V438" s="3317"/>
      <c r="W438" s="3317"/>
      <c r="X438" s="3317"/>
      <c r="Y438" s="3317"/>
      <c r="Z438" s="3317"/>
      <c r="AA438" s="3322"/>
      <c r="AB438" s="3322"/>
      <c r="AC438" s="3322"/>
      <c r="AD438" s="3322"/>
      <c r="AE438" s="3322"/>
      <c r="AF438" s="3322"/>
      <c r="AG438" s="3322"/>
    </row>
    <row r="439" spans="1:33">
      <c r="A439" s="3316"/>
      <c r="B439" s="3316"/>
      <c r="C439" s="3322"/>
      <c r="D439" s="3322"/>
      <c r="E439" s="3322"/>
      <c r="F439" s="3317"/>
      <c r="G439" s="3317"/>
      <c r="H439" s="3317"/>
      <c r="I439" s="3317"/>
      <c r="J439" s="3317"/>
      <c r="K439" s="3317"/>
      <c r="L439" s="3317"/>
      <c r="M439" s="3317"/>
      <c r="N439" s="3317"/>
      <c r="O439" s="3317"/>
      <c r="P439" s="3317"/>
      <c r="Q439" s="3317"/>
      <c r="R439" s="3317"/>
      <c r="S439" s="3317"/>
      <c r="T439" s="3317"/>
      <c r="U439" s="3317"/>
      <c r="V439" s="3317"/>
      <c r="W439" s="3317"/>
      <c r="X439" s="3317"/>
      <c r="Y439" s="3317"/>
      <c r="Z439" s="3317"/>
      <c r="AA439" s="3322"/>
      <c r="AB439" s="3322"/>
      <c r="AC439" s="3322"/>
      <c r="AD439" s="3322"/>
      <c r="AE439" s="3322"/>
      <c r="AF439" s="3322"/>
      <c r="AG439" s="3322"/>
    </row>
    <row r="440" spans="1:33">
      <c r="A440" s="3316"/>
      <c r="B440" s="3316"/>
      <c r="C440" s="3322"/>
      <c r="D440" s="3322"/>
      <c r="E440" s="3322"/>
      <c r="F440" s="3317"/>
      <c r="G440" s="3317"/>
      <c r="H440" s="3317"/>
      <c r="I440" s="3317"/>
      <c r="J440" s="3317"/>
      <c r="K440" s="3317"/>
      <c r="L440" s="3317"/>
      <c r="M440" s="3317"/>
      <c r="N440" s="3317"/>
      <c r="O440" s="3317"/>
      <c r="P440" s="3317"/>
      <c r="Q440" s="3317"/>
      <c r="R440" s="3317"/>
      <c r="S440" s="3317"/>
      <c r="T440" s="3317"/>
      <c r="U440" s="3317"/>
      <c r="V440" s="3317"/>
      <c r="W440" s="3317"/>
      <c r="X440" s="3317"/>
      <c r="Y440" s="3317"/>
      <c r="Z440" s="3317"/>
      <c r="AA440" s="3322"/>
      <c r="AB440" s="3322"/>
      <c r="AC440" s="3322"/>
      <c r="AD440" s="3322"/>
      <c r="AE440" s="3322"/>
      <c r="AF440" s="3322"/>
      <c r="AG440" s="3322"/>
    </row>
    <row r="441" spans="1:33">
      <c r="A441" s="3316"/>
      <c r="B441" s="3316"/>
      <c r="C441" s="3322"/>
      <c r="D441" s="3322"/>
      <c r="E441" s="3322"/>
      <c r="F441" s="3317"/>
      <c r="G441" s="3317"/>
      <c r="H441" s="3317"/>
      <c r="I441" s="3317"/>
      <c r="J441" s="3317"/>
      <c r="K441" s="3317"/>
      <c r="L441" s="3317"/>
      <c r="M441" s="3317"/>
      <c r="N441" s="3317"/>
      <c r="O441" s="3317"/>
      <c r="P441" s="3317"/>
      <c r="Q441" s="3317"/>
      <c r="R441" s="3317"/>
      <c r="S441" s="3317"/>
      <c r="T441" s="3317"/>
      <c r="U441" s="3317"/>
      <c r="V441" s="3317"/>
      <c r="W441" s="3317"/>
      <c r="X441" s="3317"/>
      <c r="Y441" s="3317"/>
      <c r="Z441" s="3317"/>
      <c r="AA441" s="3322"/>
      <c r="AB441" s="3322"/>
      <c r="AC441" s="3322"/>
      <c r="AD441" s="3322"/>
      <c r="AE441" s="3322"/>
      <c r="AF441" s="3322"/>
      <c r="AG441" s="3322"/>
    </row>
    <row r="442" spans="1:33">
      <c r="A442" s="3316"/>
      <c r="B442" s="3316"/>
      <c r="C442" s="3322"/>
      <c r="D442" s="3322"/>
      <c r="E442" s="3322"/>
      <c r="F442" s="3317"/>
      <c r="G442" s="3317"/>
      <c r="H442" s="3317"/>
      <c r="I442" s="3317"/>
      <c r="J442" s="3317"/>
      <c r="K442" s="3317"/>
      <c r="L442" s="3317"/>
      <c r="M442" s="3317"/>
      <c r="N442" s="3317"/>
      <c r="O442" s="3317"/>
      <c r="P442" s="3317"/>
      <c r="Q442" s="3317"/>
      <c r="R442" s="3317"/>
      <c r="S442" s="3317"/>
      <c r="T442" s="3317"/>
      <c r="U442" s="3317"/>
      <c r="V442" s="3317"/>
      <c r="W442" s="3317"/>
      <c r="X442" s="3317"/>
      <c r="Y442" s="3317"/>
      <c r="Z442" s="3317"/>
      <c r="AA442" s="3322"/>
      <c r="AB442" s="3322"/>
      <c r="AC442" s="3322"/>
      <c r="AD442" s="3322"/>
      <c r="AE442" s="3322"/>
      <c r="AF442" s="3322"/>
      <c r="AG442" s="3322"/>
    </row>
    <row r="443" spans="1:33">
      <c r="A443" s="3316"/>
      <c r="B443" s="3316"/>
      <c r="C443" s="3322"/>
      <c r="D443" s="3322"/>
      <c r="E443" s="3322"/>
      <c r="F443" s="3317"/>
      <c r="G443" s="3317"/>
      <c r="H443" s="3317"/>
      <c r="I443" s="3317"/>
      <c r="J443" s="3317"/>
      <c r="K443" s="3317"/>
      <c r="L443" s="3317"/>
      <c r="M443" s="3317"/>
      <c r="N443" s="3317"/>
      <c r="O443" s="3317"/>
      <c r="P443" s="3317"/>
      <c r="Q443" s="3317"/>
      <c r="R443" s="3317"/>
      <c r="S443" s="3317"/>
      <c r="T443" s="3317"/>
      <c r="U443" s="3317"/>
      <c r="V443" s="3317"/>
      <c r="W443" s="3317"/>
      <c r="X443" s="3317"/>
      <c r="Y443" s="3317"/>
      <c r="Z443" s="3317"/>
      <c r="AA443" s="3322"/>
      <c r="AB443" s="3322"/>
      <c r="AC443" s="3322"/>
      <c r="AD443" s="3322"/>
      <c r="AE443" s="3322"/>
      <c r="AF443" s="3322"/>
      <c r="AG443" s="3322"/>
    </row>
    <row r="444" spans="1:33">
      <c r="A444" s="3316"/>
      <c r="B444" s="3316"/>
      <c r="C444" s="3322"/>
      <c r="D444" s="3322"/>
      <c r="E444" s="3322"/>
      <c r="F444" s="3317"/>
      <c r="G444" s="3317"/>
      <c r="H444" s="3317"/>
      <c r="I444" s="3317"/>
      <c r="J444" s="3317"/>
      <c r="K444" s="3317"/>
      <c r="L444" s="3317"/>
      <c r="M444" s="3317"/>
      <c r="N444" s="3317"/>
      <c r="O444" s="3317"/>
      <c r="P444" s="3317"/>
      <c r="Q444" s="3317"/>
      <c r="R444" s="3317"/>
      <c r="S444" s="3317"/>
      <c r="T444" s="3317"/>
      <c r="U444" s="3317"/>
      <c r="V444" s="3317"/>
      <c r="W444" s="3317"/>
      <c r="X444" s="3317"/>
      <c r="Y444" s="3317"/>
      <c r="Z444" s="3317"/>
      <c r="AA444" s="3322"/>
      <c r="AB444" s="3322"/>
      <c r="AC444" s="3322"/>
      <c r="AD444" s="3322"/>
      <c r="AE444" s="3322"/>
      <c r="AF444" s="3322"/>
      <c r="AG444" s="3322"/>
    </row>
    <row r="445" spans="1:33">
      <c r="A445" s="3316"/>
      <c r="B445" s="3316"/>
      <c r="C445" s="3322"/>
      <c r="D445" s="3322"/>
      <c r="E445" s="3322"/>
      <c r="F445" s="3317"/>
      <c r="G445" s="3317"/>
      <c r="H445" s="3317"/>
      <c r="I445" s="3317"/>
      <c r="J445" s="3317"/>
      <c r="K445" s="3317"/>
      <c r="L445" s="3317"/>
      <c r="M445" s="3317"/>
      <c r="N445" s="3317"/>
      <c r="O445" s="3317"/>
      <c r="P445" s="3317"/>
      <c r="Q445" s="3317"/>
      <c r="R445" s="3317"/>
      <c r="S445" s="3317"/>
      <c r="T445" s="3317"/>
      <c r="U445" s="3317"/>
      <c r="V445" s="3317"/>
      <c r="W445" s="3317"/>
      <c r="X445" s="3317"/>
      <c r="Y445" s="3317"/>
      <c r="Z445" s="3317"/>
      <c r="AA445" s="3322"/>
      <c r="AB445" s="3322"/>
      <c r="AC445" s="3322"/>
      <c r="AD445" s="3322"/>
      <c r="AE445" s="3322"/>
      <c r="AF445" s="3322"/>
      <c r="AG445" s="3322"/>
    </row>
    <row r="446" spans="1:33">
      <c r="A446" s="3316"/>
      <c r="B446" s="3316"/>
      <c r="C446" s="3322"/>
      <c r="D446" s="3322"/>
      <c r="E446" s="3322"/>
      <c r="F446" s="3317"/>
      <c r="G446" s="3317"/>
      <c r="H446" s="3317"/>
      <c r="I446" s="3317"/>
      <c r="J446" s="3317"/>
      <c r="K446" s="3317"/>
      <c r="L446" s="3317"/>
      <c r="M446" s="3317"/>
      <c r="N446" s="3317"/>
      <c r="O446" s="3317"/>
      <c r="P446" s="3317"/>
      <c r="Q446" s="3317"/>
      <c r="R446" s="3317"/>
      <c r="S446" s="3317"/>
      <c r="T446" s="3317"/>
      <c r="U446" s="3317"/>
      <c r="V446" s="3317"/>
      <c r="W446" s="3317"/>
      <c r="X446" s="3317"/>
      <c r="Y446" s="3317"/>
      <c r="Z446" s="3317"/>
      <c r="AA446" s="3322"/>
      <c r="AB446" s="3322"/>
      <c r="AC446" s="3322"/>
      <c r="AD446" s="3322"/>
      <c r="AE446" s="3322"/>
      <c r="AF446" s="3322"/>
      <c r="AG446" s="3322"/>
    </row>
    <row r="447" spans="1:33">
      <c r="A447" s="3316"/>
      <c r="B447" s="3316"/>
      <c r="C447" s="3322"/>
      <c r="D447" s="3322"/>
      <c r="E447" s="3322"/>
      <c r="F447" s="3317"/>
      <c r="G447" s="3317"/>
      <c r="H447" s="3317"/>
      <c r="I447" s="3317"/>
      <c r="J447" s="3317"/>
      <c r="K447" s="3317"/>
      <c r="L447" s="3317"/>
      <c r="M447" s="3317"/>
      <c r="N447" s="3317"/>
      <c r="O447" s="3317"/>
      <c r="P447" s="3317"/>
      <c r="Q447" s="3317"/>
      <c r="R447" s="3317"/>
      <c r="S447" s="3317"/>
      <c r="T447" s="3317"/>
      <c r="U447" s="3317"/>
      <c r="V447" s="3317"/>
      <c r="W447" s="3317"/>
      <c r="X447" s="3317"/>
      <c r="Y447" s="3317"/>
      <c r="Z447" s="3317"/>
      <c r="AA447" s="3322"/>
      <c r="AB447" s="3322"/>
      <c r="AC447" s="3322"/>
      <c r="AD447" s="3322"/>
      <c r="AE447" s="3322"/>
      <c r="AF447" s="3322"/>
      <c r="AG447" s="3322"/>
    </row>
    <row r="448" spans="1:33">
      <c r="A448" s="3316"/>
      <c r="B448" s="3316"/>
      <c r="C448" s="3322"/>
      <c r="D448" s="3322"/>
      <c r="E448" s="3322"/>
      <c r="F448" s="3317"/>
      <c r="G448" s="3317"/>
      <c r="H448" s="3317"/>
      <c r="I448" s="3317"/>
      <c r="J448" s="3317"/>
      <c r="K448" s="3317"/>
      <c r="L448" s="3317"/>
      <c r="M448" s="3317"/>
      <c r="N448" s="3317"/>
      <c r="O448" s="3317"/>
      <c r="P448" s="3317"/>
      <c r="Q448" s="3317"/>
      <c r="R448" s="3317"/>
      <c r="S448" s="3317"/>
      <c r="T448" s="3317"/>
      <c r="U448" s="3317"/>
      <c r="V448" s="3317"/>
      <c r="W448" s="3317"/>
      <c r="X448" s="3317"/>
      <c r="Y448" s="3317"/>
      <c r="Z448" s="3317"/>
      <c r="AA448" s="3322"/>
      <c r="AB448" s="3322"/>
      <c r="AC448" s="3322"/>
      <c r="AD448" s="3322"/>
      <c r="AE448" s="3322"/>
      <c r="AF448" s="3322"/>
      <c r="AG448" s="3322"/>
    </row>
    <row r="449" spans="1:33">
      <c r="A449" s="3316"/>
      <c r="B449" s="3316"/>
      <c r="C449" s="3322"/>
      <c r="D449" s="3322"/>
      <c r="E449" s="3322"/>
      <c r="F449" s="3317"/>
      <c r="G449" s="3317"/>
      <c r="H449" s="3317"/>
      <c r="I449" s="3317"/>
      <c r="J449" s="3317"/>
      <c r="K449" s="3317"/>
      <c r="L449" s="3317"/>
      <c r="M449" s="3317"/>
      <c r="N449" s="3317"/>
      <c r="O449" s="3317"/>
      <c r="P449" s="3317"/>
      <c r="Q449" s="3317"/>
      <c r="R449" s="3317"/>
      <c r="S449" s="3317"/>
      <c r="T449" s="3317"/>
      <c r="U449" s="3317"/>
      <c r="V449" s="3317"/>
      <c r="W449" s="3317"/>
      <c r="X449" s="3317"/>
      <c r="Y449" s="3317"/>
      <c r="Z449" s="3317"/>
      <c r="AA449" s="3322"/>
      <c r="AB449" s="3322"/>
      <c r="AC449" s="3322"/>
      <c r="AD449" s="3322"/>
      <c r="AE449" s="3322"/>
      <c r="AF449" s="3322"/>
      <c r="AG449" s="3322"/>
    </row>
    <row r="450" spans="1:33">
      <c r="A450" s="3316"/>
      <c r="B450" s="3316"/>
      <c r="C450" s="3322"/>
      <c r="D450" s="3322"/>
      <c r="E450" s="3322"/>
      <c r="F450" s="3317"/>
      <c r="G450" s="3317"/>
      <c r="H450" s="3317"/>
      <c r="I450" s="3317"/>
      <c r="J450" s="3317"/>
      <c r="K450" s="3317"/>
      <c r="L450" s="3317"/>
      <c r="M450" s="3317"/>
      <c r="N450" s="3317"/>
      <c r="O450" s="3317"/>
      <c r="P450" s="3317"/>
      <c r="Q450" s="3317"/>
      <c r="R450" s="3317"/>
      <c r="S450" s="3317"/>
      <c r="T450" s="3317"/>
      <c r="U450" s="3317"/>
      <c r="V450" s="3317"/>
      <c r="W450" s="3317"/>
      <c r="X450" s="3317"/>
      <c r="Y450" s="3317"/>
      <c r="Z450" s="3317"/>
      <c r="AA450" s="3322"/>
      <c r="AB450" s="3322"/>
      <c r="AC450" s="3322"/>
      <c r="AD450" s="3322"/>
      <c r="AE450" s="3322"/>
      <c r="AF450" s="3322"/>
      <c r="AG450" s="3322"/>
    </row>
    <row r="451" spans="1:33">
      <c r="A451" s="3316"/>
      <c r="B451" s="3316"/>
      <c r="C451" s="3322"/>
      <c r="D451" s="3322"/>
      <c r="E451" s="3322"/>
      <c r="F451" s="3317"/>
      <c r="G451" s="3317"/>
      <c r="H451" s="3317"/>
      <c r="I451" s="3317"/>
      <c r="J451" s="3317"/>
      <c r="K451" s="3317"/>
      <c r="L451" s="3317"/>
      <c r="M451" s="3317"/>
      <c r="N451" s="3317"/>
      <c r="O451" s="3317"/>
      <c r="P451" s="3317"/>
      <c r="Q451" s="3317"/>
      <c r="R451" s="3317"/>
      <c r="S451" s="3317"/>
      <c r="T451" s="3317"/>
      <c r="U451" s="3317"/>
      <c r="V451" s="3317"/>
      <c r="W451" s="3317"/>
      <c r="X451" s="3317"/>
      <c r="Y451" s="3317"/>
      <c r="Z451" s="3317"/>
      <c r="AA451" s="3322"/>
      <c r="AB451" s="3322"/>
      <c r="AC451" s="3322"/>
      <c r="AD451" s="3322"/>
      <c r="AE451" s="3322"/>
      <c r="AF451" s="3322"/>
      <c r="AG451" s="3322"/>
    </row>
    <row r="452" spans="1:33">
      <c r="A452" s="3316"/>
      <c r="B452" s="3316"/>
      <c r="C452" s="3322"/>
      <c r="D452" s="3322"/>
      <c r="E452" s="3322"/>
      <c r="F452" s="3317"/>
      <c r="G452" s="3317"/>
      <c r="H452" s="3317"/>
      <c r="I452" s="3317"/>
      <c r="J452" s="3317"/>
      <c r="K452" s="3317"/>
      <c r="L452" s="3317"/>
      <c r="M452" s="3317"/>
      <c r="N452" s="3317"/>
      <c r="O452" s="3317"/>
      <c r="P452" s="3317"/>
      <c r="Q452" s="3317"/>
      <c r="R452" s="3317"/>
      <c r="S452" s="3317"/>
      <c r="T452" s="3317"/>
      <c r="U452" s="3317"/>
      <c r="V452" s="3317"/>
      <c r="W452" s="3317"/>
      <c r="X452" s="3317"/>
      <c r="Y452" s="3317"/>
      <c r="Z452" s="3317"/>
      <c r="AA452" s="3322"/>
      <c r="AB452" s="3322"/>
      <c r="AC452" s="3322"/>
      <c r="AD452" s="3322"/>
      <c r="AE452" s="3322"/>
      <c r="AF452" s="3322"/>
      <c r="AG452" s="3322"/>
    </row>
    <row r="453" spans="1:33">
      <c r="A453" s="3316"/>
      <c r="B453" s="3316"/>
      <c r="C453" s="3322"/>
      <c r="D453" s="3322"/>
      <c r="E453" s="3322"/>
      <c r="F453" s="3317"/>
      <c r="G453" s="3317"/>
      <c r="H453" s="3317"/>
      <c r="I453" s="3317"/>
      <c r="J453" s="3317"/>
      <c r="K453" s="3317"/>
      <c r="L453" s="3317"/>
      <c r="M453" s="3317"/>
      <c r="N453" s="3317"/>
      <c r="O453" s="3317"/>
      <c r="P453" s="3317"/>
      <c r="Q453" s="3317"/>
      <c r="R453" s="3317"/>
      <c r="S453" s="3317"/>
      <c r="T453" s="3317"/>
      <c r="U453" s="3317"/>
      <c r="V453" s="3317"/>
      <c r="W453" s="3317"/>
      <c r="X453" s="3317"/>
      <c r="Y453" s="3317"/>
      <c r="Z453" s="3317"/>
      <c r="AA453" s="3322"/>
      <c r="AB453" s="3322"/>
      <c r="AC453" s="3322"/>
      <c r="AD453" s="3322"/>
      <c r="AE453" s="3322"/>
      <c r="AF453" s="3322"/>
      <c r="AG453" s="3322"/>
    </row>
    <row r="454" spans="1:33">
      <c r="A454" s="3316"/>
      <c r="B454" s="3316"/>
      <c r="C454" s="3322"/>
      <c r="D454" s="3322"/>
      <c r="E454" s="3322"/>
      <c r="F454" s="3317"/>
      <c r="G454" s="3317"/>
      <c r="H454" s="3317"/>
      <c r="I454" s="3317"/>
      <c r="J454" s="3317"/>
      <c r="K454" s="3317"/>
      <c r="L454" s="3317"/>
      <c r="M454" s="3317"/>
      <c r="N454" s="3317"/>
      <c r="O454" s="3317"/>
      <c r="P454" s="3317"/>
      <c r="Q454" s="3317"/>
      <c r="R454" s="3317"/>
      <c r="S454" s="3317"/>
      <c r="T454" s="3317"/>
      <c r="U454" s="3317"/>
      <c r="V454" s="3317"/>
      <c r="W454" s="3317"/>
      <c r="X454" s="3317"/>
      <c r="Y454" s="3317"/>
      <c r="Z454" s="3317"/>
      <c r="AA454" s="3322"/>
      <c r="AB454" s="3322"/>
      <c r="AC454" s="3322"/>
      <c r="AD454" s="3322"/>
      <c r="AE454" s="3322"/>
      <c r="AF454" s="3322"/>
      <c r="AG454" s="3322"/>
    </row>
    <row r="455" spans="1:33">
      <c r="A455" s="3316"/>
      <c r="B455" s="3316"/>
      <c r="C455" s="3322"/>
      <c r="D455" s="3322"/>
      <c r="E455" s="3322"/>
      <c r="F455" s="3317"/>
      <c r="G455" s="3317"/>
      <c r="H455" s="3317"/>
      <c r="I455" s="3317"/>
      <c r="J455" s="3317"/>
      <c r="K455" s="3317"/>
      <c r="L455" s="3317"/>
      <c r="M455" s="3317"/>
      <c r="N455" s="3317"/>
      <c r="O455" s="3317"/>
      <c r="P455" s="3317"/>
      <c r="Q455" s="3317"/>
      <c r="R455" s="3317"/>
      <c r="S455" s="3317"/>
      <c r="T455" s="3317"/>
      <c r="U455" s="3317"/>
      <c r="V455" s="3317"/>
      <c r="W455" s="3317"/>
      <c r="X455" s="3317"/>
      <c r="Y455" s="3317"/>
      <c r="Z455" s="3317"/>
      <c r="AA455" s="3322"/>
      <c r="AB455" s="3322"/>
      <c r="AC455" s="3322"/>
      <c r="AD455" s="3322"/>
      <c r="AE455" s="3322"/>
      <c r="AF455" s="3322"/>
      <c r="AG455" s="3322"/>
    </row>
    <row r="456" spans="1:33">
      <c r="A456" s="3316"/>
      <c r="B456" s="3316"/>
      <c r="C456" s="3322"/>
      <c r="D456" s="3322"/>
      <c r="E456" s="3322"/>
      <c r="F456" s="3317"/>
      <c r="G456" s="3317"/>
      <c r="H456" s="3317"/>
      <c r="I456" s="3317"/>
      <c r="J456" s="3317"/>
      <c r="K456" s="3317"/>
      <c r="L456" s="3317"/>
      <c r="M456" s="3317"/>
      <c r="N456" s="3317"/>
      <c r="O456" s="3317"/>
      <c r="P456" s="3317"/>
      <c r="Q456" s="3317"/>
      <c r="R456" s="3317"/>
      <c r="S456" s="3317"/>
      <c r="T456" s="3317"/>
      <c r="U456" s="3317"/>
      <c r="V456" s="3317"/>
      <c r="W456" s="3317"/>
      <c r="X456" s="3317"/>
      <c r="Y456" s="3317"/>
      <c r="Z456" s="3317"/>
      <c r="AA456" s="3322"/>
      <c r="AB456" s="3322"/>
      <c r="AC456" s="3322"/>
      <c r="AD456" s="3322"/>
      <c r="AE456" s="3322"/>
      <c r="AF456" s="3322"/>
      <c r="AG456" s="3322"/>
    </row>
    <row r="457" spans="1:33">
      <c r="A457" s="3316"/>
      <c r="B457" s="3316"/>
      <c r="C457" s="3322"/>
      <c r="D457" s="3322"/>
      <c r="E457" s="3322"/>
      <c r="F457" s="3317"/>
      <c r="G457" s="3317"/>
      <c r="H457" s="3317"/>
      <c r="I457" s="3317"/>
      <c r="J457" s="3317"/>
      <c r="K457" s="3317"/>
      <c r="L457" s="3317"/>
      <c r="M457" s="3317"/>
      <c r="N457" s="3317"/>
      <c r="O457" s="3317"/>
      <c r="P457" s="3317"/>
      <c r="Q457" s="3317"/>
      <c r="R457" s="3317"/>
      <c r="S457" s="3317"/>
      <c r="T457" s="3317"/>
      <c r="U457" s="3317"/>
      <c r="V457" s="3317"/>
      <c r="W457" s="3317"/>
      <c r="X457" s="3317"/>
      <c r="Y457" s="3317"/>
      <c r="Z457" s="3317"/>
      <c r="AA457" s="3322"/>
      <c r="AB457" s="3322"/>
      <c r="AC457" s="3322"/>
      <c r="AD457" s="3322"/>
      <c r="AE457" s="3322"/>
      <c r="AF457" s="3322"/>
      <c r="AG457" s="3322"/>
    </row>
    <row r="458" spans="1:33">
      <c r="A458" s="3316"/>
      <c r="B458" s="3316"/>
      <c r="C458" s="3322"/>
      <c r="D458" s="3322"/>
      <c r="E458" s="3322"/>
      <c r="F458" s="3317"/>
      <c r="G458" s="3317"/>
      <c r="H458" s="3317"/>
      <c r="I458" s="3317"/>
      <c r="J458" s="3317"/>
      <c r="K458" s="3317"/>
      <c r="L458" s="3317"/>
      <c r="M458" s="3317"/>
      <c r="N458" s="3317"/>
      <c r="O458" s="3317"/>
      <c r="P458" s="3317"/>
      <c r="Q458" s="3317"/>
      <c r="R458" s="3317"/>
      <c r="S458" s="3317"/>
      <c r="T458" s="3317"/>
      <c r="U458" s="3317"/>
      <c r="V458" s="3317"/>
      <c r="W458" s="3317"/>
      <c r="X458" s="3317"/>
      <c r="Y458" s="3317"/>
      <c r="Z458" s="3317"/>
      <c r="AA458" s="3322"/>
      <c r="AB458" s="3322"/>
      <c r="AC458" s="3322"/>
      <c r="AD458" s="3322"/>
      <c r="AE458" s="3322"/>
      <c r="AF458" s="3322"/>
      <c r="AG458" s="3322"/>
    </row>
    <row r="459" spans="1:33">
      <c r="A459" s="3316"/>
      <c r="B459" s="3316"/>
      <c r="C459" s="3322"/>
      <c r="D459" s="3322"/>
      <c r="E459" s="3322"/>
      <c r="F459" s="3317"/>
      <c r="G459" s="3317"/>
      <c r="H459" s="3317"/>
      <c r="I459" s="3317"/>
      <c r="J459" s="3317"/>
      <c r="K459" s="3317"/>
      <c r="L459" s="3317"/>
      <c r="M459" s="3317"/>
      <c r="N459" s="3317"/>
      <c r="O459" s="3317"/>
      <c r="P459" s="3317"/>
      <c r="Q459" s="3317"/>
      <c r="R459" s="3317"/>
      <c r="S459" s="3317"/>
      <c r="T459" s="3317"/>
      <c r="U459" s="3317"/>
      <c r="V459" s="3317"/>
      <c r="W459" s="3317"/>
      <c r="X459" s="3317"/>
      <c r="Y459" s="3317"/>
      <c r="Z459" s="3317"/>
      <c r="AA459" s="3322"/>
      <c r="AB459" s="3322"/>
      <c r="AC459" s="3322"/>
      <c r="AD459" s="3322"/>
      <c r="AE459" s="3322"/>
      <c r="AF459" s="3322"/>
      <c r="AG459" s="3322"/>
    </row>
    <row r="460" spans="1:33">
      <c r="A460" s="3316"/>
      <c r="B460" s="3316"/>
      <c r="C460" s="3322"/>
      <c r="D460" s="3322"/>
      <c r="E460" s="3322"/>
      <c r="F460" s="3317"/>
      <c r="G460" s="3317"/>
      <c r="H460" s="3317"/>
      <c r="I460" s="3317"/>
      <c r="J460" s="3317"/>
      <c r="K460" s="3317"/>
      <c r="L460" s="3317"/>
      <c r="M460" s="3317"/>
      <c r="N460" s="3317"/>
      <c r="O460" s="3317"/>
      <c r="P460" s="3317"/>
      <c r="Q460" s="3317"/>
      <c r="R460" s="3317"/>
      <c r="S460" s="3317"/>
      <c r="T460" s="3317"/>
      <c r="U460" s="3317"/>
      <c r="V460" s="3317"/>
      <c r="W460" s="3317"/>
      <c r="X460" s="3317"/>
      <c r="Y460" s="3317"/>
      <c r="Z460" s="3317"/>
      <c r="AA460" s="3322"/>
      <c r="AB460" s="3322"/>
      <c r="AC460" s="3322"/>
      <c r="AD460" s="3322"/>
      <c r="AE460" s="3322"/>
      <c r="AF460" s="3322"/>
      <c r="AG460" s="3322"/>
    </row>
    <row r="461" spans="1:33">
      <c r="A461" s="3316"/>
      <c r="B461" s="3316"/>
      <c r="C461" s="3322"/>
      <c r="D461" s="3322"/>
      <c r="E461" s="3322"/>
      <c r="F461" s="3317"/>
      <c r="G461" s="3317"/>
      <c r="H461" s="3317"/>
      <c r="I461" s="3317"/>
      <c r="J461" s="3317"/>
      <c r="K461" s="3317"/>
      <c r="L461" s="3317"/>
      <c r="M461" s="3317"/>
      <c r="N461" s="3317"/>
      <c r="O461" s="3317"/>
      <c r="P461" s="3317"/>
      <c r="Q461" s="3317"/>
      <c r="R461" s="3317"/>
      <c r="S461" s="3317"/>
      <c r="T461" s="3317"/>
      <c r="U461" s="3317"/>
      <c r="V461" s="3317"/>
      <c r="W461" s="3317"/>
      <c r="X461" s="3317"/>
      <c r="Y461" s="3317"/>
      <c r="Z461" s="3317"/>
      <c r="AA461" s="3322"/>
      <c r="AB461" s="3322"/>
      <c r="AC461" s="3322"/>
      <c r="AD461" s="3322"/>
      <c r="AE461" s="3322"/>
      <c r="AF461" s="3322"/>
      <c r="AG461" s="3322"/>
    </row>
    <row r="462" spans="1:33">
      <c r="A462" s="3316"/>
      <c r="B462" s="3316"/>
      <c r="C462" s="3322"/>
      <c r="D462" s="3322"/>
      <c r="E462" s="3322"/>
      <c r="F462" s="3317"/>
      <c r="G462" s="3317"/>
      <c r="H462" s="3317"/>
      <c r="I462" s="3317"/>
      <c r="J462" s="3317"/>
      <c r="K462" s="3317"/>
      <c r="L462" s="3317"/>
      <c r="M462" s="3317"/>
      <c r="N462" s="3317"/>
      <c r="O462" s="3317"/>
      <c r="P462" s="3317"/>
      <c r="Q462" s="3317"/>
      <c r="R462" s="3317"/>
      <c r="S462" s="3317"/>
      <c r="T462" s="3317"/>
      <c r="U462" s="3317"/>
      <c r="V462" s="3317"/>
      <c r="W462" s="3317"/>
      <c r="X462" s="3317"/>
      <c r="Y462" s="3317"/>
      <c r="Z462" s="3317"/>
      <c r="AA462" s="3322"/>
      <c r="AB462" s="3322"/>
      <c r="AC462" s="3322"/>
      <c r="AD462" s="3322"/>
      <c r="AE462" s="3322"/>
      <c r="AF462" s="3322"/>
      <c r="AG462" s="3322"/>
    </row>
    <row r="463" spans="1:33">
      <c r="A463" s="3316"/>
      <c r="B463" s="3316"/>
      <c r="C463" s="3322"/>
      <c r="D463" s="3322"/>
      <c r="E463" s="3322"/>
      <c r="F463" s="3317"/>
      <c r="G463" s="3317"/>
      <c r="H463" s="3317"/>
      <c r="I463" s="3317"/>
      <c r="J463" s="3317"/>
      <c r="K463" s="3317"/>
      <c r="L463" s="3317"/>
      <c r="M463" s="3317"/>
      <c r="N463" s="3317"/>
      <c r="O463" s="3317"/>
      <c r="P463" s="3317"/>
      <c r="Q463" s="3317"/>
      <c r="R463" s="3317"/>
      <c r="S463" s="3317"/>
      <c r="T463" s="3317"/>
      <c r="U463" s="3317"/>
      <c r="V463" s="3317"/>
      <c r="W463" s="3317"/>
      <c r="X463" s="3317"/>
      <c r="Y463" s="3317"/>
      <c r="Z463" s="3317"/>
      <c r="AA463" s="3322"/>
      <c r="AB463" s="3322"/>
      <c r="AC463" s="3322"/>
      <c r="AD463" s="3322"/>
      <c r="AE463" s="3322"/>
      <c r="AF463" s="3322"/>
      <c r="AG463" s="3322"/>
    </row>
    <row r="464" spans="1:33">
      <c r="A464" s="3316"/>
      <c r="B464" s="3316"/>
      <c r="C464" s="3322"/>
      <c r="D464" s="3322"/>
      <c r="E464" s="3322"/>
      <c r="F464" s="3317"/>
      <c r="G464" s="3317"/>
      <c r="H464" s="3317"/>
      <c r="I464" s="3317"/>
      <c r="J464" s="3317"/>
      <c r="K464" s="3317"/>
      <c r="L464" s="3317"/>
      <c r="M464" s="3317"/>
      <c r="N464" s="3317"/>
      <c r="O464" s="3317"/>
      <c r="P464" s="3317"/>
      <c r="Q464" s="3317"/>
      <c r="R464" s="3317"/>
      <c r="S464" s="3317"/>
      <c r="T464" s="3317"/>
      <c r="U464" s="3317"/>
      <c r="V464" s="3317"/>
      <c r="W464" s="3317"/>
      <c r="X464" s="3317"/>
      <c r="Y464" s="3317"/>
      <c r="Z464" s="3317"/>
      <c r="AA464" s="3322"/>
      <c r="AB464" s="3322"/>
      <c r="AC464" s="3322"/>
      <c r="AD464" s="3322"/>
      <c r="AE464" s="3322"/>
      <c r="AF464" s="3322"/>
      <c r="AG464" s="3322"/>
    </row>
    <row r="465" spans="1:33">
      <c r="A465" s="3316"/>
      <c r="B465" s="3316"/>
      <c r="C465" s="3322"/>
      <c r="D465" s="3322"/>
      <c r="E465" s="3322"/>
      <c r="F465" s="3317"/>
      <c r="G465" s="3317"/>
      <c r="H465" s="3317"/>
      <c r="I465" s="3317"/>
      <c r="J465" s="3317"/>
      <c r="K465" s="3317"/>
      <c r="L465" s="3317"/>
      <c r="M465" s="3317"/>
      <c r="N465" s="3317"/>
      <c r="O465" s="3317"/>
      <c r="P465" s="3317"/>
      <c r="Q465" s="3317"/>
      <c r="R465" s="3317"/>
      <c r="S465" s="3317"/>
      <c r="T465" s="3317"/>
      <c r="U465" s="3317"/>
      <c r="V465" s="3317"/>
      <c r="W465" s="3317"/>
      <c r="X465" s="3317"/>
      <c r="Y465" s="3317"/>
      <c r="Z465" s="3317"/>
      <c r="AA465" s="3322"/>
      <c r="AB465" s="3322"/>
      <c r="AC465" s="3322"/>
      <c r="AD465" s="3322"/>
      <c r="AE465" s="3322"/>
      <c r="AF465" s="3322"/>
      <c r="AG465" s="3322"/>
    </row>
    <row r="466" spans="1:33">
      <c r="A466" s="3316"/>
      <c r="B466" s="3316"/>
      <c r="C466" s="3322"/>
      <c r="D466" s="3322"/>
      <c r="E466" s="3322"/>
      <c r="F466" s="3317"/>
      <c r="G466" s="3317"/>
      <c r="H466" s="3317"/>
      <c r="I466" s="3317"/>
      <c r="J466" s="3317"/>
      <c r="K466" s="3317"/>
      <c r="L466" s="3317"/>
      <c r="M466" s="3317"/>
      <c r="N466" s="3317"/>
      <c r="O466" s="3317"/>
      <c r="P466" s="3317"/>
      <c r="Q466" s="3317"/>
      <c r="R466" s="3317"/>
      <c r="S466" s="3317"/>
      <c r="T466" s="3317"/>
      <c r="U466" s="3317"/>
      <c r="V466" s="3317"/>
      <c r="W466" s="3317"/>
      <c r="X466" s="3317"/>
      <c r="Y466" s="3317"/>
      <c r="Z466" s="3317"/>
      <c r="AA466" s="3322"/>
      <c r="AB466" s="3322"/>
      <c r="AC466" s="3322"/>
      <c r="AD466" s="3322"/>
      <c r="AE466" s="3322"/>
      <c r="AF466" s="3322"/>
      <c r="AG466" s="3322"/>
    </row>
  </sheetData>
  <mergeCells count="23">
    <mergeCell ref="O84:V84"/>
    <mergeCell ref="Y84:AG84"/>
    <mergeCell ref="Y85:AG85"/>
    <mergeCell ref="A64:B64"/>
    <mergeCell ref="A72:B72"/>
    <mergeCell ref="A73:AJ73"/>
    <mergeCell ref="AI75:AJ75"/>
    <mergeCell ref="A77:AJ77"/>
    <mergeCell ref="A7:AJ7"/>
    <mergeCell ref="A1:AJ1"/>
    <mergeCell ref="A2:AJ2"/>
    <mergeCell ref="A3:AJ3"/>
    <mergeCell ref="A4:AG4"/>
    <mergeCell ref="A5:AG5"/>
    <mergeCell ref="A14:B14"/>
    <mergeCell ref="A9:AJ9"/>
    <mergeCell ref="A12:A13"/>
    <mergeCell ref="B12:B13"/>
    <mergeCell ref="C12:AF12"/>
    <mergeCell ref="AG12:AG13"/>
    <mergeCell ref="AH12:AH13"/>
    <mergeCell ref="AI12:AI13"/>
    <mergeCell ref="AJ12:AJ13"/>
  </mergeCells>
  <pageMargins left="0.53" right="0.19685039370078741" top="0.74803149606299213" bottom="0.74803149606299213" header="0.31496062992125984" footer="0.31496062992125984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76"/>
  <sheetViews>
    <sheetView showGridLines="0" topLeftCell="A4" zoomScaleNormal="100" zoomScaleSheetLayoutView="78" workbookViewId="0">
      <pane ySplit="8" topLeftCell="A21" activePane="bottomLeft" state="frozen"/>
      <selection activeCell="A4" sqref="A4"/>
      <selection pane="bottomLeft" activeCell="G11" sqref="G11"/>
    </sheetView>
  </sheetViews>
  <sheetFormatPr defaultColWidth="9.140625" defaultRowHeight="16.5"/>
  <cols>
    <col min="1" max="1" width="7" style="2846" customWidth="1"/>
    <col min="2" max="2" width="25.28515625" style="2846" customWidth="1"/>
    <col min="3" max="3" width="0.5703125" style="2846" hidden="1" customWidth="1"/>
    <col min="4" max="4" width="8.7109375" style="3363" customWidth="1"/>
    <col min="5" max="5" width="9.140625" style="2846" customWidth="1"/>
    <col min="6" max="6" width="9.42578125" style="2846" customWidth="1"/>
    <col min="7" max="8" width="9.28515625" style="2846" customWidth="1"/>
    <col min="9" max="9" width="7.85546875" style="2846" customWidth="1"/>
    <col min="10" max="10" width="8.7109375" style="2846" customWidth="1"/>
    <col min="11" max="11" width="8" style="2846" customWidth="1"/>
    <col min="12" max="12" width="11.42578125" style="3578" customWidth="1"/>
    <col min="13" max="13" width="10.28515625" style="3578" customWidth="1"/>
    <col min="14" max="14" width="11" style="3578" customWidth="1"/>
    <col min="15" max="15" width="0" style="2846" hidden="1" customWidth="1"/>
    <col min="16" max="16" width="0.42578125" style="2846" hidden="1" customWidth="1"/>
    <col min="17" max="17" width="16.28515625" style="2846" customWidth="1"/>
    <col min="18" max="18" width="10.5703125" style="2846" bestFit="1" customWidth="1"/>
    <col min="19" max="19" width="19.140625" style="2846" bestFit="1" customWidth="1"/>
    <col min="20" max="16384" width="9.140625" style="2846"/>
  </cols>
  <sheetData>
    <row r="1" spans="1:20">
      <c r="A1" s="3899" t="s">
        <v>23</v>
      </c>
      <c r="B1" s="3899"/>
      <c r="C1" s="3899"/>
      <c r="D1" s="3899"/>
      <c r="E1" s="3899"/>
      <c r="F1" s="3899"/>
      <c r="G1" s="3899"/>
      <c r="H1" s="3899"/>
      <c r="I1" s="3899"/>
      <c r="J1" s="3899"/>
      <c r="K1" s="3899"/>
      <c r="L1" s="3899"/>
      <c r="M1" s="3899"/>
      <c r="N1" s="3899"/>
      <c r="O1" s="3899"/>
      <c r="P1" s="3899"/>
      <c r="Q1" s="3899"/>
    </row>
    <row r="2" spans="1:20">
      <c r="A2" s="3899" t="s">
        <v>45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3899"/>
      <c r="O2" s="3899"/>
      <c r="P2" s="3899"/>
      <c r="Q2" s="3899"/>
    </row>
    <row r="3" spans="1:20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</row>
    <row r="4" spans="1:20">
      <c r="A4" s="3901" t="s">
        <v>1855</v>
      </c>
      <c r="B4" s="3901"/>
      <c r="C4" s="3901"/>
      <c r="D4" s="3901"/>
      <c r="E4" s="3901"/>
      <c r="F4" s="3901"/>
      <c r="G4" s="3901"/>
      <c r="H4" s="2847"/>
      <c r="I4" s="2847"/>
      <c r="J4" s="2847"/>
      <c r="K4" s="2847"/>
      <c r="L4" s="3566"/>
      <c r="M4" s="3566"/>
      <c r="N4" s="3566"/>
    </row>
    <row r="5" spans="1:20">
      <c r="A5" s="3902" t="s">
        <v>90</v>
      </c>
      <c r="B5" s="3902"/>
      <c r="C5" s="3902"/>
      <c r="D5" s="3902"/>
      <c r="E5" s="3902"/>
      <c r="F5" s="3902"/>
      <c r="G5" s="3902"/>
      <c r="H5" s="2847"/>
      <c r="I5" s="2847"/>
      <c r="J5" s="2847"/>
      <c r="K5" s="2847"/>
      <c r="L5" s="3566"/>
      <c r="M5" s="3566"/>
      <c r="N5" s="3566"/>
    </row>
    <row r="6" spans="1:20">
      <c r="A6" s="3564"/>
      <c r="B6" s="3564"/>
      <c r="C6" s="3564"/>
      <c r="D6" s="3565"/>
      <c r="E6" s="3564"/>
      <c r="F6" s="3564"/>
      <c r="G6" s="3564"/>
      <c r="H6" s="2847"/>
      <c r="I6" s="2847"/>
      <c r="J6" s="2847"/>
      <c r="K6" s="2847"/>
      <c r="L6" s="3566"/>
      <c r="M6" s="3566"/>
      <c r="N6" s="3566"/>
    </row>
    <row r="7" spans="1:20" ht="3" customHeight="1">
      <c r="A7" s="3564"/>
      <c r="B7" s="2847"/>
      <c r="C7" s="2847"/>
      <c r="D7" s="3362"/>
      <c r="E7" s="2847"/>
      <c r="F7" s="2847"/>
      <c r="G7" s="2847"/>
      <c r="H7" s="2847"/>
      <c r="I7" s="2847"/>
      <c r="J7" s="2848"/>
      <c r="K7" s="2847"/>
      <c r="L7" s="3564"/>
      <c r="M7" s="3564"/>
      <c r="N7" s="3564"/>
    </row>
    <row r="8" spans="1:20">
      <c r="A8" s="3902" t="s">
        <v>2119</v>
      </c>
      <c r="B8" s="3902"/>
      <c r="C8" s="3902"/>
      <c r="D8" s="3902"/>
      <c r="E8" s="3902"/>
      <c r="F8" s="3902"/>
      <c r="G8" s="3902"/>
      <c r="H8" s="3902"/>
      <c r="I8" s="3902"/>
      <c r="J8" s="3902"/>
      <c r="K8" s="3902"/>
      <c r="L8" s="3902"/>
      <c r="M8" s="3902"/>
      <c r="N8" s="3902"/>
      <c r="O8" s="3902"/>
      <c r="P8" s="3902"/>
      <c r="Q8" s="3902"/>
    </row>
    <row r="9" spans="1:20" ht="8.25" customHeight="1">
      <c r="A9" s="3526"/>
    </row>
    <row r="10" spans="1:20" ht="16.5" customHeight="1">
      <c r="A10" s="3906" t="s">
        <v>932</v>
      </c>
      <c r="B10" s="3906" t="s">
        <v>1</v>
      </c>
      <c r="C10" s="3906" t="s">
        <v>163</v>
      </c>
      <c r="D10" s="3908" t="s">
        <v>1880</v>
      </c>
      <c r="E10" s="3896" t="s">
        <v>2109</v>
      </c>
      <c r="F10" s="3897"/>
      <c r="G10" s="3897"/>
      <c r="H10" s="3897"/>
      <c r="I10" s="3897"/>
      <c r="J10" s="3897"/>
      <c r="K10" s="3897"/>
      <c r="L10" s="3898" t="s">
        <v>2127</v>
      </c>
      <c r="M10" s="3898" t="s">
        <v>2126</v>
      </c>
      <c r="N10" s="3898" t="s">
        <v>26</v>
      </c>
      <c r="O10" s="2849"/>
      <c r="P10" s="2849"/>
      <c r="Q10" s="3903" t="s">
        <v>1938</v>
      </c>
    </row>
    <row r="11" spans="1:20" s="2850" customFormat="1" ht="137.25" customHeight="1">
      <c r="A11" s="3907"/>
      <c r="B11" s="3907"/>
      <c r="C11" s="3907"/>
      <c r="D11" s="3909"/>
      <c r="E11" s="3598" t="s">
        <v>2123</v>
      </c>
      <c r="F11" s="3598" t="s">
        <v>2124</v>
      </c>
      <c r="G11" s="3598" t="s">
        <v>2125</v>
      </c>
      <c r="H11" s="3597" t="s">
        <v>2120</v>
      </c>
      <c r="I11" s="3598" t="s">
        <v>2121</v>
      </c>
      <c r="J11" s="3598" t="s">
        <v>2122</v>
      </c>
      <c r="K11" s="3597" t="s">
        <v>2128</v>
      </c>
      <c r="L11" s="3898"/>
      <c r="M11" s="3898"/>
      <c r="N11" s="3898"/>
      <c r="O11" s="3566"/>
      <c r="P11" s="3566"/>
      <c r="Q11" s="3904"/>
    </row>
    <row r="12" spans="1:20" ht="36.75" customHeight="1">
      <c r="A12" s="2851">
        <v>1</v>
      </c>
      <c r="B12" s="2812" t="s">
        <v>1918</v>
      </c>
      <c r="C12" s="2852"/>
      <c r="D12" s="3364" t="s">
        <v>451</v>
      </c>
      <c r="E12" s="2851"/>
      <c r="F12" s="2851"/>
      <c r="G12" s="2851"/>
      <c r="H12" s="2851"/>
      <c r="I12" s="2851"/>
      <c r="J12" s="2851"/>
      <c r="K12" s="2851"/>
      <c r="L12" s="2853"/>
      <c r="M12" s="2853" t="e">
        <f>+VLOOKUP(B12,#REF!,36,0)</f>
        <v>#REF!</v>
      </c>
      <c r="N12" s="2853" t="e">
        <f>+L12+M12</f>
        <v>#REF!</v>
      </c>
      <c r="O12" s="2854" t="e">
        <f>+VLOOKUP(C12,[1]Sheet1!$D$9:$E$122,2,0)</f>
        <v>#N/A</v>
      </c>
      <c r="P12" s="2854" t="e">
        <f>+IF(O12=B12,"0","1")</f>
        <v>#N/A</v>
      </c>
      <c r="Q12" s="2746"/>
      <c r="R12" s="2846" t="e">
        <f t="shared" ref="R12:R37" si="0">IF(N12&gt;=24,"100%","80%")</f>
        <v>#REF!</v>
      </c>
      <c r="S12" s="2846" t="e">
        <f>IF(N12&gt;=18," THƯỞNG 100%"," THƯỞNG 80%")</f>
        <v>#REF!</v>
      </c>
      <c r="T12" s="2846">
        <v>22</v>
      </c>
    </row>
    <row r="13" spans="1:20" ht="36.75" customHeight="1">
      <c r="A13" s="2851">
        <v>2</v>
      </c>
      <c r="B13" s="2812" t="s">
        <v>1238</v>
      </c>
      <c r="C13" s="2852"/>
      <c r="D13" s="3364" t="s">
        <v>451</v>
      </c>
      <c r="E13" s="2851"/>
      <c r="F13" s="2851"/>
      <c r="G13" s="2851"/>
      <c r="H13" s="2851"/>
      <c r="I13" s="2851"/>
      <c r="J13" s="2851"/>
      <c r="K13" s="2851"/>
      <c r="L13" s="2853"/>
      <c r="M13" s="2853" t="e">
        <f>+VLOOKUP(B13,#REF!,36,0)</f>
        <v>#REF!</v>
      </c>
      <c r="N13" s="2853" t="e">
        <f t="shared" ref="N13:N25" si="1">+L13+M13</f>
        <v>#REF!</v>
      </c>
      <c r="O13" s="2854" t="e">
        <f>+VLOOKUP(C13,[1]Sheet1!$D$9:$E$122,2,0)</f>
        <v>#N/A</v>
      </c>
      <c r="P13" s="2854" t="e">
        <f>+IF(O13=B13,"0","1")</f>
        <v>#N/A</v>
      </c>
      <c r="Q13" s="2746"/>
      <c r="R13" s="2846" t="e">
        <f t="shared" si="0"/>
        <v>#REF!</v>
      </c>
      <c r="S13" s="2846" t="e">
        <f t="shared" ref="S13:S14" si="2">IF(N13&gt;=18," THƯỞNG 100%"," THƯỞNG 80%")</f>
        <v>#REF!</v>
      </c>
      <c r="T13" s="2846">
        <v>21</v>
      </c>
    </row>
    <row r="14" spans="1:20" ht="36.75" customHeight="1">
      <c r="A14" s="2851">
        <v>3</v>
      </c>
      <c r="B14" s="2812" t="s">
        <v>1525</v>
      </c>
      <c r="C14" s="2852"/>
      <c r="D14" s="3364" t="s">
        <v>451</v>
      </c>
      <c r="E14" s="2851"/>
      <c r="F14" s="2851"/>
      <c r="G14" s="2851"/>
      <c r="H14" s="2851"/>
      <c r="I14" s="2851"/>
      <c r="J14" s="2851"/>
      <c r="K14" s="2851"/>
      <c r="L14" s="2853"/>
      <c r="M14" s="2853" t="e">
        <f>+VLOOKUP(B14,#REF!,36,0)</f>
        <v>#REF!</v>
      </c>
      <c r="N14" s="2853" t="e">
        <f t="shared" si="1"/>
        <v>#REF!</v>
      </c>
      <c r="O14" s="2854" t="e">
        <f>+VLOOKUP(C14,[1]Sheet1!$D$9:$E$122,2,0)</f>
        <v>#N/A</v>
      </c>
      <c r="P14" s="2854" t="e">
        <f>+IF(O14=B14,"0","1")</f>
        <v>#N/A</v>
      </c>
      <c r="Q14" s="2746"/>
      <c r="R14" s="2846" t="e">
        <f t="shared" si="0"/>
        <v>#REF!</v>
      </c>
      <c r="S14" s="2846" t="e">
        <f t="shared" si="2"/>
        <v>#REF!</v>
      </c>
      <c r="T14" s="2846">
        <v>23</v>
      </c>
    </row>
    <row r="15" spans="1:20" ht="36.75" customHeight="1">
      <c r="A15" s="2851">
        <v>4</v>
      </c>
      <c r="B15" s="2812" t="s">
        <v>552</v>
      </c>
      <c r="C15" s="2852"/>
      <c r="D15" s="3364" t="s">
        <v>451</v>
      </c>
      <c r="E15" s="2851"/>
      <c r="F15" s="2851"/>
      <c r="G15" s="2851"/>
      <c r="H15" s="2851"/>
      <c r="I15" s="2851"/>
      <c r="J15" s="2851"/>
      <c r="K15" s="2851"/>
      <c r="L15" s="2853"/>
      <c r="M15" s="2853" t="e">
        <f>+VLOOKUP(B15,#REF!,36,0)</f>
        <v>#REF!</v>
      </c>
      <c r="N15" s="2853" t="e">
        <f t="shared" si="1"/>
        <v>#REF!</v>
      </c>
      <c r="O15" s="2854" t="e">
        <f>+VLOOKUP(C15,[1]Sheet1!$D$9:$E$122,2,0)</f>
        <v>#N/A</v>
      </c>
      <c r="P15" s="2854" t="e">
        <f>+IF(O15=B15,"0","1")</f>
        <v>#N/A</v>
      </c>
      <c r="Q15" s="2746"/>
      <c r="R15" s="2846" t="e">
        <f t="shared" si="0"/>
        <v>#REF!</v>
      </c>
      <c r="S15" s="2846" t="e">
        <f t="shared" ref="S15:S16" si="3">IF(N15&gt;=18," THƯỞNG 100%"," THƯỞNG 80%")</f>
        <v>#REF!</v>
      </c>
      <c r="T15" s="2846">
        <v>23</v>
      </c>
    </row>
    <row r="16" spans="1:20" ht="36.75" customHeight="1">
      <c r="A16" s="2851">
        <v>5</v>
      </c>
      <c r="B16" s="2812" t="s">
        <v>1920</v>
      </c>
      <c r="C16" s="2852"/>
      <c r="D16" s="3364" t="s">
        <v>451</v>
      </c>
      <c r="E16" s="2851"/>
      <c r="F16" s="2851"/>
      <c r="G16" s="2851"/>
      <c r="H16" s="2851"/>
      <c r="I16" s="2851"/>
      <c r="J16" s="2851"/>
      <c r="K16" s="2851"/>
      <c r="L16" s="2853"/>
      <c r="M16" s="2853" t="e">
        <f>+VLOOKUP(B16,#REF!,36,0)</f>
        <v>#REF!</v>
      </c>
      <c r="N16" s="2853" t="e">
        <f t="shared" si="1"/>
        <v>#REF!</v>
      </c>
      <c r="O16" s="2854" t="e">
        <f>+VLOOKUP(C16,[1]Sheet1!$D$9:$E$122,2,0)</f>
        <v>#N/A</v>
      </c>
      <c r="P16" s="2854" t="e">
        <f>+IF(O16=B16,"0","1")</f>
        <v>#N/A</v>
      </c>
      <c r="Q16" s="2746"/>
      <c r="R16" s="2846" t="e">
        <f t="shared" si="0"/>
        <v>#REF!</v>
      </c>
      <c r="S16" s="2846" t="e">
        <f t="shared" si="3"/>
        <v>#REF!</v>
      </c>
      <c r="T16" s="2846">
        <v>22</v>
      </c>
    </row>
    <row r="17" spans="1:24" ht="36.75" customHeight="1">
      <c r="A17" s="2851">
        <v>6</v>
      </c>
      <c r="B17" s="2812" t="s">
        <v>1236</v>
      </c>
      <c r="C17" s="2852"/>
      <c r="D17" s="3364" t="s">
        <v>451</v>
      </c>
      <c r="E17" s="2851"/>
      <c r="F17" s="2851"/>
      <c r="G17" s="2851"/>
      <c r="H17" s="2851"/>
      <c r="I17" s="2851"/>
      <c r="J17" s="2851"/>
      <c r="K17" s="2851"/>
      <c r="L17" s="2853"/>
      <c r="M17" s="2853" t="e">
        <f>+VLOOKUP(B17,#REF!,36,0)</f>
        <v>#REF!</v>
      </c>
      <c r="N17" s="2853" t="e">
        <f t="shared" si="1"/>
        <v>#REF!</v>
      </c>
      <c r="O17" s="2854"/>
      <c r="P17" s="2854"/>
      <c r="Q17" s="2746"/>
      <c r="R17" s="2846" t="e">
        <f t="shared" si="0"/>
        <v>#REF!</v>
      </c>
      <c r="S17" s="2846" t="e">
        <f t="shared" ref="S17:S19" si="4">IF(N17&gt;=18," THƯỞNG 100%"," THƯỞNG 80%")</f>
        <v>#REF!</v>
      </c>
      <c r="T17" s="2846">
        <v>22</v>
      </c>
    </row>
    <row r="18" spans="1:24" ht="36.75" customHeight="1">
      <c r="A18" s="2851">
        <v>7</v>
      </c>
      <c r="B18" s="2812" t="s">
        <v>289</v>
      </c>
      <c r="C18" s="2852"/>
      <c r="D18" s="3364" t="s">
        <v>451</v>
      </c>
      <c r="E18" s="2851"/>
      <c r="F18" s="2851"/>
      <c r="G18" s="2851"/>
      <c r="H18" s="2851"/>
      <c r="I18" s="2851"/>
      <c r="J18" s="2851"/>
      <c r="K18" s="2851"/>
      <c r="L18" s="2853"/>
      <c r="M18" s="2853" t="e">
        <f>+VLOOKUP(B18,#REF!,36,0)</f>
        <v>#REF!</v>
      </c>
      <c r="N18" s="2853" t="e">
        <f t="shared" si="1"/>
        <v>#REF!</v>
      </c>
      <c r="O18" s="2854"/>
      <c r="P18" s="2854"/>
      <c r="Q18" s="2746"/>
      <c r="R18" s="2846" t="e">
        <f t="shared" si="0"/>
        <v>#REF!</v>
      </c>
      <c r="S18" s="2846" t="e">
        <f t="shared" si="4"/>
        <v>#REF!</v>
      </c>
      <c r="T18" s="2846">
        <v>20</v>
      </c>
    </row>
    <row r="19" spans="1:24" ht="36.75" customHeight="1">
      <c r="A19" s="2851">
        <v>8</v>
      </c>
      <c r="B19" s="2812" t="s">
        <v>1557</v>
      </c>
      <c r="C19" s="2852"/>
      <c r="D19" s="3364" t="s">
        <v>451</v>
      </c>
      <c r="E19" s="2851"/>
      <c r="F19" s="2851"/>
      <c r="G19" s="2851"/>
      <c r="H19" s="2851"/>
      <c r="I19" s="2851"/>
      <c r="J19" s="2851"/>
      <c r="K19" s="2851"/>
      <c r="L19" s="2853"/>
      <c r="M19" s="2853" t="e">
        <f>+VLOOKUP(B19,#REF!,36,0)</f>
        <v>#REF!</v>
      </c>
      <c r="N19" s="2853" t="e">
        <f t="shared" si="1"/>
        <v>#REF!</v>
      </c>
      <c r="O19" s="2854"/>
      <c r="P19" s="2854"/>
      <c r="Q19" s="2746"/>
      <c r="R19" s="2846" t="e">
        <f t="shared" si="0"/>
        <v>#REF!</v>
      </c>
      <c r="S19" s="2846" t="e">
        <f t="shared" si="4"/>
        <v>#REF!</v>
      </c>
      <c r="T19" s="2846">
        <v>20</v>
      </c>
    </row>
    <row r="20" spans="1:24" ht="36.75" customHeight="1">
      <c r="A20" s="2851">
        <v>10</v>
      </c>
      <c r="B20" s="2812" t="s">
        <v>490</v>
      </c>
      <c r="C20" s="2852"/>
      <c r="D20" s="3364" t="s">
        <v>451</v>
      </c>
      <c r="E20" s="2851"/>
      <c r="F20" s="2851"/>
      <c r="G20" s="2851"/>
      <c r="H20" s="2851"/>
      <c r="I20" s="2851"/>
      <c r="J20" s="2851"/>
      <c r="K20" s="2851"/>
      <c r="L20" s="2853"/>
      <c r="M20" s="2853" t="e">
        <f>+VLOOKUP(B20,#REF!,36,0)</f>
        <v>#REF!</v>
      </c>
      <c r="N20" s="2853" t="e">
        <f t="shared" si="1"/>
        <v>#REF!</v>
      </c>
      <c r="O20" s="2854"/>
      <c r="P20" s="2854"/>
      <c r="Q20" s="2746"/>
      <c r="R20" s="2846" t="e">
        <f t="shared" si="0"/>
        <v>#REF!</v>
      </c>
      <c r="S20" s="2846" t="e">
        <f t="shared" ref="S20:S21" si="5">IF(N20&gt;=18," THƯỞNG 100%"," THƯỞNG 80%")</f>
        <v>#REF!</v>
      </c>
      <c r="T20" s="2846">
        <v>23</v>
      </c>
    </row>
    <row r="21" spans="1:24" ht="36.75" customHeight="1">
      <c r="A21" s="2851">
        <v>11</v>
      </c>
      <c r="B21" s="2812" t="s">
        <v>1678</v>
      </c>
      <c r="C21" s="2852"/>
      <c r="D21" s="3364" t="s">
        <v>451</v>
      </c>
      <c r="E21" s="2851"/>
      <c r="F21" s="2851"/>
      <c r="G21" s="2851"/>
      <c r="H21" s="2851"/>
      <c r="I21" s="2851"/>
      <c r="J21" s="2851"/>
      <c r="K21" s="2851"/>
      <c r="L21" s="2853"/>
      <c r="M21" s="2853" t="e">
        <f>+VLOOKUP(B21,#REF!,36,0)</f>
        <v>#REF!</v>
      </c>
      <c r="N21" s="2853" t="e">
        <f t="shared" si="1"/>
        <v>#REF!</v>
      </c>
      <c r="O21" s="2854"/>
      <c r="P21" s="2854"/>
      <c r="Q21" s="2746"/>
      <c r="R21" s="2846" t="e">
        <f t="shared" si="0"/>
        <v>#REF!</v>
      </c>
      <c r="S21" s="2846" t="e">
        <f t="shared" si="5"/>
        <v>#REF!</v>
      </c>
      <c r="T21" s="2846">
        <v>23</v>
      </c>
    </row>
    <row r="22" spans="1:24" ht="36.75" customHeight="1">
      <c r="A22" s="2851">
        <v>12</v>
      </c>
      <c r="B22" s="2812" t="s">
        <v>1527</v>
      </c>
      <c r="C22" s="2852"/>
      <c r="D22" s="3364" t="s">
        <v>451</v>
      </c>
      <c r="E22" s="2851"/>
      <c r="F22" s="2851"/>
      <c r="G22" s="2851"/>
      <c r="H22" s="2851"/>
      <c r="I22" s="2851"/>
      <c r="J22" s="2851"/>
      <c r="K22" s="2851"/>
      <c r="L22" s="2853"/>
      <c r="M22" s="2853" t="e">
        <f>+VLOOKUP(B22,#REF!,36,0)</f>
        <v>#REF!</v>
      </c>
      <c r="N22" s="2853" t="e">
        <f t="shared" si="1"/>
        <v>#REF!</v>
      </c>
      <c r="O22" s="2854"/>
      <c r="P22" s="2854"/>
      <c r="Q22" s="2746"/>
      <c r="R22" s="2846" t="e">
        <f t="shared" si="0"/>
        <v>#REF!</v>
      </c>
      <c r="S22" s="2846" t="e">
        <f t="shared" ref="S22:S23" si="6">IF(N22&gt;=18," THƯỞNG 100%"," THƯỞNG 80%")</f>
        <v>#REF!</v>
      </c>
      <c r="T22" s="2846">
        <v>23</v>
      </c>
    </row>
    <row r="23" spans="1:24" ht="36.75" customHeight="1">
      <c r="A23" s="2851">
        <v>13</v>
      </c>
      <c r="B23" s="2812" t="s">
        <v>1922</v>
      </c>
      <c r="C23" s="2852"/>
      <c r="D23" s="3364" t="s">
        <v>451</v>
      </c>
      <c r="E23" s="2851"/>
      <c r="F23" s="2851"/>
      <c r="G23" s="2851"/>
      <c r="H23" s="2851"/>
      <c r="I23" s="2851"/>
      <c r="J23" s="2851"/>
      <c r="K23" s="2851"/>
      <c r="L23" s="2853"/>
      <c r="M23" s="2853" t="e">
        <f>+VLOOKUP(B23,#REF!,36,0)</f>
        <v>#REF!</v>
      </c>
      <c r="N23" s="2853" t="e">
        <f t="shared" si="1"/>
        <v>#REF!</v>
      </c>
      <c r="O23" s="2854"/>
      <c r="P23" s="2854"/>
      <c r="Q23" s="2746"/>
      <c r="R23" s="2846" t="e">
        <f t="shared" si="0"/>
        <v>#REF!</v>
      </c>
      <c r="S23" s="2846" t="e">
        <f t="shared" si="6"/>
        <v>#REF!</v>
      </c>
      <c r="T23" s="2846">
        <v>22</v>
      </c>
    </row>
    <row r="24" spans="1:24" ht="36.75" customHeight="1">
      <c r="A24" s="2851">
        <v>14</v>
      </c>
      <c r="B24" s="2812" t="s">
        <v>1488</v>
      </c>
      <c r="C24" s="2852"/>
      <c r="D24" s="3364" t="s">
        <v>451</v>
      </c>
      <c r="E24" s="2851"/>
      <c r="F24" s="2851"/>
      <c r="G24" s="2851"/>
      <c r="H24" s="2851"/>
      <c r="I24" s="2851"/>
      <c r="J24" s="2851"/>
      <c r="K24" s="2851"/>
      <c r="L24" s="2853"/>
      <c r="M24" s="2853" t="e">
        <f>+VLOOKUP(B24,#REF!,36,0)</f>
        <v>#REF!</v>
      </c>
      <c r="N24" s="2853" t="e">
        <f t="shared" si="1"/>
        <v>#REF!</v>
      </c>
      <c r="O24" s="2854"/>
      <c r="P24" s="2854"/>
      <c r="Q24" s="2746"/>
      <c r="R24" s="2846" t="e">
        <f t="shared" si="0"/>
        <v>#REF!</v>
      </c>
      <c r="S24" s="2846" t="e">
        <f t="shared" ref="S24:S25" si="7">IF(N24&gt;=18," THƯỞNG 100%"," THƯỞNG 80%")</f>
        <v>#REF!</v>
      </c>
      <c r="T24" s="2846">
        <v>21</v>
      </c>
    </row>
    <row r="25" spans="1:24" ht="36.75" customHeight="1">
      <c r="A25" s="2851">
        <v>15</v>
      </c>
      <c r="B25" s="2812" t="s">
        <v>1927</v>
      </c>
      <c r="C25" s="2852"/>
      <c r="D25" s="3364" t="s">
        <v>451</v>
      </c>
      <c r="E25" s="2851"/>
      <c r="F25" s="2851"/>
      <c r="G25" s="2851"/>
      <c r="H25" s="2851"/>
      <c r="I25" s="2851"/>
      <c r="J25" s="2851"/>
      <c r="K25" s="2851"/>
      <c r="L25" s="2853"/>
      <c r="M25" s="2853" t="e">
        <f>+VLOOKUP(B25,#REF!,36,0)</f>
        <v>#REF!</v>
      </c>
      <c r="N25" s="2853" t="e">
        <f t="shared" si="1"/>
        <v>#REF!</v>
      </c>
      <c r="O25" s="2854"/>
      <c r="P25" s="2854"/>
      <c r="Q25" s="2746"/>
      <c r="R25" s="2846" t="e">
        <f t="shared" si="0"/>
        <v>#REF!</v>
      </c>
      <c r="S25" s="2846" t="e">
        <f t="shared" si="7"/>
        <v>#REF!</v>
      </c>
      <c r="T25" s="2846">
        <v>21</v>
      </c>
    </row>
    <row r="26" spans="1:24" ht="36.75" customHeight="1">
      <c r="A26" s="3905" t="s">
        <v>1883</v>
      </c>
      <c r="B26" s="3905"/>
      <c r="C26" s="3905"/>
      <c r="D26" s="3905"/>
      <c r="E26" s="3182"/>
      <c r="F26" s="3182"/>
      <c r="G26" s="3182"/>
      <c r="H26" s="3182"/>
      <c r="I26" s="3182"/>
      <c r="J26" s="3182"/>
      <c r="K26" s="3182"/>
      <c r="L26" s="3183"/>
      <c r="M26" s="3183" t="e">
        <f>SUM(M12:M25)</f>
        <v>#REF!</v>
      </c>
      <c r="N26" s="3183">
        <v>303</v>
      </c>
      <c r="O26" s="2856"/>
      <c r="P26" s="2856"/>
      <c r="Q26" s="2856"/>
      <c r="S26" s="2870">
        <f>+L26+L38</f>
        <v>0</v>
      </c>
      <c r="T26" s="2870">
        <v>22</v>
      </c>
      <c r="U26" s="2870" t="e">
        <f>+#REF!+#REF!</f>
        <v>#REF!</v>
      </c>
      <c r="V26" s="2870" t="e">
        <f>+#REF!+#REF!</f>
        <v>#REF!</v>
      </c>
      <c r="W26" s="2870"/>
      <c r="X26" s="2870"/>
    </row>
    <row r="27" spans="1:24" ht="36.75" customHeight="1">
      <c r="A27" s="2858">
        <v>1</v>
      </c>
      <c r="B27" s="2859" t="s">
        <v>1081</v>
      </c>
      <c r="C27" s="2860"/>
      <c r="D27" s="3365" t="s">
        <v>451</v>
      </c>
      <c r="E27" s="2851"/>
      <c r="F27" s="2851"/>
      <c r="G27" s="2851"/>
      <c r="H27" s="2851"/>
      <c r="I27" s="2851"/>
      <c r="J27" s="2851"/>
      <c r="K27" s="2851"/>
      <c r="L27" s="2862"/>
      <c r="M27" s="2862" t="e">
        <f>+VLOOKUP(B27,#REF!,36,0)</f>
        <v>#REF!</v>
      </c>
      <c r="N27" s="2862" t="e">
        <f>+L27+M27</f>
        <v>#REF!</v>
      </c>
      <c r="O27" s="2863"/>
      <c r="P27" s="2863"/>
      <c r="Q27" s="2864"/>
      <c r="R27" s="2846" t="e">
        <f t="shared" si="0"/>
        <v>#REF!</v>
      </c>
      <c r="S27" s="2846" t="e">
        <f t="shared" ref="S27:S31" si="8">IF(N27&gt;=18," THƯỞNG 100%"," THƯỞNG 80%")</f>
        <v>#REF!</v>
      </c>
      <c r="T27" s="2846">
        <v>22</v>
      </c>
    </row>
    <row r="28" spans="1:24" ht="36.75" customHeight="1">
      <c r="A28" s="2851">
        <v>2</v>
      </c>
      <c r="B28" s="2865" t="s">
        <v>1904</v>
      </c>
      <c r="C28" s="2852"/>
      <c r="D28" s="3364" t="s">
        <v>451</v>
      </c>
      <c r="E28" s="2851"/>
      <c r="F28" s="2851"/>
      <c r="G28" s="2851"/>
      <c r="H28" s="2851"/>
      <c r="I28" s="2851"/>
      <c r="J28" s="2851"/>
      <c r="K28" s="2851"/>
      <c r="L28" s="2853"/>
      <c r="M28" s="2862" t="e">
        <f>+VLOOKUP(B28,#REF!,36,0)</f>
        <v>#REF!</v>
      </c>
      <c r="N28" s="2862" t="e">
        <f t="shared" ref="N28:N37" si="9">+L28+M28</f>
        <v>#REF!</v>
      </c>
      <c r="O28" s="2854"/>
      <c r="P28" s="2854"/>
      <c r="Q28" s="2746"/>
      <c r="R28" s="2846" t="e">
        <f t="shared" si="0"/>
        <v>#REF!</v>
      </c>
      <c r="S28" s="2846" t="e">
        <f t="shared" si="8"/>
        <v>#REF!</v>
      </c>
      <c r="T28" s="2846">
        <v>22</v>
      </c>
    </row>
    <row r="29" spans="1:24" ht="36.75" customHeight="1">
      <c r="A29" s="2858">
        <v>3</v>
      </c>
      <c r="B29" s="2865" t="s">
        <v>1530</v>
      </c>
      <c r="C29" s="2852"/>
      <c r="D29" s="3365" t="s">
        <v>451</v>
      </c>
      <c r="E29" s="2851"/>
      <c r="F29" s="2851"/>
      <c r="G29" s="2851"/>
      <c r="H29" s="2851"/>
      <c r="I29" s="2851"/>
      <c r="J29" s="2851"/>
      <c r="K29" s="2851"/>
      <c r="L29" s="2853"/>
      <c r="M29" s="2862" t="e">
        <f>+VLOOKUP(B29,#REF!,36,0)</f>
        <v>#REF!</v>
      </c>
      <c r="N29" s="2862" t="e">
        <f t="shared" si="9"/>
        <v>#REF!</v>
      </c>
      <c r="O29" s="2854"/>
      <c r="P29" s="2854"/>
      <c r="Q29" s="2746"/>
      <c r="R29" s="2846" t="e">
        <f t="shared" si="0"/>
        <v>#REF!</v>
      </c>
      <c r="S29" s="2846" t="e">
        <f t="shared" si="8"/>
        <v>#REF!</v>
      </c>
      <c r="T29" s="2846">
        <v>23</v>
      </c>
    </row>
    <row r="30" spans="1:24" ht="36.75" customHeight="1">
      <c r="A30" s="2851">
        <v>4</v>
      </c>
      <c r="B30" s="2865" t="s">
        <v>1905</v>
      </c>
      <c r="C30" s="2852"/>
      <c r="D30" s="3364" t="s">
        <v>451</v>
      </c>
      <c r="E30" s="2851"/>
      <c r="F30" s="2851"/>
      <c r="G30" s="2851"/>
      <c r="H30" s="2851"/>
      <c r="I30" s="2851"/>
      <c r="J30" s="2851"/>
      <c r="K30" s="2851"/>
      <c r="L30" s="2853"/>
      <c r="M30" s="2862" t="e">
        <f>+VLOOKUP(B30,#REF!,36,0)</f>
        <v>#REF!</v>
      </c>
      <c r="N30" s="2862" t="e">
        <f t="shared" si="9"/>
        <v>#REF!</v>
      </c>
      <c r="O30" s="2854"/>
      <c r="P30" s="2854"/>
      <c r="Q30" s="2746"/>
      <c r="R30" s="2846" t="e">
        <f t="shared" si="0"/>
        <v>#REF!</v>
      </c>
      <c r="S30" s="2846" t="e">
        <f t="shared" si="8"/>
        <v>#REF!</v>
      </c>
      <c r="T30" s="2846">
        <v>20</v>
      </c>
    </row>
    <row r="31" spans="1:24" ht="36.75" customHeight="1">
      <c r="A31" s="2858">
        <v>5</v>
      </c>
      <c r="B31" s="2865" t="s">
        <v>1906</v>
      </c>
      <c r="C31" s="2852"/>
      <c r="D31" s="3365" t="s">
        <v>451</v>
      </c>
      <c r="E31" s="2851"/>
      <c r="F31" s="2851"/>
      <c r="G31" s="2851"/>
      <c r="H31" s="2851"/>
      <c r="I31" s="2851"/>
      <c r="J31" s="2851"/>
      <c r="K31" s="2851"/>
      <c r="L31" s="2853"/>
      <c r="M31" s="2862" t="e">
        <f>+VLOOKUP(B31,#REF!,36,0)</f>
        <v>#REF!</v>
      </c>
      <c r="N31" s="2862" t="e">
        <f t="shared" si="9"/>
        <v>#REF!</v>
      </c>
      <c r="O31" s="2854"/>
      <c r="P31" s="2854"/>
      <c r="Q31" s="2746"/>
      <c r="R31" s="2846" t="e">
        <f t="shared" si="0"/>
        <v>#REF!</v>
      </c>
      <c r="S31" s="2846" t="e">
        <f t="shared" si="8"/>
        <v>#REF!</v>
      </c>
      <c r="T31" s="2846">
        <v>23</v>
      </c>
    </row>
    <row r="32" spans="1:24" ht="36.75" customHeight="1">
      <c r="A32" s="2851">
        <v>6</v>
      </c>
      <c r="B32" s="2865" t="s">
        <v>1908</v>
      </c>
      <c r="C32" s="2852"/>
      <c r="D32" s="3365" t="s">
        <v>451</v>
      </c>
      <c r="E32" s="2851"/>
      <c r="F32" s="2851"/>
      <c r="G32" s="2851"/>
      <c r="H32" s="2851"/>
      <c r="I32" s="2851"/>
      <c r="J32" s="2851"/>
      <c r="K32" s="2851"/>
      <c r="L32" s="2853"/>
      <c r="M32" s="2862" t="e">
        <f>+VLOOKUP(B32,#REF!,36,0)</f>
        <v>#REF!</v>
      </c>
      <c r="N32" s="2862" t="e">
        <f t="shared" si="9"/>
        <v>#REF!</v>
      </c>
      <c r="O32" s="2854"/>
      <c r="P32" s="2854"/>
      <c r="Q32" s="2746"/>
      <c r="R32" s="2846" t="e">
        <f t="shared" si="0"/>
        <v>#REF!</v>
      </c>
      <c r="S32" s="2846" t="e">
        <f>IF(N32&gt;=18," THƯỞNG 100%"," THƯỞNG 80%")</f>
        <v>#REF!</v>
      </c>
      <c r="T32" s="2846">
        <v>20</v>
      </c>
    </row>
    <row r="33" spans="1:23" ht="36.75" customHeight="1">
      <c r="A33" s="2858">
        <v>7</v>
      </c>
      <c r="B33" s="2865" t="s">
        <v>1564</v>
      </c>
      <c r="C33" s="2852"/>
      <c r="D33" s="3364" t="s">
        <v>451</v>
      </c>
      <c r="E33" s="2851"/>
      <c r="F33" s="2851"/>
      <c r="G33" s="2851"/>
      <c r="H33" s="2851"/>
      <c r="I33" s="2851"/>
      <c r="J33" s="2851"/>
      <c r="K33" s="2851"/>
      <c r="L33" s="2853"/>
      <c r="M33" s="2862" t="e">
        <f>+VLOOKUP(B33,#REF!,36,0)</f>
        <v>#REF!</v>
      </c>
      <c r="N33" s="2862" t="e">
        <f t="shared" si="9"/>
        <v>#REF!</v>
      </c>
      <c r="O33" s="2854"/>
      <c r="P33" s="2854"/>
      <c r="Q33" s="2746"/>
      <c r="R33" s="2846" t="e">
        <f t="shared" si="0"/>
        <v>#REF!</v>
      </c>
      <c r="S33" s="2846" t="e">
        <f>IF(N33&gt;=18," THƯỞNG 100%"," THƯỞNG 80%")</f>
        <v>#REF!</v>
      </c>
    </row>
    <row r="34" spans="1:23" ht="36.75" customHeight="1">
      <c r="A34" s="2851">
        <v>8</v>
      </c>
      <c r="B34" s="2865" t="s">
        <v>1916</v>
      </c>
      <c r="C34" s="2852"/>
      <c r="D34" s="3364" t="s">
        <v>451</v>
      </c>
      <c r="E34" s="2851"/>
      <c r="F34" s="2851"/>
      <c r="G34" s="2851"/>
      <c r="H34" s="2851"/>
      <c r="I34" s="2851"/>
      <c r="J34" s="2851"/>
      <c r="K34" s="2851"/>
      <c r="L34" s="2853"/>
      <c r="M34" s="2862" t="e">
        <f>+VLOOKUP(B34,#REF!,36,0)</f>
        <v>#REF!</v>
      </c>
      <c r="N34" s="2862" t="e">
        <f t="shared" si="9"/>
        <v>#REF!</v>
      </c>
      <c r="O34" s="2854"/>
      <c r="P34" s="2854"/>
      <c r="Q34" s="2746"/>
      <c r="R34" s="2846" t="e">
        <f t="shared" si="0"/>
        <v>#REF!</v>
      </c>
      <c r="S34" s="2846" t="e">
        <f t="shared" ref="S34:S37" si="10">IF(N34&gt;=18," THƯỞNG 100%"," THƯỞNG 80%")</f>
        <v>#REF!</v>
      </c>
    </row>
    <row r="35" spans="1:23" ht="36.75" customHeight="1">
      <c r="A35" s="2858">
        <v>9</v>
      </c>
      <c r="B35" s="2865" t="s">
        <v>1917</v>
      </c>
      <c r="C35" s="2852"/>
      <c r="D35" s="3365" t="s">
        <v>451</v>
      </c>
      <c r="E35" s="2851"/>
      <c r="F35" s="2851"/>
      <c r="G35" s="2851"/>
      <c r="H35" s="2851"/>
      <c r="I35" s="2851"/>
      <c r="J35" s="2851"/>
      <c r="K35" s="2851"/>
      <c r="L35" s="2853"/>
      <c r="M35" s="2862" t="e">
        <f>+VLOOKUP(B35,#REF!,36,0)</f>
        <v>#REF!</v>
      </c>
      <c r="N35" s="2862" t="e">
        <f t="shared" si="9"/>
        <v>#REF!</v>
      </c>
      <c r="O35" s="2854"/>
      <c r="P35" s="2854"/>
      <c r="Q35" s="2746"/>
      <c r="R35" s="2846" t="e">
        <f t="shared" si="0"/>
        <v>#REF!</v>
      </c>
      <c r="S35" s="2846" t="e">
        <f t="shared" si="10"/>
        <v>#REF!</v>
      </c>
    </row>
    <row r="36" spans="1:23" ht="36.75" customHeight="1">
      <c r="A36" s="2851">
        <v>10</v>
      </c>
      <c r="B36" s="2865" t="s">
        <v>1178</v>
      </c>
      <c r="C36" s="2852"/>
      <c r="D36" s="3365" t="s">
        <v>451</v>
      </c>
      <c r="E36" s="2851"/>
      <c r="F36" s="2851"/>
      <c r="G36" s="2851"/>
      <c r="H36" s="2851"/>
      <c r="I36" s="2851"/>
      <c r="J36" s="2851"/>
      <c r="K36" s="2851"/>
      <c r="L36" s="2853"/>
      <c r="M36" s="2862" t="e">
        <f>+VLOOKUP(B36,#REF!,36,0)</f>
        <v>#REF!</v>
      </c>
      <c r="N36" s="2862" t="e">
        <f t="shared" si="9"/>
        <v>#REF!</v>
      </c>
      <c r="O36" s="2854"/>
      <c r="P36" s="2854"/>
      <c r="Q36" s="2746"/>
      <c r="R36" s="2846" t="e">
        <f t="shared" si="0"/>
        <v>#REF!</v>
      </c>
      <c r="S36" s="2846" t="e">
        <f t="shared" si="10"/>
        <v>#REF!</v>
      </c>
    </row>
    <row r="37" spans="1:23" ht="36.75" customHeight="1">
      <c r="A37" s="2858">
        <v>11</v>
      </c>
      <c r="B37" s="2865" t="s">
        <v>1929</v>
      </c>
      <c r="C37" s="2852"/>
      <c r="D37" s="3366" t="s">
        <v>451</v>
      </c>
      <c r="E37" s="2883"/>
      <c r="F37" s="2883"/>
      <c r="G37" s="2851"/>
      <c r="H37" s="2883"/>
      <c r="I37" s="2883"/>
      <c r="J37" s="2883"/>
      <c r="K37" s="2883"/>
      <c r="L37" s="2853"/>
      <c r="M37" s="2862" t="e">
        <f>+VLOOKUP(B37,#REF!,36,0)</f>
        <v>#REF!</v>
      </c>
      <c r="N37" s="2862" t="e">
        <f t="shared" si="9"/>
        <v>#REF!</v>
      </c>
      <c r="O37" s="2854"/>
      <c r="P37" s="2854"/>
      <c r="Q37" s="2746"/>
      <c r="R37" s="2846" t="e">
        <f t="shared" si="0"/>
        <v>#REF!</v>
      </c>
      <c r="S37" s="2846" t="e">
        <f t="shared" si="10"/>
        <v>#REF!</v>
      </c>
    </row>
    <row r="38" spans="1:23" ht="36.75" customHeight="1">
      <c r="A38" s="3910" t="s">
        <v>1863</v>
      </c>
      <c r="B38" s="3911"/>
      <c r="C38" s="2866"/>
      <c r="D38" s="3180"/>
      <c r="E38" s="3599"/>
      <c r="F38" s="3599"/>
      <c r="G38" s="3599"/>
      <c r="H38" s="3181"/>
      <c r="I38" s="3181"/>
      <c r="J38" s="3181"/>
      <c r="K38" s="3181"/>
      <c r="L38" s="2867"/>
      <c r="M38" s="2867" t="e">
        <f>+SUBTOTAL(9,M27:M37)</f>
        <v>#REF!</v>
      </c>
      <c r="N38" s="2867">
        <v>237</v>
      </c>
      <c r="O38" s="2868" t="e">
        <f>+SUBTOTAL(9,O12:O37)</f>
        <v>#N/A</v>
      </c>
      <c r="P38" s="2869" t="e">
        <f>+SUBTOTAL(9,P12:P37)</f>
        <v>#N/A</v>
      </c>
      <c r="Q38" s="2856"/>
    </row>
    <row r="39" spans="1:23" ht="36.75" customHeight="1">
      <c r="A39" s="2851">
        <v>1</v>
      </c>
      <c r="B39" s="2812" t="s">
        <v>243</v>
      </c>
      <c r="C39" s="2852"/>
      <c r="D39" s="3364" t="s">
        <v>452</v>
      </c>
      <c r="E39" s="2851"/>
      <c r="F39" s="2851"/>
      <c r="G39" s="2851"/>
      <c r="H39" s="2851"/>
      <c r="I39" s="2851"/>
      <c r="J39" s="2851"/>
      <c r="K39" s="2851"/>
      <c r="L39" s="2745"/>
      <c r="M39" s="2745" t="e">
        <f>+VLOOKUP(B39,#REF!,36,0)</f>
        <v>#REF!</v>
      </c>
      <c r="N39" s="2745" t="e">
        <f>+L39+M39</f>
        <v>#REF!</v>
      </c>
      <c r="O39" s="2854" t="e">
        <f>+VLOOKUP(C39,[1]Sheet1!$D$9:$E$122,2,0)</f>
        <v>#N/A</v>
      </c>
      <c r="P39" s="2854" t="e">
        <f>+IF(O39=B39,"0","1")</f>
        <v>#N/A</v>
      </c>
      <c r="Q39" s="2746"/>
      <c r="R39" s="2846" t="e">
        <f t="shared" ref="R39:R44" si="11">IF(N39&gt;=24,"100%","80%")</f>
        <v>#REF!</v>
      </c>
      <c r="S39" s="2846" t="e">
        <f>IF(N39&gt;=18," THƯỞNG 100%"," THƯỞNG 80%")</f>
        <v>#REF!</v>
      </c>
    </row>
    <row r="40" spans="1:23" ht="36.75" customHeight="1">
      <c r="A40" s="2851">
        <v>2</v>
      </c>
      <c r="B40" s="2812" t="s">
        <v>1535</v>
      </c>
      <c r="C40" s="2852"/>
      <c r="D40" s="3364" t="s">
        <v>452</v>
      </c>
      <c r="E40" s="2851"/>
      <c r="F40" s="2851"/>
      <c r="G40" s="2851"/>
      <c r="H40" s="2851"/>
      <c r="I40" s="2851"/>
      <c r="J40" s="2851"/>
      <c r="K40" s="2851"/>
      <c r="L40" s="2745"/>
      <c r="M40" s="2745" t="e">
        <f>+VLOOKUP(B40,#REF!,36,0)</f>
        <v>#REF!</v>
      </c>
      <c r="N40" s="2745" t="e">
        <f t="shared" ref="N40:N44" si="12">+L40+M40</f>
        <v>#REF!</v>
      </c>
      <c r="O40" s="2854" t="e">
        <f>+VLOOKUP(C40,[1]Sheet1!$D$9:$E$122,2,0)</f>
        <v>#N/A</v>
      </c>
      <c r="P40" s="2854" t="e">
        <f>+IF(O40=B40,"0","1")</f>
        <v>#N/A</v>
      </c>
      <c r="Q40" s="2746"/>
      <c r="R40" s="2846" t="e">
        <f t="shared" si="11"/>
        <v>#REF!</v>
      </c>
      <c r="S40" s="2846" t="e">
        <f>IF(N40&gt;=18," THƯỞNG 100%"," THƯỞNG 80%")</f>
        <v>#REF!</v>
      </c>
    </row>
    <row r="41" spans="1:23" ht="36.75" customHeight="1">
      <c r="A41" s="2851">
        <v>3</v>
      </c>
      <c r="B41" s="2812" t="s">
        <v>1705</v>
      </c>
      <c r="C41" s="2852"/>
      <c r="D41" s="3364" t="s">
        <v>452</v>
      </c>
      <c r="E41" s="2851"/>
      <c r="F41" s="2851"/>
      <c r="G41" s="2851"/>
      <c r="H41" s="2851"/>
      <c r="I41" s="2851"/>
      <c r="J41" s="2851"/>
      <c r="K41" s="2851"/>
      <c r="L41" s="2745"/>
      <c r="M41" s="2745" t="e">
        <f>+VLOOKUP(B41,#REF!,36,0)</f>
        <v>#REF!</v>
      </c>
      <c r="N41" s="2745" t="e">
        <f t="shared" si="12"/>
        <v>#REF!</v>
      </c>
      <c r="O41" s="2854"/>
      <c r="P41" s="2854"/>
      <c r="Q41" s="2746"/>
      <c r="R41" s="2846" t="e">
        <f t="shared" si="11"/>
        <v>#REF!</v>
      </c>
      <c r="S41" s="2846" t="e">
        <f t="shared" ref="S41:S44" si="13">IF(N41&gt;=18," THƯỞNG 100%"," THƯỞNG 80%")</f>
        <v>#REF!</v>
      </c>
    </row>
    <row r="42" spans="1:23" ht="36.75" customHeight="1">
      <c r="A42" s="2851">
        <v>4</v>
      </c>
      <c r="B42" s="2812" t="s">
        <v>1706</v>
      </c>
      <c r="C42" s="2852"/>
      <c r="D42" s="3364" t="s">
        <v>452</v>
      </c>
      <c r="E42" s="2851"/>
      <c r="F42" s="2851"/>
      <c r="G42" s="2851"/>
      <c r="H42" s="2851"/>
      <c r="I42" s="2851"/>
      <c r="J42" s="2851"/>
      <c r="K42" s="2851"/>
      <c r="L42" s="2745"/>
      <c r="M42" s="2745" t="e">
        <f>+VLOOKUP(B42,#REF!,36,0)</f>
        <v>#REF!</v>
      </c>
      <c r="N42" s="2745" t="e">
        <f t="shared" si="12"/>
        <v>#REF!</v>
      </c>
      <c r="O42" s="2854"/>
      <c r="P42" s="2854"/>
      <c r="Q42" s="2746"/>
      <c r="R42" s="2846" t="e">
        <f t="shared" si="11"/>
        <v>#REF!</v>
      </c>
      <c r="S42" s="2846" t="e">
        <f t="shared" si="13"/>
        <v>#REF!</v>
      </c>
    </row>
    <row r="43" spans="1:23" ht="36.75" customHeight="1">
      <c r="A43" s="2851">
        <v>5</v>
      </c>
      <c r="B43" s="2812" t="s">
        <v>1707</v>
      </c>
      <c r="C43" s="2852"/>
      <c r="D43" s="3364" t="s">
        <v>452</v>
      </c>
      <c r="E43" s="2851"/>
      <c r="F43" s="2851"/>
      <c r="G43" s="2851"/>
      <c r="H43" s="2851"/>
      <c r="I43" s="2851"/>
      <c r="J43" s="2851"/>
      <c r="K43" s="2851"/>
      <c r="L43" s="2745"/>
      <c r="M43" s="2745" t="e">
        <f>+VLOOKUP(B43,#REF!,36,0)</f>
        <v>#REF!</v>
      </c>
      <c r="N43" s="2745" t="e">
        <f t="shared" si="12"/>
        <v>#REF!</v>
      </c>
      <c r="O43" s="2854"/>
      <c r="P43" s="2854"/>
      <c r="Q43" s="2746"/>
      <c r="R43" s="2846" t="e">
        <f t="shared" si="11"/>
        <v>#REF!</v>
      </c>
      <c r="S43" s="2846" t="e">
        <f t="shared" si="13"/>
        <v>#REF!</v>
      </c>
    </row>
    <row r="44" spans="1:23" ht="36.75" customHeight="1">
      <c r="A44" s="2851">
        <v>6</v>
      </c>
      <c r="B44" s="2812" t="s">
        <v>1708</v>
      </c>
      <c r="C44" s="2852"/>
      <c r="D44" s="3364" t="s">
        <v>452</v>
      </c>
      <c r="E44" s="2851"/>
      <c r="F44" s="2851"/>
      <c r="G44" s="2851"/>
      <c r="H44" s="2851"/>
      <c r="I44" s="2851"/>
      <c r="J44" s="2851"/>
      <c r="K44" s="2851"/>
      <c r="L44" s="2745"/>
      <c r="M44" s="2745" t="e">
        <f>+VLOOKUP(B44,#REF!,36,0)</f>
        <v>#REF!</v>
      </c>
      <c r="N44" s="2745" t="e">
        <f t="shared" si="12"/>
        <v>#REF!</v>
      </c>
      <c r="O44" s="2854"/>
      <c r="P44" s="2854"/>
      <c r="Q44" s="2746"/>
      <c r="R44" s="2846" t="e">
        <f t="shared" si="11"/>
        <v>#REF!</v>
      </c>
      <c r="S44" s="2846" t="e">
        <f t="shared" si="13"/>
        <v>#REF!</v>
      </c>
    </row>
    <row r="45" spans="1:23" ht="36.75" customHeight="1">
      <c r="A45" s="3912" t="s">
        <v>1864</v>
      </c>
      <c r="B45" s="3912"/>
      <c r="C45" s="2876"/>
      <c r="D45" s="3367"/>
      <c r="E45" s="3577"/>
      <c r="F45" s="3577"/>
      <c r="G45" s="3577"/>
      <c r="H45" s="3577"/>
      <c r="I45" s="3577"/>
      <c r="J45" s="3577"/>
      <c r="K45" s="3577"/>
      <c r="L45" s="3374"/>
      <c r="M45" s="3374" t="e">
        <f>+SUM(M39:M44)</f>
        <v>#REF!</v>
      </c>
      <c r="N45" s="3374">
        <v>129</v>
      </c>
      <c r="Q45" s="2856"/>
      <c r="S45" s="2857">
        <f>+L45+L51</f>
        <v>0</v>
      </c>
      <c r="T45" s="2857">
        <v>61</v>
      </c>
      <c r="U45" s="2857" t="e">
        <f>+#REF!+#REF!</f>
        <v>#REF!</v>
      </c>
      <c r="V45" s="2857" t="e">
        <f>+#REF!+#REF!</f>
        <v>#REF!</v>
      </c>
      <c r="W45" s="2857">
        <f>+N45+N51</f>
        <v>236</v>
      </c>
    </row>
    <row r="46" spans="1:23" ht="36.75" customHeight="1">
      <c r="A46" s="3058">
        <v>1</v>
      </c>
      <c r="B46" s="2812" t="s">
        <v>1268</v>
      </c>
      <c r="C46" s="2852"/>
      <c r="D46" s="3364" t="s">
        <v>452</v>
      </c>
      <c r="E46" s="2851"/>
      <c r="F46" s="2851"/>
      <c r="G46" s="3287"/>
      <c r="H46" s="2851"/>
      <c r="I46" s="2851"/>
      <c r="J46" s="2851"/>
      <c r="K46" s="2851"/>
      <c r="L46" s="2745"/>
      <c r="M46" s="2880" t="e">
        <f>+VLOOKUP(B46,#REF!,36,0)</f>
        <v>#REF!</v>
      </c>
      <c r="N46" s="2745" t="e">
        <f>+L46+M46</f>
        <v>#REF!</v>
      </c>
      <c r="O46" s="2854" t="e">
        <f>+VLOOKUP(C46,[1]Sheet1!$D$9:$E$122,2,0)</f>
        <v>#N/A</v>
      </c>
      <c r="P46" s="2854" t="e">
        <f>+IF(O46=B46,"0","1")</f>
        <v>#N/A</v>
      </c>
      <c r="Q46" s="2746"/>
      <c r="R46" s="2846" t="e">
        <f t="shared" ref="R46:R52" si="14">IF(N46&gt;=24,"100%","80%")</f>
        <v>#REF!</v>
      </c>
      <c r="S46" s="2846" t="e">
        <f t="shared" ref="S46" si="15">IF(N46&gt;=18," THƯỞNG 100%"," THƯỞNG 80%")</f>
        <v>#REF!</v>
      </c>
    </row>
    <row r="47" spans="1:23" ht="36.75" customHeight="1">
      <c r="A47" s="3061">
        <v>2</v>
      </c>
      <c r="B47" s="2812" t="s">
        <v>1210</v>
      </c>
      <c r="C47" s="2852"/>
      <c r="D47" s="3364" t="s">
        <v>452</v>
      </c>
      <c r="E47" s="2851"/>
      <c r="F47" s="2851"/>
      <c r="G47" s="2851"/>
      <c r="H47" s="2851"/>
      <c r="I47" s="2851"/>
      <c r="J47" s="2851"/>
      <c r="K47" s="2851"/>
      <c r="L47" s="2745"/>
      <c r="M47" s="2880" t="e">
        <f>+VLOOKUP(B47,#REF!,36,0)</f>
        <v>#REF!</v>
      </c>
      <c r="N47" s="2745" t="e">
        <f t="shared" ref="N47:N50" si="16">+L47+M47</f>
        <v>#REF!</v>
      </c>
      <c r="O47" s="2854"/>
      <c r="P47" s="2854"/>
      <c r="Q47" s="2746"/>
      <c r="R47" s="2846" t="e">
        <f t="shared" si="14"/>
        <v>#REF!</v>
      </c>
      <c r="S47" s="2846" t="e">
        <f>IF(N47&gt;=18," THƯỞNG 100%"," THƯỞNG 80%")</f>
        <v>#REF!</v>
      </c>
    </row>
    <row r="48" spans="1:23" ht="36.75" customHeight="1">
      <c r="A48" s="3058">
        <v>3</v>
      </c>
      <c r="B48" s="2812" t="s">
        <v>1515</v>
      </c>
      <c r="C48" s="2852"/>
      <c r="D48" s="3364" t="s">
        <v>452</v>
      </c>
      <c r="E48" s="2851"/>
      <c r="F48" s="2851"/>
      <c r="G48" s="2851"/>
      <c r="H48" s="2851"/>
      <c r="I48" s="2851"/>
      <c r="J48" s="2851"/>
      <c r="K48" s="2851"/>
      <c r="L48" s="2745"/>
      <c r="M48" s="2880" t="e">
        <f>+VLOOKUP(B48,#REF!,36,0)</f>
        <v>#REF!</v>
      </c>
      <c r="N48" s="2745" t="e">
        <f t="shared" si="16"/>
        <v>#REF!</v>
      </c>
      <c r="O48" s="2854"/>
      <c r="P48" s="2854"/>
      <c r="Q48" s="2746"/>
      <c r="R48" s="2846" t="e">
        <f t="shared" si="14"/>
        <v>#REF!</v>
      </c>
      <c r="S48" s="2846" t="e">
        <f t="shared" ref="S48:S49" si="17">IF(N48&gt;=18," THƯỞNG 100%"," THƯỞNG 80%")</f>
        <v>#REF!</v>
      </c>
    </row>
    <row r="49" spans="1:19" ht="36.75" customHeight="1">
      <c r="A49" s="3061">
        <v>4</v>
      </c>
      <c r="B49" s="2812" t="s">
        <v>1516</v>
      </c>
      <c r="C49" s="2852"/>
      <c r="D49" s="3364" t="s">
        <v>452</v>
      </c>
      <c r="E49" s="2851"/>
      <c r="F49" s="2851"/>
      <c r="G49" s="2851"/>
      <c r="H49" s="2851"/>
      <c r="I49" s="2851"/>
      <c r="J49" s="2851"/>
      <c r="K49" s="2851"/>
      <c r="L49" s="2745"/>
      <c r="M49" s="2880" t="e">
        <f>+VLOOKUP(B49,#REF!,36,0)</f>
        <v>#REF!</v>
      </c>
      <c r="N49" s="2745" t="e">
        <f t="shared" si="16"/>
        <v>#REF!</v>
      </c>
      <c r="O49" s="2854"/>
      <c r="P49" s="2854"/>
      <c r="Q49" s="2746"/>
      <c r="R49" s="2846" t="e">
        <f t="shared" si="14"/>
        <v>#REF!</v>
      </c>
      <c r="S49" s="2846" t="e">
        <f t="shared" si="17"/>
        <v>#REF!</v>
      </c>
    </row>
    <row r="50" spans="1:19" ht="36.75" customHeight="1">
      <c r="A50" s="3058">
        <v>5</v>
      </c>
      <c r="B50" s="2812" t="s">
        <v>1253</v>
      </c>
      <c r="C50" s="2852"/>
      <c r="D50" s="3364" t="s">
        <v>452</v>
      </c>
      <c r="E50" s="2851"/>
      <c r="F50" s="2851"/>
      <c r="G50" s="2851"/>
      <c r="H50" s="2851"/>
      <c r="I50" s="2851"/>
      <c r="J50" s="2851"/>
      <c r="K50" s="2851"/>
      <c r="L50" s="2745"/>
      <c r="M50" s="2880" t="e">
        <f>+VLOOKUP(B50,#REF!,36,0)</f>
        <v>#REF!</v>
      </c>
      <c r="N50" s="2745" t="e">
        <f t="shared" si="16"/>
        <v>#REF!</v>
      </c>
      <c r="O50" s="2854"/>
      <c r="P50" s="2854"/>
      <c r="Q50" s="2746"/>
      <c r="R50" s="2846" t="e">
        <f t="shared" si="14"/>
        <v>#REF!</v>
      </c>
      <c r="S50" s="2846" t="e">
        <f>IF(N50&gt;=18," THƯỞNG 100%"," THƯỞNG 80%")</f>
        <v>#REF!</v>
      </c>
    </row>
    <row r="51" spans="1:19" ht="36.75" customHeight="1">
      <c r="A51" s="3912" t="s">
        <v>1865</v>
      </c>
      <c r="B51" s="3912"/>
      <c r="C51" s="2866"/>
      <c r="D51" s="3368"/>
      <c r="E51" s="2867"/>
      <c r="F51" s="2867"/>
      <c r="G51" s="2867"/>
      <c r="H51" s="2867"/>
      <c r="I51" s="2867"/>
      <c r="J51" s="2867"/>
      <c r="K51" s="2867"/>
      <c r="L51" s="2877"/>
      <c r="M51" s="2877" t="e">
        <f>+SUM(M46:M50)</f>
        <v>#REF!</v>
      </c>
      <c r="N51" s="2877">
        <v>107</v>
      </c>
      <c r="O51" s="2877" t="e">
        <f>+SUM(O46:O50)</f>
        <v>#N/A</v>
      </c>
      <c r="P51" s="2877" t="e">
        <f>+SUM(P46:P50)</f>
        <v>#N/A</v>
      </c>
      <c r="Q51" s="2877">
        <f>+SUM(Q46:Q50)</f>
        <v>0</v>
      </c>
    </row>
    <row r="52" spans="1:19" ht="36.75" customHeight="1">
      <c r="A52" s="2861">
        <v>1</v>
      </c>
      <c r="B52" s="2878" t="s">
        <v>1216</v>
      </c>
      <c r="C52" s="2879"/>
      <c r="D52" s="3369" t="s">
        <v>453</v>
      </c>
      <c r="E52" s="2851"/>
      <c r="F52" s="2851"/>
      <c r="G52" s="2851"/>
      <c r="H52" s="2851"/>
      <c r="I52" s="2851"/>
      <c r="J52" s="2851"/>
      <c r="K52" s="2851"/>
      <c r="L52" s="2880"/>
      <c r="M52" s="2880">
        <v>19</v>
      </c>
      <c r="N52" s="2880">
        <v>19</v>
      </c>
      <c r="O52" s="2863" t="e">
        <f>+VLOOKUP(C52,[1]Sheet1!$D$9:$E$122,2,0)</f>
        <v>#N/A</v>
      </c>
      <c r="P52" s="2863" t="e">
        <f>+IF(O52=B52,"0","1")</f>
        <v>#N/A</v>
      </c>
      <c r="Q52" s="2875"/>
      <c r="R52" s="2846" t="str">
        <f t="shared" si="14"/>
        <v>80%</v>
      </c>
      <c r="S52" s="2846" t="str">
        <f>IF(N52&gt;=18," THƯỞNG 100%"," THƯỞNG 80%")</f>
        <v xml:space="preserve"> THƯỞNG 100%</v>
      </c>
    </row>
    <row r="53" spans="1:19" ht="36.75" customHeight="1">
      <c r="A53" s="3913" t="s">
        <v>453</v>
      </c>
      <c r="B53" s="3914"/>
      <c r="C53" s="2886"/>
      <c r="D53" s="3371"/>
      <c r="E53" s="2867">
        <f t="shared" ref="E53:K53" si="18">COUNTIF(E52:E52,"X")+COUNTIF(E52:E52,"cn")+COUNTIF(E52:E52,"D")+COUNTIF(E52:E52,"DCN")</f>
        <v>0</v>
      </c>
      <c r="F53" s="2867">
        <f t="shared" si="18"/>
        <v>0</v>
      </c>
      <c r="G53" s="2867">
        <f t="shared" si="18"/>
        <v>0</v>
      </c>
      <c r="H53" s="2867">
        <f t="shared" si="18"/>
        <v>0</v>
      </c>
      <c r="I53" s="2867">
        <f t="shared" si="18"/>
        <v>0</v>
      </c>
      <c r="J53" s="2867">
        <f t="shared" si="18"/>
        <v>0</v>
      </c>
      <c r="K53" s="2867">
        <f t="shared" si="18"/>
        <v>0</v>
      </c>
      <c r="L53" s="2887">
        <f>SUBTOTAL(9,L52:L52)</f>
        <v>0</v>
      </c>
      <c r="M53" s="2887">
        <f>SUBTOTAL(9,M52:M52)</f>
        <v>19</v>
      </c>
      <c r="N53" s="2887">
        <f>+L53+M53</f>
        <v>19</v>
      </c>
      <c r="Q53" s="2888"/>
    </row>
    <row r="54" spans="1:19" ht="36.75" customHeight="1">
      <c r="A54" s="3915" t="s">
        <v>61</v>
      </c>
      <c r="B54" s="3916"/>
      <c r="C54" s="2889"/>
      <c r="D54" s="3372"/>
      <c r="E54" s="3179">
        <f>+E53+E51+E45+E38+E26</f>
        <v>0</v>
      </c>
      <c r="F54" s="3179">
        <f>+F53+F51+F45+F38+F26</f>
        <v>0</v>
      </c>
      <c r="G54" s="3179">
        <f>+G53+G51+G45+G38+G26</f>
        <v>0</v>
      </c>
      <c r="H54" s="3179">
        <f>+H53+H51+H45+H38+H26</f>
        <v>0</v>
      </c>
      <c r="I54" s="3179">
        <f t="shared" ref="I54:J54" si="19">+I53+I51+I45+I38+I26</f>
        <v>0</v>
      </c>
      <c r="J54" s="3179">
        <f t="shared" si="19"/>
        <v>0</v>
      </c>
      <c r="K54" s="3179">
        <f>+K53+K51+K45+K38+K26</f>
        <v>0</v>
      </c>
      <c r="L54" s="3391">
        <f>+L53+L51+L45+L38+L26</f>
        <v>0</v>
      </c>
      <c r="M54" s="3391" t="e">
        <f>+M53+M51+M45+M38+M26</f>
        <v>#REF!</v>
      </c>
      <c r="N54" s="3391">
        <f>+N53+N51+N45+N38+N26</f>
        <v>795</v>
      </c>
      <c r="O54" s="2890" t="e">
        <f>SUBTOTAL(9,O12:O53)</f>
        <v>#N/A</v>
      </c>
      <c r="P54" s="2891" t="e">
        <f>SUBTOTAL(9,P12:P53)</f>
        <v>#N/A</v>
      </c>
      <c r="Q54" s="2856"/>
      <c r="S54" s="3485"/>
    </row>
    <row r="55" spans="1:19" ht="15" customHeight="1">
      <c r="A55" s="3949" t="s">
        <v>92</v>
      </c>
      <c r="B55" s="3949"/>
      <c r="D55" s="3493" t="s">
        <v>29</v>
      </c>
      <c r="E55" s="3917" t="s">
        <v>1422</v>
      </c>
      <c r="F55" s="3917"/>
      <c r="G55" s="3917"/>
      <c r="H55" s="3917"/>
      <c r="I55" s="3917"/>
      <c r="J55" s="3917"/>
      <c r="K55" s="3917"/>
      <c r="L55" s="3918"/>
      <c r="M55" s="3918"/>
      <c r="N55" s="3918"/>
      <c r="O55" s="3918"/>
      <c r="P55" s="3918"/>
      <c r="Q55" s="3918"/>
      <c r="R55" s="3178"/>
      <c r="S55" s="3178"/>
    </row>
    <row r="56" spans="1:19" ht="15" customHeight="1">
      <c r="D56" s="3493"/>
      <c r="E56" s="3919"/>
      <c r="F56" s="3919"/>
      <c r="G56" s="3919"/>
      <c r="H56" s="3919"/>
      <c r="I56" s="3919"/>
      <c r="J56" s="3919"/>
      <c r="K56" s="3919"/>
      <c r="L56" s="3948" t="s">
        <v>2112</v>
      </c>
      <c r="M56" s="3948"/>
      <c r="N56" s="3948"/>
      <c r="O56" s="3948"/>
      <c r="P56" s="3948"/>
      <c r="Q56" s="3948"/>
      <c r="R56" s="3485"/>
      <c r="S56" s="3485"/>
    </row>
    <row r="57" spans="1:19">
      <c r="A57" s="3920" t="s">
        <v>20</v>
      </c>
      <c r="B57" s="3920"/>
      <c r="C57" s="3920"/>
      <c r="D57" s="3920"/>
      <c r="E57" s="3947" t="s">
        <v>2129</v>
      </c>
      <c r="F57" s="3947"/>
      <c r="G57" s="3947"/>
      <c r="H57" s="3947"/>
      <c r="I57" s="3947"/>
      <c r="J57" s="3947" t="s">
        <v>1467</v>
      </c>
      <c r="K57" s="3947"/>
      <c r="L57" s="3947"/>
      <c r="M57" s="3920" t="s">
        <v>21</v>
      </c>
      <c r="N57" s="3920"/>
      <c r="O57" s="3920"/>
      <c r="P57" s="3920"/>
      <c r="Q57" s="3920"/>
      <c r="R57" s="3485"/>
      <c r="S57" s="3485"/>
    </row>
    <row r="58" spans="1:19" ht="30.75" customHeight="1">
      <c r="A58" s="3920"/>
      <c r="B58" s="3920"/>
      <c r="C58" s="3920"/>
      <c r="D58" s="3920"/>
      <c r="E58" s="3920"/>
      <c r="F58" s="3920"/>
      <c r="G58" s="3921"/>
      <c r="H58" s="3921"/>
      <c r="I58" s="3921"/>
      <c r="J58" s="3921"/>
      <c r="K58" s="3921"/>
      <c r="L58" s="3921"/>
      <c r="M58" s="3921"/>
      <c r="N58" s="3921"/>
      <c r="O58" s="3921"/>
      <c r="P58" s="3921"/>
      <c r="Q58" s="3921"/>
      <c r="S58" s="3360"/>
    </row>
    <row r="59" spans="1:19" ht="30.75" customHeight="1">
      <c r="A59" s="3568"/>
      <c r="B59" s="3568"/>
      <c r="C59" s="3568"/>
      <c r="D59" s="3568"/>
      <c r="E59" s="3568"/>
      <c r="F59" s="3568"/>
      <c r="G59" s="3567"/>
      <c r="H59" s="3567"/>
      <c r="I59" s="3567"/>
      <c r="J59" s="3567"/>
      <c r="K59" s="3567"/>
      <c r="L59" s="3567"/>
      <c r="M59" s="3567"/>
      <c r="N59" s="3567"/>
      <c r="O59" s="3567"/>
      <c r="P59" s="3567"/>
      <c r="Q59" s="3567"/>
      <c r="S59" s="3360"/>
    </row>
    <row r="60" spans="1:19" ht="30.75" customHeight="1">
      <c r="A60" s="3568"/>
      <c r="B60" s="3568"/>
      <c r="C60" s="3568"/>
      <c r="D60" s="3568"/>
      <c r="E60" s="3568"/>
      <c r="F60" s="3568"/>
      <c r="G60" s="3567"/>
      <c r="H60" s="3567"/>
      <c r="I60" s="3567"/>
      <c r="J60" s="3567"/>
      <c r="K60" s="3567"/>
      <c r="L60" s="3567"/>
      <c r="M60" s="3567"/>
      <c r="N60" s="3567"/>
      <c r="O60" s="3567"/>
      <c r="P60" s="3567"/>
      <c r="Q60" s="3567"/>
      <c r="S60" s="3360"/>
    </row>
    <row r="61" spans="1:19">
      <c r="G61" s="2850"/>
      <c r="H61" s="2850"/>
      <c r="I61" s="2850"/>
      <c r="J61" s="2850"/>
      <c r="K61" s="2850"/>
      <c r="L61" s="3526"/>
      <c r="M61" s="3526"/>
      <c r="N61" s="3526"/>
    </row>
    <row r="62" spans="1:19">
      <c r="N62" s="3184"/>
    </row>
    <row r="63" spans="1:19">
      <c r="A63" s="3920" t="s">
        <v>84</v>
      </c>
      <c r="B63" s="3920"/>
      <c r="C63" s="985"/>
      <c r="D63" s="3493"/>
      <c r="E63" s="3920" t="s">
        <v>241</v>
      </c>
      <c r="F63" s="3920"/>
      <c r="G63" s="3920"/>
      <c r="H63" s="3920"/>
      <c r="I63" s="3920"/>
      <c r="J63" s="3920"/>
      <c r="K63" s="985"/>
      <c r="L63" s="3920" t="s">
        <v>2130</v>
      </c>
      <c r="M63" s="3920"/>
      <c r="N63" s="3920"/>
      <c r="O63" s="3920"/>
      <c r="P63" s="3920"/>
      <c r="Q63" s="3920"/>
    </row>
    <row r="64" spans="1:19" ht="22.5" customHeight="1">
      <c r="J64" s="2870"/>
      <c r="L64" s="2846"/>
      <c r="M64" s="2846"/>
      <c r="N64" s="3526"/>
      <c r="S64" s="3361"/>
    </row>
    <row r="65" spans="4:17">
      <c r="N65" s="3526"/>
    </row>
    <row r="66" spans="4:17">
      <c r="N66" s="3526"/>
    </row>
    <row r="67" spans="4:17">
      <c r="N67" s="3526"/>
    </row>
    <row r="68" spans="4:17">
      <c r="N68" s="3526"/>
    </row>
    <row r="69" spans="4:17">
      <c r="D69" s="3373"/>
      <c r="N69" s="3526"/>
      <c r="O69" s="3062"/>
      <c r="P69" s="3062"/>
      <c r="Q69" s="3062"/>
    </row>
    <row r="70" spans="4:17">
      <c r="D70" s="3373"/>
      <c r="N70" s="3526"/>
      <c r="O70" s="3062"/>
      <c r="P70" s="3062"/>
      <c r="Q70" s="3062"/>
    </row>
    <row r="71" spans="4:17">
      <c r="N71" s="3526"/>
      <c r="O71" s="3062"/>
      <c r="P71" s="3062"/>
      <c r="Q71" s="3062"/>
    </row>
    <row r="72" spans="4:17">
      <c r="N72" s="3526"/>
      <c r="O72" s="3062"/>
      <c r="P72" s="3062"/>
      <c r="Q72" s="3062"/>
    </row>
    <row r="73" spans="4:17">
      <c r="N73" s="3063"/>
      <c r="O73" s="3062"/>
      <c r="P73" s="3062"/>
      <c r="Q73" s="3062"/>
    </row>
    <row r="74" spans="4:17">
      <c r="N74" s="2846"/>
    </row>
    <row r="75" spans="4:17">
      <c r="N75" s="2846"/>
    </row>
    <row r="76" spans="4:17">
      <c r="D76" s="2846"/>
      <c r="L76" s="2846"/>
      <c r="M76" s="2846"/>
      <c r="N76" s="2846"/>
    </row>
  </sheetData>
  <autoFilter ref="A11:S58"/>
  <mergeCells count="36">
    <mergeCell ref="A8:Q8"/>
    <mergeCell ref="A1:Q1"/>
    <mergeCell ref="A2:Q2"/>
    <mergeCell ref="A3:Q3"/>
    <mergeCell ref="A4:G4"/>
    <mergeCell ref="A5:G5"/>
    <mergeCell ref="A55:B55"/>
    <mergeCell ref="M10:M11"/>
    <mergeCell ref="N10:N11"/>
    <mergeCell ref="Q10:Q11"/>
    <mergeCell ref="A26:D26"/>
    <mergeCell ref="A10:A11"/>
    <mergeCell ref="B10:B11"/>
    <mergeCell ref="C10:C11"/>
    <mergeCell ref="D10:D11"/>
    <mergeCell ref="E10:K10"/>
    <mergeCell ref="L10:L11"/>
    <mergeCell ref="A38:B38"/>
    <mergeCell ref="A45:B45"/>
    <mergeCell ref="A51:B51"/>
    <mergeCell ref="A53:B53"/>
    <mergeCell ref="A54:B54"/>
    <mergeCell ref="L56:Q56"/>
    <mergeCell ref="M57:Q57"/>
    <mergeCell ref="J57:L57"/>
    <mergeCell ref="E55:K55"/>
    <mergeCell ref="L55:Q55"/>
    <mergeCell ref="E56:K56"/>
    <mergeCell ref="L63:Q63"/>
    <mergeCell ref="A63:B63"/>
    <mergeCell ref="A57:D57"/>
    <mergeCell ref="E57:I57"/>
    <mergeCell ref="E63:J63"/>
    <mergeCell ref="A58:F58"/>
    <mergeCell ref="G58:K58"/>
    <mergeCell ref="L58:Q58"/>
  </mergeCells>
  <pageMargins left="0.19685039370078741" right="0.19685039370078741" top="0.74803149606299213" bottom="0.31496062992125984" header="0.31496062992125984" footer="0.31496062992125984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D196"/>
  <sheetViews>
    <sheetView topLeftCell="A89" zoomScale="55" zoomScaleNormal="55" workbookViewId="0">
      <selection activeCell="T13" sqref="T1:W1048576"/>
    </sheetView>
  </sheetViews>
  <sheetFormatPr defaultColWidth="9.42578125" defaultRowHeight="23.25"/>
  <cols>
    <col min="1" max="1" width="8.28515625" style="3595" customWidth="1"/>
    <col min="2" max="2" width="13.28515625" style="2517" hidden="1" customWidth="1"/>
    <col min="3" max="3" width="39.85546875" style="2518" customWidth="1"/>
    <col min="4" max="4" width="18.7109375" style="2519" customWidth="1"/>
    <col min="5" max="5" width="26.42578125" style="2519" customWidth="1"/>
    <col min="6" max="6" width="20.140625" style="2520" customWidth="1"/>
    <col min="7" max="7" width="28.7109375" style="2519" customWidth="1"/>
    <col min="8" max="8" width="18.5703125" style="2519" customWidth="1"/>
    <col min="9" max="9" width="15.140625" style="2519" hidden="1" customWidth="1"/>
    <col min="10" max="10" width="19.28515625" style="3019" customWidth="1"/>
    <col min="11" max="11" width="19.28515625" style="3019" hidden="1" customWidth="1"/>
    <col min="12" max="12" width="13.28515625" style="2522" customWidth="1"/>
    <col min="13" max="13" width="21.28515625" style="2523" customWidth="1"/>
    <col min="14" max="15" width="15.42578125" style="2519" customWidth="1"/>
    <col min="16" max="16" width="13.85546875" style="2519" customWidth="1"/>
    <col min="17" max="17" width="14.85546875" style="2519" customWidth="1"/>
    <col min="18" max="18" width="19.7109375" style="2519" customWidth="1"/>
    <col min="19" max="19" width="22.85546875" style="2519" customWidth="1"/>
    <col min="20" max="20" width="24.7109375" style="2519" customWidth="1"/>
    <col min="21" max="21" width="16.7109375" style="2519" customWidth="1"/>
    <col min="22" max="22" width="17.28515625" style="2519" customWidth="1"/>
    <col min="23" max="23" width="25.7109375" style="2519" customWidth="1"/>
    <col min="24" max="24" width="19.140625" style="2519" customWidth="1"/>
    <col min="25" max="25" width="25" style="2519" hidden="1" customWidth="1"/>
    <col min="26" max="26" width="23.85546875" style="2519" hidden="1" customWidth="1"/>
    <col min="27" max="28" width="24.140625" style="2519" hidden="1" customWidth="1"/>
    <col min="29" max="29" width="26.28515625" style="2519" hidden="1" customWidth="1"/>
    <col min="30" max="30" width="32.85546875" style="2519" hidden="1" customWidth="1"/>
    <col min="31" max="31" width="18.28515625" style="2519" bestFit="1" customWidth="1"/>
    <col min="32" max="32" width="9.42578125" style="2519"/>
    <col min="33" max="33" width="9.5703125" style="2519" bestFit="1" customWidth="1"/>
    <col min="34" max="16384" width="9.42578125" style="2519"/>
  </cols>
  <sheetData>
    <row r="2" spans="1:30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  <c r="X2" s="3958"/>
    </row>
    <row r="3" spans="1:30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  <c r="X3" s="3958"/>
    </row>
    <row r="4" spans="1:30" ht="21" customHeight="1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  <c r="X4" s="3960"/>
    </row>
    <row r="5" spans="1:30">
      <c r="A5" s="3704"/>
      <c r="B5" s="2524"/>
      <c r="C5" s="2524"/>
      <c r="D5" s="2524"/>
      <c r="E5" s="2691"/>
      <c r="F5" s="2524"/>
      <c r="G5" s="2524"/>
      <c r="H5" s="2524"/>
      <c r="I5" s="3571"/>
      <c r="J5" s="3014"/>
      <c r="K5" s="3014"/>
      <c r="L5" s="2524"/>
      <c r="M5" s="2524"/>
      <c r="N5" s="2524"/>
      <c r="O5" s="2524"/>
      <c r="P5" s="3290"/>
      <c r="Q5" s="3378"/>
      <c r="R5" s="3681"/>
      <c r="S5" s="2524"/>
      <c r="T5" s="2524"/>
      <c r="U5" s="2524"/>
      <c r="V5" s="2524"/>
      <c r="W5" s="2524"/>
      <c r="X5" s="2524"/>
    </row>
    <row r="6" spans="1:30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3769"/>
      <c r="L6" s="2525"/>
      <c r="M6" s="2525"/>
      <c r="N6" s="2525"/>
      <c r="O6" s="2525"/>
      <c r="P6" s="2525"/>
      <c r="Q6" s="2525"/>
      <c r="R6" s="2525"/>
      <c r="S6" s="2526"/>
      <c r="T6" s="2526"/>
      <c r="U6" s="2526"/>
      <c r="V6" s="2526"/>
      <c r="W6" s="2526"/>
    </row>
    <row r="7" spans="1:30">
      <c r="A7" s="3962" t="s">
        <v>1893</v>
      </c>
      <c r="B7" s="3962"/>
      <c r="C7" s="3962"/>
      <c r="D7" s="3962"/>
      <c r="E7" s="3962"/>
      <c r="F7" s="3962"/>
      <c r="G7" s="3962"/>
      <c r="H7" s="3962"/>
      <c r="I7" s="3962"/>
      <c r="J7" s="3962"/>
      <c r="K7" s="3768"/>
      <c r="L7" s="2525"/>
      <c r="M7" s="2525"/>
      <c r="N7" s="2525"/>
      <c r="O7" s="2525"/>
      <c r="P7" s="2525"/>
      <c r="Q7" s="2525"/>
      <c r="R7" s="2525"/>
      <c r="S7" s="2526"/>
      <c r="T7" s="2526"/>
      <c r="U7" s="2526"/>
      <c r="V7" s="2526"/>
      <c r="W7" s="2526"/>
    </row>
    <row r="8" spans="1:30">
      <c r="A8" s="3705"/>
      <c r="B8" s="2527"/>
      <c r="C8" s="2527"/>
      <c r="D8" s="2527"/>
      <c r="E8" s="2690"/>
      <c r="F8" s="2527"/>
      <c r="G8" s="2527"/>
      <c r="H8" s="2527"/>
      <c r="I8" s="3569"/>
      <c r="J8" s="3014"/>
      <c r="K8" s="3014"/>
      <c r="L8" s="2525"/>
      <c r="M8" s="2525"/>
      <c r="N8" s="2525"/>
      <c r="O8" s="2525"/>
      <c r="P8" s="2525"/>
      <c r="Q8" s="2525"/>
      <c r="R8" s="2525"/>
      <c r="S8" s="2526"/>
      <c r="T8" s="2526"/>
      <c r="U8" s="2526"/>
      <c r="V8" s="2526"/>
      <c r="W8" s="2526"/>
    </row>
    <row r="9" spans="1:30" s="2528" customFormat="1" ht="27.75" customHeight="1">
      <c r="A9" s="3963" t="s">
        <v>2302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  <c r="X9" s="3963"/>
    </row>
    <row r="10" spans="1:30" s="2528" customFormat="1" ht="24.75" hidden="1" customHeight="1">
      <c r="E10" s="3021">
        <v>655.8</v>
      </c>
    </row>
    <row r="11" spans="1:30" s="2528" customFormat="1" hidden="1">
      <c r="A11" s="3595"/>
      <c r="B11" s="2527"/>
      <c r="E11" s="3300">
        <f>+VCKD!E8</f>
        <v>640.39</v>
      </c>
      <c r="F11" s="2577"/>
      <c r="G11" s="2530"/>
      <c r="H11" s="2530"/>
      <c r="I11" s="2530"/>
      <c r="J11" s="3014"/>
      <c r="K11" s="3014"/>
      <c r="L11" s="2527"/>
      <c r="M11" s="2527"/>
      <c r="N11" s="2527"/>
      <c r="O11" s="2527"/>
      <c r="P11" s="3288"/>
      <c r="Q11" s="3376"/>
      <c r="R11" s="3672"/>
      <c r="S11" s="2527"/>
      <c r="T11" s="2527"/>
      <c r="U11" s="2527"/>
      <c r="V11" s="2527"/>
      <c r="W11" s="2527"/>
      <c r="Y11" s="2528">
        <f>'[3]Bảng CC vn'!AK10</f>
        <v>25</v>
      </c>
      <c r="AA11" s="2528">
        <f>306516-30</f>
        <v>306486</v>
      </c>
    </row>
    <row r="12" spans="1:30" ht="31.5" hidden="1" customHeight="1">
      <c r="A12" s="3593"/>
      <c r="B12" s="2533"/>
      <c r="C12" s="3301" t="s">
        <v>1589</v>
      </c>
      <c r="D12" s="3301"/>
      <c r="E12" s="3300">
        <v>646.20000000000005</v>
      </c>
      <c r="F12" s="3301"/>
      <c r="H12" s="2534"/>
      <c r="I12" s="2534"/>
      <c r="J12" s="3015"/>
      <c r="K12" s="3015"/>
      <c r="L12" s="2536"/>
      <c r="M12" s="2537"/>
      <c r="N12" s="2538"/>
      <c r="O12" s="3787"/>
      <c r="P12" s="2538"/>
      <c r="Q12" s="2538"/>
      <c r="R12" s="2538"/>
      <c r="S12" s="2538"/>
      <c r="T12" s="2538"/>
      <c r="U12" s="2538"/>
      <c r="V12" s="2538"/>
      <c r="W12" s="3969" t="s">
        <v>1590</v>
      </c>
      <c r="X12" s="3969"/>
    </row>
    <row r="13" spans="1:30" s="2527" customFormat="1" ht="26.25" customHeight="1">
      <c r="A13" s="3964" t="s">
        <v>1989</v>
      </c>
      <c r="B13" s="3965" t="s">
        <v>1591</v>
      </c>
      <c r="C13" s="3966" t="s">
        <v>1</v>
      </c>
      <c r="D13" s="3965" t="s">
        <v>2</v>
      </c>
      <c r="E13" s="3950" t="s">
        <v>10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7"/>
      <c r="T13" s="3968" t="s">
        <v>1650</v>
      </c>
      <c r="U13" s="3968" t="s">
        <v>1585</v>
      </c>
      <c r="V13" s="3951" t="s">
        <v>1653</v>
      </c>
      <c r="W13" s="3968" t="s">
        <v>1570</v>
      </c>
      <c r="X13" s="3950" t="s">
        <v>92</v>
      </c>
      <c r="Y13" s="3025" t="s">
        <v>1933</v>
      </c>
      <c r="Z13" s="3025" t="s">
        <v>1930</v>
      </c>
      <c r="AA13" s="3025" t="s">
        <v>819</v>
      </c>
      <c r="AB13" s="3392"/>
    </row>
    <row r="14" spans="1:30" s="2527" customFormat="1" ht="52.5" customHeight="1">
      <c r="A14" s="3964"/>
      <c r="B14" s="3965"/>
      <c r="C14" s="3966"/>
      <c r="D14" s="3965"/>
      <c r="E14" s="3950"/>
      <c r="F14" s="3980" t="s">
        <v>1660</v>
      </c>
      <c r="G14" s="3981"/>
      <c r="H14" s="3953" t="s">
        <v>183</v>
      </c>
      <c r="I14" s="3953"/>
      <c r="J14" s="3953"/>
      <c r="K14" s="3953"/>
      <c r="L14" s="3953"/>
      <c r="M14" s="3954"/>
      <c r="N14" s="3984" t="s">
        <v>1900</v>
      </c>
      <c r="O14" s="3953"/>
      <c r="P14" s="3953"/>
      <c r="Q14" s="3953"/>
      <c r="R14" s="3953"/>
      <c r="S14" s="3954"/>
      <c r="T14" s="3968"/>
      <c r="U14" s="3968"/>
      <c r="V14" s="3972"/>
      <c r="W14" s="3968"/>
      <c r="X14" s="3950"/>
      <c r="Y14" s="3064">
        <v>879</v>
      </c>
      <c r="Z14" s="3025">
        <v>499.5965580315692</v>
      </c>
      <c r="AA14" s="3066">
        <f>+Z14/Y14</f>
        <v>0.56836923553079544</v>
      </c>
      <c r="AB14" s="3393"/>
    </row>
    <row r="15" spans="1:30" s="2678" customFormat="1" ht="39" customHeight="1">
      <c r="A15" s="3964"/>
      <c r="B15" s="3965"/>
      <c r="C15" s="3966"/>
      <c r="D15" s="3965"/>
      <c r="E15" s="3950"/>
      <c r="F15" s="3982"/>
      <c r="G15" s="3983"/>
      <c r="H15" s="3955"/>
      <c r="I15" s="3955"/>
      <c r="J15" s="3955"/>
      <c r="K15" s="3955"/>
      <c r="L15" s="3955"/>
      <c r="M15" s="3956"/>
      <c r="N15" s="3985"/>
      <c r="O15" s="3955"/>
      <c r="P15" s="3955"/>
      <c r="Q15" s="3955"/>
      <c r="R15" s="3955"/>
      <c r="S15" s="3956"/>
      <c r="T15" s="3968"/>
      <c r="U15" s="3968"/>
      <c r="V15" s="3972"/>
      <c r="W15" s="3968"/>
      <c r="X15" s="3950"/>
      <c r="Y15" s="3025">
        <v>7475</v>
      </c>
      <c r="Z15" s="3025">
        <v>4302.9074419684312</v>
      </c>
      <c r="AA15" s="3299">
        <f>+Z15/Y15</f>
        <v>0.57563979156768308</v>
      </c>
      <c r="AB15" s="3605">
        <v>90</v>
      </c>
      <c r="AC15" s="3014">
        <v>51.874396135265698</v>
      </c>
      <c r="AD15" s="3014">
        <v>46.686956521739127</v>
      </c>
    </row>
    <row r="16" spans="1:30" s="3011" customFormat="1" ht="36" customHeight="1">
      <c r="A16" s="3964"/>
      <c r="B16" s="3965"/>
      <c r="C16" s="3966"/>
      <c r="D16" s="3965"/>
      <c r="E16" s="3950"/>
      <c r="F16" s="3987" t="s">
        <v>1593</v>
      </c>
      <c r="G16" s="3965" t="s">
        <v>14</v>
      </c>
      <c r="H16" s="3965" t="s">
        <v>1964</v>
      </c>
      <c r="I16" s="3970" t="s">
        <v>2118</v>
      </c>
      <c r="J16" s="3957" t="s">
        <v>2497</v>
      </c>
      <c r="K16" s="3957" t="s">
        <v>2497</v>
      </c>
      <c r="L16" s="3968" t="s">
        <v>1595</v>
      </c>
      <c r="M16" s="3954" t="s">
        <v>1254</v>
      </c>
      <c r="N16" s="3968" t="s">
        <v>1596</v>
      </c>
      <c r="O16" s="3968" t="s">
        <v>1651</v>
      </c>
      <c r="P16" s="3951" t="s">
        <v>1531</v>
      </c>
      <c r="Q16" s="3951" t="s">
        <v>2004</v>
      </c>
      <c r="R16" s="3951" t="s">
        <v>2304</v>
      </c>
      <c r="S16" s="3968" t="s">
        <v>1254</v>
      </c>
      <c r="T16" s="3968"/>
      <c r="U16" s="3968"/>
      <c r="V16" s="3972"/>
      <c r="W16" s="3968"/>
      <c r="X16" s="3950"/>
      <c r="Y16" s="2544">
        <f>+Y14+Y15</f>
        <v>8354</v>
      </c>
      <c r="Z16" s="2544">
        <f>+Z14+Z15</f>
        <v>4802.5040000000008</v>
      </c>
      <c r="AA16" s="2544"/>
      <c r="AB16" s="3383"/>
    </row>
    <row r="17" spans="1:28" s="2544" customFormat="1" ht="136.5" customHeight="1">
      <c r="A17" s="3964"/>
      <c r="B17" s="3965"/>
      <c r="C17" s="3966"/>
      <c r="D17" s="3965"/>
      <c r="E17" s="3950"/>
      <c r="F17" s="3988"/>
      <c r="G17" s="3965"/>
      <c r="H17" s="3965"/>
      <c r="I17" s="3971"/>
      <c r="J17" s="3957"/>
      <c r="K17" s="3957"/>
      <c r="L17" s="3968"/>
      <c r="M17" s="3956"/>
      <c r="N17" s="3968"/>
      <c r="O17" s="3968"/>
      <c r="P17" s="3952"/>
      <c r="Q17" s="3952"/>
      <c r="R17" s="3952"/>
      <c r="S17" s="3968"/>
      <c r="T17" s="3968"/>
      <c r="U17" s="3968"/>
      <c r="V17" s="3952"/>
      <c r="W17" s="3968"/>
      <c r="X17" s="3950"/>
      <c r="Y17" s="3215" t="s">
        <v>2005</v>
      </c>
      <c r="Z17" s="3226" t="s">
        <v>2006</v>
      </c>
      <c r="AA17" s="2544" t="s">
        <v>2007</v>
      </c>
      <c r="AB17" s="3383"/>
    </row>
    <row r="18" spans="1:28" s="3677" customFormat="1" ht="33" customHeight="1">
      <c r="A18" s="3706">
        <v>1</v>
      </c>
      <c r="B18" s="3673"/>
      <c r="C18" s="3708" t="s">
        <v>1557</v>
      </c>
      <c r="D18" s="3710" t="s">
        <v>167</v>
      </c>
      <c r="E18" s="3682"/>
      <c r="F18" s="3750"/>
      <c r="G18" s="3709">
        <f>ROUND(F18*25000,0)</f>
        <v>0</v>
      </c>
      <c r="H18" s="3709">
        <f>+VLOOKUP(C18,'Mủ CN (TT)'!C12:AI45,33,0)</f>
        <v>0</v>
      </c>
      <c r="I18" s="3680"/>
      <c r="J18" s="3602">
        <f>+VLOOKUP(C18,'Mủ CN (TT)'!C12:AK89,35,0)</f>
        <v>0</v>
      </c>
      <c r="K18" s="3786">
        <v>0</v>
      </c>
      <c r="L18" s="3711" t="str">
        <f>+VLOOKUP(C18,'Mủ CN (TT)'!C12:AL89,36,0)</f>
        <v>A</v>
      </c>
      <c r="M18" s="2688">
        <f>ROUND(J18*IF(L18="A",(6.1*$E$12),IF(L18="B",(5.8*$E$12),IF(L18="C",(5.5*$E$12),IF(L18="D",(5.2*$E$12))))),0)</f>
        <v>0</v>
      </c>
      <c r="N18" s="3711">
        <f>+VLOOKUP(C18,'Chấm công CN'!B12:AJ45,34,0)</f>
        <v>3</v>
      </c>
      <c r="O18" s="3711">
        <f>+VLOOKUP(C18,'Chấm công CN'!$B$12:$AJ$45,35,0)</f>
        <v>2</v>
      </c>
      <c r="P18" s="3712">
        <f>+N18+O18</f>
        <v>5</v>
      </c>
      <c r="Q18" s="3683"/>
      <c r="R18" s="3712">
        <v>500000</v>
      </c>
      <c r="S18" s="2688">
        <f>ROUND((N18*(46.1*$E$10))+(O18*(76.9*$E$10))+(P18*20000)+(Q18*30.7*$E$10),0)+R18+0.18</f>
        <v>791559.18</v>
      </c>
      <c r="T18" s="3711">
        <f t="shared" ref="T18:T49" si="0">+G18+M18+S18</f>
        <v>791559.18</v>
      </c>
      <c r="U18" s="3674"/>
      <c r="V18" s="3683"/>
      <c r="W18" s="3711">
        <f>+T18-U18</f>
        <v>791559.18</v>
      </c>
      <c r="X18" s="3682"/>
      <c r="Z18" s="3226"/>
    </row>
    <row r="19" spans="1:28" s="3677" customFormat="1" ht="33" customHeight="1">
      <c r="A19" s="3706">
        <v>2</v>
      </c>
      <c r="B19" s="3673"/>
      <c r="C19" s="3708" t="s">
        <v>2169</v>
      </c>
      <c r="D19" s="3710" t="s">
        <v>167</v>
      </c>
      <c r="E19" s="3682"/>
      <c r="F19" s="3750"/>
      <c r="G19" s="3709">
        <f t="shared" ref="G19:G82" si="1">ROUND(F19*25000,0)</f>
        <v>0</v>
      </c>
      <c r="H19" s="3709">
        <f>+VLOOKUP(C19,'Mủ CN (TT)'!C13:AI46,33,0)</f>
        <v>61</v>
      </c>
      <c r="I19" s="3680"/>
      <c r="J19" s="3602">
        <f>+VLOOKUP(C19,'Mủ CN (TT)'!C13:AK90,35,0)</f>
        <v>34.670523367378522</v>
      </c>
      <c r="K19" s="3602">
        <v>34.162995120463563</v>
      </c>
      <c r="L19" s="3711" t="str">
        <f>+VLOOKUP(C19,'Mủ CN (TT)'!C13:AL90,36,0)</f>
        <v>A</v>
      </c>
      <c r="M19" s="2688">
        <f>ROUND(J19*IF(L19="A",(6.1*$E$12),IF(L19="B",(5.8*$E$12),IF(L19="C",(5.5*$E$12),IF(L19="D",(5.2*$E$12))))),0)</f>
        <v>136665</v>
      </c>
      <c r="N19" s="3711">
        <f>+VLOOKUP(C19,'Chấm công CN'!B13:AJ46,34,0)</f>
        <v>12</v>
      </c>
      <c r="O19" s="3711">
        <f>+VLOOKUP(C19,'Chấm công CN'!$B$12:$AJ$45,35,0)</f>
        <v>3</v>
      </c>
      <c r="P19" s="3712">
        <f t="shared" ref="P19:P83" si="2">+N19+O19</f>
        <v>15</v>
      </c>
      <c r="Q19" s="3683"/>
      <c r="R19" s="3712">
        <v>500000</v>
      </c>
      <c r="S19" s="2688">
        <f>ROUND((N19*(46.1*$E$10))+(O19*(76.9*$E$10))+(P19*20000)+(Q19*30.7*$E$10),0)+R19-0.38</f>
        <v>1314081.6200000001</v>
      </c>
      <c r="T19" s="3711">
        <f t="shared" si="0"/>
        <v>1450746.62</v>
      </c>
      <c r="U19" s="3674"/>
      <c r="V19" s="3683"/>
      <c r="W19" s="3711">
        <f t="shared" ref="W19:W82" si="3">+T19-U19</f>
        <v>1450746.62</v>
      </c>
      <c r="X19" s="3682"/>
      <c r="Z19" s="3226"/>
    </row>
    <row r="20" spans="1:28" s="3677" customFormat="1" ht="33" customHeight="1">
      <c r="A20" s="3706">
        <v>3</v>
      </c>
      <c r="B20" s="3673"/>
      <c r="C20" s="3708" t="s">
        <v>2170</v>
      </c>
      <c r="D20" s="3710" t="s">
        <v>167</v>
      </c>
      <c r="E20" s="3682"/>
      <c r="F20" s="3750"/>
      <c r="G20" s="3709">
        <f t="shared" si="1"/>
        <v>0</v>
      </c>
      <c r="H20" s="3709">
        <f>+VLOOKUP(C20,'Mủ CN (TT)'!C14:AI47,33,0)</f>
        <v>6</v>
      </c>
      <c r="I20" s="3680"/>
      <c r="J20" s="3602">
        <f>+VLOOKUP(C20,'Mủ CN (TT)'!C14:AK91,35,0)</f>
        <v>3.4102154131847726</v>
      </c>
      <c r="K20" s="3602">
        <v>3.3602946020128095</v>
      </c>
      <c r="L20" s="3711" t="str">
        <f>+VLOOKUP(C20,'Mủ CN (TT)'!C14:AL91,36,0)</f>
        <v>A</v>
      </c>
      <c r="M20" s="2688">
        <f t="shared" ref="M20:M82" si="4">ROUND(J20*IF(L20="A",(6.1*$E$12),IF(L20="B",(5.8*$E$12),IF(L20="C",(5.5*$E$12),IF(L20="D",(5.2*$E$12))))),0)</f>
        <v>13442</v>
      </c>
      <c r="N20" s="3711">
        <f>+VLOOKUP(C20,'Chấm công CN'!B14:AJ47,34,0)</f>
        <v>12</v>
      </c>
      <c r="O20" s="3711">
        <f>+VLOOKUP(C20,'Chấm công CN'!$B$12:$AJ$45,35,0)</f>
        <v>3</v>
      </c>
      <c r="P20" s="3712">
        <f t="shared" si="2"/>
        <v>15</v>
      </c>
      <c r="Q20" s="3683"/>
      <c r="R20" s="3712">
        <v>500000</v>
      </c>
      <c r="S20" s="2688">
        <f>ROUND((N20*(46.1*$E$10))+(O20*(76.9*$E$10))+(P20*20000)+(Q20*30.7*$E$10),0)+R20-0.38</f>
        <v>1314081.6200000001</v>
      </c>
      <c r="T20" s="3711">
        <f t="shared" si="0"/>
        <v>1327523.6200000001</v>
      </c>
      <c r="U20" s="3674"/>
      <c r="V20" s="3683"/>
      <c r="W20" s="3711">
        <f t="shared" si="3"/>
        <v>1327523.6200000001</v>
      </c>
      <c r="X20" s="3682"/>
      <c r="Z20" s="3226"/>
    </row>
    <row r="21" spans="1:28" s="3677" customFormat="1" ht="33" customHeight="1">
      <c r="A21" s="3706">
        <v>4</v>
      </c>
      <c r="B21" s="3673"/>
      <c r="C21" s="3708" t="s">
        <v>2171</v>
      </c>
      <c r="D21" s="3710" t="s">
        <v>167</v>
      </c>
      <c r="E21" s="3682"/>
      <c r="F21" s="3750"/>
      <c r="G21" s="3709">
        <f t="shared" si="1"/>
        <v>0</v>
      </c>
      <c r="H21" s="3709">
        <f>+VLOOKUP(C21,'Mủ CN (TT)'!C15:AI48,33,0)</f>
        <v>25</v>
      </c>
      <c r="I21" s="3680"/>
      <c r="J21" s="3602">
        <f>+VLOOKUP(C21,'Mủ CN (TT)'!C15:AK92,35,0)</f>
        <v>14.209230888269886</v>
      </c>
      <c r="K21" s="3602">
        <v>14.001227508386705</v>
      </c>
      <c r="L21" s="3711" t="str">
        <f>+VLOOKUP(C21,'Mủ CN (TT)'!C15:AL92,36,0)</f>
        <v>A</v>
      </c>
      <c r="M21" s="2688">
        <f t="shared" si="4"/>
        <v>56010</v>
      </c>
      <c r="N21" s="3711">
        <f>+VLOOKUP(C21,'Chấm công CN'!B15:AJ48,34,0)</f>
        <v>10</v>
      </c>
      <c r="O21" s="3711">
        <f>+VLOOKUP(C21,'Chấm công CN'!$B$12:$AJ$45,35,0)</f>
        <v>3</v>
      </c>
      <c r="P21" s="3712">
        <f t="shared" si="2"/>
        <v>13</v>
      </c>
      <c r="Q21" s="3683"/>
      <c r="R21" s="3712">
        <v>500000</v>
      </c>
      <c r="S21" s="2688">
        <f>ROUND((N21*(46.1*$E$10))+(O21*(76.9*$E$10))+(P21*20000)+(Q21*30.7*$E$10),0)+R21-0.14</f>
        <v>1213616.8600000001</v>
      </c>
      <c r="T21" s="3711">
        <f t="shared" si="0"/>
        <v>1269626.8600000001</v>
      </c>
      <c r="U21" s="3674"/>
      <c r="V21" s="3683"/>
      <c r="W21" s="3711">
        <f t="shared" si="3"/>
        <v>1269626.8600000001</v>
      </c>
      <c r="X21" s="3682"/>
      <c r="Z21" s="3226"/>
    </row>
    <row r="22" spans="1:28" s="3677" customFormat="1" ht="33" customHeight="1">
      <c r="A22" s="3706">
        <v>5</v>
      </c>
      <c r="B22" s="3673"/>
      <c r="C22" s="3708" t="s">
        <v>2172</v>
      </c>
      <c r="D22" s="3710" t="s">
        <v>167</v>
      </c>
      <c r="E22" s="3682"/>
      <c r="F22" s="3750"/>
      <c r="G22" s="3709">
        <f t="shared" si="1"/>
        <v>0</v>
      </c>
      <c r="H22" s="3709">
        <f>+VLOOKUP(C22,'Mủ CN (TT)'!C16:AI49,33,0)</f>
        <v>0</v>
      </c>
      <c r="I22" s="3680"/>
      <c r="J22" s="3602">
        <f>+VLOOKUP(C22,'Mủ CN (TT)'!C16:AK93,35,0)</f>
        <v>0</v>
      </c>
      <c r="K22" s="3602">
        <v>0</v>
      </c>
      <c r="L22" s="3711" t="str">
        <f>+VLOOKUP(C22,'Mủ CN (TT)'!C16:AL93,36,0)</f>
        <v>A</v>
      </c>
      <c r="M22" s="2688">
        <f t="shared" si="4"/>
        <v>0</v>
      </c>
      <c r="N22" s="3711">
        <f>+VLOOKUP(C22,'Chấm công CN'!B16:AJ49,34,0)</f>
        <v>12</v>
      </c>
      <c r="O22" s="3711">
        <f>+VLOOKUP(C22,'Chấm công CN'!$B$12:$AJ$45,35,0)</f>
        <v>2</v>
      </c>
      <c r="P22" s="3712">
        <f t="shared" si="2"/>
        <v>14</v>
      </c>
      <c r="Q22" s="3683"/>
      <c r="R22" s="3712">
        <v>500000</v>
      </c>
      <c r="S22" s="2688">
        <f>ROUND((N22*(46.1*$E$10))+(O22*(76.9*$E$10))+(P22*20000)+(Q22*30.7*$E$10),0)+R22-0.4</f>
        <v>1243650.6000000001</v>
      </c>
      <c r="T22" s="3711">
        <f t="shared" si="0"/>
        <v>1243650.6000000001</v>
      </c>
      <c r="U22" s="3674"/>
      <c r="V22" s="3683"/>
      <c r="W22" s="3711">
        <f t="shared" si="3"/>
        <v>1243650.6000000001</v>
      </c>
      <c r="X22" s="3682"/>
      <c r="Z22" s="3226"/>
    </row>
    <row r="23" spans="1:28" s="3677" customFormat="1" ht="33" customHeight="1">
      <c r="A23" s="3706">
        <v>6</v>
      </c>
      <c r="B23" s="3673"/>
      <c r="C23" s="3708" t="s">
        <v>1528</v>
      </c>
      <c r="D23" s="3710" t="s">
        <v>167</v>
      </c>
      <c r="E23" s="3682"/>
      <c r="F23" s="3750"/>
      <c r="G23" s="3709">
        <f t="shared" si="1"/>
        <v>0</v>
      </c>
      <c r="H23" s="3709">
        <f>+VLOOKUP(C23,'Mủ CN (TT)'!C17:AI50,33,0)</f>
        <v>0</v>
      </c>
      <c r="I23" s="3680"/>
      <c r="J23" s="3602">
        <f>+VLOOKUP(C23,'Mủ CN (TT)'!C17:AK94,35,0)</f>
        <v>0</v>
      </c>
      <c r="K23" s="3602">
        <v>0</v>
      </c>
      <c r="L23" s="3711" t="str">
        <f>+VLOOKUP(C23,'Mủ CN (TT)'!C17:AL94,36,0)</f>
        <v>A</v>
      </c>
      <c r="M23" s="2688">
        <f t="shared" si="4"/>
        <v>0</v>
      </c>
      <c r="N23" s="3711">
        <f>+VLOOKUP(C23,'Chấm công CN'!B17:AJ50,34,0)</f>
        <v>12</v>
      </c>
      <c r="O23" s="3711">
        <f>+VLOOKUP(C23,'Chấm công CN'!$B$12:$AJ$45,35,0)</f>
        <v>3</v>
      </c>
      <c r="P23" s="3712">
        <f t="shared" si="2"/>
        <v>15</v>
      </c>
      <c r="Q23" s="3683"/>
      <c r="R23" s="3712">
        <v>500000</v>
      </c>
      <c r="S23" s="2688">
        <f>ROUND((N23*(46.1*$E$10))+(O23*(76.9*$E$10))+(P23*20000)+(Q23*30.7*$E$10),0)+R23-0.38</f>
        <v>1314081.6200000001</v>
      </c>
      <c r="T23" s="3711">
        <f t="shared" si="0"/>
        <v>1314081.6200000001</v>
      </c>
      <c r="U23" s="3674"/>
      <c r="V23" s="3683"/>
      <c r="W23" s="3711">
        <f t="shared" si="3"/>
        <v>1314081.6200000001</v>
      </c>
      <c r="X23" s="3682"/>
      <c r="Z23" s="3226"/>
    </row>
    <row r="24" spans="1:28" s="3677" customFormat="1" ht="33" customHeight="1">
      <c r="A24" s="3706">
        <v>7</v>
      </c>
      <c r="B24" s="3673"/>
      <c r="C24" s="3708" t="s">
        <v>2173</v>
      </c>
      <c r="D24" s="3710" t="s">
        <v>167</v>
      </c>
      <c r="E24" s="3682"/>
      <c r="F24" s="3750"/>
      <c r="G24" s="3709">
        <f t="shared" si="1"/>
        <v>0</v>
      </c>
      <c r="H24" s="3709">
        <f>+VLOOKUP(C24,'Mủ CN (TT)'!C18:AI51,33,0)</f>
        <v>40</v>
      </c>
      <c r="I24" s="3680"/>
      <c r="J24" s="3602">
        <f>+VLOOKUP(C24,'Mủ CN (TT)'!C18:AK95,35,0)</f>
        <v>22.734769421231817</v>
      </c>
      <c r="K24" s="3602">
        <v>22.401964013418731</v>
      </c>
      <c r="L24" s="3711" t="str">
        <f>+VLOOKUP(C24,'Mủ CN (TT)'!C18:AL95,36,0)</f>
        <v>A</v>
      </c>
      <c r="M24" s="2688">
        <f t="shared" si="4"/>
        <v>89616</v>
      </c>
      <c r="N24" s="3711">
        <f>+VLOOKUP(C24,'Chấm công CN'!B18:AJ51,34,0)</f>
        <v>12</v>
      </c>
      <c r="O24" s="3711">
        <f>+VLOOKUP(C24,'Chấm công CN'!$B$12:$AJ$45,35,0)</f>
        <v>3</v>
      </c>
      <c r="P24" s="3712">
        <f t="shared" si="2"/>
        <v>15</v>
      </c>
      <c r="Q24" s="3683"/>
      <c r="R24" s="3712">
        <v>500000</v>
      </c>
      <c r="S24" s="2688">
        <f t="shared" ref="S24:S29" si="5">ROUND((N24*(46.1*$E$10))+(O24*(76.9*$E$10))+(P24*20000)+(Q24*30.7*$E$10),0)+R24-0.38</f>
        <v>1314081.6200000001</v>
      </c>
      <c r="T24" s="3711">
        <f t="shared" si="0"/>
        <v>1403697.62</v>
      </c>
      <c r="U24" s="3674"/>
      <c r="V24" s="3683"/>
      <c r="W24" s="3711">
        <f t="shared" si="3"/>
        <v>1403697.62</v>
      </c>
      <c r="X24" s="3682"/>
      <c r="Z24" s="3226"/>
    </row>
    <row r="25" spans="1:28" s="3677" customFormat="1" ht="33" customHeight="1">
      <c r="A25" s="3706">
        <v>8</v>
      </c>
      <c r="B25" s="3673"/>
      <c r="C25" s="3708" t="s">
        <v>2174</v>
      </c>
      <c r="D25" s="3710" t="s">
        <v>167</v>
      </c>
      <c r="E25" s="3682"/>
      <c r="F25" s="3750"/>
      <c r="G25" s="3709">
        <f t="shared" si="1"/>
        <v>0</v>
      </c>
      <c r="H25" s="3709">
        <f>+VLOOKUP(C25,'Mủ CN (TT)'!C19:AI52,33,0)</f>
        <v>20</v>
      </c>
      <c r="I25" s="3680"/>
      <c r="J25" s="3602">
        <f>+VLOOKUP(C25,'Mủ CN (TT)'!C19:AK96,35,0)</f>
        <v>11.367384710615909</v>
      </c>
      <c r="K25" s="3602">
        <v>11.200982006709365</v>
      </c>
      <c r="L25" s="3711" t="str">
        <f>+VLOOKUP(C25,'Mủ CN (TT)'!C19:AL96,36,0)</f>
        <v>A</v>
      </c>
      <c r="M25" s="2688">
        <f t="shared" si="4"/>
        <v>44808</v>
      </c>
      <c r="N25" s="3711">
        <f>+VLOOKUP(C25,'Chấm công CN'!B19:AJ52,34,0)</f>
        <v>12</v>
      </c>
      <c r="O25" s="3711">
        <f>+VLOOKUP(C25,'Chấm công CN'!$B$12:$AJ$45,35,0)</f>
        <v>3</v>
      </c>
      <c r="P25" s="3712">
        <f t="shared" si="2"/>
        <v>15</v>
      </c>
      <c r="Q25" s="3683"/>
      <c r="R25" s="3712">
        <v>500000</v>
      </c>
      <c r="S25" s="2688">
        <f t="shared" si="5"/>
        <v>1314081.6200000001</v>
      </c>
      <c r="T25" s="3711">
        <f t="shared" si="0"/>
        <v>1358889.62</v>
      </c>
      <c r="U25" s="3674"/>
      <c r="V25" s="3683"/>
      <c r="W25" s="3711">
        <f t="shared" si="3"/>
        <v>1358889.62</v>
      </c>
      <c r="X25" s="3682"/>
      <c r="Z25" s="3226"/>
    </row>
    <row r="26" spans="1:28" s="3677" customFormat="1" ht="33" customHeight="1">
      <c r="A26" s="3706">
        <v>9</v>
      </c>
      <c r="B26" s="3673"/>
      <c r="C26" s="3708" t="s">
        <v>2175</v>
      </c>
      <c r="D26" s="3710" t="s">
        <v>167</v>
      </c>
      <c r="E26" s="3682"/>
      <c r="F26" s="3750"/>
      <c r="G26" s="3709">
        <f t="shared" si="1"/>
        <v>0</v>
      </c>
      <c r="H26" s="3709">
        <f>+VLOOKUP(C26,'Mủ CN (TT)'!C20:AI53,33,0)</f>
        <v>11</v>
      </c>
      <c r="I26" s="3680"/>
      <c r="J26" s="3602">
        <f>+VLOOKUP(C26,'Mủ CN (TT)'!C20:AK97,35,0)</f>
        <v>6.2520615908387507</v>
      </c>
      <c r="K26" s="3602">
        <v>6.1605401036901517</v>
      </c>
      <c r="L26" s="3711" t="str">
        <f>+VLOOKUP(C26,'Mủ CN (TT)'!C20:AL97,36,0)</f>
        <v>A</v>
      </c>
      <c r="M26" s="2688">
        <f t="shared" si="4"/>
        <v>24645</v>
      </c>
      <c r="N26" s="3711">
        <f>+VLOOKUP(C26,'Chấm công CN'!B20:AJ53,34,0)</f>
        <v>12</v>
      </c>
      <c r="O26" s="3711">
        <f>+VLOOKUP(C26,'Chấm công CN'!$B$12:$AJ$45,35,0)</f>
        <v>3</v>
      </c>
      <c r="P26" s="3712">
        <f t="shared" si="2"/>
        <v>15</v>
      </c>
      <c r="Q26" s="3683"/>
      <c r="R26" s="3712">
        <v>500000</v>
      </c>
      <c r="S26" s="2688">
        <f t="shared" si="5"/>
        <v>1314081.6200000001</v>
      </c>
      <c r="T26" s="3711">
        <f t="shared" si="0"/>
        <v>1338726.6200000001</v>
      </c>
      <c r="U26" s="3674"/>
      <c r="V26" s="3683"/>
      <c r="W26" s="3711">
        <f t="shared" si="3"/>
        <v>1338726.6200000001</v>
      </c>
      <c r="X26" s="3682"/>
      <c r="Z26" s="3226"/>
    </row>
    <row r="27" spans="1:28" s="3677" customFormat="1" ht="33" customHeight="1">
      <c r="A27" s="3706">
        <v>10</v>
      </c>
      <c r="B27" s="3673"/>
      <c r="C27" s="3708" t="s">
        <v>2176</v>
      </c>
      <c r="D27" s="3710" t="s">
        <v>167</v>
      </c>
      <c r="E27" s="3682"/>
      <c r="F27" s="3750"/>
      <c r="G27" s="3709">
        <f t="shared" si="1"/>
        <v>0</v>
      </c>
      <c r="H27" s="3709">
        <f>+VLOOKUP(C27,'Mủ CN (TT)'!C21:AI54,33,0)</f>
        <v>6</v>
      </c>
      <c r="I27" s="3680"/>
      <c r="J27" s="3602">
        <f>+VLOOKUP(C27,'Mủ CN (TT)'!C21:AK98,35,0)</f>
        <v>3.4102154131847726</v>
      </c>
      <c r="K27" s="3602">
        <v>3.3602946020128095</v>
      </c>
      <c r="L27" s="3711" t="str">
        <f>+VLOOKUP(C27,'Mủ CN (TT)'!C21:AL98,36,0)</f>
        <v>A</v>
      </c>
      <c r="M27" s="2688">
        <f t="shared" si="4"/>
        <v>13442</v>
      </c>
      <c r="N27" s="3711">
        <f>+VLOOKUP(C27,'Chấm công CN'!B21:AJ54,34,0)</f>
        <v>12</v>
      </c>
      <c r="O27" s="3711">
        <f>+VLOOKUP(C27,'Chấm công CN'!$B$12:$AJ$45,35,0)</f>
        <v>3</v>
      </c>
      <c r="P27" s="3712">
        <f t="shared" si="2"/>
        <v>15</v>
      </c>
      <c r="Q27" s="3683"/>
      <c r="R27" s="3712">
        <v>500000</v>
      </c>
      <c r="S27" s="2688">
        <f t="shared" si="5"/>
        <v>1314081.6200000001</v>
      </c>
      <c r="T27" s="3711">
        <f t="shared" si="0"/>
        <v>1327523.6200000001</v>
      </c>
      <c r="U27" s="3674"/>
      <c r="V27" s="3683"/>
      <c r="W27" s="3711">
        <f t="shared" si="3"/>
        <v>1327523.6200000001</v>
      </c>
      <c r="X27" s="3682"/>
      <c r="Z27" s="3226"/>
    </row>
    <row r="28" spans="1:28" s="3677" customFormat="1" ht="33" customHeight="1">
      <c r="A28" s="3706">
        <v>11</v>
      </c>
      <c r="B28" s="3673"/>
      <c r="C28" s="3708" t="s">
        <v>2177</v>
      </c>
      <c r="D28" s="3710" t="s">
        <v>167</v>
      </c>
      <c r="E28" s="3682"/>
      <c r="F28" s="3750"/>
      <c r="G28" s="3709">
        <f t="shared" si="1"/>
        <v>0</v>
      </c>
      <c r="H28" s="3709">
        <f>+VLOOKUP(C28,'Mủ CN (TT)'!C22:AI55,33,0)</f>
        <v>24</v>
      </c>
      <c r="I28" s="3680"/>
      <c r="J28" s="3602">
        <f>+VLOOKUP(C28,'Mủ CN (TT)'!C22:AK99,35,0)</f>
        <v>13.64086165273909</v>
      </c>
      <c r="K28" s="3602">
        <v>13.441178408051238</v>
      </c>
      <c r="L28" s="3711" t="str">
        <f>+VLOOKUP(C28,'Mủ CN (TT)'!C22:AL99,36,0)</f>
        <v>A</v>
      </c>
      <c r="M28" s="2688">
        <f t="shared" si="4"/>
        <v>53770</v>
      </c>
      <c r="N28" s="3711">
        <f>+VLOOKUP(C28,'Chấm công CN'!B22:AJ55,34,0)</f>
        <v>12</v>
      </c>
      <c r="O28" s="3711">
        <f>+VLOOKUP(C28,'Chấm công CN'!$B$12:$AJ$45,35,0)</f>
        <v>3</v>
      </c>
      <c r="P28" s="3712">
        <f t="shared" si="2"/>
        <v>15</v>
      </c>
      <c r="Q28" s="3683"/>
      <c r="R28" s="3712">
        <v>500000</v>
      </c>
      <c r="S28" s="2688">
        <f t="shared" si="5"/>
        <v>1314081.6200000001</v>
      </c>
      <c r="T28" s="3711">
        <f t="shared" si="0"/>
        <v>1367851.62</v>
      </c>
      <c r="U28" s="3674"/>
      <c r="V28" s="3683"/>
      <c r="W28" s="3711">
        <f t="shared" si="3"/>
        <v>1367851.62</v>
      </c>
      <c r="X28" s="3682"/>
      <c r="Z28" s="3226"/>
    </row>
    <row r="29" spans="1:28" s="3677" customFormat="1" ht="33" customHeight="1">
      <c r="A29" s="3706">
        <v>12</v>
      </c>
      <c r="B29" s="3673"/>
      <c r="C29" s="3708" t="s">
        <v>2178</v>
      </c>
      <c r="D29" s="3710" t="s">
        <v>167</v>
      </c>
      <c r="E29" s="3682"/>
      <c r="F29" s="3750"/>
      <c r="G29" s="3709">
        <f t="shared" si="1"/>
        <v>0</v>
      </c>
      <c r="H29" s="3709">
        <f>+VLOOKUP(C29,'Mủ CN (TT)'!C23:AI56,33,0)</f>
        <v>60</v>
      </c>
      <c r="I29" s="3680"/>
      <c r="J29" s="3602">
        <f>+VLOOKUP(C29,'Mủ CN (TT)'!C23:AK100,35,0)</f>
        <v>34.102154131847726</v>
      </c>
      <c r="K29" s="3602">
        <v>33.602946020128087</v>
      </c>
      <c r="L29" s="3711" t="str">
        <f>+VLOOKUP(C29,'Mủ CN (TT)'!C23:AL100,36,0)</f>
        <v>A</v>
      </c>
      <c r="M29" s="2688">
        <f t="shared" si="4"/>
        <v>134425</v>
      </c>
      <c r="N29" s="3711">
        <f>+VLOOKUP(C29,'Chấm công CN'!B23:AJ56,34,0)</f>
        <v>12</v>
      </c>
      <c r="O29" s="3711">
        <f>+VLOOKUP(C29,'Chấm công CN'!$B$12:$AJ$45,35,0)</f>
        <v>3</v>
      </c>
      <c r="P29" s="3712">
        <f t="shared" si="2"/>
        <v>15</v>
      </c>
      <c r="Q29" s="3683"/>
      <c r="R29" s="3712">
        <v>500000</v>
      </c>
      <c r="S29" s="2688">
        <f t="shared" si="5"/>
        <v>1314081.6200000001</v>
      </c>
      <c r="T29" s="3711">
        <f t="shared" si="0"/>
        <v>1448506.62</v>
      </c>
      <c r="U29" s="3674"/>
      <c r="V29" s="3683"/>
      <c r="W29" s="3711">
        <f t="shared" si="3"/>
        <v>1448506.62</v>
      </c>
      <c r="X29" s="3682"/>
      <c r="Z29" s="3226"/>
    </row>
    <row r="30" spans="1:28" s="3677" customFormat="1" ht="33" customHeight="1">
      <c r="A30" s="3706">
        <v>13</v>
      </c>
      <c r="B30" s="3673"/>
      <c r="C30" s="3708" t="s">
        <v>2179</v>
      </c>
      <c r="D30" s="3710" t="s">
        <v>167</v>
      </c>
      <c r="E30" s="3682"/>
      <c r="F30" s="3750"/>
      <c r="G30" s="3709">
        <f t="shared" si="1"/>
        <v>0</v>
      </c>
      <c r="H30" s="3709">
        <f>+VLOOKUP(C30,'Mủ CN (TT)'!C24:AI57,33,0)</f>
        <v>40</v>
      </c>
      <c r="I30" s="3680"/>
      <c r="J30" s="3602">
        <f>+VLOOKUP(C30,'Mủ CN (TT)'!C24:AK101,35,0)</f>
        <v>22.734769421231817</v>
      </c>
      <c r="K30" s="3602">
        <v>22.401964013418731</v>
      </c>
      <c r="L30" s="3711" t="str">
        <f>+VLOOKUP(C30,'Mủ CN (TT)'!C24:AL101,36,0)</f>
        <v>A</v>
      </c>
      <c r="M30" s="2688">
        <f t="shared" si="4"/>
        <v>89616</v>
      </c>
      <c r="N30" s="3711">
        <f>+VLOOKUP(C30,'Chấm công CN'!B24:AJ57,34,0)</f>
        <v>11</v>
      </c>
      <c r="O30" s="3711">
        <f>+VLOOKUP(C30,'Chấm công CN'!$B$12:$AJ$45,35,0)</f>
        <v>3</v>
      </c>
      <c r="P30" s="3712">
        <f t="shared" si="2"/>
        <v>14</v>
      </c>
      <c r="Q30" s="3683"/>
      <c r="R30" s="3712">
        <v>500000</v>
      </c>
      <c r="S30" s="2688">
        <f>ROUND((N30*(46.1*$E$10))+(O30*(76.9*$E$10))+(P30*20000)+(Q30*30.7*$E$10),0)+R30+0.24</f>
        <v>1263849.24</v>
      </c>
      <c r="T30" s="3711">
        <f t="shared" si="0"/>
        <v>1353465.24</v>
      </c>
      <c r="U30" s="3674"/>
      <c r="V30" s="3683"/>
      <c r="W30" s="3711">
        <f t="shared" si="3"/>
        <v>1353465.24</v>
      </c>
      <c r="X30" s="3682"/>
      <c r="Z30" s="3226"/>
    </row>
    <row r="31" spans="1:28" s="3677" customFormat="1" ht="33" customHeight="1">
      <c r="A31" s="3706">
        <v>14</v>
      </c>
      <c r="B31" s="3673"/>
      <c r="C31" s="3708" t="s">
        <v>1301</v>
      </c>
      <c r="D31" s="3710" t="s">
        <v>167</v>
      </c>
      <c r="E31" s="3682"/>
      <c r="F31" s="3750"/>
      <c r="G31" s="3709">
        <f t="shared" si="1"/>
        <v>0</v>
      </c>
      <c r="H31" s="3709">
        <f>+VLOOKUP(C31,'Mủ CN (TT)'!C25:AI58,33,0)</f>
        <v>0</v>
      </c>
      <c r="I31" s="3680"/>
      <c r="J31" s="3602">
        <f>+VLOOKUP(C31,'Mủ CN (TT)'!C25:AK102,35,0)</f>
        <v>0</v>
      </c>
      <c r="K31" s="3602">
        <v>0</v>
      </c>
      <c r="L31" s="3711" t="str">
        <f>+VLOOKUP(C31,'Mủ CN (TT)'!C25:AL102,36,0)</f>
        <v>A</v>
      </c>
      <c r="M31" s="2688">
        <f t="shared" si="4"/>
        <v>0</v>
      </c>
      <c r="N31" s="3711">
        <f>+VLOOKUP(C31,'Chấm công CN'!B25:AJ58,34,0)</f>
        <v>12</v>
      </c>
      <c r="O31" s="3711">
        <f>+VLOOKUP(C31,'Chấm công CN'!$B$12:$AJ$45,35,0)</f>
        <v>3</v>
      </c>
      <c r="P31" s="3712">
        <f t="shared" si="2"/>
        <v>15</v>
      </c>
      <c r="Q31" s="3683"/>
      <c r="R31" s="3712">
        <v>500000</v>
      </c>
      <c r="S31" s="2688">
        <f>ROUND((N31*(46.1*$E$10))+(O31*(76.9*$E$10))+(P31*20000)+(Q31*30.7*$E$10),0)+R31-0.38</f>
        <v>1314081.6200000001</v>
      </c>
      <c r="T31" s="3711">
        <f t="shared" si="0"/>
        <v>1314081.6200000001</v>
      </c>
      <c r="U31" s="3674"/>
      <c r="V31" s="3683"/>
      <c r="W31" s="3711">
        <f t="shared" si="3"/>
        <v>1314081.6200000001</v>
      </c>
      <c r="X31" s="3682"/>
      <c r="Z31" s="3226"/>
    </row>
    <row r="32" spans="1:28" s="3677" customFormat="1" ht="33" customHeight="1">
      <c r="A32" s="3706">
        <v>15</v>
      </c>
      <c r="B32" s="3673"/>
      <c r="C32" s="3708" t="s">
        <v>2180</v>
      </c>
      <c r="D32" s="3710" t="s">
        <v>167</v>
      </c>
      <c r="E32" s="3682"/>
      <c r="F32" s="3750"/>
      <c r="G32" s="3709">
        <f t="shared" si="1"/>
        <v>0</v>
      </c>
      <c r="H32" s="3709">
        <f>+VLOOKUP(C32,'Mủ CN (TT)'!C26:AI59,33,0)</f>
        <v>35</v>
      </c>
      <c r="I32" s="3680"/>
      <c r="J32" s="3602">
        <f>+VLOOKUP(C32,'Mủ CN (TT)'!C26:AK103,35,0)</f>
        <v>19.89292324357784</v>
      </c>
      <c r="K32" s="3602">
        <v>19.601718511741385</v>
      </c>
      <c r="L32" s="3711" t="str">
        <f>+VLOOKUP(C32,'Mủ CN (TT)'!C26:AL103,36,0)</f>
        <v>A</v>
      </c>
      <c r="M32" s="2688">
        <f t="shared" si="4"/>
        <v>78414</v>
      </c>
      <c r="N32" s="3711">
        <f>+VLOOKUP(C32,'Chấm công CN'!B26:AJ59,34,0)</f>
        <v>12</v>
      </c>
      <c r="O32" s="3711">
        <f>+VLOOKUP(C32,'Chấm công CN'!$B$12:$AJ$45,35,0)</f>
        <v>3</v>
      </c>
      <c r="P32" s="3712">
        <f t="shared" si="2"/>
        <v>15</v>
      </c>
      <c r="Q32" s="3683"/>
      <c r="R32" s="3712">
        <v>500000</v>
      </c>
      <c r="S32" s="2688">
        <f t="shared" ref="S32:S36" si="6">ROUND((N32*(46.1*$E$10))+(O32*(76.9*$E$10))+(P32*20000)+(Q32*30.7*$E$10),0)+R32-0.38</f>
        <v>1314081.6200000001</v>
      </c>
      <c r="T32" s="3711">
        <f t="shared" si="0"/>
        <v>1392495.62</v>
      </c>
      <c r="U32" s="3674"/>
      <c r="V32" s="3683"/>
      <c r="W32" s="3711">
        <f t="shared" si="3"/>
        <v>1392495.62</v>
      </c>
      <c r="X32" s="3682"/>
      <c r="Z32" s="3226"/>
    </row>
    <row r="33" spans="1:26" s="3677" customFormat="1" ht="33" customHeight="1">
      <c r="A33" s="3706">
        <v>16</v>
      </c>
      <c r="B33" s="3673"/>
      <c r="C33" s="3708" t="s">
        <v>1677</v>
      </c>
      <c r="D33" s="3710" t="s">
        <v>167</v>
      </c>
      <c r="E33" s="3682"/>
      <c r="F33" s="3750"/>
      <c r="G33" s="3709">
        <f t="shared" si="1"/>
        <v>0</v>
      </c>
      <c r="H33" s="3709">
        <f>+VLOOKUP(C33,'Mủ CN (TT)'!C27:AI60,33,0)</f>
        <v>97</v>
      </c>
      <c r="I33" s="3680"/>
      <c r="J33" s="3602">
        <f>+VLOOKUP(C33,'Mủ CN (TT)'!C27:AK104,35,0)</f>
        <v>55.131815846487164</v>
      </c>
      <c r="K33" s="3602">
        <v>54.324762732540428</v>
      </c>
      <c r="L33" s="3711" t="str">
        <f>+VLOOKUP(C33,'Mủ CN (TT)'!C27:AL104,36,0)</f>
        <v>A</v>
      </c>
      <c r="M33" s="2688">
        <f t="shared" si="4"/>
        <v>217320</v>
      </c>
      <c r="N33" s="3711">
        <f>+VLOOKUP(C33,'Chấm công CN'!B27:AJ60,34,0)</f>
        <v>12</v>
      </c>
      <c r="O33" s="3711">
        <f>+VLOOKUP(C33,'Chấm công CN'!$B$12:$AJ$45,35,0)</f>
        <v>3</v>
      </c>
      <c r="P33" s="3712">
        <f t="shared" si="2"/>
        <v>15</v>
      </c>
      <c r="Q33" s="3683"/>
      <c r="R33" s="3712">
        <v>500000</v>
      </c>
      <c r="S33" s="2688">
        <f t="shared" si="6"/>
        <v>1314081.6200000001</v>
      </c>
      <c r="T33" s="3711">
        <f t="shared" si="0"/>
        <v>1531401.62</v>
      </c>
      <c r="U33" s="3674"/>
      <c r="V33" s="3683"/>
      <c r="W33" s="3711">
        <f t="shared" si="3"/>
        <v>1531401.62</v>
      </c>
      <c r="X33" s="3682"/>
      <c r="Z33" s="3226"/>
    </row>
    <row r="34" spans="1:26" s="3677" customFormat="1" ht="33" customHeight="1">
      <c r="A34" s="3706">
        <v>17</v>
      </c>
      <c r="B34" s="3673"/>
      <c r="C34" s="3708" t="s">
        <v>289</v>
      </c>
      <c r="D34" s="3710" t="s">
        <v>167</v>
      </c>
      <c r="E34" s="3682"/>
      <c r="F34" s="3750"/>
      <c r="G34" s="3709">
        <f t="shared" si="1"/>
        <v>0</v>
      </c>
      <c r="H34" s="3709">
        <f>+VLOOKUP(C34,'Mủ CN (TT)'!C28:AI61,33,0)</f>
        <v>7</v>
      </c>
      <c r="I34" s="3680"/>
      <c r="J34" s="3602">
        <f>+VLOOKUP(C34,'Mủ CN (TT)'!C28:AK105,35,0)</f>
        <v>3.9785846487155681</v>
      </c>
      <c r="K34" s="3602">
        <v>3.9203437023482772</v>
      </c>
      <c r="L34" s="3711" t="str">
        <f>+VLOOKUP(C34,'Mủ CN (TT)'!C28:AL105,36,0)</f>
        <v>A</v>
      </c>
      <c r="M34" s="2688">
        <f t="shared" si="4"/>
        <v>15683</v>
      </c>
      <c r="N34" s="3711">
        <f>+VLOOKUP(C34,'Chấm công CN'!B28:AJ61,34,0)</f>
        <v>12</v>
      </c>
      <c r="O34" s="3711">
        <f>+VLOOKUP(C34,'Chấm công CN'!$B$12:$AJ$45,35,0)</f>
        <v>3</v>
      </c>
      <c r="P34" s="3712">
        <f t="shared" si="2"/>
        <v>15</v>
      </c>
      <c r="Q34" s="3683"/>
      <c r="R34" s="3712">
        <v>500000</v>
      </c>
      <c r="S34" s="2688">
        <f t="shared" si="6"/>
        <v>1314081.6200000001</v>
      </c>
      <c r="T34" s="3711">
        <f t="shared" si="0"/>
        <v>1329764.6200000001</v>
      </c>
      <c r="U34" s="3674"/>
      <c r="V34" s="3683"/>
      <c r="W34" s="3711">
        <f t="shared" si="3"/>
        <v>1329764.6200000001</v>
      </c>
      <c r="X34" s="3682"/>
      <c r="Z34" s="3226"/>
    </row>
    <row r="35" spans="1:26" s="3677" customFormat="1" ht="33" customHeight="1">
      <c r="A35" s="3706">
        <v>18</v>
      </c>
      <c r="B35" s="3673"/>
      <c r="C35" s="3708" t="s">
        <v>2181</v>
      </c>
      <c r="D35" s="3710" t="s">
        <v>167</v>
      </c>
      <c r="E35" s="3682"/>
      <c r="F35" s="3750"/>
      <c r="G35" s="3709">
        <f t="shared" si="1"/>
        <v>0</v>
      </c>
      <c r="H35" s="3709">
        <f>+VLOOKUP(C35,'Mủ CN (TT)'!C29:AI62,33,0)</f>
        <v>44</v>
      </c>
      <c r="I35" s="3680"/>
      <c r="J35" s="3602">
        <f>+VLOOKUP(C35,'Mủ CN (TT)'!C29:AK106,35,0)</f>
        <v>25.008246363355003</v>
      </c>
      <c r="K35" s="3602">
        <v>24.642160414760607</v>
      </c>
      <c r="L35" s="3711" t="str">
        <f>+VLOOKUP(C35,'Mủ CN (TT)'!C29:AL106,36,0)</f>
        <v>A</v>
      </c>
      <c r="M35" s="2688">
        <f t="shared" si="4"/>
        <v>98578</v>
      </c>
      <c r="N35" s="3711">
        <f>+VLOOKUP(C35,'Chấm công CN'!B29:AJ62,34,0)</f>
        <v>12</v>
      </c>
      <c r="O35" s="3711">
        <f>+VLOOKUP(C35,'Chấm công CN'!$B$12:$AJ$45,35,0)</f>
        <v>3</v>
      </c>
      <c r="P35" s="3712">
        <f t="shared" si="2"/>
        <v>15</v>
      </c>
      <c r="Q35" s="3683"/>
      <c r="R35" s="3712">
        <v>500000</v>
      </c>
      <c r="S35" s="2688">
        <f t="shared" si="6"/>
        <v>1314081.6200000001</v>
      </c>
      <c r="T35" s="3711">
        <f t="shared" si="0"/>
        <v>1412659.62</v>
      </c>
      <c r="U35" s="3674"/>
      <c r="V35" s="3683"/>
      <c r="W35" s="3711">
        <f t="shared" si="3"/>
        <v>1412659.62</v>
      </c>
      <c r="X35" s="3682"/>
      <c r="Z35" s="3226"/>
    </row>
    <row r="36" spans="1:26" s="3677" customFormat="1" ht="33" customHeight="1">
      <c r="A36" s="3706">
        <v>19</v>
      </c>
      <c r="B36" s="3673"/>
      <c r="C36" s="3708" t="s">
        <v>2182</v>
      </c>
      <c r="D36" s="3710" t="s">
        <v>167</v>
      </c>
      <c r="E36" s="3682"/>
      <c r="F36" s="3750"/>
      <c r="G36" s="3709">
        <f t="shared" si="1"/>
        <v>0</v>
      </c>
      <c r="H36" s="3709">
        <f>+VLOOKUP(C36,'Mủ CN (TT)'!C30:AI63,33,0)</f>
        <v>36</v>
      </c>
      <c r="I36" s="3680"/>
      <c r="J36" s="3602">
        <f>+VLOOKUP(C36,'Mủ CN (TT)'!C30:AK107,35,0)</f>
        <v>20.461292479108636</v>
      </c>
      <c r="K36" s="3602">
        <v>20.161767612076858</v>
      </c>
      <c r="L36" s="3711" t="str">
        <f>+VLOOKUP(C36,'Mủ CN (TT)'!C30:AL107,36,0)</f>
        <v>A</v>
      </c>
      <c r="M36" s="2688">
        <f t="shared" si="4"/>
        <v>80655</v>
      </c>
      <c r="N36" s="3711">
        <f>+VLOOKUP(C36,'Chấm công CN'!B30:AJ63,34,0)</f>
        <v>12</v>
      </c>
      <c r="O36" s="3711">
        <f>+VLOOKUP(C36,'Chấm công CN'!$B$12:$AJ$45,35,0)</f>
        <v>3</v>
      </c>
      <c r="P36" s="3712">
        <f t="shared" si="2"/>
        <v>15</v>
      </c>
      <c r="Q36" s="3683"/>
      <c r="R36" s="3712">
        <v>500000</v>
      </c>
      <c r="S36" s="2688">
        <f t="shared" si="6"/>
        <v>1314081.6200000001</v>
      </c>
      <c r="T36" s="3711">
        <f t="shared" si="0"/>
        <v>1394736.62</v>
      </c>
      <c r="U36" s="3674"/>
      <c r="V36" s="3683"/>
      <c r="W36" s="3711">
        <f t="shared" si="3"/>
        <v>1394736.62</v>
      </c>
      <c r="X36" s="3682"/>
      <c r="Z36" s="3226"/>
    </row>
    <row r="37" spans="1:26" s="3677" customFormat="1" ht="33" customHeight="1">
      <c r="A37" s="3706">
        <v>20</v>
      </c>
      <c r="B37" s="3673"/>
      <c r="C37" s="3708" t="s">
        <v>2183</v>
      </c>
      <c r="D37" s="3710" t="s">
        <v>167</v>
      </c>
      <c r="E37" s="3682"/>
      <c r="F37" s="3750"/>
      <c r="G37" s="3709">
        <f t="shared" si="1"/>
        <v>0</v>
      </c>
      <c r="H37" s="3709">
        <f>+VLOOKUP(C37,'Mủ CN (TT)'!C31:AI64,33,0)</f>
        <v>57</v>
      </c>
      <c r="I37" s="3680"/>
      <c r="J37" s="3602">
        <f>+VLOOKUP(C37,'Mủ CN (TT)'!C31:AK108,35,0)</f>
        <v>32.39704642525534</v>
      </c>
      <c r="K37" s="3602">
        <v>31.922798719121687</v>
      </c>
      <c r="L37" s="3711" t="str">
        <f>+VLOOKUP(C37,'Mủ CN (TT)'!C31:AL108,36,0)</f>
        <v>A</v>
      </c>
      <c r="M37" s="2688">
        <f t="shared" si="4"/>
        <v>127703</v>
      </c>
      <c r="N37" s="3711">
        <f>+VLOOKUP(C37,'Chấm công CN'!B31:AJ64,34,0)</f>
        <v>12</v>
      </c>
      <c r="O37" s="3711">
        <f>+VLOOKUP(C37,'Chấm công CN'!$B$12:$AJ$45,35,0)</f>
        <v>2</v>
      </c>
      <c r="P37" s="3712">
        <f t="shared" si="2"/>
        <v>14</v>
      </c>
      <c r="Q37" s="3683"/>
      <c r="R37" s="3712">
        <v>500000</v>
      </c>
      <c r="S37" s="2688">
        <f>ROUND((N37*(46.1*$E$10))+(O37*(76.9*$E$10))+(P37*20000)+(Q37*30.7*$E$10),0)+R37-0.4</f>
        <v>1243650.6000000001</v>
      </c>
      <c r="T37" s="3711">
        <f t="shared" si="0"/>
        <v>1371353.6</v>
      </c>
      <c r="U37" s="3674"/>
      <c r="V37" s="3683"/>
      <c r="W37" s="3711">
        <f t="shared" si="3"/>
        <v>1371353.6</v>
      </c>
      <c r="X37" s="3682"/>
      <c r="Z37" s="3226"/>
    </row>
    <row r="38" spans="1:26" s="3677" customFormat="1" ht="33" customHeight="1">
      <c r="A38" s="3706">
        <v>21</v>
      </c>
      <c r="B38" s="3673"/>
      <c r="C38" s="3708" t="s">
        <v>1236</v>
      </c>
      <c r="D38" s="3710" t="s">
        <v>167</v>
      </c>
      <c r="E38" s="3682"/>
      <c r="F38" s="3750"/>
      <c r="G38" s="3709">
        <f t="shared" si="1"/>
        <v>0</v>
      </c>
      <c r="H38" s="3709">
        <f>+VLOOKUP(C38,'Mủ CN (TT)'!C32:AI65,33,0)</f>
        <v>0</v>
      </c>
      <c r="I38" s="3680"/>
      <c r="J38" s="3602">
        <f>+VLOOKUP(C38,'Mủ CN (TT)'!C32:AK109,35,0)</f>
        <v>0</v>
      </c>
      <c r="K38" s="3602">
        <v>0</v>
      </c>
      <c r="L38" s="3711" t="str">
        <f>+VLOOKUP(C38,'Mủ CN (TT)'!C32:AL109,36,0)</f>
        <v>A</v>
      </c>
      <c r="M38" s="2688">
        <f t="shared" si="4"/>
        <v>0</v>
      </c>
      <c r="N38" s="3711">
        <f>+VLOOKUP(C38,'Chấm công CN'!B32:AJ65,34,0)</f>
        <v>8</v>
      </c>
      <c r="O38" s="3711">
        <f>+VLOOKUP(C38,'Chấm công CN'!$B$12:$AJ$45,35,0)</f>
        <v>3</v>
      </c>
      <c r="P38" s="3712">
        <f t="shared" si="2"/>
        <v>11</v>
      </c>
      <c r="Q38" s="3683"/>
      <c r="R38" s="3712">
        <v>500000</v>
      </c>
      <c r="S38" s="2688">
        <f>ROUND((N38*(46.1*$E$10))+(O38*(76.9*$E$10))+(P38*20000)+(Q38*30.7*$E$10),0)+R38+0.1</f>
        <v>1113152.1000000001</v>
      </c>
      <c r="T38" s="3711">
        <f t="shared" si="0"/>
        <v>1113152.1000000001</v>
      </c>
      <c r="U38" s="3674"/>
      <c r="V38" s="3683"/>
      <c r="W38" s="3711">
        <f t="shared" si="3"/>
        <v>1113152.1000000001</v>
      </c>
      <c r="X38" s="3682"/>
      <c r="Z38" s="3226"/>
    </row>
    <row r="39" spans="1:26" s="3677" customFormat="1" ht="33" customHeight="1">
      <c r="A39" s="3706">
        <v>22</v>
      </c>
      <c r="B39" s="3673"/>
      <c r="C39" s="3708" t="s">
        <v>2184</v>
      </c>
      <c r="D39" s="3710" t="s">
        <v>167</v>
      </c>
      <c r="E39" s="3682"/>
      <c r="F39" s="3750"/>
      <c r="G39" s="3709">
        <f t="shared" si="1"/>
        <v>0</v>
      </c>
      <c r="H39" s="3709">
        <f>+VLOOKUP(C39,'Mủ CN (TT)'!C33:AI66,33,0)</f>
        <v>28</v>
      </c>
      <c r="I39" s="3680"/>
      <c r="J39" s="3602">
        <f>+VLOOKUP(C39,'Mủ CN (TT)'!C33:AK110,35,0)</f>
        <v>15.914338594862272</v>
      </c>
      <c r="K39" s="3602">
        <v>15.681374809393109</v>
      </c>
      <c r="L39" s="3711" t="str">
        <f>+VLOOKUP(C39,'Mủ CN (TT)'!C33:AL110,36,0)</f>
        <v>A</v>
      </c>
      <c r="M39" s="2688">
        <f t="shared" si="4"/>
        <v>62731</v>
      </c>
      <c r="N39" s="3711">
        <f>+VLOOKUP(C39,'Chấm công CN'!B33:AJ66,34,0)</f>
        <v>12</v>
      </c>
      <c r="O39" s="3711">
        <f>+VLOOKUP(C39,'Chấm công CN'!$B$12:$AJ$45,35,0)</f>
        <v>3</v>
      </c>
      <c r="P39" s="3712">
        <f t="shared" si="2"/>
        <v>15</v>
      </c>
      <c r="Q39" s="3683"/>
      <c r="R39" s="3712">
        <v>500000</v>
      </c>
      <c r="S39" s="2688">
        <f>ROUND((N39*(46.1*$E$10))+(O39*(76.9*$E$10))+(P39*20000)+(Q39*30.7*$E$10),0)+R39-0.38</f>
        <v>1314081.6200000001</v>
      </c>
      <c r="T39" s="3711">
        <f t="shared" si="0"/>
        <v>1376812.62</v>
      </c>
      <c r="U39" s="3674"/>
      <c r="V39" s="3683"/>
      <c r="W39" s="3711">
        <f t="shared" si="3"/>
        <v>1376812.62</v>
      </c>
      <c r="X39" s="3682"/>
      <c r="Z39" s="3226"/>
    </row>
    <row r="40" spans="1:26" s="3677" customFormat="1" ht="33" customHeight="1">
      <c r="A40" s="3706">
        <v>23</v>
      </c>
      <c r="B40" s="3673"/>
      <c r="C40" s="3708" t="s">
        <v>2185</v>
      </c>
      <c r="D40" s="3710" t="s">
        <v>167</v>
      </c>
      <c r="E40" s="3682"/>
      <c r="F40" s="3750"/>
      <c r="G40" s="3709">
        <f t="shared" si="1"/>
        <v>0</v>
      </c>
      <c r="H40" s="3709">
        <f>+VLOOKUP(C40,'Mủ CN (TT)'!C34:AI67,33,0)</f>
        <v>34</v>
      </c>
      <c r="I40" s="3680"/>
      <c r="J40" s="3602">
        <f>+VLOOKUP(C40,'Mủ CN (TT)'!C34:AK111,35,0)</f>
        <v>19.324554008047045</v>
      </c>
      <c r="K40" s="3602">
        <v>19.04166941140592</v>
      </c>
      <c r="L40" s="3711" t="str">
        <f>+VLOOKUP(C40,'Mủ CN (TT)'!C34:AL111,36,0)</f>
        <v>A</v>
      </c>
      <c r="M40" s="2688">
        <f t="shared" si="4"/>
        <v>76174</v>
      </c>
      <c r="N40" s="3711">
        <f>+VLOOKUP(C40,'Chấm công CN'!B34:AJ67,34,0)</f>
        <v>12</v>
      </c>
      <c r="O40" s="3711">
        <f>+VLOOKUP(C40,'Chấm công CN'!$B$12:$AJ$45,35,0)</f>
        <v>3</v>
      </c>
      <c r="P40" s="3712">
        <f t="shared" si="2"/>
        <v>15</v>
      </c>
      <c r="Q40" s="3683"/>
      <c r="R40" s="3712">
        <v>500000</v>
      </c>
      <c r="S40" s="2688">
        <f t="shared" ref="S40:S42" si="7">ROUND((N40*(46.1*$E$10))+(O40*(76.9*$E$10))+(P40*20000)+(Q40*30.7*$E$10),0)+R40-0.38</f>
        <v>1314081.6200000001</v>
      </c>
      <c r="T40" s="3711">
        <f t="shared" si="0"/>
        <v>1390255.62</v>
      </c>
      <c r="U40" s="3674"/>
      <c r="V40" s="3683"/>
      <c r="W40" s="3711">
        <f t="shared" si="3"/>
        <v>1390255.62</v>
      </c>
      <c r="X40" s="3682"/>
      <c r="Z40" s="3226"/>
    </row>
    <row r="41" spans="1:26" s="3677" customFormat="1" ht="33" customHeight="1">
      <c r="A41" s="3706">
        <v>24</v>
      </c>
      <c r="B41" s="3673"/>
      <c r="C41" s="3708" t="s">
        <v>2186</v>
      </c>
      <c r="D41" s="3710" t="s">
        <v>167</v>
      </c>
      <c r="E41" s="3682"/>
      <c r="F41" s="3750"/>
      <c r="G41" s="3709">
        <f t="shared" si="1"/>
        <v>0</v>
      </c>
      <c r="H41" s="3709">
        <f>+VLOOKUP(C41,'Mủ CN (TT)'!C35:AI68,33,0)</f>
        <v>26</v>
      </c>
      <c r="I41" s="3680"/>
      <c r="J41" s="3602">
        <f>+VLOOKUP(C41,'Mủ CN (TT)'!C35:AK112,35,0)</f>
        <v>14.77760012380068</v>
      </c>
      <c r="K41" s="3602">
        <v>14.561276608722174</v>
      </c>
      <c r="L41" s="3711" t="str">
        <f>+VLOOKUP(C41,'Mủ CN (TT)'!C35:AL112,36,0)</f>
        <v>A</v>
      </c>
      <c r="M41" s="2688">
        <f t="shared" si="4"/>
        <v>58251</v>
      </c>
      <c r="N41" s="3711">
        <f>+VLOOKUP(C41,'Chấm công CN'!B35:AJ68,34,0)</f>
        <v>12</v>
      </c>
      <c r="O41" s="3711">
        <f>+VLOOKUP(C41,'Chấm công CN'!$B$12:$AJ$45,35,0)</f>
        <v>3</v>
      </c>
      <c r="P41" s="3712">
        <f t="shared" si="2"/>
        <v>15</v>
      </c>
      <c r="Q41" s="3683"/>
      <c r="R41" s="3712">
        <v>500000</v>
      </c>
      <c r="S41" s="2688">
        <f t="shared" si="7"/>
        <v>1314081.6200000001</v>
      </c>
      <c r="T41" s="3711">
        <f t="shared" si="0"/>
        <v>1372332.62</v>
      </c>
      <c r="U41" s="3674"/>
      <c r="V41" s="3683"/>
      <c r="W41" s="3711">
        <f t="shared" si="3"/>
        <v>1372332.62</v>
      </c>
      <c r="X41" s="3682"/>
      <c r="Z41" s="3226"/>
    </row>
    <row r="42" spans="1:26" s="3677" customFormat="1" ht="33" customHeight="1">
      <c r="A42" s="3706">
        <v>25</v>
      </c>
      <c r="B42" s="3673"/>
      <c r="C42" s="3708" t="s">
        <v>2187</v>
      </c>
      <c r="D42" s="3710" t="s">
        <v>167</v>
      </c>
      <c r="E42" s="3682"/>
      <c r="F42" s="3750"/>
      <c r="G42" s="3709">
        <f t="shared" si="1"/>
        <v>0</v>
      </c>
      <c r="H42" s="3709">
        <f>+VLOOKUP(C42,'Mủ CN (TT)'!C36:AI69,33,0)</f>
        <v>19</v>
      </c>
      <c r="I42" s="3680"/>
      <c r="J42" s="3602">
        <f>+VLOOKUP(C42,'Mủ CN (TT)'!C36:AK113,35,0)</f>
        <v>10.799015475085113</v>
      </c>
      <c r="K42" s="3602">
        <v>10.640932906373896</v>
      </c>
      <c r="L42" s="3711" t="str">
        <f>+VLOOKUP(C42,'Mủ CN (TT)'!C36:AL113,36,0)</f>
        <v>A</v>
      </c>
      <c r="M42" s="2688">
        <f t="shared" si="4"/>
        <v>42568</v>
      </c>
      <c r="N42" s="3711">
        <f>+VLOOKUP(C42,'Chấm công CN'!B36:AJ69,34,0)</f>
        <v>12</v>
      </c>
      <c r="O42" s="3711">
        <f>+VLOOKUP(C42,'Chấm công CN'!$B$12:$AJ$45,35,0)</f>
        <v>3</v>
      </c>
      <c r="P42" s="3712">
        <f t="shared" si="2"/>
        <v>15</v>
      </c>
      <c r="Q42" s="3683"/>
      <c r="R42" s="3712">
        <v>500000</v>
      </c>
      <c r="S42" s="2688">
        <f t="shared" si="7"/>
        <v>1314081.6200000001</v>
      </c>
      <c r="T42" s="3711">
        <f t="shared" si="0"/>
        <v>1356649.62</v>
      </c>
      <c r="U42" s="3674"/>
      <c r="V42" s="3683"/>
      <c r="W42" s="3711">
        <f t="shared" si="3"/>
        <v>1356649.62</v>
      </c>
      <c r="X42" s="3682"/>
      <c r="Z42" s="3226"/>
    </row>
    <row r="43" spans="1:26" s="3677" customFormat="1" ht="33" customHeight="1">
      <c r="A43" s="3706">
        <v>26</v>
      </c>
      <c r="B43" s="3673"/>
      <c r="C43" s="3708" t="s">
        <v>1525</v>
      </c>
      <c r="D43" s="3710" t="s">
        <v>167</v>
      </c>
      <c r="E43" s="3682"/>
      <c r="F43" s="3750"/>
      <c r="G43" s="3709">
        <f t="shared" si="1"/>
        <v>0</v>
      </c>
      <c r="H43" s="3709">
        <f>+VLOOKUP(C43,'Mủ CN (TT)'!C37:AI70,33,0)</f>
        <v>0</v>
      </c>
      <c r="I43" s="3680"/>
      <c r="J43" s="3602">
        <f>+VLOOKUP(C43,'Mủ CN (TT)'!C37:AK114,35,0)</f>
        <v>0</v>
      </c>
      <c r="K43" s="3602">
        <v>0</v>
      </c>
      <c r="L43" s="3711" t="str">
        <f>+VLOOKUP(C43,'Mủ CN (TT)'!C37:AL114,36,0)</f>
        <v>A</v>
      </c>
      <c r="M43" s="2688">
        <f t="shared" si="4"/>
        <v>0</v>
      </c>
      <c r="N43" s="3711">
        <f>+VLOOKUP(C43,'Chấm công CN'!B37:AJ70,34,0)</f>
        <v>12</v>
      </c>
      <c r="O43" s="3711">
        <f>+VLOOKUP(C43,'Chấm công CN'!$B$12:$AJ$45,35,0)</f>
        <v>3</v>
      </c>
      <c r="P43" s="3712">
        <f t="shared" si="2"/>
        <v>15</v>
      </c>
      <c r="Q43" s="3683"/>
      <c r="R43" s="3712">
        <v>500000</v>
      </c>
      <c r="S43" s="2688">
        <f>ROUND((N43*(46.1*$E$10))+(O43*(76.9*$E$10))+(P43*20000)+(Q43*30.7*$E$10),0)+R43-0.38</f>
        <v>1314081.6200000001</v>
      </c>
      <c r="T43" s="3711">
        <f t="shared" si="0"/>
        <v>1314081.6200000001</v>
      </c>
      <c r="U43" s="3674"/>
      <c r="V43" s="3683"/>
      <c r="W43" s="3711">
        <f t="shared" si="3"/>
        <v>1314081.6200000001</v>
      </c>
      <c r="X43" s="3682"/>
      <c r="Z43" s="3226"/>
    </row>
    <row r="44" spans="1:26" s="3677" customFormat="1" ht="33" customHeight="1">
      <c r="A44" s="3706">
        <v>27</v>
      </c>
      <c r="B44" s="3673"/>
      <c r="C44" s="3708" t="s">
        <v>2188</v>
      </c>
      <c r="D44" s="3710" t="s">
        <v>167</v>
      </c>
      <c r="E44" s="3682"/>
      <c r="F44" s="3750"/>
      <c r="G44" s="3709">
        <f t="shared" si="1"/>
        <v>0</v>
      </c>
      <c r="H44" s="3709">
        <f>+VLOOKUP(C44,'Mủ CN (TT)'!C38:AI71,33,0)</f>
        <v>0</v>
      </c>
      <c r="I44" s="3680"/>
      <c r="J44" s="3602">
        <f>+VLOOKUP(C44,'Mủ CN (TT)'!C38:AK115,35,0)</f>
        <v>0</v>
      </c>
      <c r="K44" s="3602">
        <v>0</v>
      </c>
      <c r="L44" s="3711" t="str">
        <f>+VLOOKUP(C44,'Mủ CN (TT)'!C38:AL115,36,0)</f>
        <v>A</v>
      </c>
      <c r="M44" s="2688">
        <f t="shared" si="4"/>
        <v>0</v>
      </c>
      <c r="N44" s="3711">
        <f>+VLOOKUP(C44,'Chấm công CN'!B38:AJ71,34,0)</f>
        <v>11</v>
      </c>
      <c r="O44" s="3711">
        <f>+VLOOKUP(C44,'Chấm công CN'!$B$12:$AJ$45,35,0)</f>
        <v>3</v>
      </c>
      <c r="P44" s="3712">
        <f t="shared" si="2"/>
        <v>14</v>
      </c>
      <c r="Q44" s="3683"/>
      <c r="R44" s="3712">
        <v>500000</v>
      </c>
      <c r="S44" s="2688">
        <f>ROUND((N44*(46.1*$E$10))+(O44*(76.9*$E$10))+(P44*20000)+(Q44*30.7*$E$10),0)+R44+0.24</f>
        <v>1263849.24</v>
      </c>
      <c r="T44" s="3711">
        <f t="shared" si="0"/>
        <v>1263849.24</v>
      </c>
      <c r="U44" s="3674"/>
      <c r="V44" s="3683"/>
      <c r="W44" s="3711">
        <f t="shared" si="3"/>
        <v>1263849.24</v>
      </c>
      <c r="X44" s="3682"/>
      <c r="Z44" s="3226"/>
    </row>
    <row r="45" spans="1:26" s="3677" customFormat="1" ht="33" customHeight="1">
      <c r="A45" s="3706">
        <v>28</v>
      </c>
      <c r="B45" s="3673"/>
      <c r="C45" s="3708" t="s">
        <v>2189</v>
      </c>
      <c r="D45" s="3710" t="s">
        <v>167</v>
      </c>
      <c r="E45" s="3682"/>
      <c r="F45" s="3750"/>
      <c r="G45" s="3709">
        <f t="shared" si="1"/>
        <v>0</v>
      </c>
      <c r="H45" s="3709">
        <f>+VLOOKUP(C45,'Mủ CN (TT)'!C39:AI72,33,0)</f>
        <v>34</v>
      </c>
      <c r="I45" s="3680"/>
      <c r="J45" s="3602">
        <f>+VLOOKUP(C45,'Mủ CN (TT)'!C39:AK116,35,0)</f>
        <v>19.324554008047045</v>
      </c>
      <c r="K45" s="3602">
        <v>19.04166941140592</v>
      </c>
      <c r="L45" s="3711" t="str">
        <f>+VLOOKUP(C45,'Mủ CN (TT)'!C39:AL116,36,0)</f>
        <v>A</v>
      </c>
      <c r="M45" s="2688">
        <f t="shared" si="4"/>
        <v>76174</v>
      </c>
      <c r="N45" s="3711">
        <f>+VLOOKUP(C45,'Chấm công CN'!B39:AJ72,34,0)</f>
        <v>12</v>
      </c>
      <c r="O45" s="3711">
        <f>+VLOOKUP(C45,'Chấm công CN'!$B$12:$AJ$45,35,0)</f>
        <v>3</v>
      </c>
      <c r="P45" s="3712">
        <f t="shared" si="2"/>
        <v>15</v>
      </c>
      <c r="Q45" s="3683"/>
      <c r="R45" s="3712">
        <v>500000</v>
      </c>
      <c r="S45" s="2688">
        <f>ROUND((N45*(46.1*$E$10))+(O45*(76.9*$E$10))+(P45*20000)+(Q45*30.7*$E$10),0)+R45-0.38</f>
        <v>1314081.6200000001</v>
      </c>
      <c r="T45" s="3711">
        <f t="shared" si="0"/>
        <v>1390255.62</v>
      </c>
      <c r="U45" s="3674"/>
      <c r="V45" s="3683"/>
      <c r="W45" s="3711">
        <f t="shared" si="3"/>
        <v>1390255.62</v>
      </c>
      <c r="X45" s="3682"/>
      <c r="Z45" s="3226"/>
    </row>
    <row r="46" spans="1:26" s="3677" customFormat="1" ht="33" customHeight="1">
      <c r="A46" s="3706">
        <v>29</v>
      </c>
      <c r="B46" s="3673"/>
      <c r="C46" s="3708" t="s">
        <v>1507</v>
      </c>
      <c r="D46" s="3710" t="s">
        <v>167</v>
      </c>
      <c r="E46" s="3682"/>
      <c r="F46" s="3750"/>
      <c r="G46" s="3709">
        <f t="shared" si="1"/>
        <v>0</v>
      </c>
      <c r="H46" s="3709">
        <f>+VLOOKUP(C46,'Mủ CN (TT)'!C40:AI73,33,0)</f>
        <v>42</v>
      </c>
      <c r="I46" s="3680"/>
      <c r="J46" s="3602">
        <f>+VLOOKUP(C46,'Mủ CN (TT)'!C40:AK117,35,0)</f>
        <v>23.871507892293408</v>
      </c>
      <c r="K46" s="3602">
        <v>23.522062214089665</v>
      </c>
      <c r="L46" s="3711" t="str">
        <f>+VLOOKUP(C46,'Mủ CN (TT)'!C40:AL117,36,0)</f>
        <v>A</v>
      </c>
      <c r="M46" s="2688">
        <f t="shared" si="4"/>
        <v>94097</v>
      </c>
      <c r="N46" s="3711">
        <f>+VLOOKUP(C46,'Chấm công CN'!B40:AJ73,34,0)</f>
        <v>12</v>
      </c>
      <c r="O46" s="3711">
        <f>+VLOOKUP(C46,'Chấm công CN'!$B$12:$AJ$45,35,0)</f>
        <v>3</v>
      </c>
      <c r="P46" s="3712">
        <f t="shared" si="2"/>
        <v>15</v>
      </c>
      <c r="Q46" s="3683"/>
      <c r="R46" s="3712">
        <v>500000</v>
      </c>
      <c r="S46" s="2688">
        <f t="shared" ref="S46:S47" si="8">ROUND((N46*(46.1*$E$10))+(O46*(76.9*$E$10))+(P46*20000)+(Q46*30.7*$E$10),0)+R46-0.38</f>
        <v>1314081.6200000001</v>
      </c>
      <c r="T46" s="3711">
        <f t="shared" si="0"/>
        <v>1408178.62</v>
      </c>
      <c r="U46" s="3674"/>
      <c r="V46" s="3683"/>
      <c r="W46" s="3711">
        <f t="shared" si="3"/>
        <v>1408178.62</v>
      </c>
      <c r="X46" s="3682"/>
      <c r="Z46" s="3226"/>
    </row>
    <row r="47" spans="1:26" s="3677" customFormat="1" ht="33" customHeight="1">
      <c r="A47" s="3706">
        <v>30</v>
      </c>
      <c r="B47" s="3673"/>
      <c r="C47" s="3708" t="s">
        <v>2190</v>
      </c>
      <c r="D47" s="3710" t="s">
        <v>167</v>
      </c>
      <c r="E47" s="3682"/>
      <c r="F47" s="3750"/>
      <c r="G47" s="3709">
        <f t="shared" si="1"/>
        <v>0</v>
      </c>
      <c r="H47" s="3709">
        <f>+VLOOKUP(C47,'Mủ CN (TT)'!C41:AI74,33,0)</f>
        <v>41</v>
      </c>
      <c r="I47" s="3680"/>
      <c r="J47" s="3602">
        <f>+VLOOKUP(C47,'Mủ CN (TT)'!C41:AK118,35,0)</f>
        <v>23.303138656762613</v>
      </c>
      <c r="K47" s="3602">
        <v>22.962013113754196</v>
      </c>
      <c r="L47" s="3711" t="str">
        <f>+VLOOKUP(C47,'Mủ CN (TT)'!C41:AL118,36,0)</f>
        <v>A</v>
      </c>
      <c r="M47" s="2688">
        <f t="shared" si="4"/>
        <v>91857</v>
      </c>
      <c r="N47" s="3711">
        <f>+VLOOKUP(C47,'Chấm công CN'!B41:AJ74,34,0)</f>
        <v>12</v>
      </c>
      <c r="O47" s="3711">
        <f>+VLOOKUP(C47,'Chấm công CN'!$B$12:$AJ$45,35,0)</f>
        <v>3</v>
      </c>
      <c r="P47" s="3712">
        <f t="shared" si="2"/>
        <v>15</v>
      </c>
      <c r="Q47" s="3683"/>
      <c r="R47" s="3712">
        <v>500000</v>
      </c>
      <c r="S47" s="2688">
        <f t="shared" si="8"/>
        <v>1314081.6200000001</v>
      </c>
      <c r="T47" s="3711">
        <f t="shared" si="0"/>
        <v>1405938.62</v>
      </c>
      <c r="U47" s="3674"/>
      <c r="V47" s="3683"/>
      <c r="W47" s="3711">
        <f t="shared" si="3"/>
        <v>1405938.62</v>
      </c>
      <c r="X47" s="3682"/>
      <c r="Z47" s="3226"/>
    </row>
    <row r="48" spans="1:26" s="3677" customFormat="1" ht="33" customHeight="1">
      <c r="A48" s="3706">
        <v>31</v>
      </c>
      <c r="B48" s="3673"/>
      <c r="C48" s="3708" t="s">
        <v>2191</v>
      </c>
      <c r="D48" s="3710" t="s">
        <v>167</v>
      </c>
      <c r="E48" s="3682"/>
      <c r="F48" s="3750"/>
      <c r="G48" s="3709">
        <f t="shared" si="1"/>
        <v>0</v>
      </c>
      <c r="H48" s="3709">
        <f>+VLOOKUP(C48,'Mủ CN (TT)'!C42:AI75,33,0)</f>
        <v>41</v>
      </c>
      <c r="I48" s="3680"/>
      <c r="J48" s="3602">
        <f>+VLOOKUP(C48,'Mủ CN (TT)'!C42:AK119,35,0)</f>
        <v>23.303138656762613</v>
      </c>
      <c r="K48" s="3602">
        <v>22.962013113754196</v>
      </c>
      <c r="L48" s="3711" t="str">
        <f>+VLOOKUP(C48,'Mủ CN (TT)'!C42:AL119,36,0)</f>
        <v>A</v>
      </c>
      <c r="M48" s="2688">
        <f t="shared" si="4"/>
        <v>91857</v>
      </c>
      <c r="N48" s="3711">
        <f>+VLOOKUP(C48,'Chấm công CN'!B42:AJ75,34,0)</f>
        <v>12</v>
      </c>
      <c r="O48" s="3711">
        <f>+VLOOKUP(C48,'Chấm công CN'!$B$12:$AJ$45,35,0)</f>
        <v>3</v>
      </c>
      <c r="P48" s="3712">
        <f t="shared" si="2"/>
        <v>15</v>
      </c>
      <c r="Q48" s="3683"/>
      <c r="R48" s="3712">
        <v>500000</v>
      </c>
      <c r="S48" s="2688">
        <f>ROUND((N48*(46.1*$E$10))+(O48*(76.9*$E$10))+(P48*20000)+(Q48*30.7*$E$10),0)+R48-0.38</f>
        <v>1314081.6200000001</v>
      </c>
      <c r="T48" s="3711">
        <f t="shared" si="0"/>
        <v>1405938.62</v>
      </c>
      <c r="U48" s="3674"/>
      <c r="V48" s="3683"/>
      <c r="W48" s="3711">
        <f t="shared" si="3"/>
        <v>1405938.62</v>
      </c>
      <c r="X48" s="3682"/>
      <c r="Z48" s="3226"/>
    </row>
    <row r="49" spans="1:26" s="3677" customFormat="1" ht="33" customHeight="1">
      <c r="A49" s="3706">
        <v>32</v>
      </c>
      <c r="B49" s="3673"/>
      <c r="C49" s="3708" t="s">
        <v>1923</v>
      </c>
      <c r="D49" s="3710" t="s">
        <v>167</v>
      </c>
      <c r="E49" s="3682"/>
      <c r="F49" s="3750"/>
      <c r="G49" s="3709">
        <f t="shared" si="1"/>
        <v>0</v>
      </c>
      <c r="H49" s="3709">
        <f>+VLOOKUP(C49,'Mủ CN (TT)'!C43:AI76,33,0)</f>
        <v>0</v>
      </c>
      <c r="I49" s="3680"/>
      <c r="J49" s="3602">
        <f>+VLOOKUP(C49,'Mủ CN (TT)'!C43:AK120,35,0)</f>
        <v>0</v>
      </c>
      <c r="K49" s="3602">
        <v>0</v>
      </c>
      <c r="L49" s="3711" t="str">
        <f>+VLOOKUP(C49,'Mủ CN (TT)'!C43:AL120,36,0)</f>
        <v>A</v>
      </c>
      <c r="M49" s="2688">
        <f t="shared" si="4"/>
        <v>0</v>
      </c>
      <c r="N49" s="3711">
        <f>+VLOOKUP(C49,'Chấm công CN'!B43:AJ76,34,0)</f>
        <v>6</v>
      </c>
      <c r="O49" s="3711">
        <f>+VLOOKUP(C49,'Chấm công CN'!$B$12:$AJ$45,35,0)</f>
        <v>2</v>
      </c>
      <c r="P49" s="3712">
        <f t="shared" si="2"/>
        <v>8</v>
      </c>
      <c r="Q49" s="3683"/>
      <c r="R49" s="3712">
        <v>500000</v>
      </c>
      <c r="S49" s="2688">
        <f>ROUND((N49*(46.1*$E$10))+(O49*(76.9*$E$10))+(P49*20000)+(Q49*30.7*$E$10),0)+R49+0.32</f>
        <v>942256.32</v>
      </c>
      <c r="T49" s="3711">
        <f t="shared" si="0"/>
        <v>942256.32</v>
      </c>
      <c r="U49" s="3674"/>
      <c r="V49" s="3683"/>
      <c r="W49" s="3711">
        <f t="shared" si="3"/>
        <v>942256.32</v>
      </c>
      <c r="X49" s="3682"/>
      <c r="Z49" s="3226"/>
    </row>
    <row r="50" spans="1:26" s="3677" customFormat="1" ht="33" customHeight="1">
      <c r="A50" s="3706">
        <v>33</v>
      </c>
      <c r="B50" s="3673"/>
      <c r="C50" s="3708" t="s">
        <v>2192</v>
      </c>
      <c r="D50" s="3710" t="s">
        <v>167</v>
      </c>
      <c r="E50" s="3682"/>
      <c r="F50" s="3750"/>
      <c r="G50" s="3709">
        <f t="shared" si="1"/>
        <v>0</v>
      </c>
      <c r="H50" s="3709">
        <f>+VLOOKUP(C50,'Mủ CN (TT)'!C44:AI77,33,0)</f>
        <v>0</v>
      </c>
      <c r="I50" s="3680"/>
      <c r="J50" s="3602">
        <f>+VLOOKUP(C50,'Mủ CN (TT)'!C44:AK121,35,0)</f>
        <v>0</v>
      </c>
      <c r="K50" s="3602">
        <v>0</v>
      </c>
      <c r="L50" s="3711" t="str">
        <f>+VLOOKUP(C50,'Mủ CN (TT)'!C44:AL121,36,0)</f>
        <v>A</v>
      </c>
      <c r="M50" s="2688">
        <f t="shared" si="4"/>
        <v>0</v>
      </c>
      <c r="N50" s="3711">
        <f>+VLOOKUP(C50,'Chấm công CN'!B44:AJ77,34,0)</f>
        <v>11</v>
      </c>
      <c r="O50" s="3711">
        <f>+VLOOKUP(C50,'Chấm công CN'!$B$12:$AJ$45,35,0)</f>
        <v>2</v>
      </c>
      <c r="P50" s="3712">
        <f t="shared" si="2"/>
        <v>13</v>
      </c>
      <c r="Q50" s="3683"/>
      <c r="R50" s="3712">
        <v>500000</v>
      </c>
      <c r="S50" s="2688">
        <f>ROUND((N50*(46.1*$E$10))+(O50*(76.9*$E$10))+(P50*20000)+(Q50*30.7*$E$10),0)+R50+0.22</f>
        <v>1193418.22</v>
      </c>
      <c r="T50" s="3711">
        <f t="shared" ref="T50:T81" si="9">+G50+M50+S50</f>
        <v>1193418.22</v>
      </c>
      <c r="U50" s="3674"/>
      <c r="V50" s="3683"/>
      <c r="W50" s="3711">
        <f t="shared" si="3"/>
        <v>1193418.22</v>
      </c>
      <c r="X50" s="3682"/>
      <c r="Z50" s="3226"/>
    </row>
    <row r="51" spans="1:26" s="3677" customFormat="1" ht="33" customHeight="1">
      <c r="A51" s="3706">
        <v>34</v>
      </c>
      <c r="B51" s="3673"/>
      <c r="C51" s="3708" t="s">
        <v>2193</v>
      </c>
      <c r="D51" s="3710" t="s">
        <v>167</v>
      </c>
      <c r="E51" s="3682"/>
      <c r="F51" s="3750"/>
      <c r="G51" s="3709">
        <f t="shared" si="1"/>
        <v>0</v>
      </c>
      <c r="H51" s="3709">
        <f>+VLOOKUP(C51,'Mủ CN (TT)'!C45:AI78,33,0)</f>
        <v>45</v>
      </c>
      <c r="I51" s="3680"/>
      <c r="J51" s="3602">
        <f>+VLOOKUP(C51,'Mủ CN (TT)'!C45:AK122,35,0)</f>
        <v>25.576615598885795</v>
      </c>
      <c r="K51" s="3602">
        <v>25.202209515096069</v>
      </c>
      <c r="L51" s="3711" t="str">
        <f>+VLOOKUP(C51,'Mủ CN (TT)'!C45:AL122,36,0)</f>
        <v>A</v>
      </c>
      <c r="M51" s="2688">
        <f t="shared" si="4"/>
        <v>100818</v>
      </c>
      <c r="N51" s="3711">
        <f>+VLOOKUP(C51,'Chấm công CN'!B45:AJ78,34,0)</f>
        <v>12</v>
      </c>
      <c r="O51" s="3711">
        <f>+VLOOKUP(C51,'Chấm công CN'!$B$12:$AJ$45,35,0)</f>
        <v>3</v>
      </c>
      <c r="P51" s="3712">
        <f t="shared" si="2"/>
        <v>15</v>
      </c>
      <c r="Q51" s="3683"/>
      <c r="R51" s="3712">
        <v>500000</v>
      </c>
      <c r="S51" s="2688">
        <f>ROUND((N51*(46.1*$E$10))+(O51*(76.9*$E$10))+(P51*20000)+(Q51*30.7*$E$10),0)+R51-0.38</f>
        <v>1314081.6200000001</v>
      </c>
      <c r="T51" s="3711">
        <f t="shared" si="9"/>
        <v>1414899.62</v>
      </c>
      <c r="U51" s="3674"/>
      <c r="V51" s="3683"/>
      <c r="W51" s="3711">
        <f t="shared" si="3"/>
        <v>1414899.62</v>
      </c>
      <c r="X51" s="3682"/>
      <c r="Z51" s="3226"/>
    </row>
    <row r="52" spans="1:26" s="3677" customFormat="1" ht="33" customHeight="1">
      <c r="A52" s="3706">
        <v>35</v>
      </c>
      <c r="B52" s="3673"/>
      <c r="C52" s="3708" t="s">
        <v>2195</v>
      </c>
      <c r="D52" s="3710" t="s">
        <v>167</v>
      </c>
      <c r="E52" s="3682"/>
      <c r="F52" s="3750"/>
      <c r="G52" s="3709">
        <f t="shared" si="1"/>
        <v>0</v>
      </c>
      <c r="H52" s="3709">
        <f>+VLOOKUP(C52,'Mủ CN (TT)'!C46:AI79,33,0)</f>
        <v>243</v>
      </c>
      <c r="I52" s="3680"/>
      <c r="J52" s="3602">
        <f>+VLOOKUP(C52,'Mủ CN (TT)'!C46:AK123,35,0)</f>
        <v>139.88046935094698</v>
      </c>
      <c r="K52" s="3602">
        <v>137.8328138069258</v>
      </c>
      <c r="L52" s="3711" t="str">
        <f>+VLOOKUP(C52,'Mủ CN (TT)'!C46:AL123,36,0)</f>
        <v>A</v>
      </c>
      <c r="M52" s="2688">
        <f t="shared" si="4"/>
        <v>551384</v>
      </c>
      <c r="N52" s="3711">
        <f>+VLOOKUP(C52,'Chấm công CN'!$B$47:$AJ$89,34,0)</f>
        <v>15</v>
      </c>
      <c r="O52" s="3711">
        <f>+VLOOKUP(C52,'Chấm công CN'!B47:AJ89,35,0)</f>
        <v>3</v>
      </c>
      <c r="P52" s="3712">
        <f t="shared" si="2"/>
        <v>18</v>
      </c>
      <c r="Q52" s="3683"/>
      <c r="R52" s="3712">
        <v>500000</v>
      </c>
      <c r="S52" s="2688">
        <f>ROUND((N52*(46.1*$E$10))+(O52*(76.9*$E$10))+(P52*20000)+(Q52*30.7*$E$10),0)+R52-0.24</f>
        <v>1464778.76</v>
      </c>
      <c r="T52" s="3711">
        <f t="shared" si="9"/>
        <v>2016162.76</v>
      </c>
      <c r="U52" s="3674"/>
      <c r="V52" s="3683"/>
      <c r="W52" s="3711">
        <f t="shared" si="3"/>
        <v>2016162.76</v>
      </c>
      <c r="X52" s="3682"/>
      <c r="Z52" s="3226"/>
    </row>
    <row r="53" spans="1:26" s="3677" customFormat="1" ht="33" customHeight="1">
      <c r="A53" s="3706">
        <v>36</v>
      </c>
      <c r="B53" s="3673"/>
      <c r="C53" s="3708" t="s">
        <v>2196</v>
      </c>
      <c r="D53" s="3710" t="s">
        <v>167</v>
      </c>
      <c r="E53" s="3682"/>
      <c r="F53" s="3750"/>
      <c r="G53" s="3709">
        <f t="shared" si="1"/>
        <v>0</v>
      </c>
      <c r="H53" s="3709">
        <f>+VLOOKUP(C53,'Mủ CN (TT)'!C47:AI80,33,0)</f>
        <v>263</v>
      </c>
      <c r="I53" s="3680"/>
      <c r="J53" s="3602">
        <f>+VLOOKUP(C53,'Mủ CN (TT)'!C47:AK124,35,0)</f>
        <v>151.39326518230064</v>
      </c>
      <c r="K53" s="3602">
        <v>149.1770783177839</v>
      </c>
      <c r="L53" s="3711" t="str">
        <f>+VLOOKUP(C53,'Mủ CN (TT)'!C47:AL124,36,0)</f>
        <v>A</v>
      </c>
      <c r="M53" s="2688">
        <f t="shared" si="4"/>
        <v>596765</v>
      </c>
      <c r="N53" s="3711">
        <f>+VLOOKUP(C53,'Chấm công CN'!$B$47:$AJ$89,34,0)</f>
        <v>15</v>
      </c>
      <c r="O53" s="3711">
        <f>+VLOOKUP(C53,'Chấm công CN'!B48:AJ90,35,0)</f>
        <v>3</v>
      </c>
      <c r="P53" s="3712">
        <f t="shared" si="2"/>
        <v>18</v>
      </c>
      <c r="Q53" s="3683"/>
      <c r="R53" s="3712">
        <v>500000</v>
      </c>
      <c r="S53" s="2688">
        <f t="shared" ref="S53:S69" si="10">ROUND((N53*(46.1*$E$10))+(O53*(76.9*$E$10))+(P53*20000)+(Q53*30.7*$E$10),0)+R53-0.24</f>
        <v>1464778.76</v>
      </c>
      <c r="T53" s="3711">
        <f t="shared" si="9"/>
        <v>2061543.76</v>
      </c>
      <c r="U53" s="3674"/>
      <c r="V53" s="3683"/>
      <c r="W53" s="3711">
        <f t="shared" si="3"/>
        <v>2061543.76</v>
      </c>
      <c r="X53" s="3682"/>
      <c r="Z53" s="3226"/>
    </row>
    <row r="54" spans="1:26" s="3677" customFormat="1" ht="33" customHeight="1">
      <c r="A54" s="3706">
        <v>37</v>
      </c>
      <c r="B54" s="3673"/>
      <c r="C54" s="3708" t="s">
        <v>2197</v>
      </c>
      <c r="D54" s="3710" t="s">
        <v>167</v>
      </c>
      <c r="E54" s="3697"/>
      <c r="F54" s="3750"/>
      <c r="G54" s="3709">
        <f t="shared" si="1"/>
        <v>0</v>
      </c>
      <c r="H54" s="3709">
        <f>+VLOOKUP(C54,'Mủ CN (TT)'!C48:AI81,33,0)</f>
        <v>248</v>
      </c>
      <c r="I54" s="3680"/>
      <c r="J54" s="3602">
        <f>+VLOOKUP(C54,'Mủ CN (TT)'!C48:AK125,35,0)</f>
        <v>142.75866830878542</v>
      </c>
      <c r="K54" s="3602">
        <v>140.66887993464036</v>
      </c>
      <c r="L54" s="3711" t="str">
        <f>+VLOOKUP(C54,'Mủ CN (TT)'!C48:AL125,36,0)</f>
        <v>A</v>
      </c>
      <c r="M54" s="2688">
        <f t="shared" si="4"/>
        <v>562729</v>
      </c>
      <c r="N54" s="3711">
        <f>+VLOOKUP(C54,'Chấm công CN'!$B$47:$AJ$89,34,0)</f>
        <v>15</v>
      </c>
      <c r="O54" s="3711">
        <f>+VLOOKUP(C54,'Chấm công CN'!B49:AJ91,35,0)</f>
        <v>3</v>
      </c>
      <c r="P54" s="3712">
        <f t="shared" si="2"/>
        <v>18</v>
      </c>
      <c r="Q54" s="3683"/>
      <c r="R54" s="3712">
        <v>500000</v>
      </c>
      <c r="S54" s="2688">
        <f t="shared" si="10"/>
        <v>1464778.76</v>
      </c>
      <c r="T54" s="3711">
        <f t="shared" si="9"/>
        <v>2027507.76</v>
      </c>
      <c r="U54" s="3674"/>
      <c r="V54" s="3683"/>
      <c r="W54" s="3711">
        <f t="shared" si="3"/>
        <v>2027507.76</v>
      </c>
      <c r="X54" s="3682"/>
      <c r="Z54" s="3226"/>
    </row>
    <row r="55" spans="1:26" s="3677" customFormat="1" ht="33" customHeight="1">
      <c r="A55" s="3706">
        <v>38</v>
      </c>
      <c r="B55" s="3673"/>
      <c r="C55" s="3708" t="s">
        <v>2198</v>
      </c>
      <c r="D55" s="3710" t="s">
        <v>167</v>
      </c>
      <c r="E55" s="3697"/>
      <c r="F55" s="3750"/>
      <c r="G55" s="3709">
        <f t="shared" si="1"/>
        <v>0</v>
      </c>
      <c r="H55" s="3709">
        <f>+VLOOKUP(C55,'Mủ CN (TT)'!C49:AI82,33,0)</f>
        <v>246</v>
      </c>
      <c r="I55" s="3680"/>
      <c r="J55" s="3602">
        <f>+VLOOKUP(C55,'Mủ CN (TT)'!C49:AK126,35,0)</f>
        <v>141.60738872565003</v>
      </c>
      <c r="K55" s="3602">
        <v>139.53445348355453</v>
      </c>
      <c r="L55" s="3711" t="str">
        <f>+VLOOKUP(C55,'Mủ CN (TT)'!C49:AL126,36,0)</f>
        <v>A</v>
      </c>
      <c r="M55" s="2688">
        <f t="shared" si="4"/>
        <v>558191</v>
      </c>
      <c r="N55" s="3711">
        <f>+VLOOKUP(C55,'Chấm công CN'!$B$47:$AJ$89,34,0)</f>
        <v>15</v>
      </c>
      <c r="O55" s="3711">
        <f>+VLOOKUP(C55,'Chấm công CN'!B50:AJ92,35,0)</f>
        <v>3</v>
      </c>
      <c r="P55" s="3712">
        <f t="shared" si="2"/>
        <v>18</v>
      </c>
      <c r="Q55" s="3683"/>
      <c r="R55" s="3712">
        <v>500000</v>
      </c>
      <c r="S55" s="2688">
        <f t="shared" si="10"/>
        <v>1464778.76</v>
      </c>
      <c r="T55" s="3711">
        <f t="shared" si="9"/>
        <v>2022969.76</v>
      </c>
      <c r="U55" s="3674"/>
      <c r="V55" s="3683"/>
      <c r="W55" s="3711">
        <f t="shared" si="3"/>
        <v>2022969.76</v>
      </c>
      <c r="X55" s="3682"/>
      <c r="Z55" s="3226"/>
    </row>
    <row r="56" spans="1:26" s="3677" customFormat="1" ht="33" customHeight="1">
      <c r="A56" s="3706">
        <v>39</v>
      </c>
      <c r="B56" s="3673"/>
      <c r="C56" s="3708" t="s">
        <v>2199</v>
      </c>
      <c r="D56" s="3710" t="s">
        <v>167</v>
      </c>
      <c r="E56" s="3697"/>
      <c r="F56" s="3750"/>
      <c r="G56" s="3709">
        <f t="shared" si="1"/>
        <v>0</v>
      </c>
      <c r="H56" s="3709">
        <f>+VLOOKUP(C56,'Mủ CN (TT)'!C50:AI83,33,0)</f>
        <v>226</v>
      </c>
      <c r="I56" s="3680"/>
      <c r="J56" s="3602">
        <f>+VLOOKUP(C56,'Mủ CN (TT)'!C50:AK127,35,0)</f>
        <v>130.09459289429637</v>
      </c>
      <c r="K56" s="3602">
        <v>128.19018897269646</v>
      </c>
      <c r="L56" s="3711" t="str">
        <f>+VLOOKUP(C56,'Mủ CN (TT)'!C50:AL127,36,0)</f>
        <v>A</v>
      </c>
      <c r="M56" s="2688">
        <f t="shared" si="4"/>
        <v>512809</v>
      </c>
      <c r="N56" s="3711">
        <f>+VLOOKUP(C56,'Chấm công CN'!$B$47:$AJ$89,34,0)</f>
        <v>15</v>
      </c>
      <c r="O56" s="3711">
        <f>+VLOOKUP(C56,'Chấm công CN'!B51:AJ93,35,0)</f>
        <v>3</v>
      </c>
      <c r="P56" s="3712">
        <f t="shared" si="2"/>
        <v>18</v>
      </c>
      <c r="Q56" s="3683"/>
      <c r="R56" s="3712">
        <v>500000</v>
      </c>
      <c r="S56" s="2688">
        <f t="shared" si="10"/>
        <v>1464778.76</v>
      </c>
      <c r="T56" s="3711">
        <f t="shared" si="9"/>
        <v>1977587.76</v>
      </c>
      <c r="U56" s="3674"/>
      <c r="V56" s="3683"/>
      <c r="W56" s="3711">
        <f t="shared" si="3"/>
        <v>1977587.76</v>
      </c>
      <c r="X56" s="3682"/>
      <c r="Z56" s="3226"/>
    </row>
    <row r="57" spans="1:26" s="3677" customFormat="1" ht="33" customHeight="1">
      <c r="A57" s="3706">
        <v>40</v>
      </c>
      <c r="B57" s="3673"/>
      <c r="C57" s="3708" t="s">
        <v>2200</v>
      </c>
      <c r="D57" s="3710" t="s">
        <v>167</v>
      </c>
      <c r="E57" s="3697"/>
      <c r="F57" s="3750"/>
      <c r="G57" s="3709">
        <f t="shared" si="1"/>
        <v>0</v>
      </c>
      <c r="H57" s="3709">
        <f>+VLOOKUP(C57,'Mủ CN (TT)'!C51:AI84,33,0)</f>
        <v>230</v>
      </c>
      <c r="I57" s="3680"/>
      <c r="J57" s="3602">
        <f>+VLOOKUP(C57,'Mủ CN (TT)'!C51:AK128,35,0)</f>
        <v>132.39715206056709</v>
      </c>
      <c r="K57" s="3602">
        <v>130.45904187486806</v>
      </c>
      <c r="L57" s="3711" t="str">
        <f>+VLOOKUP(C57,'Mủ CN (TT)'!C51:AL128,36,0)</f>
        <v>A</v>
      </c>
      <c r="M57" s="2688">
        <f t="shared" si="4"/>
        <v>521886</v>
      </c>
      <c r="N57" s="3711">
        <f>+VLOOKUP(C57,'Chấm công CN'!$B$47:$AJ$89,34,0)</f>
        <v>15</v>
      </c>
      <c r="O57" s="3711">
        <f>+VLOOKUP(C57,'Chấm công CN'!B52:AJ94,35,0)</f>
        <v>3</v>
      </c>
      <c r="P57" s="3712">
        <f t="shared" si="2"/>
        <v>18</v>
      </c>
      <c r="Q57" s="3683"/>
      <c r="R57" s="3712">
        <v>500000</v>
      </c>
      <c r="S57" s="2688">
        <f t="shared" si="10"/>
        <v>1464778.76</v>
      </c>
      <c r="T57" s="3711">
        <f t="shared" si="9"/>
        <v>1986664.76</v>
      </c>
      <c r="U57" s="3674"/>
      <c r="V57" s="3683"/>
      <c r="W57" s="3711">
        <f t="shared" si="3"/>
        <v>1986664.76</v>
      </c>
      <c r="X57" s="3682"/>
      <c r="Z57" s="3226"/>
    </row>
    <row r="58" spans="1:26" s="3677" customFormat="1" ht="33" customHeight="1">
      <c r="A58" s="3706">
        <v>41</v>
      </c>
      <c r="B58" s="3673"/>
      <c r="C58" s="3708" t="s">
        <v>2201</v>
      </c>
      <c r="D58" s="3710" t="s">
        <v>167</v>
      </c>
      <c r="E58" s="3697"/>
      <c r="F58" s="3750"/>
      <c r="G58" s="3709">
        <f t="shared" si="1"/>
        <v>0</v>
      </c>
      <c r="H58" s="3709">
        <f>+VLOOKUP(C58,'Mủ CN (TT)'!C52:AI85,33,0)</f>
        <v>337</v>
      </c>
      <c r="I58" s="3680"/>
      <c r="J58" s="3602">
        <f>+VLOOKUP(C58,'Mủ CN (TT)'!C52:AK129,35,0)</f>
        <v>193.9906097583092</v>
      </c>
      <c r="K58" s="3602">
        <v>191.15085700795888</v>
      </c>
      <c r="L58" s="3711" t="str">
        <f>+VLOOKUP(C58,'Mủ CN (TT)'!C52:AL129,36,0)</f>
        <v>A</v>
      </c>
      <c r="M58" s="2688">
        <f t="shared" si="4"/>
        <v>764676</v>
      </c>
      <c r="N58" s="3711">
        <f>+VLOOKUP(C58,'Chấm công CN'!$B$47:$AJ$89,34,0)</f>
        <v>15</v>
      </c>
      <c r="O58" s="3711">
        <f>+VLOOKUP(C58,'Chấm công CN'!B53:AJ95,35,0)</f>
        <v>3</v>
      </c>
      <c r="P58" s="3712">
        <f t="shared" si="2"/>
        <v>18</v>
      </c>
      <c r="Q58" s="3683"/>
      <c r="R58" s="3712">
        <v>500000</v>
      </c>
      <c r="S58" s="2688">
        <f t="shared" si="10"/>
        <v>1464778.76</v>
      </c>
      <c r="T58" s="3711">
        <f t="shared" si="9"/>
        <v>2229454.7599999998</v>
      </c>
      <c r="U58" s="3674"/>
      <c r="V58" s="3683"/>
      <c r="W58" s="3711">
        <f t="shared" si="3"/>
        <v>2229454.7599999998</v>
      </c>
      <c r="X58" s="3682"/>
      <c r="Z58" s="3226"/>
    </row>
    <row r="59" spans="1:26" s="3677" customFormat="1" ht="33" customHeight="1">
      <c r="A59" s="3706">
        <v>42</v>
      </c>
      <c r="B59" s="3673"/>
      <c r="C59" s="3708" t="s">
        <v>2202</v>
      </c>
      <c r="D59" s="3710" t="s">
        <v>167</v>
      </c>
      <c r="E59" s="3697"/>
      <c r="F59" s="3750"/>
      <c r="G59" s="3709">
        <f t="shared" si="1"/>
        <v>0</v>
      </c>
      <c r="H59" s="3709">
        <f>+VLOOKUP(C59,'Mủ CN (TT)'!C53:AI86,33,0)</f>
        <v>221</v>
      </c>
      <c r="I59" s="3680"/>
      <c r="J59" s="3602">
        <f>+VLOOKUP(C59,'Mủ CN (TT)'!C53:AK130,35,0)</f>
        <v>127.21639393645796</v>
      </c>
      <c r="K59" s="3602">
        <v>125.35412284498193</v>
      </c>
      <c r="L59" s="3711" t="str">
        <f>+VLOOKUP(C59,'Mủ CN (TT)'!C53:AL130,36,0)</f>
        <v>A</v>
      </c>
      <c r="M59" s="2688">
        <f t="shared" si="4"/>
        <v>501464</v>
      </c>
      <c r="N59" s="3711">
        <f>+VLOOKUP(C59,'Chấm công CN'!$B$47:$AJ$89,34,0)</f>
        <v>15</v>
      </c>
      <c r="O59" s="3711">
        <f>+VLOOKUP(C59,'Chấm công CN'!B54:AJ96,35,0)</f>
        <v>3</v>
      </c>
      <c r="P59" s="3712">
        <f t="shared" si="2"/>
        <v>18</v>
      </c>
      <c r="Q59" s="3683"/>
      <c r="R59" s="3712">
        <v>500000</v>
      </c>
      <c r="S59" s="2688">
        <f t="shared" si="10"/>
        <v>1464778.76</v>
      </c>
      <c r="T59" s="3711">
        <f t="shared" si="9"/>
        <v>1966242.76</v>
      </c>
      <c r="U59" s="3674"/>
      <c r="V59" s="3683"/>
      <c r="W59" s="3711">
        <f t="shared" si="3"/>
        <v>1966242.76</v>
      </c>
      <c r="X59" s="3682"/>
      <c r="Z59" s="3226"/>
    </row>
    <row r="60" spans="1:26" s="3677" customFormat="1" ht="33" customHeight="1">
      <c r="A60" s="3706">
        <v>43</v>
      </c>
      <c r="B60" s="3673"/>
      <c r="C60" s="3708" t="s">
        <v>2203</v>
      </c>
      <c r="D60" s="3710" t="s">
        <v>167</v>
      </c>
      <c r="E60" s="3697"/>
      <c r="F60" s="3750"/>
      <c r="G60" s="3709">
        <f t="shared" si="1"/>
        <v>0</v>
      </c>
      <c r="H60" s="3709">
        <f>+VLOOKUP(C60,'Mủ CN (TT)'!C54:AI87,33,0)</f>
        <v>223</v>
      </c>
      <c r="I60" s="3680"/>
      <c r="J60" s="3602">
        <f>+VLOOKUP(C60,'Mủ CN (TT)'!C54:AK131,35,0)</f>
        <v>128.36767351959332</v>
      </c>
      <c r="K60" s="3602">
        <v>126.48854929606775</v>
      </c>
      <c r="L60" s="3711" t="str">
        <f>+VLOOKUP(C60,'Mủ CN (TT)'!C54:AL131,36,0)</f>
        <v>A</v>
      </c>
      <c r="M60" s="2688">
        <f t="shared" si="4"/>
        <v>506002</v>
      </c>
      <c r="N60" s="3711">
        <f>+VLOOKUP(C60,'Chấm công CN'!$B$47:$AJ$89,34,0)</f>
        <v>15</v>
      </c>
      <c r="O60" s="3711">
        <f>+VLOOKUP(C60,'Chấm công CN'!B55:AJ97,35,0)</f>
        <v>3</v>
      </c>
      <c r="P60" s="3712">
        <f t="shared" si="2"/>
        <v>18</v>
      </c>
      <c r="Q60" s="3683"/>
      <c r="R60" s="3712">
        <v>500000</v>
      </c>
      <c r="S60" s="2688">
        <f t="shared" si="10"/>
        <v>1464778.76</v>
      </c>
      <c r="T60" s="3711">
        <f t="shared" si="9"/>
        <v>1970780.76</v>
      </c>
      <c r="U60" s="3674"/>
      <c r="V60" s="3683"/>
      <c r="W60" s="3711">
        <f t="shared" si="3"/>
        <v>1970780.76</v>
      </c>
      <c r="X60" s="3682"/>
      <c r="Z60" s="3226"/>
    </row>
    <row r="61" spans="1:26" s="3677" customFormat="1" ht="33" customHeight="1">
      <c r="A61" s="3706">
        <v>44</v>
      </c>
      <c r="B61" s="3673"/>
      <c r="C61" s="3708" t="s">
        <v>2204</v>
      </c>
      <c r="D61" s="3710" t="s">
        <v>167</v>
      </c>
      <c r="E61" s="3697"/>
      <c r="F61" s="3750"/>
      <c r="G61" s="3709">
        <f t="shared" si="1"/>
        <v>0</v>
      </c>
      <c r="H61" s="3709">
        <f>+VLOOKUP(C61,'Mủ CN (TT)'!C55:AI88,33,0)</f>
        <v>245</v>
      </c>
      <c r="I61" s="3680"/>
      <c r="J61" s="3602">
        <f>+VLOOKUP(C61,'Mủ CN (TT)'!C55:AK132,35,0)</f>
        <v>141.03174893408234</v>
      </c>
      <c r="K61" s="3602">
        <v>138.96724025801163</v>
      </c>
      <c r="L61" s="3711" t="str">
        <f>+VLOOKUP(C61,'Mủ CN (TT)'!C55:AL132,36,0)</f>
        <v>A</v>
      </c>
      <c r="M61" s="2688">
        <f t="shared" si="4"/>
        <v>555922</v>
      </c>
      <c r="N61" s="3711">
        <f>+VLOOKUP(C61,'Chấm công CN'!$B$47:$AJ$89,34,0)</f>
        <v>15</v>
      </c>
      <c r="O61" s="3711">
        <f>+VLOOKUP(C61,'Chấm công CN'!B56:AJ98,35,0)</f>
        <v>3</v>
      </c>
      <c r="P61" s="3712">
        <f t="shared" si="2"/>
        <v>18</v>
      </c>
      <c r="Q61" s="3683"/>
      <c r="R61" s="3712">
        <v>500000</v>
      </c>
      <c r="S61" s="2688">
        <f t="shared" si="10"/>
        <v>1464778.76</v>
      </c>
      <c r="T61" s="3711">
        <f t="shared" si="9"/>
        <v>2020700.76</v>
      </c>
      <c r="U61" s="3674"/>
      <c r="V61" s="3683"/>
      <c r="W61" s="3711">
        <f t="shared" si="3"/>
        <v>2020700.76</v>
      </c>
      <c r="X61" s="3682"/>
      <c r="Z61" s="3226"/>
    </row>
    <row r="62" spans="1:26" s="3677" customFormat="1" ht="33" customHeight="1">
      <c r="A62" s="3706">
        <v>45</v>
      </c>
      <c r="B62" s="3673"/>
      <c r="C62" s="3708" t="s">
        <v>2205</v>
      </c>
      <c r="D62" s="3710" t="s">
        <v>167</v>
      </c>
      <c r="E62" s="3697"/>
      <c r="F62" s="3750"/>
      <c r="G62" s="3709">
        <f t="shared" si="1"/>
        <v>0</v>
      </c>
      <c r="H62" s="3709">
        <f>+VLOOKUP(C62,'Mủ CN (TT)'!C56:AI89,33,0)</f>
        <v>335</v>
      </c>
      <c r="I62" s="3680"/>
      <c r="J62" s="3602">
        <f>+VLOOKUP(C62,'Mủ CN (TT)'!C56:AK133,35,0)</f>
        <v>192.83933017517384</v>
      </c>
      <c r="K62" s="3602">
        <v>190.01643055687308</v>
      </c>
      <c r="L62" s="3711" t="str">
        <f>+VLOOKUP(C62,'Mủ CN (TT)'!C56:AL133,36,0)</f>
        <v>A</v>
      </c>
      <c r="M62" s="2688">
        <f t="shared" si="4"/>
        <v>760138</v>
      </c>
      <c r="N62" s="3711">
        <f>+VLOOKUP(C62,'Chấm công CN'!$B$47:$AJ$89,34,0)</f>
        <v>15</v>
      </c>
      <c r="O62" s="3711">
        <f>+VLOOKUP(C62,'Chấm công CN'!B57:AJ99,35,0)</f>
        <v>3</v>
      </c>
      <c r="P62" s="3712">
        <f t="shared" si="2"/>
        <v>18</v>
      </c>
      <c r="Q62" s="3683"/>
      <c r="R62" s="3712">
        <v>500000</v>
      </c>
      <c r="S62" s="2688">
        <f t="shared" si="10"/>
        <v>1464778.76</v>
      </c>
      <c r="T62" s="3711">
        <f t="shared" si="9"/>
        <v>2224916.7599999998</v>
      </c>
      <c r="U62" s="3674"/>
      <c r="V62" s="3683"/>
      <c r="W62" s="3711">
        <f t="shared" si="3"/>
        <v>2224916.7599999998</v>
      </c>
      <c r="X62" s="3682"/>
      <c r="Z62" s="3226"/>
    </row>
    <row r="63" spans="1:26" s="3677" customFormat="1" ht="33" customHeight="1">
      <c r="A63" s="3706">
        <v>46</v>
      </c>
      <c r="B63" s="3673"/>
      <c r="C63" s="3708" t="s">
        <v>2206</v>
      </c>
      <c r="D63" s="3710" t="s">
        <v>167</v>
      </c>
      <c r="E63" s="3697"/>
      <c r="F63" s="3750"/>
      <c r="G63" s="3709">
        <f t="shared" si="1"/>
        <v>0</v>
      </c>
      <c r="H63" s="3709">
        <f>+VLOOKUP(C63,'Mủ CN (TT)'!C57:AI90,33,0)</f>
        <v>225</v>
      </c>
      <c r="I63" s="3680"/>
      <c r="J63" s="3602">
        <f>+VLOOKUP(C63,'Mủ CN (TT)'!C57:AK134,35,0)</f>
        <v>129.51895310272869</v>
      </c>
      <c r="K63" s="3602">
        <v>127.62297574715352</v>
      </c>
      <c r="L63" s="3711" t="str">
        <f>+VLOOKUP(C63,'Mủ CN (TT)'!C57:AL134,36,0)</f>
        <v>A</v>
      </c>
      <c r="M63" s="2688">
        <f t="shared" si="4"/>
        <v>510540</v>
      </c>
      <c r="N63" s="3711">
        <f>+VLOOKUP(C63,'Chấm công CN'!$B$47:$AJ$89,34,0)</f>
        <v>15</v>
      </c>
      <c r="O63" s="3711">
        <f>+VLOOKUP(C63,'Chấm công CN'!B58:AJ100,35,0)</f>
        <v>3</v>
      </c>
      <c r="P63" s="3712">
        <f t="shared" si="2"/>
        <v>18</v>
      </c>
      <c r="Q63" s="3683"/>
      <c r="R63" s="3712">
        <v>500000</v>
      </c>
      <c r="S63" s="2688">
        <f t="shared" si="10"/>
        <v>1464778.76</v>
      </c>
      <c r="T63" s="3711">
        <f t="shared" si="9"/>
        <v>1975318.76</v>
      </c>
      <c r="U63" s="3674"/>
      <c r="V63" s="3683"/>
      <c r="W63" s="3711">
        <f t="shared" si="3"/>
        <v>1975318.76</v>
      </c>
      <c r="X63" s="3682"/>
      <c r="Z63" s="3226"/>
    </row>
    <row r="64" spans="1:26" s="3677" customFormat="1" ht="33" customHeight="1">
      <c r="A64" s="3706">
        <v>47</v>
      </c>
      <c r="B64" s="3673"/>
      <c r="C64" s="3708" t="s">
        <v>2207</v>
      </c>
      <c r="D64" s="3710" t="s">
        <v>167</v>
      </c>
      <c r="E64" s="3697"/>
      <c r="F64" s="3750"/>
      <c r="G64" s="3709">
        <f t="shared" si="1"/>
        <v>0</v>
      </c>
      <c r="H64" s="3709">
        <f>+VLOOKUP(C64,'Mủ CN (TT)'!C58:AI91,33,0)</f>
        <v>243</v>
      </c>
      <c r="I64" s="3680"/>
      <c r="J64" s="3602">
        <f>+VLOOKUP(C64,'Mủ CN (TT)'!C58:AK135,35,0)</f>
        <v>139.88046935094698</v>
      </c>
      <c r="K64" s="3602">
        <v>137.8328138069258</v>
      </c>
      <c r="L64" s="3711" t="str">
        <f>+VLOOKUP(C64,'Mủ CN (TT)'!C58:AL135,36,0)</f>
        <v>A</v>
      </c>
      <c r="M64" s="2688">
        <f t="shared" si="4"/>
        <v>551384</v>
      </c>
      <c r="N64" s="3711">
        <f>+VLOOKUP(C64,'Chấm công CN'!$B$47:$AJ$89,34,0)</f>
        <v>15</v>
      </c>
      <c r="O64" s="3711">
        <f>+VLOOKUP(C64,'Chấm công CN'!B59:AJ101,35,0)</f>
        <v>3</v>
      </c>
      <c r="P64" s="3712">
        <f t="shared" si="2"/>
        <v>18</v>
      </c>
      <c r="Q64" s="3683"/>
      <c r="R64" s="3712">
        <v>500000</v>
      </c>
      <c r="S64" s="2688">
        <f t="shared" si="10"/>
        <v>1464778.76</v>
      </c>
      <c r="T64" s="3711">
        <f t="shared" si="9"/>
        <v>2016162.76</v>
      </c>
      <c r="U64" s="3674"/>
      <c r="V64" s="3683"/>
      <c r="W64" s="3711">
        <f t="shared" si="3"/>
        <v>2016162.76</v>
      </c>
      <c r="X64" s="3682"/>
      <c r="Z64" s="3226"/>
    </row>
    <row r="65" spans="1:26" s="3677" customFormat="1" ht="33" customHeight="1">
      <c r="A65" s="3706">
        <v>48</v>
      </c>
      <c r="B65" s="3673"/>
      <c r="C65" s="3708" t="s">
        <v>2208</v>
      </c>
      <c r="D65" s="3710" t="s">
        <v>167</v>
      </c>
      <c r="E65" s="3697"/>
      <c r="F65" s="3750"/>
      <c r="G65" s="3709">
        <f t="shared" si="1"/>
        <v>0</v>
      </c>
      <c r="H65" s="3709">
        <f>+VLOOKUP(C65,'Mủ CN (TT)'!C59:AI92,33,0)</f>
        <v>173</v>
      </c>
      <c r="I65" s="3680"/>
      <c r="J65" s="3602">
        <f>+VLOOKUP(C65,'Mủ CN (TT)'!C59:AK136,35,0)</f>
        <v>99.585683941209169</v>
      </c>
      <c r="K65" s="3602">
        <v>98.127888018922505</v>
      </c>
      <c r="L65" s="3711" t="str">
        <f>+VLOOKUP(C65,'Mủ CN (TT)'!C59:AL136,36,0)</f>
        <v>A</v>
      </c>
      <c r="M65" s="2688">
        <f t="shared" si="4"/>
        <v>392549</v>
      </c>
      <c r="N65" s="3711">
        <f>+VLOOKUP(C65,'Chấm công CN'!$B$47:$AJ$89,34,0)</f>
        <v>15</v>
      </c>
      <c r="O65" s="3711">
        <f>+VLOOKUP(C65,'Chấm công CN'!B60:AJ102,35,0)</f>
        <v>3</v>
      </c>
      <c r="P65" s="3712">
        <f t="shared" si="2"/>
        <v>18</v>
      </c>
      <c r="Q65" s="3683"/>
      <c r="R65" s="3712">
        <v>500000</v>
      </c>
      <c r="S65" s="2688">
        <f t="shared" si="10"/>
        <v>1464778.76</v>
      </c>
      <c r="T65" s="3711">
        <f t="shared" si="9"/>
        <v>1857327.76</v>
      </c>
      <c r="U65" s="3674"/>
      <c r="V65" s="3683"/>
      <c r="W65" s="3711">
        <f t="shared" si="3"/>
        <v>1857327.76</v>
      </c>
      <c r="X65" s="3682"/>
      <c r="Z65" s="3226"/>
    </row>
    <row r="66" spans="1:26" s="3677" customFormat="1" ht="33" customHeight="1">
      <c r="A66" s="3706">
        <v>49</v>
      </c>
      <c r="B66" s="3673"/>
      <c r="C66" s="3708" t="s">
        <v>2209</v>
      </c>
      <c r="D66" s="3710" t="s">
        <v>167</v>
      </c>
      <c r="E66" s="3697"/>
      <c r="F66" s="3750"/>
      <c r="G66" s="3709">
        <f t="shared" si="1"/>
        <v>0</v>
      </c>
      <c r="H66" s="3709">
        <f>+VLOOKUP(C66,'Mủ CN (TT)'!C60:AI93,33,0)</f>
        <v>175</v>
      </c>
      <c r="I66" s="3680"/>
      <c r="J66" s="3602">
        <f>+VLOOKUP(C66,'Mủ CN (TT)'!C60:AK137,35,0)</f>
        <v>100.73696352434455</v>
      </c>
      <c r="K66" s="3602">
        <v>99.26231447000832</v>
      </c>
      <c r="L66" s="3711" t="str">
        <f>+VLOOKUP(C66,'Mủ CN (TT)'!C60:AL137,36,0)</f>
        <v>A</v>
      </c>
      <c r="M66" s="2688">
        <f t="shared" si="4"/>
        <v>397087</v>
      </c>
      <c r="N66" s="3711">
        <f>+VLOOKUP(C66,'Chấm công CN'!$B$47:$AJ$89,34,0)</f>
        <v>15</v>
      </c>
      <c r="O66" s="3711">
        <f>+VLOOKUP(C66,'Chấm công CN'!B61:AJ103,35,0)</f>
        <v>3</v>
      </c>
      <c r="P66" s="3712">
        <f t="shared" si="2"/>
        <v>18</v>
      </c>
      <c r="Q66" s="3683"/>
      <c r="R66" s="3712">
        <v>500000</v>
      </c>
      <c r="S66" s="2688">
        <f t="shared" si="10"/>
        <v>1464778.76</v>
      </c>
      <c r="T66" s="3711">
        <f t="shared" si="9"/>
        <v>1861865.76</v>
      </c>
      <c r="U66" s="3674"/>
      <c r="V66" s="3683"/>
      <c r="W66" s="3711">
        <f t="shared" si="3"/>
        <v>1861865.76</v>
      </c>
      <c r="X66" s="3682"/>
      <c r="Z66" s="3226"/>
    </row>
    <row r="67" spans="1:26" s="3677" customFormat="1" ht="33" customHeight="1">
      <c r="A67" s="3706">
        <v>50</v>
      </c>
      <c r="B67" s="3673"/>
      <c r="C67" s="3708" t="s">
        <v>2210</v>
      </c>
      <c r="D67" s="3710" t="s">
        <v>167</v>
      </c>
      <c r="E67" s="3697"/>
      <c r="F67" s="3750"/>
      <c r="G67" s="3709">
        <f t="shared" si="1"/>
        <v>0</v>
      </c>
      <c r="H67" s="3709">
        <f>+VLOOKUP(C67,'Mủ CN (TT)'!C61:AI94,33,0)</f>
        <v>166</v>
      </c>
      <c r="I67" s="3680"/>
      <c r="J67" s="3602">
        <f>+VLOOKUP(C67,'Mủ CN (TT)'!C61:AK138,35,0)</f>
        <v>95.556205400235385</v>
      </c>
      <c r="K67" s="3602">
        <v>94.157395440122158</v>
      </c>
      <c r="L67" s="3711" t="str">
        <f>+VLOOKUP(C67,'Mủ CN (TT)'!C61:AL138,36,0)</f>
        <v>A</v>
      </c>
      <c r="M67" s="2688">
        <f t="shared" si="4"/>
        <v>376665</v>
      </c>
      <c r="N67" s="3711">
        <f>+VLOOKUP(C67,'Chấm công CN'!$B$47:$AJ$89,34,0)</f>
        <v>15</v>
      </c>
      <c r="O67" s="3711">
        <f>+VLOOKUP(C67,'Chấm công CN'!B62:AJ104,35,0)</f>
        <v>3</v>
      </c>
      <c r="P67" s="3712">
        <f t="shared" si="2"/>
        <v>18</v>
      </c>
      <c r="Q67" s="3683"/>
      <c r="R67" s="3712">
        <v>500000</v>
      </c>
      <c r="S67" s="2688">
        <f t="shared" si="10"/>
        <v>1464778.76</v>
      </c>
      <c r="T67" s="3711">
        <f t="shared" si="9"/>
        <v>1841443.76</v>
      </c>
      <c r="U67" s="3674"/>
      <c r="V67" s="3683"/>
      <c r="W67" s="3711">
        <f t="shared" si="3"/>
        <v>1841443.76</v>
      </c>
      <c r="X67" s="3682"/>
      <c r="Z67" s="3226"/>
    </row>
    <row r="68" spans="1:26" s="3677" customFormat="1" ht="33" customHeight="1">
      <c r="A68" s="3706">
        <v>51</v>
      </c>
      <c r="B68" s="3673"/>
      <c r="C68" s="3708" t="s">
        <v>2211</v>
      </c>
      <c r="D68" s="3710" t="s">
        <v>167</v>
      </c>
      <c r="E68" s="3697"/>
      <c r="F68" s="3750"/>
      <c r="G68" s="3709">
        <f t="shared" si="1"/>
        <v>0</v>
      </c>
      <c r="H68" s="3709">
        <f>+VLOOKUP(C68,'Mủ CN (TT)'!C62:AI95,33,0)</f>
        <v>164</v>
      </c>
      <c r="I68" s="3680"/>
      <c r="J68" s="3602">
        <f>+VLOOKUP(C68,'Mủ CN (TT)'!C62:AK139,35,0)</f>
        <v>94.404925817100022</v>
      </c>
      <c r="K68" s="3602">
        <v>93.022968989036357</v>
      </c>
      <c r="L68" s="3711" t="str">
        <f>+VLOOKUP(C68,'Mủ CN (TT)'!C62:AL139,36,0)</f>
        <v>A</v>
      </c>
      <c r="M68" s="2688">
        <f t="shared" si="4"/>
        <v>372127</v>
      </c>
      <c r="N68" s="3711">
        <f>+VLOOKUP(C68,'Chấm công CN'!$B$47:$AJ$89,34,0)</f>
        <v>15</v>
      </c>
      <c r="O68" s="3711">
        <f>+VLOOKUP(C68,'Chấm công CN'!B63:AJ105,35,0)</f>
        <v>3</v>
      </c>
      <c r="P68" s="3712">
        <f t="shared" si="2"/>
        <v>18</v>
      </c>
      <c r="Q68" s="3683"/>
      <c r="R68" s="3712">
        <v>500000</v>
      </c>
      <c r="S68" s="2688">
        <f t="shared" si="10"/>
        <v>1464778.76</v>
      </c>
      <c r="T68" s="3711">
        <f t="shared" si="9"/>
        <v>1836905.76</v>
      </c>
      <c r="U68" s="3674"/>
      <c r="V68" s="3683"/>
      <c r="W68" s="3711">
        <f t="shared" si="3"/>
        <v>1836905.76</v>
      </c>
      <c r="X68" s="3682"/>
      <c r="Z68" s="3226"/>
    </row>
    <row r="69" spans="1:26" s="3677" customFormat="1" ht="33" customHeight="1">
      <c r="A69" s="3706">
        <v>52</v>
      </c>
      <c r="B69" s="3673"/>
      <c r="C69" s="3708" t="s">
        <v>2212</v>
      </c>
      <c r="D69" s="3710" t="s">
        <v>167</v>
      </c>
      <c r="E69" s="3697"/>
      <c r="F69" s="3750"/>
      <c r="G69" s="3709">
        <f t="shared" si="1"/>
        <v>0</v>
      </c>
      <c r="H69" s="3709">
        <f>+VLOOKUP(C69,'Mủ CN (TT)'!C63:AI96,33,0)</f>
        <v>80</v>
      </c>
      <c r="I69" s="3680"/>
      <c r="J69" s="3602">
        <f>+VLOOKUP(C69,'Mủ CN (TT)'!C63:AK140,35,0)</f>
        <v>46.051183325414648</v>
      </c>
      <c r="K69" s="3602">
        <v>45.37705804343237</v>
      </c>
      <c r="L69" s="3711" t="str">
        <f>+VLOOKUP(C69,'Mủ CN (TT)'!C63:AL140,36,0)</f>
        <v>A</v>
      </c>
      <c r="M69" s="2688">
        <f t="shared" si="4"/>
        <v>181525</v>
      </c>
      <c r="N69" s="3711">
        <f>+VLOOKUP(C69,'Chấm công CN'!$B$47:$AJ$89,34,0)</f>
        <v>15</v>
      </c>
      <c r="O69" s="3711">
        <f>+VLOOKUP(C69,'Chấm công CN'!B64:AJ106,35,0)</f>
        <v>3</v>
      </c>
      <c r="P69" s="3712">
        <f t="shared" si="2"/>
        <v>18</v>
      </c>
      <c r="Q69" s="3683"/>
      <c r="R69" s="3712">
        <v>500000</v>
      </c>
      <c r="S69" s="2688">
        <f t="shared" si="10"/>
        <v>1464778.76</v>
      </c>
      <c r="T69" s="3711">
        <f t="shared" si="9"/>
        <v>1646303.76</v>
      </c>
      <c r="U69" s="3674"/>
      <c r="V69" s="3683"/>
      <c r="W69" s="3711">
        <f t="shared" si="3"/>
        <v>1646303.76</v>
      </c>
      <c r="X69" s="3682"/>
      <c r="Z69" s="3226"/>
    </row>
    <row r="70" spans="1:26" s="3677" customFormat="1" ht="33" customHeight="1">
      <c r="A70" s="3706">
        <v>53</v>
      </c>
      <c r="B70" s="3673"/>
      <c r="C70" s="3708" t="s">
        <v>2213</v>
      </c>
      <c r="D70" s="3710" t="s">
        <v>167</v>
      </c>
      <c r="E70" s="3697"/>
      <c r="F70" s="3750"/>
      <c r="G70" s="3709">
        <f t="shared" si="1"/>
        <v>0</v>
      </c>
      <c r="H70" s="3709">
        <f>+VLOOKUP(C70,'Mủ CN (TT)'!C64:AI97,33,0)</f>
        <v>79</v>
      </c>
      <c r="I70" s="3680"/>
      <c r="J70" s="3602">
        <f>+VLOOKUP(C70,'Mủ CN (TT)'!C64:AK141,35,0)</f>
        <v>45.475543533846967</v>
      </c>
      <c r="K70" s="3602">
        <v>44.80984481788947</v>
      </c>
      <c r="L70" s="3711" t="str">
        <f>+VLOOKUP(C70,'Mủ CN (TT)'!C64:AL141,36,0)</f>
        <v>A</v>
      </c>
      <c r="M70" s="2688">
        <f t="shared" si="4"/>
        <v>179256</v>
      </c>
      <c r="N70" s="3711">
        <f>+VLOOKUP(C70,'Chấm công CN'!$B$47:$AJ$89,34,0)</f>
        <v>13</v>
      </c>
      <c r="O70" s="3711">
        <f>+VLOOKUP(C70,'Chấm công CN'!B65:AJ107,35,0)</f>
        <v>2</v>
      </c>
      <c r="P70" s="3712">
        <f t="shared" si="2"/>
        <v>15</v>
      </c>
      <c r="Q70" s="3683"/>
      <c r="R70" s="3712">
        <v>500000</v>
      </c>
      <c r="S70" s="2688">
        <f>ROUND((N70*(46.1*$E$10))+(O70*(76.9*$E$10))+(P70*20000)+(Q70*30.7*$E$10),0)+R70-0.02</f>
        <v>1293882.98</v>
      </c>
      <c r="T70" s="3711">
        <f t="shared" si="9"/>
        <v>1473138.98</v>
      </c>
      <c r="U70" s="3674"/>
      <c r="V70" s="3683"/>
      <c r="W70" s="3711">
        <f t="shared" si="3"/>
        <v>1473138.98</v>
      </c>
      <c r="X70" s="3682"/>
      <c r="Z70" s="3226"/>
    </row>
    <row r="71" spans="1:26" s="3677" customFormat="1" ht="33" customHeight="1">
      <c r="A71" s="3706">
        <v>54</v>
      </c>
      <c r="B71" s="3673"/>
      <c r="C71" s="3708" t="s">
        <v>2214</v>
      </c>
      <c r="D71" s="3710" t="s">
        <v>167</v>
      </c>
      <c r="E71" s="3697"/>
      <c r="F71" s="3750"/>
      <c r="G71" s="3709">
        <f t="shared" si="1"/>
        <v>0</v>
      </c>
      <c r="H71" s="3709">
        <f>+VLOOKUP(C71,'Mủ CN (TT)'!C65:AI98,33,0)</f>
        <v>118</v>
      </c>
      <c r="I71" s="3680"/>
      <c r="J71" s="3602">
        <f>+VLOOKUP(C71,'Mủ CN (TT)'!C65:AK142,35,0)</f>
        <v>67.925495404986606</v>
      </c>
      <c r="K71" s="3602">
        <v>66.931160614062762</v>
      </c>
      <c r="L71" s="3711" t="str">
        <f>+VLOOKUP(C71,'Mủ CN (TT)'!C65:AL142,36,0)</f>
        <v>A</v>
      </c>
      <c r="M71" s="2688">
        <f t="shared" si="4"/>
        <v>267750</v>
      </c>
      <c r="N71" s="3711">
        <f>+VLOOKUP(C71,'Chấm công CN'!$B$47:$AJ$89,34,0)</f>
        <v>12</v>
      </c>
      <c r="O71" s="3711">
        <f>+VLOOKUP(C71,'Chấm công CN'!B66:AJ108,35,0)</f>
        <v>2</v>
      </c>
      <c r="P71" s="3712">
        <f t="shared" si="2"/>
        <v>14</v>
      </c>
      <c r="Q71" s="3683"/>
      <c r="R71" s="3712">
        <v>500000</v>
      </c>
      <c r="S71" s="2688">
        <f>ROUND((N71*(46.1*$E$10))+(O71*(76.9*$E$10))+(P71*20000)+(Q71*30.7*$E$10),0)+R71-0.4</f>
        <v>1243650.6000000001</v>
      </c>
      <c r="T71" s="3711">
        <f t="shared" si="9"/>
        <v>1511400.6</v>
      </c>
      <c r="U71" s="3674"/>
      <c r="V71" s="3683"/>
      <c r="W71" s="3711">
        <f t="shared" si="3"/>
        <v>1511400.6</v>
      </c>
      <c r="X71" s="3682"/>
      <c r="Z71" s="3226"/>
    </row>
    <row r="72" spans="1:26" s="3677" customFormat="1" ht="33" customHeight="1">
      <c r="A72" s="3706">
        <v>55</v>
      </c>
      <c r="B72" s="3673"/>
      <c r="C72" s="3708" t="s">
        <v>2215</v>
      </c>
      <c r="D72" s="3710" t="s">
        <v>167</v>
      </c>
      <c r="E72" s="3697"/>
      <c r="F72" s="3750"/>
      <c r="G72" s="3709">
        <f t="shared" si="1"/>
        <v>0</v>
      </c>
      <c r="H72" s="3709">
        <f>+VLOOKUP(C72,'Mủ CN (TT)'!C66:AI99,33,0)</f>
        <v>124</v>
      </c>
      <c r="I72" s="3680"/>
      <c r="J72" s="3602">
        <f>+VLOOKUP(C72,'Mủ CN (TT)'!C66:AK143,35,0)</f>
        <v>71.379334154392708</v>
      </c>
      <c r="K72" s="3602">
        <v>70.334439967320179</v>
      </c>
      <c r="L72" s="3711" t="str">
        <f>+VLOOKUP(C72,'Mủ CN (TT)'!C66:AL143,36,0)</f>
        <v>A</v>
      </c>
      <c r="M72" s="2688">
        <f t="shared" si="4"/>
        <v>281364</v>
      </c>
      <c r="N72" s="3711">
        <f>+VLOOKUP(C72,'Chấm công CN'!$B$47:$AJ$89,34,0)</f>
        <v>12</v>
      </c>
      <c r="O72" s="3711">
        <f>+VLOOKUP(C72,'Chấm công CN'!B67:AJ109,35,0)</f>
        <v>2</v>
      </c>
      <c r="P72" s="3712">
        <f t="shared" si="2"/>
        <v>14</v>
      </c>
      <c r="Q72" s="3683"/>
      <c r="R72" s="3712">
        <v>500000</v>
      </c>
      <c r="S72" s="2688">
        <f>ROUND((N72*(46.1*$E$10))+(O72*(76.9*$E$10))+(P72*20000)+(Q72*30.7*$E$10),0)+R72-0.4</f>
        <v>1243650.6000000001</v>
      </c>
      <c r="T72" s="3711">
        <f t="shared" si="9"/>
        <v>1525014.6</v>
      </c>
      <c r="U72" s="3674"/>
      <c r="V72" s="3683"/>
      <c r="W72" s="3711">
        <f t="shared" si="3"/>
        <v>1525014.6</v>
      </c>
      <c r="X72" s="3682"/>
      <c r="Z72" s="3226"/>
    </row>
    <row r="73" spans="1:26" s="3677" customFormat="1" ht="33" customHeight="1">
      <c r="A73" s="3706">
        <v>56</v>
      </c>
      <c r="B73" s="3673"/>
      <c r="C73" s="3708" t="s">
        <v>307</v>
      </c>
      <c r="D73" s="3710" t="s">
        <v>167</v>
      </c>
      <c r="E73" s="3697"/>
      <c r="F73" s="3750"/>
      <c r="G73" s="3709">
        <f t="shared" si="1"/>
        <v>0</v>
      </c>
      <c r="H73" s="3709">
        <f>+VLOOKUP(C73,'Mủ CN (TT)'!C67:AI100,33,0)</f>
        <v>89</v>
      </c>
      <c r="I73" s="3680"/>
      <c r="J73" s="3602">
        <f>+VLOOKUP(C73,'Mủ CN (TT)'!C67:AK144,35,0)</f>
        <v>51.231941449523795</v>
      </c>
      <c r="K73" s="3602">
        <v>50.481977073318511</v>
      </c>
      <c r="L73" s="3711" t="str">
        <f>+VLOOKUP(C73,'Mủ CN (TT)'!C67:AL144,36,0)</f>
        <v>A</v>
      </c>
      <c r="M73" s="2688">
        <f t="shared" si="4"/>
        <v>201947</v>
      </c>
      <c r="N73" s="3711">
        <f>+VLOOKUP(C73,'Chấm công CN'!$B$47:$AJ$89,34,0)</f>
        <v>12</v>
      </c>
      <c r="O73" s="3711">
        <f>+VLOOKUP(C73,'Chấm công CN'!B68:AJ110,35,0)</f>
        <v>2</v>
      </c>
      <c r="P73" s="3712">
        <f t="shared" si="2"/>
        <v>14</v>
      </c>
      <c r="Q73" s="3683"/>
      <c r="R73" s="3712">
        <v>500000</v>
      </c>
      <c r="S73" s="2688">
        <f>ROUND((N73*(46.1*$E$10))+(O73*(76.9*$E$10))+(P73*20000)+(Q73*30.7*$E$10),0)+R73-0.4</f>
        <v>1243650.6000000001</v>
      </c>
      <c r="T73" s="3711">
        <f t="shared" si="9"/>
        <v>1445597.6</v>
      </c>
      <c r="U73" s="3674"/>
      <c r="V73" s="3683"/>
      <c r="W73" s="3711">
        <f t="shared" si="3"/>
        <v>1445597.6</v>
      </c>
      <c r="X73" s="3682"/>
      <c r="Z73" s="3226"/>
    </row>
    <row r="74" spans="1:26" s="3677" customFormat="1" ht="33" customHeight="1">
      <c r="A74" s="3706">
        <v>57</v>
      </c>
      <c r="B74" s="3673"/>
      <c r="C74" s="3708" t="s">
        <v>2216</v>
      </c>
      <c r="D74" s="3710" t="s">
        <v>167</v>
      </c>
      <c r="E74" s="3697"/>
      <c r="F74" s="3750"/>
      <c r="G74" s="3709">
        <f t="shared" si="1"/>
        <v>0</v>
      </c>
      <c r="H74" s="3709">
        <f>+VLOOKUP(C74,'Mủ CN (TT)'!C68:AI101,33,0)</f>
        <v>100</v>
      </c>
      <c r="I74" s="3680"/>
      <c r="J74" s="3602">
        <f>+VLOOKUP(C74,'Mủ CN (TT)'!C68:AK145,35,0)</f>
        <v>57.563979156768305</v>
      </c>
      <c r="K74" s="3602">
        <v>56.721322554290452</v>
      </c>
      <c r="L74" s="3711" t="str">
        <f>+VLOOKUP(C74,'Mủ CN (TT)'!C68:AL145,36,0)</f>
        <v>A</v>
      </c>
      <c r="M74" s="2688">
        <f t="shared" si="4"/>
        <v>226907</v>
      </c>
      <c r="N74" s="3711">
        <f>+VLOOKUP(C74,'Chấm công CN'!$B$47:$AJ$89,34,0)</f>
        <v>12</v>
      </c>
      <c r="O74" s="3711">
        <f>+VLOOKUP(C74,'Chấm công CN'!B69:AJ111,35,0)</f>
        <v>2</v>
      </c>
      <c r="P74" s="3712">
        <f t="shared" si="2"/>
        <v>14</v>
      </c>
      <c r="Q74" s="3683"/>
      <c r="R74" s="3712">
        <v>500000</v>
      </c>
      <c r="S74" s="2688">
        <f>ROUND((N74*(46.1*$E$10))+(O74*(76.9*$E$10))+(P74*20000)+(Q74*30.7*$E$10),0)+R74-0.4</f>
        <v>1243650.6000000001</v>
      </c>
      <c r="T74" s="3711">
        <f t="shared" si="9"/>
        <v>1470557.6</v>
      </c>
      <c r="U74" s="3674"/>
      <c r="V74" s="3683"/>
      <c r="W74" s="3711">
        <f t="shared" si="3"/>
        <v>1470557.6</v>
      </c>
      <c r="X74" s="3682"/>
      <c r="Z74" s="3226"/>
    </row>
    <row r="75" spans="1:26" s="3677" customFormat="1" ht="33" customHeight="1">
      <c r="A75" s="3706">
        <v>58</v>
      </c>
      <c r="B75" s="3673"/>
      <c r="C75" s="3708" t="s">
        <v>2217</v>
      </c>
      <c r="D75" s="3710" t="s">
        <v>167</v>
      </c>
      <c r="E75" s="3697"/>
      <c r="F75" s="3750"/>
      <c r="G75" s="3709">
        <f t="shared" si="1"/>
        <v>0</v>
      </c>
      <c r="H75" s="3709">
        <f>+VLOOKUP(C75,'Mủ CN (TT)'!C69:AI102,33,0)</f>
        <v>200</v>
      </c>
      <c r="I75" s="3680"/>
      <c r="J75" s="3602">
        <f>+VLOOKUP(C75,'Mủ CN (TT)'!C69:AK146,35,0)</f>
        <v>115.12795831353661</v>
      </c>
      <c r="K75" s="3602">
        <v>113.4426451085809</v>
      </c>
      <c r="L75" s="3711" t="str">
        <f>+VLOOKUP(C75,'Mủ CN (TT)'!C69:AL146,36,0)</f>
        <v>A</v>
      </c>
      <c r="M75" s="2688">
        <f t="shared" si="4"/>
        <v>453814</v>
      </c>
      <c r="N75" s="3711">
        <f>+VLOOKUP(C75,'Chấm công CN'!$B$47:$AJ$89,34,0)</f>
        <v>14</v>
      </c>
      <c r="O75" s="3711">
        <f>+VLOOKUP(C75,'Chấm công CN'!B70:AJ112,35,0)</f>
        <v>3</v>
      </c>
      <c r="P75" s="3712">
        <f t="shared" si="2"/>
        <v>17</v>
      </c>
      <c r="Q75" s="3683"/>
      <c r="R75" s="3712">
        <v>500000</v>
      </c>
      <c r="S75" s="2688">
        <f>ROUND((N75*(46.1*$E$10))+(O75*(76.9*$E$10))+(P75*20000)+(Q75*30.7*$E$10),0)+R75+0.38</f>
        <v>1414546.38</v>
      </c>
      <c r="T75" s="3711">
        <f t="shared" si="9"/>
        <v>1868360.38</v>
      </c>
      <c r="U75" s="3674"/>
      <c r="V75" s="3683"/>
      <c r="W75" s="3711">
        <f t="shared" si="3"/>
        <v>1868360.38</v>
      </c>
      <c r="X75" s="3682"/>
      <c r="Z75" s="3226"/>
    </row>
    <row r="76" spans="1:26" s="3677" customFormat="1" ht="33" customHeight="1">
      <c r="A76" s="3706">
        <v>59</v>
      </c>
      <c r="B76" s="3673"/>
      <c r="C76" s="3708" t="s">
        <v>2218</v>
      </c>
      <c r="D76" s="3710" t="s">
        <v>167</v>
      </c>
      <c r="E76" s="3697"/>
      <c r="F76" s="3750"/>
      <c r="G76" s="3709">
        <f t="shared" si="1"/>
        <v>0</v>
      </c>
      <c r="H76" s="3709">
        <f>+VLOOKUP(C76,'Mủ CN (TT)'!C70:AI103,33,0)</f>
        <v>208</v>
      </c>
      <c r="I76" s="3680"/>
      <c r="J76" s="3602">
        <f>+VLOOKUP(C76,'Mủ CN (TT)'!C70:AK147,35,0)</f>
        <v>119.73307664607808</v>
      </c>
      <c r="K76" s="3602">
        <v>117.98035091292418</v>
      </c>
      <c r="L76" s="3711" t="str">
        <f>+VLOOKUP(C76,'Mủ CN (TT)'!C70:AL147,36,0)</f>
        <v>A</v>
      </c>
      <c r="M76" s="2688">
        <f t="shared" si="4"/>
        <v>471966</v>
      </c>
      <c r="N76" s="3711">
        <f>+VLOOKUP(C76,'Chấm công CN'!$B$47:$AJ$89,34,0)</f>
        <v>15</v>
      </c>
      <c r="O76" s="3711">
        <f>+VLOOKUP(C76,'Chấm công CN'!B71:AJ113,35,0)</f>
        <v>3</v>
      </c>
      <c r="P76" s="3712">
        <f t="shared" si="2"/>
        <v>18</v>
      </c>
      <c r="Q76" s="3683"/>
      <c r="R76" s="3712">
        <v>500000</v>
      </c>
      <c r="S76" s="2688">
        <f>ROUND((N76*(46.1*$E$10))+(O76*(76.9*$E$10))+(P76*20000)+(Q76*30.7*$E$10),0)+R76-0.24</f>
        <v>1464778.76</v>
      </c>
      <c r="T76" s="3711">
        <f t="shared" si="9"/>
        <v>1936744.76</v>
      </c>
      <c r="U76" s="3674"/>
      <c r="V76" s="3683"/>
      <c r="W76" s="3711">
        <f t="shared" si="3"/>
        <v>1936744.76</v>
      </c>
      <c r="X76" s="3682"/>
      <c r="Z76" s="3226"/>
    </row>
    <row r="77" spans="1:26" s="3677" customFormat="1" ht="33" customHeight="1">
      <c r="A77" s="3706">
        <v>60</v>
      </c>
      <c r="B77" s="3673"/>
      <c r="C77" s="3708" t="s">
        <v>2219</v>
      </c>
      <c r="D77" s="3710" t="s">
        <v>167</v>
      </c>
      <c r="E77" s="3697"/>
      <c r="F77" s="3750"/>
      <c r="G77" s="3709">
        <f t="shared" si="1"/>
        <v>0</v>
      </c>
      <c r="H77" s="3709">
        <f>+VLOOKUP(C77,'Mủ CN (TT)'!C71:AI104,33,0)</f>
        <v>118</v>
      </c>
      <c r="I77" s="3680"/>
      <c r="J77" s="3602">
        <f>+VLOOKUP(C77,'Mủ CN (TT)'!C71:AK148,35,0)</f>
        <v>67.925495404986606</v>
      </c>
      <c r="K77" s="3602">
        <v>66.931160614062762</v>
      </c>
      <c r="L77" s="3711" t="str">
        <f>+VLOOKUP(C77,'Mủ CN (TT)'!C71:AL148,36,0)</f>
        <v>A</v>
      </c>
      <c r="M77" s="2688">
        <f t="shared" si="4"/>
        <v>267750</v>
      </c>
      <c r="N77" s="3711">
        <f>+VLOOKUP(C77,'Chấm công CN'!$B$47:$AJ$89,34,0)</f>
        <v>15</v>
      </c>
      <c r="O77" s="3711">
        <f>+VLOOKUP(C77,'Chấm công CN'!B72:AJ114,35,0)</f>
        <v>3</v>
      </c>
      <c r="P77" s="3712">
        <f t="shared" si="2"/>
        <v>18</v>
      </c>
      <c r="Q77" s="3683"/>
      <c r="R77" s="3712">
        <v>500000</v>
      </c>
      <c r="S77" s="2688">
        <f>ROUND((N77*(46.1*$E$10))+(O77*(76.9*$E$10))+(P77*20000)+(Q77*30.7*$E$10),0)+R77-0.24</f>
        <v>1464778.76</v>
      </c>
      <c r="T77" s="3711">
        <f t="shared" si="9"/>
        <v>1732528.76</v>
      </c>
      <c r="U77" s="3674"/>
      <c r="V77" s="3683"/>
      <c r="W77" s="3711">
        <f t="shared" si="3"/>
        <v>1732528.76</v>
      </c>
      <c r="X77" s="3682"/>
      <c r="Z77" s="3226"/>
    </row>
    <row r="78" spans="1:26" s="3677" customFormat="1" ht="38.25" customHeight="1">
      <c r="A78" s="3706">
        <v>61</v>
      </c>
      <c r="B78" s="3673"/>
      <c r="C78" s="3708" t="s">
        <v>2220</v>
      </c>
      <c r="D78" s="3710" t="s">
        <v>167</v>
      </c>
      <c r="E78" s="3697"/>
      <c r="F78" s="3750"/>
      <c r="G78" s="3709">
        <f t="shared" si="1"/>
        <v>0</v>
      </c>
      <c r="H78" s="3709">
        <f>+VLOOKUP(C78,'Mủ CN (TT)'!C72:AI105,33,0)</f>
        <v>124</v>
      </c>
      <c r="I78" s="3680"/>
      <c r="J78" s="3602">
        <f>+VLOOKUP(C78,'Mủ CN (TT)'!C72:AK149,35,0)</f>
        <v>71.379334154392708</v>
      </c>
      <c r="K78" s="3602">
        <v>70.334439967320179</v>
      </c>
      <c r="L78" s="3711" t="str">
        <f>+VLOOKUP(C78,'Mủ CN (TT)'!C72:AL149,36,0)</f>
        <v>A</v>
      </c>
      <c r="M78" s="2688">
        <f t="shared" si="4"/>
        <v>281364</v>
      </c>
      <c r="N78" s="3711">
        <f>+VLOOKUP(C78,'Chấm công CN'!$B$47:$AJ$89,34,0)</f>
        <v>14</v>
      </c>
      <c r="O78" s="3711">
        <f>+VLOOKUP(C78,'Chấm công CN'!B73:AJ115,35,0)</f>
        <v>3</v>
      </c>
      <c r="P78" s="3712">
        <f t="shared" si="2"/>
        <v>17</v>
      </c>
      <c r="Q78" s="3683"/>
      <c r="R78" s="3712">
        <v>500000</v>
      </c>
      <c r="S78" s="2688">
        <f>ROUND((N78*(46.1*$E$10))+(O78*(76.9*$E$10))+(P78*20000)+(Q78*30.7*$E$10),0)+R78+0.38</f>
        <v>1414546.38</v>
      </c>
      <c r="T78" s="3711">
        <f t="shared" si="9"/>
        <v>1695910.38</v>
      </c>
      <c r="U78" s="3674"/>
      <c r="V78" s="3683"/>
      <c r="W78" s="3711">
        <f t="shared" si="3"/>
        <v>1695910.38</v>
      </c>
      <c r="X78" s="3682"/>
      <c r="Z78" s="3226"/>
    </row>
    <row r="79" spans="1:26" s="3677" customFormat="1" ht="38.25" customHeight="1">
      <c r="A79" s="3706">
        <v>62</v>
      </c>
      <c r="B79" s="3673"/>
      <c r="C79" s="3708" t="s">
        <v>1189</v>
      </c>
      <c r="D79" s="3710" t="s">
        <v>167</v>
      </c>
      <c r="E79" s="3697"/>
      <c r="F79" s="3750"/>
      <c r="G79" s="3709">
        <f t="shared" si="1"/>
        <v>0</v>
      </c>
      <c r="H79" s="3709">
        <f>+VLOOKUP(C79,'Mủ CN (TT)'!C73:AI106,33,0)</f>
        <v>162</v>
      </c>
      <c r="I79" s="3680"/>
      <c r="J79" s="3602">
        <f>+VLOOKUP(C79,'Mủ CN (TT)'!C73:AK150,35,0)</f>
        <v>93.253646233964659</v>
      </c>
      <c r="K79" s="3602">
        <v>91.888542537950556</v>
      </c>
      <c r="L79" s="3711" t="str">
        <f>+VLOOKUP(C79,'Mủ CN (TT)'!C73:AL150,36,0)</f>
        <v>A</v>
      </c>
      <c r="M79" s="2688">
        <f t="shared" si="4"/>
        <v>367589</v>
      </c>
      <c r="N79" s="3711">
        <f>+VLOOKUP(C79,'Chấm công CN'!$B$47:$AJ$89,34,0)</f>
        <v>15</v>
      </c>
      <c r="O79" s="3711">
        <f>+VLOOKUP(C79,'Chấm công CN'!B74:AJ116,35,0)</f>
        <v>3</v>
      </c>
      <c r="P79" s="3712">
        <f t="shared" si="2"/>
        <v>18</v>
      </c>
      <c r="Q79" s="3683"/>
      <c r="R79" s="3712">
        <v>500000</v>
      </c>
      <c r="S79" s="2688">
        <f>ROUND((N79*(46.1*$E$10))+(O79*(76.9*$E$10))+(P79*20000)+(Q79*30.7*$E$10),0)+R79-0.24</f>
        <v>1464778.76</v>
      </c>
      <c r="T79" s="3711">
        <f t="shared" si="9"/>
        <v>1832367.76</v>
      </c>
      <c r="U79" s="3674"/>
      <c r="V79" s="3683"/>
      <c r="W79" s="3711">
        <f t="shared" si="3"/>
        <v>1832367.76</v>
      </c>
      <c r="X79" s="3682"/>
      <c r="Z79" s="3226"/>
    </row>
    <row r="80" spans="1:26" s="3677" customFormat="1" ht="38.25" customHeight="1">
      <c r="A80" s="3706">
        <v>63</v>
      </c>
      <c r="B80" s="3673"/>
      <c r="C80" s="3708" t="s">
        <v>1908</v>
      </c>
      <c r="D80" s="3710" t="s">
        <v>167</v>
      </c>
      <c r="E80" s="3697"/>
      <c r="F80" s="3750"/>
      <c r="G80" s="3709">
        <f t="shared" si="1"/>
        <v>0</v>
      </c>
      <c r="H80" s="3709">
        <f>+VLOOKUP(C80,'Mủ CN (TT)'!C74:AI107,33,0)</f>
        <v>156</v>
      </c>
      <c r="I80" s="3680"/>
      <c r="J80" s="3602">
        <f>+VLOOKUP(C80,'Mủ CN (TT)'!C74:AK151,35,0)</f>
        <v>89.799807484558556</v>
      </c>
      <c r="K80" s="3602">
        <v>88.485263184693125</v>
      </c>
      <c r="L80" s="3711" t="str">
        <f>+VLOOKUP(C80,'Mủ CN (TT)'!C74:AL151,36,0)</f>
        <v>A</v>
      </c>
      <c r="M80" s="2688">
        <f t="shared" si="4"/>
        <v>353975</v>
      </c>
      <c r="N80" s="3711">
        <f>+VLOOKUP(C80,'Chấm công CN'!$B$47:$AJ$89,34,0)</f>
        <v>15</v>
      </c>
      <c r="O80" s="3711">
        <f>+VLOOKUP(C80,'Chấm công CN'!B75:AJ117,35,0)</f>
        <v>3</v>
      </c>
      <c r="P80" s="3712">
        <f t="shared" si="2"/>
        <v>18</v>
      </c>
      <c r="Q80" s="3683"/>
      <c r="R80" s="3712">
        <v>500000</v>
      </c>
      <c r="S80" s="2688">
        <f t="shared" ref="S80:S87" si="11">ROUND((N80*(46.1*$E$10))+(O80*(76.9*$E$10))+(P80*20000)+(Q80*30.7*$E$10),0)+R80-0.24</f>
        <v>1464778.76</v>
      </c>
      <c r="T80" s="3711">
        <f t="shared" si="9"/>
        <v>1818753.76</v>
      </c>
      <c r="U80" s="3674"/>
      <c r="V80" s="3683"/>
      <c r="W80" s="3711">
        <f t="shared" si="3"/>
        <v>1818753.76</v>
      </c>
      <c r="X80" s="3682"/>
      <c r="Z80" s="3226"/>
    </row>
    <row r="81" spans="1:28" s="3677" customFormat="1" ht="38.25" customHeight="1">
      <c r="A81" s="3706">
        <v>64</v>
      </c>
      <c r="B81" s="3673"/>
      <c r="C81" s="3708" t="s">
        <v>1914</v>
      </c>
      <c r="D81" s="3710" t="s">
        <v>167</v>
      </c>
      <c r="E81" s="3697"/>
      <c r="F81" s="3750"/>
      <c r="G81" s="3709">
        <f t="shared" si="1"/>
        <v>0</v>
      </c>
      <c r="H81" s="3709">
        <f>+VLOOKUP(C81,'Mủ CN (TT)'!C75:AI108,33,0)</f>
        <v>223</v>
      </c>
      <c r="I81" s="3680"/>
      <c r="J81" s="3602">
        <f>+VLOOKUP(C81,'Mủ CN (TT)'!C75:AK152,35,0)</f>
        <v>128.36767351959332</v>
      </c>
      <c r="K81" s="3602">
        <v>126.48854929606775</v>
      </c>
      <c r="L81" s="3711" t="str">
        <f>+VLOOKUP(C81,'Mủ CN (TT)'!C75:AL152,36,0)</f>
        <v>A</v>
      </c>
      <c r="M81" s="2688">
        <f t="shared" si="4"/>
        <v>506002</v>
      </c>
      <c r="N81" s="3711">
        <f>+VLOOKUP(C81,'Chấm công CN'!$B$47:$AJ$89,34,0)</f>
        <v>15</v>
      </c>
      <c r="O81" s="3711">
        <f>+VLOOKUP(C81,'Chấm công CN'!B76:AJ118,35,0)</f>
        <v>3</v>
      </c>
      <c r="P81" s="3712">
        <f t="shared" si="2"/>
        <v>18</v>
      </c>
      <c r="Q81" s="3683"/>
      <c r="R81" s="3712">
        <v>500000</v>
      </c>
      <c r="S81" s="2688">
        <f t="shared" si="11"/>
        <v>1464778.76</v>
      </c>
      <c r="T81" s="3711">
        <f t="shared" si="9"/>
        <v>1970780.76</v>
      </c>
      <c r="U81" s="3674"/>
      <c r="V81" s="3683"/>
      <c r="W81" s="3711">
        <f t="shared" si="3"/>
        <v>1970780.76</v>
      </c>
      <c r="X81" s="3682"/>
      <c r="Z81" s="3226"/>
    </row>
    <row r="82" spans="1:28" s="3677" customFormat="1" ht="38.25" customHeight="1">
      <c r="A82" s="3706">
        <v>65</v>
      </c>
      <c r="B82" s="3673"/>
      <c r="C82" s="3708" t="s">
        <v>2221</v>
      </c>
      <c r="D82" s="3710" t="s">
        <v>167</v>
      </c>
      <c r="E82" s="3697"/>
      <c r="F82" s="3750"/>
      <c r="G82" s="3709">
        <f t="shared" si="1"/>
        <v>0</v>
      </c>
      <c r="H82" s="3709">
        <f>+VLOOKUP(C82,'Mủ CN (TT)'!C76:AI109,33,0)</f>
        <v>167</v>
      </c>
      <c r="I82" s="3680"/>
      <c r="J82" s="3602">
        <f>+VLOOKUP(C82,'Mủ CN (TT)'!C76:AK153,35,0)</f>
        <v>96.13184519180308</v>
      </c>
      <c r="K82" s="3602">
        <v>94.724608665665073</v>
      </c>
      <c r="L82" s="3711" t="str">
        <f>+VLOOKUP(C82,'Mủ CN (TT)'!C76:AL153,36,0)</f>
        <v>A</v>
      </c>
      <c r="M82" s="2688">
        <f t="shared" si="4"/>
        <v>378934</v>
      </c>
      <c r="N82" s="3711">
        <f>+VLOOKUP(C82,'Chấm công CN'!$B$47:$AJ$89,34,0)</f>
        <v>15</v>
      </c>
      <c r="O82" s="3711">
        <f>+VLOOKUP(C82,'Chấm công CN'!B77:AJ119,35,0)</f>
        <v>3</v>
      </c>
      <c r="P82" s="3712">
        <f t="shared" si="2"/>
        <v>18</v>
      </c>
      <c r="Q82" s="3683"/>
      <c r="R82" s="3712">
        <v>500000</v>
      </c>
      <c r="S82" s="2688">
        <f t="shared" si="11"/>
        <v>1464778.76</v>
      </c>
      <c r="T82" s="3711">
        <f t="shared" ref="T82:T99" si="12">+G82+M82+S82</f>
        <v>1843712.76</v>
      </c>
      <c r="U82" s="3674"/>
      <c r="V82" s="3683"/>
      <c r="W82" s="3711">
        <f t="shared" si="3"/>
        <v>1843712.76</v>
      </c>
      <c r="X82" s="3682"/>
      <c r="Z82" s="3226"/>
    </row>
    <row r="83" spans="1:28" s="3677" customFormat="1" ht="38.25" customHeight="1">
      <c r="A83" s="3706">
        <v>66</v>
      </c>
      <c r="B83" s="3673"/>
      <c r="C83" s="3708" t="s">
        <v>1903</v>
      </c>
      <c r="D83" s="3710" t="s">
        <v>167</v>
      </c>
      <c r="E83" s="3697"/>
      <c r="F83" s="3750"/>
      <c r="G83" s="3709">
        <f t="shared" ref="G83:G99" si="13">ROUND(F83*25000,0)</f>
        <v>0</v>
      </c>
      <c r="H83" s="3709">
        <f>+VLOOKUP(C83,'Mủ CN (TT)'!C77:AI110,33,0)</f>
        <v>153</v>
      </c>
      <c r="I83" s="3680"/>
      <c r="J83" s="3602">
        <f>+VLOOKUP(C83,'Mủ CN (TT)'!C77:AK154,35,0)</f>
        <v>88.072888109855512</v>
      </c>
      <c r="K83" s="3602">
        <v>86.783623508064409</v>
      </c>
      <c r="L83" s="3711" t="str">
        <f>+VLOOKUP(C83,'Mủ CN (TT)'!C77:AL154,36,0)</f>
        <v>A</v>
      </c>
      <c r="M83" s="2688">
        <f t="shared" ref="M83:M92" si="14">ROUND(J83*IF(L83="A",(6.1*$E$12),IF(L83="B",(5.8*$E$12),IF(L83="C",(5.5*$E$12),IF(L83="D",(5.2*$E$12))))),0)</f>
        <v>347167</v>
      </c>
      <c r="N83" s="3711">
        <f>+VLOOKUP(C83,'Chấm công CN'!$B$47:$AJ$89,34,0)</f>
        <v>15</v>
      </c>
      <c r="O83" s="3711">
        <f>+VLOOKUP(C83,'Chấm công CN'!B78:AJ120,35,0)</f>
        <v>3</v>
      </c>
      <c r="P83" s="3712">
        <f t="shared" si="2"/>
        <v>18</v>
      </c>
      <c r="Q83" s="3683"/>
      <c r="R83" s="3712">
        <v>500000</v>
      </c>
      <c r="S83" s="2688">
        <f t="shared" si="11"/>
        <v>1464778.76</v>
      </c>
      <c r="T83" s="3711">
        <f t="shared" si="12"/>
        <v>1811945.76</v>
      </c>
      <c r="U83" s="3674"/>
      <c r="V83" s="3683"/>
      <c r="W83" s="3711">
        <f t="shared" ref="W83:W92" si="15">+T83-U83</f>
        <v>1811945.76</v>
      </c>
      <c r="X83" s="3682"/>
      <c r="Z83" s="3226"/>
    </row>
    <row r="84" spans="1:28" s="3677" customFormat="1" ht="38.25" customHeight="1">
      <c r="A84" s="3706">
        <v>67</v>
      </c>
      <c r="B84" s="3673"/>
      <c r="C84" s="3708" t="s">
        <v>2222</v>
      </c>
      <c r="D84" s="3710" t="s">
        <v>167</v>
      </c>
      <c r="E84" s="3697"/>
      <c r="F84" s="3750"/>
      <c r="G84" s="3709">
        <f t="shared" si="13"/>
        <v>0</v>
      </c>
      <c r="H84" s="3709">
        <f>+VLOOKUP(C84,'Mủ CN (TT)'!C78:AI111,33,0)</f>
        <v>162</v>
      </c>
      <c r="I84" s="3680"/>
      <c r="J84" s="3602">
        <f>+VLOOKUP(C84,'Mủ CN (TT)'!C78:AK155,35,0)</f>
        <v>93.253646233964659</v>
      </c>
      <c r="K84" s="3602">
        <v>91.888542537950556</v>
      </c>
      <c r="L84" s="3711" t="str">
        <f>+VLOOKUP(C84,'Mủ CN (TT)'!C78:AL155,36,0)</f>
        <v>A</v>
      </c>
      <c r="M84" s="2688">
        <f t="shared" si="14"/>
        <v>367589</v>
      </c>
      <c r="N84" s="3711">
        <f>+VLOOKUP(C84,'Chấm công CN'!$B$47:$AJ$89,34,0)</f>
        <v>15</v>
      </c>
      <c r="O84" s="3711">
        <f>+VLOOKUP(C84,'Chấm công CN'!B79:AJ121,35,0)</f>
        <v>3</v>
      </c>
      <c r="P84" s="3712">
        <f t="shared" ref="P84:P94" si="16">+N84+O84</f>
        <v>18</v>
      </c>
      <c r="Q84" s="3683"/>
      <c r="R84" s="3712">
        <v>500000</v>
      </c>
      <c r="S84" s="2688">
        <f t="shared" si="11"/>
        <v>1464778.76</v>
      </c>
      <c r="T84" s="3711">
        <f t="shared" si="12"/>
        <v>1832367.76</v>
      </c>
      <c r="U84" s="3674"/>
      <c r="V84" s="3683"/>
      <c r="W84" s="3711">
        <f t="shared" si="15"/>
        <v>1832367.76</v>
      </c>
      <c r="X84" s="3682"/>
      <c r="Z84" s="3226"/>
    </row>
    <row r="85" spans="1:28" s="3677" customFormat="1" ht="38.25" customHeight="1">
      <c r="A85" s="3706">
        <v>68</v>
      </c>
      <c r="B85" s="3673"/>
      <c r="C85" s="3708" t="s">
        <v>1910</v>
      </c>
      <c r="D85" s="3710" t="s">
        <v>167</v>
      </c>
      <c r="E85" s="3697"/>
      <c r="F85" s="3750"/>
      <c r="G85" s="3709">
        <f t="shared" si="13"/>
        <v>0</v>
      </c>
      <c r="H85" s="3709">
        <f>+VLOOKUP(C85,'Mủ CN (TT)'!C79:AI112,33,0)</f>
        <v>147</v>
      </c>
      <c r="I85" s="3680"/>
      <c r="J85" s="3602">
        <f>+VLOOKUP(C85,'Mủ CN (TT)'!C79:AK156,35,0)</f>
        <v>84.619049360449409</v>
      </c>
      <c r="K85" s="3602">
        <v>83.380344154806977</v>
      </c>
      <c r="L85" s="3711" t="str">
        <f>+VLOOKUP(C85,'Mủ CN (TT)'!C79:AL156,36,0)</f>
        <v>A</v>
      </c>
      <c r="M85" s="2688">
        <f t="shared" si="14"/>
        <v>333553</v>
      </c>
      <c r="N85" s="3711">
        <f>+VLOOKUP(C85,'Chấm công CN'!$B$47:$AJ$89,34,0)</f>
        <v>15</v>
      </c>
      <c r="O85" s="3711">
        <f>+VLOOKUP(C85,'Chấm công CN'!B80:AJ122,35,0)</f>
        <v>3</v>
      </c>
      <c r="P85" s="3712">
        <f t="shared" si="16"/>
        <v>18</v>
      </c>
      <c r="Q85" s="3683"/>
      <c r="R85" s="3712">
        <v>500000</v>
      </c>
      <c r="S85" s="2688">
        <f t="shared" si="11"/>
        <v>1464778.76</v>
      </c>
      <c r="T85" s="3711">
        <f t="shared" si="12"/>
        <v>1798331.76</v>
      </c>
      <c r="U85" s="3674"/>
      <c r="V85" s="3683"/>
      <c r="W85" s="3711">
        <f t="shared" si="15"/>
        <v>1798331.76</v>
      </c>
      <c r="X85" s="3682"/>
      <c r="Z85" s="3226"/>
    </row>
    <row r="86" spans="1:28" s="3677" customFormat="1" ht="38.25" customHeight="1">
      <c r="A86" s="3706">
        <v>69</v>
      </c>
      <c r="B86" s="3673"/>
      <c r="C86" s="3708" t="s">
        <v>2223</v>
      </c>
      <c r="D86" s="3710" t="s">
        <v>167</v>
      </c>
      <c r="E86" s="3697"/>
      <c r="F86" s="3750"/>
      <c r="G86" s="3709">
        <f t="shared" si="13"/>
        <v>0</v>
      </c>
      <c r="H86" s="3709">
        <f>+VLOOKUP(C86,'Mủ CN (TT)'!C80:AI113,33,0)</f>
        <v>152</v>
      </c>
      <c r="I86" s="3680"/>
      <c r="J86" s="3602">
        <f>+VLOOKUP(C86,'Mủ CN (TT)'!C80:AK157,35,0)</f>
        <v>87.497248318287831</v>
      </c>
      <c r="K86" s="3602">
        <v>86.216410282521508</v>
      </c>
      <c r="L86" s="3711" t="str">
        <f>+VLOOKUP(C86,'Mủ CN (TT)'!C80:AL157,36,0)</f>
        <v>A</v>
      </c>
      <c r="M86" s="2688">
        <f t="shared" si="14"/>
        <v>344898</v>
      </c>
      <c r="N86" s="3711">
        <f>+VLOOKUP(C86,'Chấm công CN'!$B$47:$AJ$89,34,0)</f>
        <v>15</v>
      </c>
      <c r="O86" s="3711">
        <f>+VLOOKUP(C86,'Chấm công CN'!B81:AJ123,35,0)</f>
        <v>3</v>
      </c>
      <c r="P86" s="3712">
        <f t="shared" si="16"/>
        <v>18</v>
      </c>
      <c r="Q86" s="3683"/>
      <c r="R86" s="3712">
        <v>500000</v>
      </c>
      <c r="S86" s="2688">
        <f t="shared" si="11"/>
        <v>1464778.76</v>
      </c>
      <c r="T86" s="3711">
        <f t="shared" si="12"/>
        <v>1809676.76</v>
      </c>
      <c r="U86" s="3674"/>
      <c r="V86" s="3683"/>
      <c r="W86" s="3711">
        <f t="shared" si="15"/>
        <v>1809676.76</v>
      </c>
      <c r="X86" s="3682"/>
      <c r="Z86" s="3226"/>
    </row>
    <row r="87" spans="1:28" s="3677" customFormat="1" ht="38.25" customHeight="1">
      <c r="A87" s="3706">
        <v>70</v>
      </c>
      <c r="B87" s="3673"/>
      <c r="C87" s="3708" t="s">
        <v>2224</v>
      </c>
      <c r="D87" s="3710" t="s">
        <v>167</v>
      </c>
      <c r="E87" s="3697"/>
      <c r="F87" s="3750"/>
      <c r="G87" s="3709">
        <f t="shared" si="13"/>
        <v>0</v>
      </c>
      <c r="H87" s="3709">
        <f>+VLOOKUP(C87,'Mủ CN (TT)'!C81:AI114,33,0)</f>
        <v>189</v>
      </c>
      <c r="I87" s="3680"/>
      <c r="J87" s="3602">
        <f>+VLOOKUP(C87,'Mủ CN (TT)'!C81:AK158,35,0)</f>
        <v>108.7959206062921</v>
      </c>
      <c r="K87" s="3602">
        <v>107.20329962760898</v>
      </c>
      <c r="L87" s="3711" t="str">
        <f>+VLOOKUP(C87,'Mủ CN (TT)'!C81:AL158,36,0)</f>
        <v>A</v>
      </c>
      <c r="M87" s="2688">
        <f t="shared" si="14"/>
        <v>428854</v>
      </c>
      <c r="N87" s="3711">
        <f>+VLOOKUP(C87,'Chấm công CN'!$B$47:$AJ$89,34,0)</f>
        <v>15</v>
      </c>
      <c r="O87" s="3711">
        <f>+VLOOKUP(C87,'Chấm công CN'!B82:AJ124,35,0)</f>
        <v>3</v>
      </c>
      <c r="P87" s="3712">
        <f t="shared" si="16"/>
        <v>18</v>
      </c>
      <c r="Q87" s="3683"/>
      <c r="R87" s="3712">
        <v>500000</v>
      </c>
      <c r="S87" s="2688">
        <f t="shared" si="11"/>
        <v>1464778.76</v>
      </c>
      <c r="T87" s="3711">
        <f t="shared" si="12"/>
        <v>1893632.76</v>
      </c>
      <c r="U87" s="3674"/>
      <c r="V87" s="3683"/>
      <c r="W87" s="3711">
        <f t="shared" si="15"/>
        <v>1893632.76</v>
      </c>
      <c r="X87" s="3682"/>
      <c r="Z87" s="3226"/>
    </row>
    <row r="88" spans="1:28" s="3677" customFormat="1" ht="38.25" customHeight="1">
      <c r="A88" s="3706">
        <v>71</v>
      </c>
      <c r="B88" s="3673"/>
      <c r="C88" s="3708" t="s">
        <v>2225</v>
      </c>
      <c r="D88" s="3710" t="s">
        <v>167</v>
      </c>
      <c r="E88" s="3697"/>
      <c r="F88" s="3750"/>
      <c r="G88" s="3709">
        <f t="shared" si="13"/>
        <v>0</v>
      </c>
      <c r="H88" s="3709">
        <f>+VLOOKUP(C88,'Mủ CN (TT)'!C82:AI115,33,0)</f>
        <v>200</v>
      </c>
      <c r="I88" s="3680"/>
      <c r="J88" s="3602">
        <f>+VLOOKUP(C88,'Mủ CN (TT)'!C82:AK159,35,0)</f>
        <v>115.12795831353661</v>
      </c>
      <c r="K88" s="3602">
        <v>113.4426451085809</v>
      </c>
      <c r="L88" s="3711" t="str">
        <f>+VLOOKUP(C88,'Mủ CN (TT)'!C82:AL159,36,0)</f>
        <v>A</v>
      </c>
      <c r="M88" s="2688">
        <f t="shared" si="14"/>
        <v>453814</v>
      </c>
      <c r="N88" s="3711">
        <f>+VLOOKUP(C88,'Chấm công CN'!$B$47:$AJ$89,34,0)</f>
        <v>13</v>
      </c>
      <c r="O88" s="3711">
        <f>+VLOOKUP(C88,'Chấm công CN'!B83:AJ125,35,0)</f>
        <v>3</v>
      </c>
      <c r="P88" s="3712">
        <f t="shared" si="16"/>
        <v>16</v>
      </c>
      <c r="Q88" s="3683"/>
      <c r="R88" s="3712">
        <v>500000</v>
      </c>
      <c r="S88" s="2688">
        <f t="shared" ref="S88" si="17">ROUND((N88*(46.1*$E$10))+(O88*(76.9*$E$10))+(P88*20000)+(Q88*30.7*$E$10),0)+R88</f>
        <v>1364314</v>
      </c>
      <c r="T88" s="3711">
        <f t="shared" si="12"/>
        <v>1818128</v>
      </c>
      <c r="U88" s="3674"/>
      <c r="V88" s="3683"/>
      <c r="W88" s="3711">
        <f t="shared" si="15"/>
        <v>1818128</v>
      </c>
      <c r="X88" s="3682"/>
      <c r="Z88" s="3226"/>
    </row>
    <row r="89" spans="1:28" s="3677" customFormat="1" ht="38.25" customHeight="1">
      <c r="A89" s="3706">
        <v>72</v>
      </c>
      <c r="B89" s="3673"/>
      <c r="C89" s="3708" t="s">
        <v>2226</v>
      </c>
      <c r="D89" s="3710" t="s">
        <v>167</v>
      </c>
      <c r="E89" s="3697"/>
      <c r="F89" s="3750"/>
      <c r="G89" s="3709">
        <f t="shared" si="13"/>
        <v>0</v>
      </c>
      <c r="H89" s="3709">
        <f>+VLOOKUP(C89,'Mủ CN (TT)'!C83:AI116,33,0)</f>
        <v>165</v>
      </c>
      <c r="I89" s="3680"/>
      <c r="J89" s="3602">
        <f>+VLOOKUP(C89,'Mủ CN (TT)'!C83:AK160,35,0)</f>
        <v>94.980565608667703</v>
      </c>
      <c r="K89" s="3602">
        <v>93.590182214579272</v>
      </c>
      <c r="L89" s="3711" t="str">
        <f>+VLOOKUP(C89,'Mủ CN (TT)'!C83:AL160,36,0)</f>
        <v>A</v>
      </c>
      <c r="M89" s="2688">
        <f t="shared" si="14"/>
        <v>374396</v>
      </c>
      <c r="N89" s="3711">
        <f>+VLOOKUP(C89,'Chấm công CN'!$B$47:$AJ$89,34,0)</f>
        <v>12</v>
      </c>
      <c r="O89" s="3711">
        <f>+VLOOKUP(C89,'Chấm công CN'!B84:AJ126,35,0)</f>
        <v>2</v>
      </c>
      <c r="P89" s="3712">
        <f t="shared" si="16"/>
        <v>14</v>
      </c>
      <c r="Q89" s="3712">
        <f>+VLOOKUP(C89,'Phụ cấp cây non'!B12:AI17,34,0)</f>
        <v>14</v>
      </c>
      <c r="R89" s="3712">
        <v>500000</v>
      </c>
      <c r="S89" s="2688">
        <f>ROUND((N89*(46.1*$E$10))+(O89*(76.9*$E$10))+(P89*20000)+(Q89*30.7*$E$10),0)+R89+0.44</f>
        <v>1525513.44</v>
      </c>
      <c r="T89" s="3711">
        <f t="shared" si="12"/>
        <v>1899909.44</v>
      </c>
      <c r="U89" s="3674"/>
      <c r="V89" s="3683"/>
      <c r="W89" s="3711">
        <f t="shared" si="15"/>
        <v>1899909.44</v>
      </c>
      <c r="X89" s="3682"/>
      <c r="Z89" s="3226"/>
    </row>
    <row r="90" spans="1:28" s="3677" customFormat="1" ht="38.25" customHeight="1">
      <c r="A90" s="3706">
        <v>73</v>
      </c>
      <c r="B90" s="3673"/>
      <c r="C90" s="3708" t="s">
        <v>2227</v>
      </c>
      <c r="D90" s="3710" t="s">
        <v>167</v>
      </c>
      <c r="E90" s="3697"/>
      <c r="F90" s="3750"/>
      <c r="G90" s="3709">
        <f t="shared" si="13"/>
        <v>0</v>
      </c>
      <c r="H90" s="3709">
        <f>+VLOOKUP(C90,'Mủ CN (TT)'!C84:AI117,33,0)</f>
        <v>169</v>
      </c>
      <c r="I90" s="3680"/>
      <c r="J90" s="3602">
        <f>+VLOOKUP(C90,'Mủ CN (TT)'!C84:AK161,35,0)</f>
        <v>97.283124774938443</v>
      </c>
      <c r="K90" s="3602">
        <v>95.859035116750874</v>
      </c>
      <c r="L90" s="3711" t="str">
        <f>+VLOOKUP(C90,'Mủ CN (TT)'!C84:AL161,36,0)</f>
        <v>A</v>
      </c>
      <c r="M90" s="2688">
        <f t="shared" si="14"/>
        <v>383473</v>
      </c>
      <c r="N90" s="3711">
        <f>+VLOOKUP(C90,'Chấm công CN'!$B$47:$AJ$89,34,0)</f>
        <v>12</v>
      </c>
      <c r="O90" s="3711">
        <f>+VLOOKUP(C90,'Chấm công CN'!B85:AJ127,35,0)</f>
        <v>2</v>
      </c>
      <c r="P90" s="3712">
        <f t="shared" si="16"/>
        <v>14</v>
      </c>
      <c r="Q90" s="3712">
        <f>+VLOOKUP(C90,'Phụ cấp cây non'!B13:AI18,34,0)</f>
        <v>14</v>
      </c>
      <c r="R90" s="3712">
        <v>500000</v>
      </c>
      <c r="S90" s="2688">
        <f>ROUND((N90*(46.1*$E$10))+(O90*(76.9*$E$10))+(P90*20000)+(Q90*30.7*$E$10),0)+R90+0.44</f>
        <v>1525513.44</v>
      </c>
      <c r="T90" s="3711">
        <f t="shared" si="12"/>
        <v>1908986.44</v>
      </c>
      <c r="U90" s="3674"/>
      <c r="V90" s="3683"/>
      <c r="W90" s="3711">
        <f t="shared" si="15"/>
        <v>1908986.44</v>
      </c>
      <c r="X90" s="3682"/>
      <c r="Z90" s="3226"/>
    </row>
    <row r="91" spans="1:28" s="3677" customFormat="1" ht="38.25" customHeight="1">
      <c r="A91" s="3706">
        <v>74</v>
      </c>
      <c r="B91" s="3673"/>
      <c r="C91" s="3708" t="s">
        <v>2228</v>
      </c>
      <c r="D91" s="3710" t="s">
        <v>167</v>
      </c>
      <c r="E91" s="3697"/>
      <c r="F91" s="3750"/>
      <c r="G91" s="3709">
        <f t="shared" si="13"/>
        <v>0</v>
      </c>
      <c r="H91" s="3709">
        <f>+VLOOKUP(C91,'Mủ CN (TT)'!C85:AI118,33,0)</f>
        <v>117</v>
      </c>
      <c r="I91" s="3680"/>
      <c r="J91" s="3602">
        <f>+VLOOKUP(C91,'Mủ CN (TT)'!C85:AK162,35,0)</f>
        <v>67.349855613418924</v>
      </c>
      <c r="K91" s="3602">
        <v>66.363947388519847</v>
      </c>
      <c r="L91" s="3711" t="str">
        <f>+VLOOKUP(C91,'Mủ CN (TT)'!C85:AL162,36,0)</f>
        <v>A</v>
      </c>
      <c r="M91" s="2688">
        <f t="shared" si="14"/>
        <v>265481</v>
      </c>
      <c r="N91" s="3711">
        <f>+VLOOKUP(C91,'Chấm công CN'!$B$47:$AJ$89,34,0)</f>
        <v>12</v>
      </c>
      <c r="O91" s="3711">
        <f>+VLOOKUP(C91,'Chấm công CN'!B86:AJ128,35,0)</f>
        <v>2</v>
      </c>
      <c r="P91" s="3712">
        <f t="shared" si="16"/>
        <v>14</v>
      </c>
      <c r="Q91" s="3712">
        <f>+VLOOKUP(C91,'Phụ cấp cây non'!B14:AI19,34,0)</f>
        <v>14</v>
      </c>
      <c r="R91" s="3712">
        <v>500000</v>
      </c>
      <c r="S91" s="2688">
        <f>ROUND((N91*(46.1*$E$10))+(O91*(76.9*$E$10))+(P91*20000)+(Q91*30.7*$E$10),0)+R91+0.44</f>
        <v>1525513.44</v>
      </c>
      <c r="T91" s="3711">
        <f t="shared" si="12"/>
        <v>1790994.44</v>
      </c>
      <c r="U91" s="3674"/>
      <c r="V91" s="3683"/>
      <c r="W91" s="3711">
        <f t="shared" si="15"/>
        <v>1790994.44</v>
      </c>
      <c r="X91" s="3682"/>
      <c r="Z91" s="3226"/>
    </row>
    <row r="92" spans="1:28" s="3677" customFormat="1" ht="38.25" customHeight="1">
      <c r="A92" s="3706">
        <v>75</v>
      </c>
      <c r="B92" s="3673"/>
      <c r="C92" s="3708" t="s">
        <v>2229</v>
      </c>
      <c r="D92" s="3710" t="s">
        <v>167</v>
      </c>
      <c r="E92" s="3697"/>
      <c r="F92" s="3750"/>
      <c r="G92" s="3709">
        <f t="shared" si="13"/>
        <v>0</v>
      </c>
      <c r="H92" s="3709">
        <f>+VLOOKUP(C92,'Mủ CN (TT)'!C86:AI119,33,0)</f>
        <v>110</v>
      </c>
      <c r="I92" s="3680"/>
      <c r="J92" s="3602">
        <f>+VLOOKUP(C92,'Mủ CN (TT)'!C86:AK163,35,0)</f>
        <v>63.32037707244514</v>
      </c>
      <c r="K92" s="3602">
        <v>62.393454809719508</v>
      </c>
      <c r="L92" s="3711" t="str">
        <f>+VLOOKUP(C92,'Mủ CN (TT)'!C86:AL163,36,0)</f>
        <v>A</v>
      </c>
      <c r="M92" s="2688">
        <f t="shared" si="14"/>
        <v>249598</v>
      </c>
      <c r="N92" s="3711">
        <f>+VLOOKUP(C92,'Chấm công CN'!$B$47:$AJ$89,34,0)</f>
        <v>12</v>
      </c>
      <c r="O92" s="3711">
        <f>+VLOOKUP(C92,'Chấm công CN'!B87:AJ129,35,0)</f>
        <v>2</v>
      </c>
      <c r="P92" s="3712">
        <f t="shared" si="16"/>
        <v>14</v>
      </c>
      <c r="Q92" s="3712">
        <f>+VLOOKUP(C92,'Phụ cấp cây non'!B15:AI20,34,0)</f>
        <v>14</v>
      </c>
      <c r="R92" s="3712">
        <v>500000</v>
      </c>
      <c r="S92" s="2688">
        <f>ROUND((N92*(46.1*$E$10))+(O92*(76.9*$E$10))+(P92*20000)+(Q92*30.7*$E$10),0)+R92+0.44</f>
        <v>1525513.44</v>
      </c>
      <c r="T92" s="3711">
        <f t="shared" si="12"/>
        <v>1775111.44</v>
      </c>
      <c r="U92" s="3712"/>
      <c r="V92" s="3711"/>
      <c r="W92" s="3712">
        <f t="shared" si="15"/>
        <v>1775111.44</v>
      </c>
      <c r="X92" s="3711"/>
      <c r="Z92" s="3226"/>
    </row>
    <row r="93" spans="1:28" s="3677" customFormat="1" ht="38.25" customHeight="1">
      <c r="A93" s="3706">
        <v>76</v>
      </c>
      <c r="B93" s="3673"/>
      <c r="C93" s="3708" t="s">
        <v>2230</v>
      </c>
      <c r="D93" s="3710" t="s">
        <v>167</v>
      </c>
      <c r="E93" s="3697"/>
      <c r="F93" s="3750"/>
      <c r="G93" s="3709">
        <f t="shared" si="13"/>
        <v>0</v>
      </c>
      <c r="H93" s="3709">
        <f>+VLOOKUP(C93,'Mủ CN (TT)'!C87:AI120,33,0)</f>
        <v>0</v>
      </c>
      <c r="I93" s="3680"/>
      <c r="J93" s="3602">
        <f>+VLOOKUP(C93,'Mủ CN (TT)'!C87:AK164,35,0)</f>
        <v>0</v>
      </c>
      <c r="K93" s="3786">
        <v>0</v>
      </c>
      <c r="L93" s="3711" t="str">
        <f>+VLOOKUP(C93,'Mủ CN (TT)'!C87:AL164,36,0)</f>
        <v>A</v>
      </c>
      <c r="M93" s="2688">
        <f t="shared" ref="M93:M99" si="18">ROUND(J93*IF(L93="A",(6.1*$E$12),IF(L93="B",(5.8*$E$12),IF(L93="C",(5.5*$E$12),IF(L93="D",(5.2*$E$12))))),0)</f>
        <v>0</v>
      </c>
      <c r="N93" s="3711">
        <f>+VLOOKUP(C93,'Chấm công CN'!$B$47:$AJ$89,34,0)</f>
        <v>5</v>
      </c>
      <c r="O93" s="3711">
        <f>+VLOOKUP(C93,'Chấm công CN'!B88:AJ130,35,0)</f>
        <v>1</v>
      </c>
      <c r="P93" s="3712">
        <f t="shared" si="16"/>
        <v>6</v>
      </c>
      <c r="Q93" s="3712">
        <f>+VLOOKUP(C93,'Phụ cấp cây non'!B16:AI21,34,0)</f>
        <v>6</v>
      </c>
      <c r="R93" s="3712">
        <v>500000</v>
      </c>
      <c r="S93" s="2688">
        <f>ROUND((N93*(46.1*$E$10))+(O93*(76.9*$E$10))+(P93*20000)+(Q93*30.7*$E$10),0)+R93+0.28</f>
        <v>942391.28</v>
      </c>
      <c r="T93" s="3711">
        <f t="shared" si="12"/>
        <v>942391.28</v>
      </c>
      <c r="U93" s="3712"/>
      <c r="V93" s="3711">
        <v>500000</v>
      </c>
      <c r="W93" s="3712">
        <f>+T93-U93-V93</f>
        <v>442391.28</v>
      </c>
      <c r="X93" s="3711"/>
      <c r="Z93" s="3226"/>
    </row>
    <row r="94" spans="1:28" s="3677" customFormat="1" ht="38.25" customHeight="1">
      <c r="A94" s="3706">
        <v>77</v>
      </c>
      <c r="B94" s="3673"/>
      <c r="C94" s="3708" t="s">
        <v>2231</v>
      </c>
      <c r="D94" s="3710" t="s">
        <v>167</v>
      </c>
      <c r="E94" s="3697"/>
      <c r="F94" s="3750"/>
      <c r="G94" s="3709">
        <f t="shared" si="13"/>
        <v>0</v>
      </c>
      <c r="H94" s="3709">
        <f>+VLOOKUP(C94,'Mủ CN (TT)'!C88:AI121,33,0)</f>
        <v>0</v>
      </c>
      <c r="I94" s="3680"/>
      <c r="J94" s="3602">
        <f>+VLOOKUP(C94,'Mủ CN (TT)'!C88:AK165,35,0)</f>
        <v>0</v>
      </c>
      <c r="K94" s="3786">
        <v>0</v>
      </c>
      <c r="L94" s="3711" t="str">
        <f>+VLOOKUP(C94,'Mủ CN (TT)'!C88:AL165,36,0)</f>
        <v>A</v>
      </c>
      <c r="M94" s="2688">
        <f t="shared" si="18"/>
        <v>0</v>
      </c>
      <c r="N94" s="3711">
        <f>+VLOOKUP(C94,'Chấm công CN'!$B$47:$AJ$89,34,0)</f>
        <v>5</v>
      </c>
      <c r="O94" s="3711">
        <f>+VLOOKUP(C94,'Chấm công CN'!B89:AJ131,35,0)</f>
        <v>1</v>
      </c>
      <c r="P94" s="3712">
        <f t="shared" si="16"/>
        <v>6</v>
      </c>
      <c r="Q94" s="3712">
        <f>+VLOOKUP(C94,'Phụ cấp cây non'!B17:AI22,34,0)</f>
        <v>6</v>
      </c>
      <c r="R94" s="3712">
        <v>500000</v>
      </c>
      <c r="S94" s="2688">
        <f>ROUND((N94*(46.1*$E$10))+(O94*(76.9*$E$10))+(P94*20000)+(Q94*30.7*$E$10),0)+R94+0.28</f>
        <v>942391.28</v>
      </c>
      <c r="T94" s="3711">
        <f t="shared" si="12"/>
        <v>942391.28</v>
      </c>
      <c r="U94" s="3712"/>
      <c r="V94" s="3711">
        <v>500000</v>
      </c>
      <c r="W94" s="3712">
        <f>+T94-U94-V94</f>
        <v>442391.28</v>
      </c>
      <c r="X94" s="3711"/>
      <c r="Z94" s="3226"/>
    </row>
    <row r="95" spans="1:28" s="2544" customFormat="1" ht="33" customHeight="1">
      <c r="A95" s="3706">
        <v>78</v>
      </c>
      <c r="B95" s="3219"/>
      <c r="C95" s="3217" t="s">
        <v>1461</v>
      </c>
      <c r="D95" s="3217" t="s">
        <v>2003</v>
      </c>
      <c r="E95" s="3217"/>
      <c r="F95" s="3218"/>
      <c r="G95" s="3709">
        <f t="shared" si="13"/>
        <v>0</v>
      </c>
      <c r="H95" s="3217">
        <v>0</v>
      </c>
      <c r="I95" s="3217"/>
      <c r="J95" s="3217">
        <v>0</v>
      </c>
      <c r="K95" s="3217"/>
      <c r="L95" s="3217">
        <v>0</v>
      </c>
      <c r="M95" s="2688">
        <f t="shared" si="18"/>
        <v>0</v>
      </c>
      <c r="N95" s="3217">
        <v>0</v>
      </c>
      <c r="O95" s="3217">
        <v>0</v>
      </c>
      <c r="P95" s="3217"/>
      <c r="Q95" s="3217"/>
      <c r="R95" s="3217"/>
      <c r="S95" s="2688">
        <f t="shared" ref="S95:S99" si="19">ROUND((N95*(46.1*$E$12))+(O95*(76.9*$E$12))+(P95*20000)+(Q95*30.7*$E$12),0)</f>
        <v>0</v>
      </c>
      <c r="T95" s="3711">
        <f t="shared" si="12"/>
        <v>0</v>
      </c>
      <c r="U95" s="3217"/>
      <c r="V95" s="3217">
        <v>0</v>
      </c>
      <c r="W95" s="3216">
        <f t="shared" ref="W95:W98" si="20">+T95-V95</f>
        <v>0</v>
      </c>
      <c r="X95" s="2546"/>
      <c r="AB95" s="3383"/>
    </row>
    <row r="96" spans="1:28" s="2544" customFormat="1" ht="33" customHeight="1">
      <c r="A96" s="3706">
        <v>79</v>
      </c>
      <c r="B96" s="3219"/>
      <c r="C96" s="3217" t="s">
        <v>1462</v>
      </c>
      <c r="D96" s="3217" t="s">
        <v>2003</v>
      </c>
      <c r="E96" s="3217"/>
      <c r="F96" s="3218"/>
      <c r="G96" s="3709">
        <f t="shared" si="13"/>
        <v>0</v>
      </c>
      <c r="H96" s="3217">
        <v>0</v>
      </c>
      <c r="I96" s="3217"/>
      <c r="J96" s="3217">
        <v>0</v>
      </c>
      <c r="K96" s="3217"/>
      <c r="L96" s="3217">
        <v>0</v>
      </c>
      <c r="M96" s="2688">
        <f t="shared" si="18"/>
        <v>0</v>
      </c>
      <c r="N96" s="3217">
        <v>0</v>
      </c>
      <c r="O96" s="3217">
        <v>0</v>
      </c>
      <c r="P96" s="3217"/>
      <c r="Q96" s="3217"/>
      <c r="R96" s="3217"/>
      <c r="S96" s="2688">
        <f t="shared" si="19"/>
        <v>0</v>
      </c>
      <c r="T96" s="3711">
        <f t="shared" si="12"/>
        <v>0</v>
      </c>
      <c r="U96" s="3217"/>
      <c r="V96" s="3217">
        <v>0</v>
      </c>
      <c r="W96" s="3216">
        <f t="shared" si="20"/>
        <v>0</v>
      </c>
      <c r="X96" s="2546"/>
      <c r="Y96" s="2549"/>
      <c r="Z96" s="2549"/>
      <c r="AA96" s="2549"/>
      <c r="AB96" s="2549"/>
    </row>
    <row r="97" spans="1:28" s="2544" customFormat="1" ht="33" customHeight="1">
      <c r="A97" s="3706">
        <v>80</v>
      </c>
      <c r="B97" s="3219"/>
      <c r="C97" s="3217" t="s">
        <v>1095</v>
      </c>
      <c r="D97" s="3217" t="s">
        <v>2003</v>
      </c>
      <c r="E97" s="3217"/>
      <c r="F97" s="3218"/>
      <c r="G97" s="3709">
        <f t="shared" si="13"/>
        <v>0</v>
      </c>
      <c r="H97" s="3217">
        <v>0</v>
      </c>
      <c r="I97" s="3217"/>
      <c r="J97" s="3217">
        <v>0</v>
      </c>
      <c r="K97" s="3217"/>
      <c r="L97" s="3217">
        <v>0</v>
      </c>
      <c r="M97" s="2688">
        <f t="shared" si="18"/>
        <v>0</v>
      </c>
      <c r="N97" s="3217">
        <v>0</v>
      </c>
      <c r="O97" s="3217">
        <v>0</v>
      </c>
      <c r="P97" s="3217"/>
      <c r="Q97" s="3217"/>
      <c r="R97" s="3217"/>
      <c r="S97" s="2688">
        <f t="shared" si="19"/>
        <v>0</v>
      </c>
      <c r="T97" s="3711">
        <f t="shared" si="12"/>
        <v>0</v>
      </c>
      <c r="U97" s="3217"/>
      <c r="V97" s="3217">
        <v>0</v>
      </c>
      <c r="W97" s="3216">
        <f t="shared" si="20"/>
        <v>0</v>
      </c>
      <c r="X97" s="2546"/>
      <c r="Y97" s="2549"/>
      <c r="Z97" s="2549"/>
      <c r="AA97" s="2549"/>
      <c r="AB97" s="2549"/>
    </row>
    <row r="98" spans="1:28" s="2549" customFormat="1" ht="33" customHeight="1">
      <c r="A98" s="3706">
        <v>81</v>
      </c>
      <c r="B98" s="3219"/>
      <c r="C98" s="3217" t="s">
        <v>994</v>
      </c>
      <c r="D98" s="3217" t="s">
        <v>2003</v>
      </c>
      <c r="E98" s="3217"/>
      <c r="F98" s="3218"/>
      <c r="G98" s="3709">
        <f t="shared" si="13"/>
        <v>0</v>
      </c>
      <c r="H98" s="3217">
        <v>0</v>
      </c>
      <c r="I98" s="3217"/>
      <c r="J98" s="3217">
        <v>0</v>
      </c>
      <c r="K98" s="3217"/>
      <c r="L98" s="3217">
        <v>0</v>
      </c>
      <c r="M98" s="2688">
        <f t="shared" si="18"/>
        <v>0</v>
      </c>
      <c r="N98" s="3217">
        <v>0</v>
      </c>
      <c r="O98" s="3217">
        <v>0</v>
      </c>
      <c r="P98" s="3217"/>
      <c r="Q98" s="3217"/>
      <c r="R98" s="3217"/>
      <c r="S98" s="2688">
        <f t="shared" si="19"/>
        <v>0</v>
      </c>
      <c r="T98" s="3711">
        <f t="shared" si="12"/>
        <v>0</v>
      </c>
      <c r="U98" s="3217"/>
      <c r="V98" s="3217">
        <v>0</v>
      </c>
      <c r="W98" s="3216">
        <f t="shared" si="20"/>
        <v>0</v>
      </c>
      <c r="X98" s="2546"/>
      <c r="Y98" s="2544"/>
      <c r="Z98" s="2544"/>
      <c r="AA98" s="2544"/>
      <c r="AB98" s="3383"/>
    </row>
    <row r="99" spans="1:28" s="2549" customFormat="1" ht="33" customHeight="1">
      <c r="A99" s="3706">
        <v>82</v>
      </c>
      <c r="B99" s="3219"/>
      <c r="C99" s="3217" t="s">
        <v>993</v>
      </c>
      <c r="D99" s="3217" t="s">
        <v>2003</v>
      </c>
      <c r="E99" s="3217"/>
      <c r="F99" s="3784"/>
      <c r="G99" s="3709">
        <f t="shared" si="13"/>
        <v>0</v>
      </c>
      <c r="H99" s="3217">
        <v>0</v>
      </c>
      <c r="I99" s="3217"/>
      <c r="J99" s="3217">
        <v>0</v>
      </c>
      <c r="K99" s="3217"/>
      <c r="L99" s="3217">
        <v>0</v>
      </c>
      <c r="M99" s="2688">
        <f t="shared" si="18"/>
        <v>0</v>
      </c>
      <c r="N99" s="3217">
        <v>0</v>
      </c>
      <c r="O99" s="3217">
        <v>0</v>
      </c>
      <c r="P99" s="3217"/>
      <c r="Q99" s="3217"/>
      <c r="R99" s="3217"/>
      <c r="S99" s="2688">
        <f t="shared" si="19"/>
        <v>0</v>
      </c>
      <c r="T99" s="3711">
        <f t="shared" si="12"/>
        <v>0</v>
      </c>
      <c r="U99" s="3217"/>
      <c r="V99" s="3217">
        <v>0</v>
      </c>
      <c r="W99" s="3216">
        <f>+T99-V99</f>
        <v>0</v>
      </c>
      <c r="X99" s="2546"/>
      <c r="Y99" s="2519"/>
      <c r="Z99" s="2519"/>
      <c r="AA99" s="2519"/>
      <c r="AB99" s="2519"/>
    </row>
    <row r="100" spans="1:28" s="2544" customFormat="1" ht="57.75" customHeight="1">
      <c r="A100" s="3973" t="s">
        <v>61</v>
      </c>
      <c r="B100" s="3974"/>
      <c r="C100" s="3974"/>
      <c r="D100" s="3975"/>
      <c r="E100" s="2692"/>
      <c r="F100" s="3013">
        <f>+SUBTOTAL(9,F18:F99)</f>
        <v>0</v>
      </c>
      <c r="G100" s="3013">
        <f t="shared" ref="G100:X100" si="21">+SUBTOTAL(9,G18:G99)</f>
        <v>0</v>
      </c>
      <c r="H100" s="3013">
        <f t="shared" si="21"/>
        <v>8354</v>
      </c>
      <c r="I100" s="3013">
        <f t="shared" si="21"/>
        <v>0</v>
      </c>
      <c r="J100" s="3013">
        <f t="shared" si="21"/>
        <v>4802.503999999999</v>
      </c>
      <c r="K100" s="3013">
        <f t="shared" si="21"/>
        <v>4732.2020201280875</v>
      </c>
      <c r="L100" s="3013">
        <f t="shared" si="21"/>
        <v>0</v>
      </c>
      <c r="M100" s="3013">
        <f t="shared" si="21"/>
        <v>18930603</v>
      </c>
      <c r="N100" s="3013">
        <f t="shared" si="21"/>
        <v>979</v>
      </c>
      <c r="O100" s="3013">
        <f t="shared" si="21"/>
        <v>213</v>
      </c>
      <c r="P100" s="3013">
        <f t="shared" si="21"/>
        <v>1192</v>
      </c>
      <c r="Q100" s="3013">
        <f t="shared" si="21"/>
        <v>68</v>
      </c>
      <c r="R100" s="3013">
        <f t="shared" si="21"/>
        <v>38500000</v>
      </c>
      <c r="S100" s="3013">
        <f t="shared" si="21"/>
        <v>104048355.36</v>
      </c>
      <c r="T100" s="3013">
        <f t="shared" si="21"/>
        <v>122978958.36000004</v>
      </c>
      <c r="U100" s="3013">
        <f t="shared" si="21"/>
        <v>0</v>
      </c>
      <c r="V100" s="3013">
        <f t="shared" si="21"/>
        <v>1000000</v>
      </c>
      <c r="W100" s="3013">
        <f t="shared" si="21"/>
        <v>121978958.36000004</v>
      </c>
      <c r="X100" s="3013">
        <f t="shared" si="21"/>
        <v>0</v>
      </c>
      <c r="Y100" s="2519"/>
      <c r="Z100" s="2519"/>
      <c r="AA100" s="2519"/>
      <c r="AB100" s="2519"/>
    </row>
    <row r="101" spans="1:28" ht="42" customHeight="1">
      <c r="A101" s="3976" t="s">
        <v>2505</v>
      </c>
      <c r="B101" s="3976"/>
      <c r="C101" s="3976"/>
      <c r="D101" s="3976"/>
      <c r="E101" s="3976"/>
      <c r="F101" s="3976"/>
      <c r="G101" s="3976"/>
      <c r="H101" s="3976"/>
      <c r="I101" s="3976"/>
      <c r="J101" s="3976"/>
      <c r="K101" s="3976"/>
      <c r="L101" s="3976"/>
      <c r="M101" s="3976"/>
      <c r="N101" s="3976"/>
      <c r="O101" s="3976"/>
      <c r="P101" s="3976"/>
      <c r="Q101" s="3976"/>
      <c r="R101" s="3976"/>
      <c r="S101" s="3976"/>
      <c r="T101" s="3976"/>
      <c r="U101" s="3976"/>
      <c r="V101" s="3976"/>
      <c r="W101" s="3976"/>
      <c r="X101" s="3976"/>
    </row>
    <row r="102" spans="1:28" ht="26.25">
      <c r="A102" s="3707"/>
      <c r="B102" s="2553"/>
      <c r="C102" s="2553"/>
      <c r="D102" s="2553"/>
      <c r="E102" s="2553"/>
      <c r="F102" s="2553"/>
      <c r="G102" s="2553"/>
      <c r="H102" s="2553"/>
      <c r="I102" s="2553"/>
      <c r="J102" s="3017"/>
      <c r="K102" s="3017"/>
      <c r="L102" s="2553"/>
      <c r="M102" s="2553"/>
      <c r="N102" s="2553"/>
      <c r="O102" s="2553"/>
      <c r="P102" s="2553"/>
      <c r="Q102" s="2553"/>
      <c r="R102" s="2553"/>
      <c r="S102" s="2553"/>
      <c r="T102" s="2553"/>
      <c r="U102" s="2553"/>
      <c r="V102" s="2553"/>
      <c r="W102" s="2553"/>
      <c r="X102" s="2553"/>
    </row>
    <row r="103" spans="1:28" ht="26.25">
      <c r="A103" s="3594"/>
      <c r="B103" s="2555"/>
      <c r="C103" s="2556"/>
      <c r="D103" s="2557"/>
      <c r="E103" s="2557"/>
      <c r="F103" s="2558"/>
      <c r="G103" s="2559"/>
      <c r="H103" s="2559"/>
      <c r="I103" s="2559"/>
      <c r="J103" s="3018"/>
      <c r="K103" s="3018"/>
      <c r="L103" s="2561"/>
      <c r="M103" s="2562"/>
      <c r="N103" s="2563"/>
      <c r="O103" s="2563"/>
      <c r="P103" s="2563"/>
      <c r="Q103" s="2563"/>
      <c r="R103" s="2563"/>
      <c r="S103" s="2559"/>
      <c r="T103" s="3977" t="s">
        <v>2142</v>
      </c>
      <c r="U103" s="3977"/>
      <c r="V103" s="3977"/>
      <c r="W103" s="3977"/>
      <c r="X103" s="3977"/>
    </row>
    <row r="104" spans="1:28" ht="12" customHeight="1">
      <c r="D104" s="2564"/>
      <c r="E104" s="2564"/>
      <c r="F104" s="2565"/>
      <c r="N104" s="2566"/>
      <c r="O104" s="2566"/>
      <c r="P104" s="2566"/>
      <c r="Q104" s="2566"/>
      <c r="R104" s="2566"/>
      <c r="U104" s="2567"/>
      <c r="V104" s="2567"/>
      <c r="W104" s="2567"/>
      <c r="Y104" s="2568"/>
      <c r="Z104" s="2568"/>
      <c r="AA104" s="2568"/>
      <c r="AB104" s="2568"/>
    </row>
    <row r="105" spans="1:28" ht="7.5" customHeight="1">
      <c r="D105" s="2564"/>
      <c r="E105" s="2564"/>
      <c r="F105" s="2565"/>
      <c r="N105" s="2566"/>
      <c r="O105" s="2566"/>
      <c r="P105" s="2566"/>
      <c r="Q105" s="2566"/>
      <c r="R105" s="2566"/>
      <c r="U105" s="2567"/>
      <c r="V105" s="2567"/>
      <c r="W105" s="2567"/>
      <c r="Y105" s="2568"/>
      <c r="Z105" s="2568"/>
      <c r="AA105" s="2568"/>
      <c r="AB105" s="2568"/>
    </row>
    <row r="106" spans="1:28" s="2568" customFormat="1" ht="22.5">
      <c r="A106" s="3962" t="s">
        <v>502</v>
      </c>
      <c r="B106" s="3962"/>
      <c r="C106" s="3962"/>
      <c r="D106" s="2528"/>
      <c r="E106" s="2528" t="s">
        <v>1598</v>
      </c>
      <c r="F106" s="2528"/>
      <c r="G106" s="2568" t="s">
        <v>20</v>
      </c>
      <c r="H106" s="2528"/>
      <c r="I106" s="2528"/>
      <c r="J106" s="2528"/>
      <c r="K106" s="2528"/>
      <c r="L106" s="2528"/>
      <c r="M106" s="2528">
        <v>18930603</v>
      </c>
      <c r="N106" s="3962" t="s">
        <v>513</v>
      </c>
      <c r="O106" s="3962"/>
      <c r="P106" s="3962"/>
      <c r="Q106" s="3962"/>
      <c r="R106" s="3962"/>
      <c r="S106" s="3962"/>
      <c r="T106" s="3962" t="s">
        <v>1599</v>
      </c>
      <c r="U106" s="3962"/>
      <c r="V106" s="3962"/>
      <c r="W106" s="3962"/>
      <c r="X106" s="3962"/>
    </row>
    <row r="107" spans="1:28" s="2568" customFormat="1">
      <c r="A107" s="3595"/>
      <c r="C107" s="2527"/>
      <c r="D107" s="2527"/>
      <c r="E107" s="2690"/>
      <c r="F107" s="2527"/>
      <c r="G107" s="2527"/>
      <c r="H107" s="2527"/>
      <c r="I107" s="3569"/>
      <c r="J107" s="3020"/>
      <c r="K107" s="3020"/>
      <c r="L107" s="2527"/>
      <c r="M107" s="2528"/>
      <c r="O107" s="2528"/>
      <c r="P107" s="2528"/>
      <c r="Q107" s="2528"/>
      <c r="R107" s="2528"/>
      <c r="S107" s="2570"/>
      <c r="T107" s="2527"/>
      <c r="U107" s="2527"/>
      <c r="V107" s="2527"/>
      <c r="W107" s="2527"/>
    </row>
    <row r="108" spans="1:28" s="2568" customFormat="1">
      <c r="A108" s="3595"/>
      <c r="C108" s="2527"/>
      <c r="D108" s="2527"/>
      <c r="E108" s="2690"/>
      <c r="F108" s="3014"/>
      <c r="G108" s="2527"/>
      <c r="H108" s="2527"/>
      <c r="I108" s="3569"/>
      <c r="J108" s="3020"/>
      <c r="K108" s="3020"/>
      <c r="L108" s="2527"/>
      <c r="M108" s="2528">
        <f>+M100+'Đội 2'!M104+'Đội 3'!M47</f>
        <v>40288061</v>
      </c>
      <c r="Q108" s="2528"/>
      <c r="R108" s="2528"/>
      <c r="S108" s="2570"/>
      <c r="T108" s="2527"/>
      <c r="U108" s="2527"/>
      <c r="V108" s="2527"/>
      <c r="W108" s="2527"/>
    </row>
    <row r="109" spans="1:28" s="2568" customFormat="1">
      <c r="A109" s="3595"/>
      <c r="C109" s="2527"/>
      <c r="D109" s="2527"/>
      <c r="E109" s="2690"/>
      <c r="F109" s="3014"/>
      <c r="G109" s="2527"/>
      <c r="H109" s="2527"/>
      <c r="I109" s="3569"/>
      <c r="J109" s="3020"/>
      <c r="K109" s="3020"/>
      <c r="L109" s="2527"/>
      <c r="M109" s="2528">
        <f>+'PHAN TOAN'!G16</f>
        <v>40288061</v>
      </c>
      <c r="O109" s="2528"/>
      <c r="P109" s="2528"/>
      <c r="Q109" s="2528"/>
      <c r="R109" s="2528"/>
      <c r="S109" s="2570"/>
      <c r="T109" s="2527"/>
      <c r="U109" s="2527"/>
      <c r="V109" s="2527"/>
      <c r="W109" s="2527"/>
    </row>
    <row r="110" spans="1:28" s="2568" customFormat="1">
      <c r="A110" s="3595"/>
      <c r="C110" s="2527"/>
      <c r="D110" s="2527"/>
      <c r="E110" s="2690"/>
      <c r="F110" s="2527"/>
      <c r="G110" s="2527"/>
      <c r="H110" s="2527"/>
      <c r="I110" s="3569"/>
      <c r="J110" s="3376"/>
      <c r="K110" s="3768"/>
      <c r="L110" s="2527"/>
      <c r="M110" s="2571">
        <f>+M108-M109</f>
        <v>0</v>
      </c>
      <c r="O110" s="2528"/>
      <c r="P110" s="2528"/>
      <c r="Q110" s="2528"/>
      <c r="R110" s="2528"/>
      <c r="S110" s="2528"/>
      <c r="T110" s="2527"/>
      <c r="U110" s="2527"/>
      <c r="V110" s="2527"/>
      <c r="W110" s="2527"/>
    </row>
    <row r="111" spans="1:28" s="2568" customFormat="1">
      <c r="A111" s="3595"/>
      <c r="C111" s="2527"/>
      <c r="D111" s="2527"/>
      <c r="E111" s="2690"/>
      <c r="F111" s="2572"/>
      <c r="G111" s="2527"/>
      <c r="H111" s="2527"/>
      <c r="I111" s="3569"/>
      <c r="J111" s="3020"/>
      <c r="K111" s="3020"/>
      <c r="L111" s="2527"/>
      <c r="M111" s="2528"/>
      <c r="O111" s="2528"/>
      <c r="P111" s="2528"/>
      <c r="Q111" s="2528"/>
      <c r="R111" s="2528"/>
      <c r="S111" s="2570"/>
      <c r="T111" s="2527"/>
      <c r="U111" s="2527"/>
      <c r="V111" s="2527"/>
      <c r="W111" s="2527"/>
    </row>
    <row r="112" spans="1:28" s="2568" customFormat="1">
      <c r="A112" s="3595"/>
      <c r="C112" s="2527"/>
      <c r="D112" s="2572"/>
      <c r="E112" s="2572"/>
      <c r="F112" s="3795"/>
      <c r="G112" s="3014"/>
      <c r="H112" s="2527"/>
      <c r="I112" s="3569"/>
      <c r="J112" s="3020"/>
      <c r="K112" s="3020"/>
      <c r="L112" s="2527"/>
      <c r="M112" s="2528"/>
      <c r="N112" s="3510"/>
      <c r="O112" s="3510"/>
      <c r="P112" s="3510"/>
      <c r="Q112" s="3510"/>
      <c r="R112" s="3510"/>
      <c r="S112" s="2570"/>
      <c r="T112" s="2527"/>
      <c r="U112" s="2527"/>
      <c r="V112" s="2527"/>
      <c r="W112" s="2527"/>
    </row>
    <row r="113" spans="1:28" s="2568" customFormat="1">
      <c r="A113" s="3595"/>
      <c r="C113" s="2527"/>
      <c r="D113" s="2527"/>
      <c r="E113" s="2690"/>
      <c r="F113" s="2527"/>
      <c r="J113" s="3021"/>
      <c r="K113" s="3021"/>
      <c r="L113" s="2528"/>
      <c r="M113" s="2528"/>
      <c r="W113" s="2690"/>
      <c r="X113" s="2528"/>
    </row>
    <row r="114" spans="1:28" s="2568" customFormat="1">
      <c r="A114" s="3991"/>
      <c r="B114" s="3991"/>
      <c r="C114" s="3991"/>
      <c r="D114" s="3991"/>
      <c r="E114" s="3991"/>
      <c r="F114" s="3991"/>
      <c r="G114" s="2527"/>
      <c r="H114" s="3962"/>
      <c r="I114" s="3962"/>
      <c r="J114" s="3962"/>
      <c r="K114" s="3962"/>
      <c r="L114" s="3962"/>
      <c r="M114" s="3962"/>
      <c r="N114" s="3962"/>
      <c r="O114" s="3962"/>
      <c r="P114" s="3962"/>
      <c r="Q114" s="3962"/>
      <c r="R114" s="3962"/>
      <c r="S114" s="3962"/>
      <c r="T114" s="3978"/>
      <c r="U114" s="3978"/>
      <c r="V114" s="3978"/>
      <c r="W114" s="3978"/>
      <c r="X114" s="3978"/>
      <c r="Y114" s="2519"/>
      <c r="Z114" s="2519"/>
      <c r="AA114" s="2519"/>
      <c r="AB114" s="2519"/>
    </row>
    <row r="115" spans="1:28" s="2568" customFormat="1">
      <c r="A115" s="3595"/>
      <c r="C115" s="2527"/>
      <c r="D115" s="2572"/>
      <c r="E115" s="2572"/>
      <c r="F115" s="2571"/>
      <c r="G115" s="2573"/>
      <c r="H115" s="2573"/>
      <c r="I115" s="3575"/>
      <c r="J115" s="3020"/>
      <c r="K115" s="3020"/>
      <c r="L115" s="2527"/>
      <c r="M115" s="3962"/>
      <c r="N115" s="3962"/>
      <c r="O115" s="3962"/>
      <c r="P115" s="3962"/>
      <c r="Q115" s="3962"/>
      <c r="R115" s="3672"/>
      <c r="S115" s="2519"/>
      <c r="T115" s="2571"/>
      <c r="U115" s="2528"/>
      <c r="V115" s="2528"/>
      <c r="W115" s="2528"/>
      <c r="Y115" s="2519"/>
      <c r="Z115" s="2519"/>
      <c r="AA115" s="2519"/>
      <c r="AB115" s="2519"/>
    </row>
    <row r="116" spans="1:28">
      <c r="B116" s="2519"/>
      <c r="C116" s="2519"/>
      <c r="F116" s="2566"/>
      <c r="G116" s="2566"/>
      <c r="H116" s="2566"/>
      <c r="I116" s="2566"/>
      <c r="J116" s="3007"/>
      <c r="K116" s="3007"/>
      <c r="L116" s="2574"/>
      <c r="M116" s="2566"/>
    </row>
    <row r="117" spans="1:28">
      <c r="B117" s="2519"/>
      <c r="C117" s="2519"/>
      <c r="F117" s="2566"/>
      <c r="G117" s="2575"/>
      <c r="H117" s="2575"/>
      <c r="I117" s="2575"/>
      <c r="J117" s="3007"/>
      <c r="K117" s="3007"/>
      <c r="L117" s="2574"/>
      <c r="M117" s="2576"/>
      <c r="N117" s="3986"/>
      <c r="O117" s="3986"/>
      <c r="P117" s="3292"/>
      <c r="Q117" s="3375"/>
      <c r="R117" s="3671"/>
      <c r="S117" s="2577"/>
      <c r="T117" s="2577"/>
    </row>
    <row r="118" spans="1:28">
      <c r="B118" s="2519"/>
      <c r="C118" s="2519"/>
      <c r="F118" s="2566"/>
      <c r="G118" s="2575"/>
      <c r="H118" s="2575"/>
      <c r="I118" s="2575"/>
      <c r="J118" s="3007"/>
      <c r="K118" s="3007"/>
      <c r="L118" s="2574"/>
      <c r="M118" s="2576"/>
      <c r="N118" s="2578"/>
      <c r="O118" s="2578"/>
      <c r="P118" s="3292"/>
      <c r="Q118" s="3375"/>
      <c r="R118" s="3671"/>
      <c r="S118" s="2577"/>
      <c r="T118" s="2577"/>
    </row>
    <row r="119" spans="1:28">
      <c r="B119" s="2519"/>
      <c r="C119" s="2519"/>
      <c r="F119" s="2566"/>
      <c r="G119" s="2575"/>
      <c r="H119" s="2575"/>
      <c r="I119" s="2575"/>
      <c r="J119" s="3007"/>
      <c r="K119" s="3007"/>
      <c r="L119" s="2574"/>
      <c r="M119" s="2576"/>
      <c r="N119" s="2578"/>
      <c r="O119" s="2578"/>
      <c r="P119" s="3292"/>
      <c r="Q119" s="3375"/>
      <c r="R119" s="3671"/>
      <c r="S119" s="2577"/>
      <c r="T119" s="2577"/>
    </row>
    <row r="120" spans="1:28">
      <c r="B120" s="2519"/>
      <c r="C120" s="2519"/>
      <c r="F120" s="2566"/>
      <c r="G120" s="2575"/>
      <c r="H120" s="2575"/>
      <c r="I120" s="2575"/>
      <c r="J120" s="3007"/>
      <c r="K120" s="3007"/>
      <c r="L120" s="2574"/>
      <c r="M120" s="2576"/>
      <c r="N120" s="2578"/>
      <c r="O120" s="2578"/>
      <c r="P120" s="3292"/>
      <c r="Q120" s="3375"/>
      <c r="R120" s="3671"/>
      <c r="S120" s="2577"/>
      <c r="T120" s="2577"/>
    </row>
    <row r="121" spans="1:28">
      <c r="B121" s="2519"/>
      <c r="C121" s="2519"/>
      <c r="F121" s="2566"/>
      <c r="G121" s="2575"/>
      <c r="H121" s="2575"/>
      <c r="I121" s="2575"/>
      <c r="J121" s="3007"/>
      <c r="K121" s="3007"/>
      <c r="L121" s="2574"/>
      <c r="M121" s="2576"/>
      <c r="N121" s="2578"/>
      <c r="O121" s="2578"/>
      <c r="P121" s="3292"/>
      <c r="Q121" s="3375"/>
      <c r="R121" s="3671"/>
      <c r="S121" s="2577"/>
      <c r="T121" s="2577"/>
    </row>
    <row r="122" spans="1:28">
      <c r="B122" s="2519"/>
      <c r="C122" s="2519"/>
      <c r="F122" s="2566"/>
      <c r="G122" s="2575"/>
      <c r="H122" s="2575"/>
      <c r="I122" s="2575"/>
      <c r="J122" s="3007"/>
      <c r="K122" s="3007"/>
      <c r="L122" s="2574"/>
      <c r="M122" s="2576"/>
      <c r="N122" s="2578"/>
      <c r="O122" s="2578"/>
      <c r="P122" s="3292"/>
      <c r="Q122" s="3375"/>
      <c r="R122" s="3671"/>
      <c r="S122" s="2577"/>
      <c r="T122" s="2577"/>
    </row>
    <row r="123" spans="1:28">
      <c r="B123" s="2519"/>
      <c r="C123" s="2519"/>
      <c r="F123" s="2566"/>
      <c r="G123" s="2575"/>
      <c r="H123" s="2575"/>
      <c r="I123" s="2575"/>
      <c r="J123" s="3007"/>
      <c r="K123" s="3007"/>
      <c r="L123" s="2574"/>
      <c r="M123" s="2576"/>
      <c r="N123" s="2578"/>
      <c r="O123" s="2578"/>
      <c r="P123" s="3292"/>
      <c r="Q123" s="3375"/>
      <c r="R123" s="3671"/>
      <c r="S123" s="2577"/>
      <c r="T123" s="2577"/>
    </row>
    <row r="124" spans="1:28">
      <c r="B124" s="2519"/>
      <c r="C124" s="2519"/>
      <c r="F124" s="2566"/>
      <c r="G124" s="2575"/>
      <c r="H124" s="2575"/>
      <c r="I124" s="2575"/>
      <c r="J124" s="3007"/>
      <c r="K124" s="3007"/>
      <c r="L124" s="2574"/>
      <c r="M124" s="2576"/>
      <c r="N124" s="2578"/>
      <c r="O124" s="2578"/>
      <c r="P124" s="3292"/>
      <c r="Q124" s="3375"/>
      <c r="R124" s="3671"/>
      <c r="S124" s="2577"/>
      <c r="T124" s="2577"/>
    </row>
    <row r="125" spans="1:28">
      <c r="B125" s="2519"/>
      <c r="C125" s="2519"/>
      <c r="F125" s="2566"/>
      <c r="G125" s="2575"/>
      <c r="H125" s="2575"/>
      <c r="I125" s="2575"/>
      <c r="J125" s="3007"/>
      <c r="K125" s="3007"/>
      <c r="L125" s="2574"/>
      <c r="M125" s="2576"/>
      <c r="N125" s="2578"/>
      <c r="O125" s="2578"/>
      <c r="P125" s="3292"/>
      <c r="Q125" s="3375"/>
      <c r="R125" s="3671"/>
      <c r="S125" s="2577"/>
      <c r="T125" s="2577"/>
    </row>
    <row r="126" spans="1:28">
      <c r="B126" s="2519"/>
      <c r="C126" s="2519"/>
      <c r="F126" s="2566"/>
      <c r="G126" s="2575"/>
      <c r="H126" s="2575"/>
      <c r="I126" s="2575"/>
      <c r="J126" s="3007"/>
      <c r="K126" s="3007"/>
      <c r="L126" s="2574"/>
      <c r="M126" s="2576"/>
      <c r="N126" s="2578"/>
      <c r="O126" s="2578"/>
      <c r="P126" s="3292"/>
      <c r="Q126" s="3375"/>
      <c r="R126" s="3671"/>
      <c r="S126" s="2577"/>
      <c r="T126" s="2577"/>
    </row>
    <row r="127" spans="1:28">
      <c r="B127" s="2519"/>
      <c r="C127" s="2519"/>
      <c r="F127" s="2566"/>
      <c r="G127" s="2575"/>
      <c r="H127" s="2575"/>
      <c r="I127" s="2575"/>
      <c r="J127" s="3007"/>
      <c r="K127" s="3007"/>
      <c r="L127" s="2574"/>
      <c r="M127" s="2576"/>
      <c r="N127" s="2578"/>
      <c r="O127" s="2578"/>
      <c r="P127" s="3292"/>
      <c r="Q127" s="3375"/>
      <c r="R127" s="3671"/>
      <c r="S127" s="2577"/>
      <c r="T127" s="2577"/>
    </row>
    <row r="128" spans="1:28">
      <c r="B128" s="2519"/>
      <c r="C128" s="2519"/>
      <c r="F128" s="2566"/>
      <c r="G128" s="2575"/>
      <c r="H128" s="2575"/>
      <c r="I128" s="2575"/>
      <c r="J128" s="3007"/>
      <c r="K128" s="3007"/>
      <c r="L128" s="2574"/>
      <c r="M128" s="2576"/>
      <c r="N128" s="2578"/>
      <c r="O128" s="2578"/>
      <c r="P128" s="3292"/>
      <c r="Q128" s="3375"/>
      <c r="R128" s="3671"/>
      <c r="S128" s="2577"/>
      <c r="T128" s="2577"/>
    </row>
    <row r="129" spans="1:20">
      <c r="B129" s="2519"/>
      <c r="C129" s="2519"/>
      <c r="F129" s="2566"/>
      <c r="G129" s="2575"/>
      <c r="H129" s="2575"/>
      <c r="I129" s="2575"/>
      <c r="J129" s="3007"/>
      <c r="K129" s="3007"/>
      <c r="L129" s="2574"/>
      <c r="M129" s="2576"/>
      <c r="N129" s="2578"/>
      <c r="O129" s="2578"/>
      <c r="P129" s="3292"/>
      <c r="Q129" s="3375"/>
      <c r="R129" s="3671"/>
      <c r="S129" s="2577"/>
      <c r="T129" s="2577"/>
    </row>
    <row r="130" spans="1:20">
      <c r="B130" s="2519"/>
      <c r="C130" s="2519"/>
      <c r="F130" s="2566"/>
      <c r="G130" s="2575"/>
      <c r="H130" s="2575"/>
      <c r="I130" s="2575"/>
      <c r="J130" s="3007"/>
      <c r="K130" s="3007"/>
      <c r="L130" s="2574"/>
      <c r="M130" s="2576"/>
      <c r="N130" s="2578"/>
      <c r="O130" s="2578"/>
      <c r="P130" s="3292"/>
      <c r="Q130" s="3375"/>
      <c r="R130" s="3671"/>
      <c r="S130" s="2577"/>
      <c r="T130" s="2577"/>
    </row>
    <row r="131" spans="1:20">
      <c r="A131" s="3596"/>
      <c r="B131" s="2519"/>
      <c r="C131" s="2519"/>
      <c r="F131" s="2566"/>
      <c r="G131" s="2575"/>
      <c r="H131" s="2575"/>
      <c r="I131" s="2575"/>
      <c r="J131" s="3007"/>
      <c r="K131" s="3007"/>
      <c r="L131" s="2574"/>
      <c r="M131" s="2576"/>
      <c r="N131" s="2578"/>
      <c r="O131" s="2578"/>
      <c r="P131" s="3292"/>
      <c r="Q131" s="3375"/>
      <c r="R131" s="3671"/>
      <c r="S131" s="2577"/>
      <c r="T131" s="2577"/>
    </row>
    <row r="132" spans="1:20">
      <c r="A132" s="3596"/>
      <c r="B132" s="2519"/>
      <c r="C132" s="2519"/>
      <c r="F132" s="2566"/>
      <c r="G132" s="2575"/>
      <c r="H132" s="2575"/>
      <c r="I132" s="2575"/>
      <c r="J132" s="3007"/>
      <c r="K132" s="3007"/>
      <c r="L132" s="2574"/>
      <c r="M132" s="2576"/>
      <c r="N132" s="2578"/>
      <c r="O132" s="2578"/>
      <c r="P132" s="3292"/>
      <c r="Q132" s="3375"/>
      <c r="R132" s="3671"/>
      <c r="S132" s="2577"/>
      <c r="T132" s="2577"/>
    </row>
    <row r="133" spans="1:20">
      <c r="A133" s="3596"/>
      <c r="B133" s="2519"/>
      <c r="C133" s="2519"/>
      <c r="F133" s="2566"/>
      <c r="G133" s="2575"/>
      <c r="H133" s="2575"/>
      <c r="I133" s="2575"/>
      <c r="J133" s="3007"/>
      <c r="K133" s="3007"/>
      <c r="L133" s="2574"/>
      <c r="M133" s="2576"/>
      <c r="N133" s="2578"/>
      <c r="O133" s="2578"/>
      <c r="P133" s="3292"/>
      <c r="Q133" s="3375"/>
      <c r="R133" s="3671"/>
      <c r="S133" s="2577"/>
      <c r="T133" s="2577"/>
    </row>
    <row r="134" spans="1:20">
      <c r="A134" s="3596"/>
      <c r="B134" s="2519"/>
      <c r="C134" s="2519"/>
      <c r="F134" s="2566"/>
      <c r="G134" s="2575"/>
      <c r="H134" s="2575"/>
      <c r="I134" s="2575"/>
      <c r="J134" s="3007"/>
      <c r="K134" s="3007"/>
      <c r="L134" s="2574"/>
      <c r="M134" s="2576"/>
      <c r="N134" s="2578"/>
      <c r="O134" s="2578"/>
      <c r="P134" s="3292"/>
      <c r="Q134" s="3375"/>
      <c r="R134" s="3671"/>
      <c r="S134" s="2577"/>
      <c r="T134" s="2577"/>
    </row>
    <row r="135" spans="1:20">
      <c r="A135" s="3596"/>
      <c r="B135" s="2519"/>
      <c r="C135" s="2519"/>
      <c r="F135" s="2566"/>
      <c r="G135" s="2575"/>
      <c r="H135" s="2575"/>
      <c r="I135" s="2575"/>
      <c r="J135" s="3007"/>
      <c r="K135" s="3007"/>
      <c r="L135" s="2574"/>
      <c r="M135" s="2576"/>
      <c r="N135" s="2578"/>
      <c r="O135" s="2578"/>
      <c r="P135" s="3292"/>
      <c r="Q135" s="3375"/>
      <c r="R135" s="3671"/>
      <c r="S135" s="2577"/>
      <c r="T135" s="2577"/>
    </row>
    <row r="136" spans="1:20">
      <c r="A136" s="3596"/>
      <c r="B136" s="2519"/>
      <c r="C136" s="2519"/>
      <c r="F136" s="2566"/>
      <c r="G136" s="2575"/>
      <c r="H136" s="2575"/>
      <c r="I136" s="2575"/>
      <c r="J136" s="3007"/>
      <c r="K136" s="3007"/>
      <c r="L136" s="2574"/>
      <c r="M136" s="2576"/>
      <c r="N136" s="2578"/>
      <c r="O136" s="2578"/>
      <c r="P136" s="3292"/>
      <c r="Q136" s="3375"/>
      <c r="R136" s="3671"/>
      <c r="S136" s="2577"/>
      <c r="T136" s="2577"/>
    </row>
    <row r="137" spans="1:20">
      <c r="A137" s="3596"/>
      <c r="B137" s="2519"/>
      <c r="C137" s="2519"/>
      <c r="F137" s="2566"/>
      <c r="G137" s="2575"/>
      <c r="H137" s="2575"/>
      <c r="I137" s="2575"/>
      <c r="J137" s="3007"/>
      <c r="K137" s="3007"/>
      <c r="L137" s="2574"/>
      <c r="M137" s="2576"/>
      <c r="N137" s="2578"/>
      <c r="O137" s="2578"/>
      <c r="P137" s="3292"/>
      <c r="Q137" s="3375"/>
      <c r="R137" s="3671"/>
      <c r="S137" s="2577"/>
      <c r="T137" s="2577"/>
    </row>
    <row r="138" spans="1:20">
      <c r="A138" s="3596"/>
      <c r="B138" s="2519"/>
      <c r="C138" s="2519"/>
      <c r="F138" s="2566"/>
      <c r="G138" s="2575"/>
      <c r="H138" s="2575"/>
      <c r="I138" s="2575"/>
      <c r="J138" s="3007"/>
      <c r="K138" s="3007"/>
      <c r="L138" s="2574"/>
      <c r="M138" s="2576"/>
      <c r="N138" s="2578"/>
      <c r="O138" s="2578"/>
      <c r="P138" s="3292"/>
      <c r="Q138" s="3375"/>
      <c r="R138" s="3671"/>
      <c r="S138" s="2577"/>
      <c r="T138" s="2577"/>
    </row>
    <row r="139" spans="1:20">
      <c r="A139" s="3596"/>
      <c r="B139" s="2519"/>
      <c r="C139" s="2519"/>
      <c r="F139" s="2566"/>
      <c r="G139" s="2575"/>
      <c r="H139" s="2575"/>
      <c r="I139" s="2575"/>
      <c r="J139" s="3007"/>
      <c r="K139" s="3007"/>
      <c r="L139" s="2574"/>
      <c r="M139" s="2576"/>
      <c r="N139" s="2578"/>
      <c r="O139" s="2578"/>
      <c r="P139" s="3292"/>
      <c r="Q139" s="3375"/>
      <c r="R139" s="3671"/>
      <c r="S139" s="2577"/>
      <c r="T139" s="2577"/>
    </row>
    <row r="140" spans="1:20">
      <c r="A140" s="3596"/>
      <c r="B140" s="2519"/>
      <c r="C140" s="2519"/>
      <c r="F140" s="2566"/>
      <c r="G140" s="2575"/>
      <c r="H140" s="2575"/>
      <c r="I140" s="2575"/>
      <c r="J140" s="3007"/>
      <c r="K140" s="3007"/>
      <c r="L140" s="2574"/>
      <c r="M140" s="2576"/>
      <c r="N140" s="2578"/>
      <c r="O140" s="2578"/>
      <c r="P140" s="3292"/>
      <c r="Q140" s="3375"/>
      <c r="R140" s="3671"/>
      <c r="S140" s="2577"/>
      <c r="T140" s="2577"/>
    </row>
    <row r="141" spans="1:20">
      <c r="A141" s="3596"/>
      <c r="B141" s="2519"/>
      <c r="C141" s="2519"/>
      <c r="F141" s="2566"/>
      <c r="G141" s="2575"/>
      <c r="H141" s="2575"/>
      <c r="I141" s="2575"/>
      <c r="J141" s="3007"/>
      <c r="K141" s="3007"/>
      <c r="L141" s="2574"/>
      <c r="M141" s="2576"/>
      <c r="N141" s="2578"/>
      <c r="O141" s="2578"/>
      <c r="P141" s="3292"/>
      <c r="Q141" s="3375"/>
      <c r="R141" s="3671"/>
      <c r="S141" s="2577"/>
      <c r="T141" s="2577"/>
    </row>
    <row r="142" spans="1:20">
      <c r="A142" s="3596"/>
      <c r="B142" s="2519"/>
      <c r="C142" s="2519"/>
      <c r="F142" s="2566"/>
      <c r="G142" s="2575"/>
      <c r="H142" s="2575"/>
      <c r="I142" s="2575"/>
      <c r="J142" s="3007"/>
      <c r="K142" s="3007"/>
      <c r="L142" s="2574"/>
      <c r="M142" s="2576"/>
      <c r="N142" s="2578"/>
      <c r="O142" s="2578"/>
      <c r="P142" s="3292"/>
      <c r="Q142" s="3375"/>
      <c r="R142" s="3671"/>
      <c r="S142" s="2577"/>
      <c r="T142" s="2577"/>
    </row>
    <row r="143" spans="1:20">
      <c r="A143" s="3596"/>
      <c r="B143" s="2519"/>
      <c r="C143" s="2519"/>
      <c r="F143" s="2566"/>
      <c r="G143" s="2575"/>
      <c r="H143" s="2575"/>
      <c r="I143" s="2575"/>
      <c r="J143" s="3007"/>
      <c r="K143" s="3007"/>
      <c r="L143" s="2574"/>
      <c r="M143" s="2576"/>
      <c r="N143" s="2578"/>
      <c r="O143" s="2578"/>
      <c r="P143" s="3292"/>
      <c r="Q143" s="3375"/>
      <c r="R143" s="3671"/>
      <c r="S143" s="2577"/>
      <c r="T143" s="2577"/>
    </row>
    <row r="144" spans="1:20">
      <c r="A144" s="3596"/>
      <c r="B144" s="2519"/>
      <c r="C144" s="2519"/>
      <c r="F144" s="2566"/>
      <c r="G144" s="2575"/>
      <c r="H144" s="2575"/>
      <c r="I144" s="2575"/>
      <c r="J144" s="3007"/>
      <c r="K144" s="3007"/>
      <c r="L144" s="2574"/>
      <c r="M144" s="2576"/>
      <c r="N144" s="2578"/>
      <c r="O144" s="2578"/>
      <c r="P144" s="3292"/>
      <c r="Q144" s="3375"/>
      <c r="R144" s="3671"/>
      <c r="S144" s="2577"/>
      <c r="T144" s="2577"/>
    </row>
    <row r="145" spans="1:23">
      <c r="A145" s="3596"/>
      <c r="B145" s="2519"/>
      <c r="C145" s="2519"/>
      <c r="F145" s="2566"/>
      <c r="G145" s="2575"/>
      <c r="H145" s="2575"/>
      <c r="I145" s="2575"/>
      <c r="J145" s="3007"/>
      <c r="K145" s="3007"/>
      <c r="L145" s="2574"/>
      <c r="M145" s="2576"/>
      <c r="N145" s="2578"/>
      <c r="O145" s="2578"/>
      <c r="P145" s="3292"/>
      <c r="Q145" s="3375"/>
      <c r="R145" s="3671"/>
      <c r="S145" s="2577"/>
      <c r="T145" s="2577"/>
    </row>
    <row r="146" spans="1:23">
      <c r="A146" s="3596"/>
      <c r="B146" s="2519"/>
      <c r="C146" s="2519"/>
      <c r="F146" s="2566"/>
      <c r="G146" s="2575"/>
      <c r="H146" s="2575"/>
      <c r="I146" s="2575"/>
      <c r="J146" s="3007"/>
      <c r="K146" s="3007"/>
      <c r="L146" s="2574"/>
      <c r="M146" s="2576"/>
      <c r="N146" s="2578"/>
      <c r="O146" s="2578"/>
      <c r="P146" s="3292"/>
      <c r="Q146" s="3375"/>
      <c r="R146" s="3671"/>
      <c r="S146" s="2577"/>
      <c r="T146" s="2577"/>
    </row>
    <row r="147" spans="1:23">
      <c r="A147" s="3596"/>
      <c r="B147" s="2519"/>
      <c r="C147" s="2519"/>
      <c r="F147" s="2566"/>
      <c r="G147" s="2575"/>
      <c r="H147" s="2575"/>
      <c r="I147" s="2575"/>
      <c r="J147" s="3007"/>
      <c r="K147" s="3007"/>
      <c r="L147" s="2574"/>
      <c r="M147" s="2576"/>
      <c r="N147" s="2578"/>
      <c r="O147" s="2578"/>
      <c r="P147" s="3292"/>
      <c r="Q147" s="3375"/>
      <c r="R147" s="3671"/>
      <c r="S147" s="2577"/>
      <c r="T147" s="2577"/>
    </row>
    <row r="148" spans="1:23">
      <c r="A148" s="3596"/>
      <c r="B148" s="2519"/>
      <c r="C148" s="2519"/>
      <c r="F148" s="2566"/>
      <c r="G148" s="2575"/>
      <c r="H148" s="2575"/>
      <c r="I148" s="2575"/>
      <c r="J148" s="3007"/>
      <c r="K148" s="3007"/>
      <c r="L148" s="2574"/>
      <c r="M148" s="2576"/>
      <c r="N148" s="2578"/>
      <c r="O148" s="2578"/>
      <c r="P148" s="3292"/>
      <c r="Q148" s="3375"/>
      <c r="R148" s="3671"/>
      <c r="S148" s="2577"/>
      <c r="T148" s="2577"/>
    </row>
    <row r="149" spans="1:23">
      <c r="A149" s="3596"/>
      <c r="B149" s="2519"/>
      <c r="C149" s="2519"/>
      <c r="F149" s="2566"/>
      <c r="G149" s="2575"/>
      <c r="H149" s="2575"/>
      <c r="I149" s="2575"/>
      <c r="J149" s="3007"/>
      <c r="K149" s="3007"/>
      <c r="L149" s="2574"/>
      <c r="M149" s="2576"/>
      <c r="N149" s="2578"/>
      <c r="O149" s="2578"/>
      <c r="P149" s="3292"/>
      <c r="Q149" s="3375"/>
      <c r="R149" s="3671"/>
      <c r="S149" s="2577"/>
      <c r="T149" s="2577"/>
    </row>
    <row r="150" spans="1:23">
      <c r="A150" s="3596"/>
      <c r="B150" s="2519"/>
      <c r="C150" s="2519"/>
      <c r="F150" s="2566"/>
      <c r="J150" s="3007"/>
      <c r="K150" s="3007"/>
      <c r="L150" s="2574"/>
      <c r="M150" s="2519"/>
      <c r="S150" s="2579"/>
    </row>
    <row r="151" spans="1:23">
      <c r="A151" s="3596"/>
      <c r="B151" s="2519"/>
      <c r="C151" s="2566"/>
      <c r="F151" s="2580"/>
      <c r="J151" s="3007"/>
      <c r="K151" s="3007"/>
      <c r="L151" s="2574"/>
      <c r="M151" s="2519"/>
      <c r="N151" s="2577"/>
      <c r="O151" s="2577"/>
      <c r="P151" s="2577"/>
      <c r="Q151" s="2577"/>
      <c r="R151" s="2577"/>
      <c r="U151" s="2577"/>
      <c r="V151" s="2577"/>
      <c r="W151" s="2577"/>
    </row>
    <row r="152" spans="1:23">
      <c r="A152" s="3596"/>
      <c r="B152" s="2519"/>
      <c r="C152" s="2519"/>
      <c r="D152" s="2566"/>
      <c r="E152" s="2566"/>
      <c r="F152" s="2566"/>
      <c r="L152" s="2517"/>
      <c r="M152" s="2519"/>
      <c r="U152" s="2577"/>
      <c r="V152" s="2577"/>
      <c r="W152" s="2577"/>
    </row>
    <row r="153" spans="1:23">
      <c r="A153" s="3596"/>
      <c r="B153" s="2519"/>
      <c r="C153" s="2566" t="e">
        <f>#REF!+#REF!+#REF!+#REF!</f>
        <v>#REF!</v>
      </c>
      <c r="D153" s="2581"/>
      <c r="E153" s="2581"/>
      <c r="F153" s="3989" t="s">
        <v>1600</v>
      </c>
      <c r="G153" s="2566">
        <f>SUMIF(L95:L100,"A",J95:J100)</f>
        <v>0</v>
      </c>
      <c r="H153" s="2566"/>
      <c r="I153" s="2566"/>
      <c r="J153" s="3007">
        <f>G153*2500</f>
        <v>0</v>
      </c>
      <c r="K153" s="3007"/>
      <c r="L153" s="2574"/>
      <c r="M153" s="2575"/>
      <c r="O153" s="2519">
        <f>7.2+0.6+21+5+70</f>
        <v>103.8</v>
      </c>
    </row>
    <row r="154" spans="1:23">
      <c r="A154" s="3596"/>
      <c r="B154" s="2519"/>
      <c r="C154" s="2519"/>
      <c r="F154" s="3989"/>
      <c r="G154" s="2566">
        <f>SUMIF(L95:L100,"B",J95:J100)</f>
        <v>0</v>
      </c>
      <c r="H154" s="2566"/>
      <c r="I154" s="2566"/>
      <c r="J154" s="3007">
        <f>G154*2400</f>
        <v>0</v>
      </c>
      <c r="K154" s="3007"/>
      <c r="L154" s="2574"/>
      <c r="M154" s="2566"/>
    </row>
    <row r="155" spans="1:23">
      <c r="A155" s="3596"/>
      <c r="B155" s="2519"/>
      <c r="C155" s="2519"/>
      <c r="F155" s="3989"/>
      <c r="G155" s="2566">
        <f>SUMIF(L95:L100,"C",J95:J100)</f>
        <v>0</v>
      </c>
      <c r="H155" s="2566"/>
      <c r="I155" s="2566"/>
      <c r="J155" s="3007">
        <f>G155*2300</f>
        <v>0</v>
      </c>
      <c r="K155" s="3007"/>
      <c r="L155" s="2574"/>
      <c r="M155" s="2519"/>
      <c r="N155" s="2576"/>
      <c r="O155" s="2576"/>
      <c r="P155" s="2576"/>
      <c r="Q155" s="2576"/>
      <c r="R155" s="2576"/>
      <c r="S155" s="2576"/>
      <c r="W155" s="2566"/>
    </row>
    <row r="156" spans="1:23">
      <c r="A156" s="3596"/>
      <c r="B156" s="2519"/>
      <c r="C156" s="2519"/>
      <c r="F156" s="3989"/>
      <c r="G156" s="2566">
        <f>SUMIF(L95:L100,"D",J95:J100)</f>
        <v>0</v>
      </c>
      <c r="H156" s="2566"/>
      <c r="I156" s="2566"/>
      <c r="J156" s="3007">
        <f>G156*2200</f>
        <v>0</v>
      </c>
      <c r="K156" s="3007"/>
      <c r="L156" s="2574"/>
      <c r="M156" s="2519"/>
      <c r="N156" s="2578"/>
      <c r="O156" s="2578"/>
      <c r="P156" s="3292"/>
      <c r="Q156" s="3375"/>
      <c r="R156" s="3671"/>
      <c r="S156" s="2578"/>
      <c r="W156" s="2566"/>
    </row>
    <row r="157" spans="1:23">
      <c r="A157" s="3596"/>
      <c r="B157" s="2519"/>
      <c r="C157" s="2519"/>
      <c r="F157" s="2566"/>
      <c r="G157" s="2566"/>
      <c r="H157" s="2566"/>
      <c r="I157" s="2566"/>
      <c r="J157" s="3007"/>
      <c r="K157" s="3007"/>
      <c r="L157" s="2574"/>
      <c r="M157" s="2519"/>
      <c r="N157" s="2578"/>
      <c r="O157" s="2578"/>
      <c r="P157" s="3292"/>
      <c r="Q157" s="3375"/>
      <c r="R157" s="3671"/>
      <c r="S157" s="2578"/>
      <c r="W157" s="2566"/>
    </row>
    <row r="158" spans="1:23">
      <c r="A158" s="3596"/>
      <c r="B158" s="2519"/>
      <c r="C158" s="2519"/>
      <c r="F158" s="2566"/>
      <c r="G158" s="2566"/>
      <c r="H158" s="2566"/>
      <c r="I158" s="2566"/>
      <c r="J158" s="3007"/>
      <c r="K158" s="3007"/>
      <c r="L158" s="2574"/>
      <c r="M158" s="2519"/>
      <c r="N158" s="2578"/>
      <c r="O158" s="2578"/>
      <c r="P158" s="3292"/>
      <c r="Q158" s="3375"/>
      <c r="R158" s="3671"/>
      <c r="S158" s="2578"/>
      <c r="W158" s="2566"/>
    </row>
    <row r="159" spans="1:23">
      <c r="A159" s="3596"/>
      <c r="B159" s="2519"/>
      <c r="C159" s="2519"/>
      <c r="F159" s="2566"/>
      <c r="G159" s="2566"/>
      <c r="H159" s="2566"/>
      <c r="I159" s="2566"/>
      <c r="J159" s="3007"/>
      <c r="K159" s="3007"/>
      <c r="L159" s="2574"/>
      <c r="M159" s="2519"/>
      <c r="N159" s="2578"/>
      <c r="O159" s="2578"/>
      <c r="P159" s="3292"/>
      <c r="Q159" s="3375"/>
      <c r="R159" s="3671"/>
      <c r="S159" s="2578"/>
      <c r="W159" s="2566"/>
    </row>
    <row r="160" spans="1:23">
      <c r="A160" s="3596"/>
      <c r="B160" s="2519"/>
      <c r="C160" s="2519"/>
      <c r="F160" s="2566"/>
      <c r="G160" s="2566"/>
      <c r="H160" s="2566"/>
      <c r="I160" s="2566"/>
      <c r="J160" s="3007"/>
      <c r="K160" s="3007"/>
      <c r="L160" s="2574"/>
      <c r="M160" s="2519"/>
      <c r="N160" s="2578"/>
      <c r="O160" s="2578"/>
      <c r="P160" s="3292"/>
      <c r="Q160" s="3375"/>
      <c r="R160" s="3671"/>
      <c r="S160" s="2578"/>
      <c r="W160" s="2566"/>
    </row>
    <row r="161" spans="1:23">
      <c r="A161" s="3596"/>
      <c r="B161" s="2519"/>
      <c r="C161" s="2519"/>
      <c r="F161" s="2566"/>
      <c r="G161" s="2566"/>
      <c r="H161" s="2566"/>
      <c r="I161" s="2566"/>
      <c r="J161" s="3007"/>
      <c r="K161" s="3007"/>
      <c r="L161" s="2574"/>
      <c r="M161" s="2519"/>
      <c r="N161" s="2578"/>
      <c r="O161" s="2578"/>
      <c r="P161" s="3292"/>
      <c r="Q161" s="3375"/>
      <c r="R161" s="3671"/>
      <c r="S161" s="2578"/>
      <c r="W161" s="2566"/>
    </row>
    <row r="162" spans="1:23">
      <c r="A162" s="3596"/>
      <c r="B162" s="2519"/>
      <c r="C162" s="2519"/>
      <c r="F162" s="2566"/>
      <c r="G162" s="2566"/>
      <c r="H162" s="2566"/>
      <c r="I162" s="2566"/>
      <c r="J162" s="3007"/>
      <c r="K162" s="3007"/>
      <c r="L162" s="2574"/>
      <c r="M162" s="2519"/>
      <c r="N162" s="2578"/>
      <c r="O162" s="2578"/>
      <c r="P162" s="3292"/>
      <c r="Q162" s="3375"/>
      <c r="R162" s="3671"/>
      <c r="S162" s="2578"/>
      <c r="W162" s="2566"/>
    </row>
    <row r="163" spans="1:23">
      <c r="B163" s="2519"/>
      <c r="C163" s="2519"/>
      <c r="F163" s="2519"/>
      <c r="G163" s="2519">
        <f>SUM(G153:G161)</f>
        <v>0</v>
      </c>
      <c r="J163" s="3007">
        <f>SUM(J153:J161)</f>
        <v>0</v>
      </c>
      <c r="K163" s="3007"/>
      <c r="L163" s="2574"/>
      <c r="M163" s="2519"/>
      <c r="N163" s="3961" t="e">
        <f>J163+J173+G178</f>
        <v>#REF!</v>
      </c>
      <c r="O163" s="3961"/>
      <c r="P163" s="3291"/>
      <c r="Q163" s="3377"/>
      <c r="R163" s="3675"/>
      <c r="S163" s="2519" t="e">
        <f>N163-#REF!</f>
        <v>#REF!</v>
      </c>
    </row>
    <row r="164" spans="1:23">
      <c r="B164" s="2519"/>
      <c r="C164" s="2519"/>
      <c r="F164" s="2519"/>
      <c r="J164" s="3022"/>
      <c r="K164" s="3022"/>
      <c r="L164" s="2582"/>
      <c r="M164" s="2519"/>
      <c r="O164" s="2577"/>
      <c r="P164" s="2577"/>
      <c r="Q164" s="2577"/>
      <c r="R164" s="2577"/>
      <c r="S164" s="2577"/>
    </row>
    <row r="165" spans="1:23">
      <c r="B165" s="2519"/>
      <c r="C165" s="2519"/>
      <c r="F165" s="2566"/>
      <c r="G165" s="2519">
        <v>5422</v>
      </c>
      <c r="J165" s="3007">
        <f>G165*30000</f>
        <v>162660000</v>
      </c>
      <c r="K165" s="3007"/>
      <c r="L165" s="2574"/>
      <c r="M165" s="2519"/>
    </row>
    <row r="166" spans="1:23">
      <c r="B166" s="2519"/>
      <c r="C166" s="2519"/>
      <c r="F166" s="2566"/>
      <c r="G166" s="2519">
        <v>20</v>
      </c>
      <c r="J166" s="3007">
        <f>G166*60000</f>
        <v>1200000</v>
      </c>
      <c r="K166" s="3007"/>
      <c r="L166" s="2574"/>
      <c r="M166" s="2519"/>
    </row>
    <row r="167" spans="1:23">
      <c r="B167" s="2519"/>
      <c r="C167" s="2519"/>
      <c r="F167" s="2566"/>
      <c r="G167" s="2519">
        <v>230</v>
      </c>
      <c r="J167" s="3007">
        <f>G167*80000</f>
        <v>18400000</v>
      </c>
      <c r="K167" s="3007"/>
      <c r="L167" s="2574"/>
      <c r="M167" s="2519"/>
    </row>
    <row r="168" spans="1:23">
      <c r="A168" s="3596"/>
      <c r="G168" s="2519">
        <v>998</v>
      </c>
      <c r="J168" s="3007">
        <f>G168*50000</f>
        <v>49900000</v>
      </c>
      <c r="K168" s="3007"/>
      <c r="L168" s="2574"/>
      <c r="W168" s="2577"/>
    </row>
    <row r="169" spans="1:23">
      <c r="A169" s="3596"/>
      <c r="G169" s="2519">
        <v>2</v>
      </c>
      <c r="J169" s="3007">
        <f>G169*80000</f>
        <v>160000</v>
      </c>
      <c r="K169" s="3007"/>
      <c r="L169" s="2574"/>
      <c r="W169" s="2577"/>
    </row>
    <row r="170" spans="1:23">
      <c r="A170" s="3596"/>
      <c r="G170" s="2519">
        <v>89</v>
      </c>
      <c r="J170" s="3007">
        <f>G170*100000</f>
        <v>8900000</v>
      </c>
      <c r="K170" s="3007"/>
      <c r="L170" s="2574"/>
      <c r="W170" s="2517"/>
    </row>
    <row r="171" spans="1:23">
      <c r="A171" s="3596"/>
      <c r="G171" s="2519">
        <v>301.56000000000006</v>
      </c>
      <c r="J171" s="3007">
        <f>G171*25000</f>
        <v>7539000.0000000019</v>
      </c>
      <c r="K171" s="3007"/>
      <c r="L171" s="2574"/>
      <c r="W171" s="2517"/>
    </row>
    <row r="172" spans="1:23">
      <c r="A172" s="3596"/>
      <c r="G172" s="2519">
        <v>2965</v>
      </c>
      <c r="J172" s="3007">
        <f>G172*20000</f>
        <v>59300000</v>
      </c>
      <c r="K172" s="3007"/>
      <c r="L172" s="2574"/>
      <c r="W172" s="2517"/>
    </row>
    <row r="173" spans="1:23">
      <c r="A173" s="3596"/>
      <c r="B173" s="2583"/>
      <c r="G173" s="2519">
        <f>SUM(G165:G172)</f>
        <v>10027.560000000001</v>
      </c>
      <c r="J173" s="3990">
        <f>SUM(J165:J172)</f>
        <v>308059000</v>
      </c>
      <c r="K173" s="3990"/>
      <c r="L173" s="3990"/>
      <c r="S173" s="2517"/>
      <c r="T173" s="2577"/>
    </row>
    <row r="174" spans="1:23">
      <c r="A174" s="3596"/>
      <c r="B174" s="2584"/>
      <c r="G174" s="2566" t="e">
        <f>#REF!+#REF!+#REF!+F100</f>
        <v>#REF!</v>
      </c>
      <c r="H174" s="2566"/>
      <c r="I174" s="2566"/>
      <c r="J174" s="3007" t="e">
        <f>G174*25000</f>
        <v>#REF!</v>
      </c>
      <c r="K174" s="3007"/>
      <c r="L174" s="2574"/>
    </row>
    <row r="175" spans="1:23">
      <c r="A175" s="3596"/>
      <c r="B175" s="2584"/>
      <c r="F175" s="2577" t="s">
        <v>1601</v>
      </c>
      <c r="G175" s="2519" t="e">
        <f>#REF!+#REF!</f>
        <v>#REF!</v>
      </c>
      <c r="J175" s="3007" t="e">
        <f>#REF!+#REF!</f>
        <v>#REF!</v>
      </c>
      <c r="K175" s="3007"/>
      <c r="L175" s="2585"/>
    </row>
    <row r="176" spans="1:23">
      <c r="A176" s="3596"/>
      <c r="B176" s="2584"/>
      <c r="G176" s="2519" t="e">
        <f>#REF!</f>
        <v>#REF!</v>
      </c>
      <c r="J176" s="3007" t="e">
        <f>#REF!</f>
        <v>#REF!</v>
      </c>
      <c r="K176" s="3007"/>
      <c r="L176" s="2585"/>
    </row>
    <row r="177" spans="1:14">
      <c r="A177" s="3596"/>
      <c r="G177" s="2519" t="e">
        <f>#REF!+#REF!+#REF!+#REF!</f>
        <v>#REF!</v>
      </c>
      <c r="J177" s="3007" t="e">
        <f>#REF!+#REF!+#REF!+#REF!</f>
        <v>#REF!</v>
      </c>
      <c r="K177" s="3007"/>
      <c r="L177" s="2585"/>
    </row>
    <row r="178" spans="1:14">
      <c r="A178" s="3596"/>
      <c r="G178" s="3990" t="e">
        <f>SUM(J174:L177)</f>
        <v>#REF!</v>
      </c>
      <c r="H178" s="3990"/>
      <c r="I178" s="3990"/>
      <c r="J178" s="3990"/>
      <c r="K178" s="3770"/>
      <c r="L178" s="2585"/>
      <c r="M178" s="2523" t="e">
        <f>G178-#REF!</f>
        <v>#REF!</v>
      </c>
    </row>
    <row r="180" spans="1:14">
      <c r="A180" s="3596"/>
      <c r="J180" s="3979" t="e">
        <f>+#REF!+#REF!+#REF!+#REF!+1000000</f>
        <v>#REF!</v>
      </c>
      <c r="K180" s="3979"/>
      <c r="L180" s="3979"/>
    </row>
    <row r="182" spans="1:14">
      <c r="A182" s="3596"/>
      <c r="G182" s="2566"/>
      <c r="H182" s="2566"/>
      <c r="I182" s="2566"/>
      <c r="J182" s="3007"/>
      <c r="K182" s="3007"/>
    </row>
    <row r="183" spans="1:14">
      <c r="A183" s="3596"/>
      <c r="N183" s="2566"/>
    </row>
    <row r="187" spans="1:14">
      <c r="A187" s="3596"/>
      <c r="G187" s="2566">
        <v>2551.8899999999994</v>
      </c>
      <c r="H187" s="2566"/>
      <c r="I187" s="2566"/>
    </row>
    <row r="188" spans="1:14">
      <c r="A188" s="3596"/>
      <c r="B188" s="2519"/>
      <c r="C188" s="2519"/>
      <c r="F188" s="2519"/>
      <c r="G188" s="2566" t="e">
        <f>+G174-G187</f>
        <v>#REF!</v>
      </c>
      <c r="H188" s="2566"/>
      <c r="I188" s="2566"/>
    </row>
    <row r="194" spans="1:19">
      <c r="A194" s="3596"/>
      <c r="B194" s="2519"/>
      <c r="C194" s="2519"/>
      <c r="F194" s="2519"/>
      <c r="L194" s="2522">
        <v>1678</v>
      </c>
      <c r="M194" s="2523">
        <v>1573</v>
      </c>
      <c r="N194" s="2519">
        <v>1187</v>
      </c>
      <c r="O194" s="2519">
        <v>1183</v>
      </c>
      <c r="S194" s="2519">
        <f>SUM(L194:O194)</f>
        <v>5621</v>
      </c>
    </row>
    <row r="195" spans="1:19">
      <c r="A195" s="3596"/>
      <c r="B195" s="2519"/>
      <c r="C195" s="2519"/>
      <c r="F195" s="2519"/>
      <c r="L195" s="2522">
        <v>257</v>
      </c>
      <c r="M195" s="2523">
        <v>244</v>
      </c>
      <c r="N195" s="2519">
        <v>183</v>
      </c>
      <c r="O195" s="2519">
        <v>182</v>
      </c>
      <c r="S195" s="2519">
        <f>SUM(L195:O195)</f>
        <v>866</v>
      </c>
    </row>
    <row r="196" spans="1:19">
      <c r="A196" s="3596"/>
      <c r="B196" s="2519"/>
      <c r="C196" s="2519"/>
      <c r="F196" s="2519"/>
      <c r="L196" s="2522">
        <v>1935</v>
      </c>
      <c r="M196" s="2523">
        <v>1817</v>
      </c>
      <c r="N196" s="2519">
        <v>1370</v>
      </c>
      <c r="O196" s="2519">
        <v>1365</v>
      </c>
      <c r="S196" s="2519">
        <f>SUM(L196:O196)</f>
        <v>6487</v>
      </c>
    </row>
  </sheetData>
  <autoFilter ref="A17:AA101"/>
  <mergeCells count="52">
    <mergeCell ref="J180:L180"/>
    <mergeCell ref="F14:G15"/>
    <mergeCell ref="N14:S15"/>
    <mergeCell ref="N117:O117"/>
    <mergeCell ref="M115:Q115"/>
    <mergeCell ref="F16:F17"/>
    <mergeCell ref="G16:G17"/>
    <mergeCell ref="H16:H17"/>
    <mergeCell ref="J16:J17"/>
    <mergeCell ref="L16:L17"/>
    <mergeCell ref="M114:S114"/>
    <mergeCell ref="F153:F156"/>
    <mergeCell ref="N163:O163"/>
    <mergeCell ref="J173:L173"/>
    <mergeCell ref="G178:J178"/>
    <mergeCell ref="A114:F114"/>
    <mergeCell ref="H114:L114"/>
    <mergeCell ref="A100:D100"/>
    <mergeCell ref="A101:X101"/>
    <mergeCell ref="T103:X103"/>
    <mergeCell ref="T106:X106"/>
    <mergeCell ref="N106:S106"/>
    <mergeCell ref="T114:X114"/>
    <mergeCell ref="A106:C106"/>
    <mergeCell ref="A9:X9"/>
    <mergeCell ref="A13:A17"/>
    <mergeCell ref="B13:B17"/>
    <mergeCell ref="C13:C17"/>
    <mergeCell ref="D13:D17"/>
    <mergeCell ref="F13:S13"/>
    <mergeCell ref="T13:T17"/>
    <mergeCell ref="U13:U17"/>
    <mergeCell ref="W12:X12"/>
    <mergeCell ref="I16:I17"/>
    <mergeCell ref="N16:N17"/>
    <mergeCell ref="O16:O17"/>
    <mergeCell ref="S16:S17"/>
    <mergeCell ref="W13:W17"/>
    <mergeCell ref="X13:X17"/>
    <mergeCell ref="V13:V17"/>
    <mergeCell ref="A2:X2"/>
    <mergeCell ref="A3:X3"/>
    <mergeCell ref="A4:X4"/>
    <mergeCell ref="A6:J6"/>
    <mergeCell ref="A7:J7"/>
    <mergeCell ref="E13:E17"/>
    <mergeCell ref="R16:R17"/>
    <mergeCell ref="H14:M15"/>
    <mergeCell ref="M16:M17"/>
    <mergeCell ref="P16:P17"/>
    <mergeCell ref="Q16:Q17"/>
    <mergeCell ref="K16:K17"/>
  </mergeCells>
  <printOptions horizontalCentered="1"/>
  <pageMargins left="0.19685039370078741" right="0.19685039370078741" top="0.52" bottom="0.41" header="0.31496062992125984" footer="0.31496062992125984"/>
  <pageSetup paperSize="9" scale="40" orientation="landscape" r:id="rId1"/>
  <colBreaks count="1" manualBreakCount="1">
    <brk id="2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C200"/>
  <sheetViews>
    <sheetView zoomScale="55" zoomScaleNormal="55" zoomScaleSheetLayoutView="37" workbookViewId="0">
      <selection activeCell="F18" sqref="F18:F103"/>
    </sheetView>
  </sheetViews>
  <sheetFormatPr defaultColWidth="9.42578125" defaultRowHeight="23.25"/>
  <cols>
    <col min="1" max="1" width="8.28515625" style="3595" customWidth="1"/>
    <col min="2" max="2" width="13.28515625" style="3675" hidden="1" customWidth="1"/>
    <col min="3" max="3" width="39.85546875" style="2518" customWidth="1"/>
    <col min="4" max="4" width="18.7109375" style="2519" customWidth="1"/>
    <col min="5" max="5" width="26.42578125" style="2519" customWidth="1"/>
    <col min="6" max="6" width="19.140625" style="2520" customWidth="1"/>
    <col min="7" max="7" width="23.7109375" style="2519" customWidth="1"/>
    <col min="8" max="8" width="14.85546875" style="2519" customWidth="1"/>
    <col min="9" max="9" width="11.5703125" style="2519" hidden="1" customWidth="1"/>
    <col min="10" max="10" width="15.85546875" style="3019" customWidth="1"/>
    <col min="11" max="11" width="18.28515625" style="3019" hidden="1" customWidth="1"/>
    <col min="12" max="12" width="13.28515625" style="2522" customWidth="1"/>
    <col min="13" max="13" width="20" style="2523" customWidth="1"/>
    <col min="14" max="14" width="13.28515625" style="2519" customWidth="1"/>
    <col min="15" max="15" width="12.5703125" style="2519" customWidth="1"/>
    <col min="16" max="16" width="13.5703125" style="2519" customWidth="1"/>
    <col min="17" max="17" width="18.85546875" style="2519" customWidth="1"/>
    <col min="18" max="18" width="22.85546875" style="2519" customWidth="1"/>
    <col min="19" max="19" width="24.7109375" style="2519" customWidth="1"/>
    <col min="20" max="20" width="16.7109375" style="2519" customWidth="1"/>
    <col min="21" max="21" width="21.7109375" style="2519" hidden="1" customWidth="1"/>
    <col min="22" max="22" width="25.7109375" style="2519" customWidth="1"/>
    <col min="23" max="23" width="19.140625" style="2519" customWidth="1"/>
    <col min="24" max="24" width="25" style="2519" hidden="1" customWidth="1"/>
    <col min="25" max="25" width="23.85546875" style="2519" hidden="1" customWidth="1"/>
    <col min="26" max="27" width="24.140625" style="2519" hidden="1" customWidth="1"/>
    <col min="28" max="28" width="26.28515625" style="2519" hidden="1" customWidth="1"/>
    <col min="29" max="29" width="32.85546875" style="2519" hidden="1" customWidth="1"/>
    <col min="30" max="30" width="18.28515625" style="2519" bestFit="1" customWidth="1"/>
    <col min="31" max="31" width="9.42578125" style="2519"/>
    <col min="32" max="32" width="9.5703125" style="2519" bestFit="1" customWidth="1"/>
    <col min="33" max="16384" width="9.42578125" style="2519"/>
  </cols>
  <sheetData>
    <row r="2" spans="1:29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</row>
    <row r="3" spans="1:29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</row>
    <row r="4" spans="1:29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</row>
    <row r="5" spans="1:29">
      <c r="A5" s="3704"/>
      <c r="B5" s="3681"/>
      <c r="C5" s="3681"/>
      <c r="D5" s="3681"/>
      <c r="E5" s="3681"/>
      <c r="F5" s="3681"/>
      <c r="G5" s="3681"/>
      <c r="H5" s="3681"/>
      <c r="I5" s="3681"/>
      <c r="J5" s="3014"/>
      <c r="K5" s="3014"/>
      <c r="L5" s="3681"/>
      <c r="M5" s="3681"/>
      <c r="N5" s="3681"/>
      <c r="O5" s="3681"/>
      <c r="P5" s="3681"/>
      <c r="Q5" s="3681"/>
      <c r="R5" s="3681"/>
      <c r="S5" s="3681"/>
      <c r="T5" s="3681"/>
      <c r="U5" s="3681"/>
      <c r="V5" s="3681"/>
      <c r="W5" s="3681"/>
    </row>
    <row r="6" spans="1:29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3769"/>
      <c r="L6" s="2525"/>
      <c r="M6" s="2525"/>
      <c r="N6" s="2525"/>
      <c r="O6" s="2525"/>
      <c r="P6" s="2525"/>
      <c r="Q6" s="2525"/>
      <c r="R6" s="2526"/>
      <c r="S6" s="2526"/>
      <c r="T6" s="2526"/>
      <c r="U6" s="2526"/>
      <c r="V6" s="2526"/>
    </row>
    <row r="7" spans="1:29">
      <c r="A7" s="3962" t="s">
        <v>1893</v>
      </c>
      <c r="B7" s="3962"/>
      <c r="C7" s="3962"/>
      <c r="D7" s="3962"/>
      <c r="E7" s="3962"/>
      <c r="F7" s="3962"/>
      <c r="G7" s="3962"/>
      <c r="H7" s="3962"/>
      <c r="I7" s="3962"/>
      <c r="J7" s="3962"/>
      <c r="K7" s="3768"/>
      <c r="L7" s="2525"/>
      <c r="M7" s="2525"/>
      <c r="N7" s="2525"/>
      <c r="O7" s="2525"/>
      <c r="P7" s="2525"/>
      <c r="Q7" s="2525"/>
      <c r="R7" s="2526"/>
      <c r="S7" s="2526"/>
      <c r="T7" s="2526"/>
      <c r="U7" s="2526"/>
      <c r="V7" s="2526"/>
    </row>
    <row r="8" spans="1:29">
      <c r="A8" s="3705"/>
      <c r="B8" s="3672"/>
      <c r="C8" s="3672"/>
      <c r="D8" s="3672"/>
      <c r="E8" s="3672"/>
      <c r="F8" s="3672"/>
      <c r="G8" s="3672"/>
      <c r="H8" s="3672"/>
      <c r="I8" s="3672"/>
      <c r="J8" s="3014"/>
      <c r="K8" s="3014"/>
      <c r="L8" s="2525"/>
      <c r="M8" s="2525"/>
      <c r="N8" s="2525"/>
      <c r="O8" s="2525"/>
      <c r="P8" s="2525"/>
      <c r="Q8" s="2525"/>
      <c r="R8" s="2526"/>
      <c r="S8" s="2526"/>
      <c r="T8" s="2526"/>
      <c r="U8" s="2526"/>
      <c r="V8" s="2526"/>
    </row>
    <row r="9" spans="1:29" s="2528" customFormat="1" ht="30">
      <c r="A9" s="3963" t="s">
        <v>2301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</row>
    <row r="10" spans="1:29" s="2528" customFormat="1" ht="22.5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</row>
    <row r="11" spans="1:29" s="2528" customFormat="1" hidden="1">
      <c r="A11" s="3595"/>
      <c r="B11" s="3672"/>
      <c r="E11" s="3300">
        <f>+'Đội 1'!E10</f>
        <v>655.8</v>
      </c>
      <c r="F11" s="2577"/>
      <c r="G11" s="2530"/>
      <c r="H11" s="2530"/>
      <c r="I11" s="2530"/>
      <c r="J11" s="3014"/>
      <c r="K11" s="3014"/>
      <c r="L11" s="3672"/>
      <c r="M11" s="3672"/>
      <c r="N11" s="3672"/>
      <c r="O11" s="3672"/>
      <c r="P11" s="3672"/>
      <c r="Q11" s="3672"/>
      <c r="R11" s="3672"/>
      <c r="S11" s="3672"/>
      <c r="T11" s="3672"/>
      <c r="U11" s="3672"/>
      <c r="V11" s="3672"/>
      <c r="X11" s="2528">
        <f>'[3]Bảng CC vn'!AK10</f>
        <v>25</v>
      </c>
      <c r="Z11" s="2528">
        <f>306516-30</f>
        <v>306486</v>
      </c>
    </row>
    <row r="12" spans="1:29" hidden="1">
      <c r="A12" s="3593"/>
      <c r="B12" s="2932"/>
      <c r="C12" s="3301" t="s">
        <v>1589</v>
      </c>
      <c r="D12" s="3301"/>
      <c r="E12" s="3300">
        <v>646.20000000000005</v>
      </c>
      <c r="F12" s="3301"/>
      <c r="H12" s="2534"/>
      <c r="I12" s="2534"/>
      <c r="J12" s="3015"/>
      <c r="K12" s="3015"/>
      <c r="L12" s="2536"/>
      <c r="M12" s="2537"/>
      <c r="N12" s="2538"/>
      <c r="O12" s="2538"/>
      <c r="P12" s="2538"/>
      <c r="Q12" s="2538"/>
      <c r="R12" s="2538"/>
      <c r="S12" s="2538"/>
      <c r="T12" s="2538"/>
      <c r="U12" s="2538"/>
      <c r="V12" s="3969" t="s">
        <v>1590</v>
      </c>
      <c r="W12" s="3969"/>
    </row>
    <row r="13" spans="1:29" s="3672" customFormat="1" ht="22.5">
      <c r="A13" s="3964" t="s">
        <v>1989</v>
      </c>
      <c r="B13" s="3965" t="s">
        <v>1591</v>
      </c>
      <c r="C13" s="3966" t="s">
        <v>1</v>
      </c>
      <c r="D13" s="3965" t="s">
        <v>2</v>
      </c>
      <c r="E13" s="3950" t="s">
        <v>10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8" t="s">
        <v>1650</v>
      </c>
      <c r="T13" s="3968" t="s">
        <v>1585</v>
      </c>
      <c r="U13" s="3951" t="s">
        <v>1653</v>
      </c>
      <c r="V13" s="3968" t="s">
        <v>1570</v>
      </c>
      <c r="W13" s="3950" t="s">
        <v>92</v>
      </c>
      <c r="X13" s="3025" t="s">
        <v>1933</v>
      </c>
      <c r="Y13" s="3025" t="s">
        <v>1930</v>
      </c>
      <c r="Z13" s="3025" t="s">
        <v>819</v>
      </c>
      <c r="AA13" s="3392"/>
    </row>
    <row r="14" spans="1:29" s="3672" customFormat="1" ht="22.5">
      <c r="A14" s="3964"/>
      <c r="B14" s="3965"/>
      <c r="C14" s="3966"/>
      <c r="D14" s="3965"/>
      <c r="E14" s="3950"/>
      <c r="F14" s="3980" t="s">
        <v>1660</v>
      </c>
      <c r="G14" s="3981"/>
      <c r="H14" s="3953" t="s">
        <v>183</v>
      </c>
      <c r="I14" s="3953"/>
      <c r="J14" s="3953"/>
      <c r="K14" s="3953"/>
      <c r="L14" s="3953"/>
      <c r="M14" s="3954"/>
      <c r="N14" s="3984" t="s">
        <v>1900</v>
      </c>
      <c r="O14" s="3953"/>
      <c r="P14" s="3953"/>
      <c r="Q14" s="3953"/>
      <c r="R14" s="3954"/>
      <c r="S14" s="3968"/>
      <c r="T14" s="3968"/>
      <c r="U14" s="3972"/>
      <c r="V14" s="3968"/>
      <c r="W14" s="3950"/>
      <c r="X14" s="3064">
        <v>5050</v>
      </c>
      <c r="Y14" s="3025">
        <v>2929.4399999999996</v>
      </c>
      <c r="Z14" s="3066">
        <f>+Y14/X14</f>
        <v>0.58008712871287116</v>
      </c>
      <c r="AA14" s="3393"/>
    </row>
    <row r="15" spans="1:29" s="3672" customFormat="1" ht="22.5">
      <c r="A15" s="3964"/>
      <c r="B15" s="3965"/>
      <c r="C15" s="3966"/>
      <c r="D15" s="3965"/>
      <c r="E15" s="3950"/>
      <c r="F15" s="3982"/>
      <c r="G15" s="3983"/>
      <c r="H15" s="3955"/>
      <c r="I15" s="3955"/>
      <c r="J15" s="3955"/>
      <c r="K15" s="3955"/>
      <c r="L15" s="3955"/>
      <c r="M15" s="3956"/>
      <c r="N15" s="3985"/>
      <c r="O15" s="3955"/>
      <c r="P15" s="3955"/>
      <c r="Q15" s="3955"/>
      <c r="R15" s="3956"/>
      <c r="S15" s="3968"/>
      <c r="T15" s="3968"/>
      <c r="U15" s="3972"/>
      <c r="V15" s="3968"/>
      <c r="W15" s="3950"/>
      <c r="X15" s="3025">
        <v>868</v>
      </c>
      <c r="Y15" s="3025">
        <v>509.9430306569343</v>
      </c>
      <c r="Z15" s="3299">
        <f>+Y15/X15</f>
        <v>0.58749197080291971</v>
      </c>
      <c r="AA15" s="3605">
        <v>90</v>
      </c>
      <c r="AB15" s="3014">
        <v>51.874396135265698</v>
      </c>
      <c r="AC15" s="3014">
        <v>46.686956521739127</v>
      </c>
    </row>
    <row r="16" spans="1:29" s="3672" customFormat="1" ht="22.5">
      <c r="A16" s="3964"/>
      <c r="B16" s="3965"/>
      <c r="C16" s="3966"/>
      <c r="D16" s="3965"/>
      <c r="E16" s="3950"/>
      <c r="F16" s="3987" t="s">
        <v>1593</v>
      </c>
      <c r="G16" s="3965" t="s">
        <v>14</v>
      </c>
      <c r="H16" s="3965" t="s">
        <v>1964</v>
      </c>
      <c r="I16" s="3970" t="s">
        <v>2118</v>
      </c>
      <c r="J16" s="3957" t="s">
        <v>2497</v>
      </c>
      <c r="K16" s="3992" t="s">
        <v>2497</v>
      </c>
      <c r="L16" s="3968" t="s">
        <v>1595</v>
      </c>
      <c r="M16" s="3954" t="s">
        <v>1254</v>
      </c>
      <c r="N16" s="3968" t="s">
        <v>1596</v>
      </c>
      <c r="O16" s="3968" t="s">
        <v>1651</v>
      </c>
      <c r="P16" s="3951" t="s">
        <v>1531</v>
      </c>
      <c r="Q16" s="3951" t="s">
        <v>2304</v>
      </c>
      <c r="R16" s="3968" t="s">
        <v>1254</v>
      </c>
      <c r="S16" s="3968"/>
      <c r="T16" s="3968"/>
      <c r="U16" s="3972"/>
      <c r="V16" s="3968"/>
      <c r="W16" s="3950"/>
      <c r="X16" s="3677">
        <f>+X14+X15</f>
        <v>5918</v>
      </c>
      <c r="Y16" s="3677">
        <f>+Y14+Y15</f>
        <v>3439.3830306569339</v>
      </c>
      <c r="Z16" s="3677"/>
      <c r="AA16" s="3677"/>
    </row>
    <row r="17" spans="1:26" s="3677" customFormat="1" ht="77.25" customHeight="1">
      <c r="A17" s="3964"/>
      <c r="B17" s="3965"/>
      <c r="C17" s="3966"/>
      <c r="D17" s="3965"/>
      <c r="E17" s="3950"/>
      <c r="F17" s="3988"/>
      <c r="G17" s="3965"/>
      <c r="H17" s="3965"/>
      <c r="I17" s="3971"/>
      <c r="J17" s="3957"/>
      <c r="K17" s="3993"/>
      <c r="L17" s="3968"/>
      <c r="M17" s="3956"/>
      <c r="N17" s="3968"/>
      <c r="O17" s="3968"/>
      <c r="P17" s="3952"/>
      <c r="Q17" s="3952"/>
      <c r="R17" s="3968"/>
      <c r="S17" s="3968"/>
      <c r="T17" s="3968"/>
      <c r="U17" s="3952"/>
      <c r="V17" s="3968"/>
      <c r="W17" s="3950"/>
      <c r="X17" s="3677" t="s">
        <v>2005</v>
      </c>
      <c r="Y17" s="3226" t="s">
        <v>2006</v>
      </c>
      <c r="Z17" s="3677" t="s">
        <v>2007</v>
      </c>
    </row>
    <row r="18" spans="1:26" s="3677" customFormat="1" ht="33" customHeight="1">
      <c r="A18" s="3706">
        <v>1</v>
      </c>
      <c r="B18" s="3673"/>
      <c r="C18" s="3708" t="s">
        <v>2232</v>
      </c>
      <c r="D18" s="3710" t="s">
        <v>167</v>
      </c>
      <c r="E18" s="3682"/>
      <c r="F18" s="3749"/>
      <c r="G18" s="3709">
        <f>ROUND(F18*25000,0)</f>
        <v>0</v>
      </c>
      <c r="H18" s="3709">
        <f>+VLOOKUP(C18,'Mủ CN (TT)'!C91:AI152,33,0)</f>
        <v>59</v>
      </c>
      <c r="I18" s="3680"/>
      <c r="J18" s="3602">
        <f>+VLOOKUP(C18,'Mủ CN (TT)'!C91:AK152,35,0)</f>
        <v>34.225140594059397</v>
      </c>
      <c r="K18" s="3603">
        <v>33.7241321315663</v>
      </c>
      <c r="L18" s="3711" t="str">
        <f>+VLOOKUP(C18,'Mủ CN (TT)'!C91:AL152,36,0)</f>
        <v>A</v>
      </c>
      <c r="M18" s="2688">
        <f>ROUND(J18*IF(L18="A",(6.1*$E$12),IF(L18="B",(5.8*$E$12),IF(L18="C",(5.5*$E$12),IF(L18="D",(5.2*$E$12))))),0)</f>
        <v>134909</v>
      </c>
      <c r="N18" s="3711">
        <f>+VLOOKUP(C18,'Chấm công CN'!B91:AJ152,34,0)</f>
        <v>10</v>
      </c>
      <c r="O18" s="3711">
        <f>+VLOOKUP(C18,'Chấm công CN'!B91:AJ152,35,0)</f>
        <v>2</v>
      </c>
      <c r="P18" s="3712">
        <f>+N18+O18</f>
        <v>12</v>
      </c>
      <c r="Q18" s="3712">
        <v>500000</v>
      </c>
      <c r="R18" s="2688">
        <f>ROUND((N18*(46.1*$E$11))+(O18*(76.9*$E$11))+(P18*20000),0)+Q18-0.16</f>
        <v>1143185.8400000001</v>
      </c>
      <c r="S18" s="3711">
        <f t="shared" ref="S18:S49" si="0">+G18+M18+R18</f>
        <v>1278094.8400000001</v>
      </c>
      <c r="T18" s="3674"/>
      <c r="U18" s="3683"/>
      <c r="V18" s="3711">
        <f>+S18-T18</f>
        <v>1278094.8400000001</v>
      </c>
      <c r="W18" s="3682"/>
      <c r="Y18" s="3226"/>
    </row>
    <row r="19" spans="1:26" s="3677" customFormat="1" ht="33" customHeight="1">
      <c r="A19" s="3706">
        <v>2</v>
      </c>
      <c r="B19" s="3673"/>
      <c r="C19" s="3708" t="s">
        <v>2233</v>
      </c>
      <c r="D19" s="3710" t="s">
        <v>167</v>
      </c>
      <c r="E19" s="3682"/>
      <c r="F19" s="3749"/>
      <c r="G19" s="3709">
        <f t="shared" ref="G19:G82" si="1">ROUND(F19*25000,0)</f>
        <v>0</v>
      </c>
      <c r="H19" s="3709">
        <f>+VLOOKUP(C19,'Mủ CN (TT)'!C92:AI153,33,0)</f>
        <v>65</v>
      </c>
      <c r="I19" s="3680"/>
      <c r="J19" s="3602">
        <f>+VLOOKUP(C19,'Mủ CN (TT)'!C92:AK153,35,0)</f>
        <v>37.705663366336623</v>
      </c>
      <c r="K19" s="3603">
        <v>37.153704890708646</v>
      </c>
      <c r="L19" s="3711" t="str">
        <f>+VLOOKUP(C19,'Mủ CN (TT)'!C92:AL153,36,0)</f>
        <v>A</v>
      </c>
      <c r="M19" s="2688">
        <f t="shared" ref="M19:M82" si="2">ROUND(J19*IF(L19="A",(6.1*$E$12),IF(L19="B",(5.8*$E$12),IF(L19="C",(5.5*$E$12),IF(L19="D",(5.2*$E$12))))),0)</f>
        <v>148629</v>
      </c>
      <c r="N19" s="3711">
        <f>+VLOOKUP(C19,'Chấm công CN'!B92:AJ153,34,0)</f>
        <v>10</v>
      </c>
      <c r="O19" s="3711">
        <f>+VLOOKUP(C19,'Chấm công CN'!B92:AJ153,35,0)</f>
        <v>2</v>
      </c>
      <c r="P19" s="3712">
        <f t="shared" ref="P19:P82" si="3">+N19+O19</f>
        <v>12</v>
      </c>
      <c r="Q19" s="3712">
        <v>500000</v>
      </c>
      <c r="R19" s="2688">
        <f>ROUND((N19*(46.1*$E$11))+(O19*(76.9*$E$11))+(P19*20000),0)+Q19-0.16</f>
        <v>1143185.8400000001</v>
      </c>
      <c r="S19" s="3711">
        <f t="shared" si="0"/>
        <v>1291814.8400000001</v>
      </c>
      <c r="T19" s="3674"/>
      <c r="U19" s="3683"/>
      <c r="V19" s="3711">
        <f t="shared" ref="V19:V82" si="4">+S19-T19</f>
        <v>1291814.8400000001</v>
      </c>
      <c r="W19" s="3682"/>
      <c r="Y19" s="3226"/>
    </row>
    <row r="20" spans="1:26" s="3677" customFormat="1" ht="33" customHeight="1">
      <c r="A20" s="3706">
        <v>3</v>
      </c>
      <c r="B20" s="3673"/>
      <c r="C20" s="3708" t="s">
        <v>2234</v>
      </c>
      <c r="D20" s="3710" t="s">
        <v>167</v>
      </c>
      <c r="E20" s="3682"/>
      <c r="F20" s="3749"/>
      <c r="G20" s="3709">
        <f t="shared" si="1"/>
        <v>0</v>
      </c>
      <c r="H20" s="3709">
        <f>+VLOOKUP(C20,'Mủ CN (TT)'!C93:AI154,33,0)</f>
        <v>61</v>
      </c>
      <c r="I20" s="3680"/>
      <c r="J20" s="3602">
        <f>+VLOOKUP(C20,'Mủ CN (TT)'!C93:AK154,35,0)</f>
        <v>35.385314851485141</v>
      </c>
      <c r="K20" s="3603">
        <v>34.867323051280422</v>
      </c>
      <c r="L20" s="3711" t="str">
        <f>+VLOOKUP(C20,'Mủ CN (TT)'!C93:AL154,36,0)</f>
        <v>A</v>
      </c>
      <c r="M20" s="2688">
        <f t="shared" si="2"/>
        <v>139483</v>
      </c>
      <c r="N20" s="3711">
        <f>+VLOOKUP(C20,'Chấm công CN'!B93:AJ154,34,0)</f>
        <v>14</v>
      </c>
      <c r="O20" s="3711">
        <f>+VLOOKUP(C20,'Chấm công CN'!B93:AJ154,35,0)</f>
        <v>3</v>
      </c>
      <c r="P20" s="3712">
        <f t="shared" si="3"/>
        <v>17</v>
      </c>
      <c r="Q20" s="3712">
        <v>500000</v>
      </c>
      <c r="R20" s="2688">
        <f>ROUND((N20*(46.1*$E$11))+(O20*(76.9*$E$11))+(P20*20000),0)+Q20+0.38</f>
        <v>1414546.38</v>
      </c>
      <c r="S20" s="3711">
        <f t="shared" si="0"/>
        <v>1554029.38</v>
      </c>
      <c r="T20" s="3674"/>
      <c r="U20" s="3683"/>
      <c r="V20" s="3711">
        <f t="shared" si="4"/>
        <v>1554029.38</v>
      </c>
      <c r="W20" s="3682"/>
      <c r="Y20" s="3226"/>
    </row>
    <row r="21" spans="1:26" s="3677" customFormat="1" ht="33" customHeight="1">
      <c r="A21" s="3706">
        <v>4</v>
      </c>
      <c r="B21" s="3673"/>
      <c r="C21" s="3708" t="s">
        <v>2235</v>
      </c>
      <c r="D21" s="3710" t="s">
        <v>167</v>
      </c>
      <c r="E21" s="3682"/>
      <c r="F21" s="3749"/>
      <c r="G21" s="3709">
        <f t="shared" si="1"/>
        <v>0</v>
      </c>
      <c r="H21" s="3709">
        <f>+VLOOKUP(C21,'Mủ CN (TT)'!C94:AI155,33,0)</f>
        <v>61</v>
      </c>
      <c r="I21" s="3680"/>
      <c r="J21" s="3602">
        <f>+VLOOKUP(C21,'Mủ CN (TT)'!C94:AK155,35,0)</f>
        <v>35.385314851485141</v>
      </c>
      <c r="K21" s="3603">
        <v>34.867323051280422</v>
      </c>
      <c r="L21" s="3711" t="str">
        <f>+VLOOKUP(C21,'Mủ CN (TT)'!C94:AL155,36,0)</f>
        <v>A</v>
      </c>
      <c r="M21" s="2688">
        <f t="shared" si="2"/>
        <v>139483</v>
      </c>
      <c r="N21" s="3711">
        <f>+VLOOKUP(C21,'Chấm công CN'!B94:AJ155,34,0)</f>
        <v>14</v>
      </c>
      <c r="O21" s="3711">
        <f>+VLOOKUP(C21,'Chấm công CN'!B94:AJ155,35,0)</f>
        <v>3</v>
      </c>
      <c r="P21" s="3712">
        <f t="shared" si="3"/>
        <v>17</v>
      </c>
      <c r="Q21" s="3712">
        <v>500000</v>
      </c>
      <c r="R21" s="2688">
        <f t="shared" ref="R21:R25" si="5">ROUND((N21*(46.1*$E$11))+(O21*(76.9*$E$11))+(P21*20000),0)+Q21+0.38</f>
        <v>1414546.38</v>
      </c>
      <c r="S21" s="3711">
        <f t="shared" si="0"/>
        <v>1554029.38</v>
      </c>
      <c r="T21" s="3674"/>
      <c r="U21" s="3683"/>
      <c r="V21" s="3711">
        <f t="shared" si="4"/>
        <v>1554029.38</v>
      </c>
      <c r="W21" s="3682"/>
      <c r="Y21" s="3226"/>
    </row>
    <row r="22" spans="1:26" s="3677" customFormat="1" ht="33" customHeight="1">
      <c r="A22" s="3706">
        <v>5</v>
      </c>
      <c r="B22" s="3673"/>
      <c r="C22" s="3708" t="s">
        <v>2236</v>
      </c>
      <c r="D22" s="3710" t="s">
        <v>167</v>
      </c>
      <c r="E22" s="3682"/>
      <c r="F22" s="3749"/>
      <c r="G22" s="3709">
        <f t="shared" si="1"/>
        <v>0</v>
      </c>
      <c r="H22" s="3709">
        <f>+VLOOKUP(C22,'Mủ CN (TT)'!C95:AI156,33,0)</f>
        <v>28</v>
      </c>
      <c r="I22" s="3680"/>
      <c r="J22" s="3602">
        <f>+VLOOKUP(C22,'Mủ CN (TT)'!C95:AK156,35,0)</f>
        <v>16.242439603960392</v>
      </c>
      <c r="K22" s="3603">
        <v>16.004672875997567</v>
      </c>
      <c r="L22" s="3711" t="str">
        <f>+VLOOKUP(C22,'Mủ CN (TT)'!C95:AL156,36,0)</f>
        <v>A</v>
      </c>
      <c r="M22" s="2688">
        <f t="shared" si="2"/>
        <v>64025</v>
      </c>
      <c r="N22" s="3711">
        <f>+VLOOKUP(C22,'Chấm công CN'!B95:AJ156,34,0)</f>
        <v>14</v>
      </c>
      <c r="O22" s="3711">
        <f>+VLOOKUP(C22,'Chấm công CN'!B95:AJ156,35,0)</f>
        <v>3</v>
      </c>
      <c r="P22" s="3712">
        <f t="shared" si="3"/>
        <v>17</v>
      </c>
      <c r="Q22" s="3712">
        <v>500000</v>
      </c>
      <c r="R22" s="2688">
        <f t="shared" si="5"/>
        <v>1414546.38</v>
      </c>
      <c r="S22" s="3711">
        <f t="shared" si="0"/>
        <v>1478571.38</v>
      </c>
      <c r="T22" s="3674"/>
      <c r="U22" s="3683"/>
      <c r="V22" s="3711">
        <f t="shared" si="4"/>
        <v>1478571.38</v>
      </c>
      <c r="W22" s="3682"/>
      <c r="Y22" s="3226"/>
    </row>
    <row r="23" spans="1:26" s="3677" customFormat="1" ht="33" customHeight="1">
      <c r="A23" s="3706">
        <v>6</v>
      </c>
      <c r="B23" s="3673"/>
      <c r="C23" s="3708" t="s">
        <v>2237</v>
      </c>
      <c r="D23" s="3710" t="s">
        <v>167</v>
      </c>
      <c r="E23" s="3682"/>
      <c r="F23" s="3749"/>
      <c r="G23" s="3709">
        <f t="shared" si="1"/>
        <v>0</v>
      </c>
      <c r="H23" s="3709">
        <f>+VLOOKUP(C23,'Mủ CN (TT)'!C96:AI157,33,0)</f>
        <v>28</v>
      </c>
      <c r="I23" s="3680"/>
      <c r="J23" s="3602">
        <f>+VLOOKUP(C23,'Mủ CN (TT)'!C96:AK157,35,0)</f>
        <v>16.242439603960392</v>
      </c>
      <c r="K23" s="3603">
        <v>16.004672875997567</v>
      </c>
      <c r="L23" s="3711" t="str">
        <f>+VLOOKUP(C23,'Mủ CN (TT)'!C96:AL157,36,0)</f>
        <v>A</v>
      </c>
      <c r="M23" s="2688">
        <f t="shared" si="2"/>
        <v>64025</v>
      </c>
      <c r="N23" s="3711">
        <f>+VLOOKUP(C23,'Chấm công CN'!B96:AJ157,34,0)</f>
        <v>14</v>
      </c>
      <c r="O23" s="3711">
        <f>+VLOOKUP(C23,'Chấm công CN'!B96:AJ157,35,0)</f>
        <v>3</v>
      </c>
      <c r="P23" s="3712">
        <f t="shared" si="3"/>
        <v>17</v>
      </c>
      <c r="Q23" s="3712">
        <v>500000</v>
      </c>
      <c r="R23" s="2688">
        <f t="shared" si="5"/>
        <v>1414546.38</v>
      </c>
      <c r="S23" s="3711">
        <f t="shared" si="0"/>
        <v>1478571.38</v>
      </c>
      <c r="T23" s="3674"/>
      <c r="U23" s="3683"/>
      <c r="V23" s="3711">
        <f t="shared" si="4"/>
        <v>1478571.38</v>
      </c>
      <c r="W23" s="3682"/>
      <c r="Y23" s="3226"/>
    </row>
    <row r="24" spans="1:26" s="3677" customFormat="1" ht="33" customHeight="1">
      <c r="A24" s="3706">
        <v>7</v>
      </c>
      <c r="B24" s="3673"/>
      <c r="C24" s="3708" t="s">
        <v>2238</v>
      </c>
      <c r="D24" s="3710" t="s">
        <v>167</v>
      </c>
      <c r="E24" s="3682"/>
      <c r="F24" s="3749"/>
      <c r="G24" s="3709">
        <f t="shared" si="1"/>
        <v>0</v>
      </c>
      <c r="H24" s="3709">
        <f>+VLOOKUP(C24,'Mủ CN (TT)'!C97:AI158,33,0)</f>
        <v>90</v>
      </c>
      <c r="I24" s="3680"/>
      <c r="J24" s="3602">
        <f>+VLOOKUP(C24,'Mủ CN (TT)'!C97:AK158,35,0)</f>
        <v>52.207841584158402</v>
      </c>
      <c r="K24" s="3603">
        <v>51.443591387135051</v>
      </c>
      <c r="L24" s="3711" t="str">
        <f>+VLOOKUP(C24,'Mủ CN (TT)'!C97:AL158,36,0)</f>
        <v>A</v>
      </c>
      <c r="M24" s="2688">
        <f t="shared" si="2"/>
        <v>205794</v>
      </c>
      <c r="N24" s="3711">
        <f>+VLOOKUP(C24,'Chấm công CN'!B97:AJ158,34,0)</f>
        <v>14</v>
      </c>
      <c r="O24" s="3711">
        <f>+VLOOKUP(C24,'Chấm công CN'!B97:AJ158,35,0)</f>
        <v>3</v>
      </c>
      <c r="P24" s="3712">
        <f t="shared" si="3"/>
        <v>17</v>
      </c>
      <c r="Q24" s="3712">
        <v>500000</v>
      </c>
      <c r="R24" s="2688">
        <f t="shared" si="5"/>
        <v>1414546.38</v>
      </c>
      <c r="S24" s="3711">
        <f t="shared" si="0"/>
        <v>1620340.38</v>
      </c>
      <c r="T24" s="3674"/>
      <c r="U24" s="3683"/>
      <c r="V24" s="3711">
        <f t="shared" si="4"/>
        <v>1620340.38</v>
      </c>
      <c r="W24" s="3682"/>
      <c r="Y24" s="3226"/>
    </row>
    <row r="25" spans="1:26" s="3677" customFormat="1" ht="33" customHeight="1">
      <c r="A25" s="3706">
        <v>8</v>
      </c>
      <c r="B25" s="3673"/>
      <c r="C25" s="3708" t="s">
        <v>2239</v>
      </c>
      <c r="D25" s="3710" t="s">
        <v>167</v>
      </c>
      <c r="E25" s="3682"/>
      <c r="F25" s="3749"/>
      <c r="G25" s="3709">
        <f t="shared" si="1"/>
        <v>0</v>
      </c>
      <c r="H25" s="3709">
        <f>+VLOOKUP(C25,'Mủ CN (TT)'!C98:AI159,33,0)</f>
        <v>85</v>
      </c>
      <c r="I25" s="3680"/>
      <c r="J25" s="3602">
        <f>+VLOOKUP(C25,'Mủ CN (TT)'!C98:AK159,35,0)</f>
        <v>49.307405940594052</v>
      </c>
      <c r="K25" s="3603">
        <v>48.585614087849777</v>
      </c>
      <c r="L25" s="3711" t="str">
        <f>+VLOOKUP(C25,'Mủ CN (TT)'!C98:AL159,36,0)</f>
        <v>A</v>
      </c>
      <c r="M25" s="2688">
        <f t="shared" si="2"/>
        <v>194361</v>
      </c>
      <c r="N25" s="3711">
        <f>+VLOOKUP(C25,'Chấm công CN'!B98:AJ159,34,0)</f>
        <v>14</v>
      </c>
      <c r="O25" s="3711">
        <f>+VLOOKUP(C25,'Chấm công CN'!B98:AJ159,35,0)</f>
        <v>3</v>
      </c>
      <c r="P25" s="3712">
        <f t="shared" si="3"/>
        <v>17</v>
      </c>
      <c r="Q25" s="3712">
        <v>500000</v>
      </c>
      <c r="R25" s="2688">
        <f t="shared" si="5"/>
        <v>1414546.38</v>
      </c>
      <c r="S25" s="3711">
        <f t="shared" si="0"/>
        <v>1608907.38</v>
      </c>
      <c r="T25" s="3674"/>
      <c r="U25" s="3683"/>
      <c r="V25" s="3711">
        <f t="shared" si="4"/>
        <v>1608907.38</v>
      </c>
      <c r="W25" s="3682"/>
      <c r="Y25" s="3226"/>
    </row>
    <row r="26" spans="1:26" s="3677" customFormat="1" ht="33" customHeight="1">
      <c r="A26" s="3706">
        <v>9</v>
      </c>
      <c r="B26" s="3673"/>
      <c r="C26" s="3708" t="s">
        <v>2240</v>
      </c>
      <c r="D26" s="3710" t="s">
        <v>167</v>
      </c>
      <c r="E26" s="3682"/>
      <c r="F26" s="3749"/>
      <c r="G26" s="3709">
        <f t="shared" si="1"/>
        <v>0</v>
      </c>
      <c r="H26" s="3709">
        <f>+VLOOKUP(C26,'Mủ CN (TT)'!C99:AI160,33,0)</f>
        <v>0</v>
      </c>
      <c r="I26" s="3680"/>
      <c r="J26" s="3602">
        <f>+VLOOKUP(C26,'Mủ CN (TT)'!C99:AK160,35,0)</f>
        <v>0</v>
      </c>
      <c r="K26" s="3603">
        <v>0</v>
      </c>
      <c r="L26" s="3711" t="str">
        <f>+VLOOKUP(C26,'Mủ CN (TT)'!C99:AL160,36,0)</f>
        <v>A</v>
      </c>
      <c r="M26" s="2688">
        <f t="shared" si="2"/>
        <v>0</v>
      </c>
      <c r="N26" s="3711">
        <f>+VLOOKUP(C26,'Chấm công CN'!B99:AJ160,34,0)</f>
        <v>12</v>
      </c>
      <c r="O26" s="3711">
        <f>+VLOOKUP(C26,'Chấm công CN'!B99:AJ160,35,0)</f>
        <v>1</v>
      </c>
      <c r="P26" s="3712">
        <f t="shared" si="3"/>
        <v>13</v>
      </c>
      <c r="Q26" s="3712">
        <v>500000</v>
      </c>
      <c r="R26" s="2688">
        <f>ROUND((N26*(46.1*$E$11))+(O26*(76.9*$E$11))+(P26*20000),0)+Q26-0.42</f>
        <v>1173219.58</v>
      </c>
      <c r="S26" s="3711">
        <f t="shared" si="0"/>
        <v>1173219.58</v>
      </c>
      <c r="T26" s="3674"/>
      <c r="U26" s="3683"/>
      <c r="V26" s="3711">
        <f t="shared" si="4"/>
        <v>1173219.58</v>
      </c>
      <c r="W26" s="3682"/>
      <c r="Y26" s="3226"/>
    </row>
    <row r="27" spans="1:26" s="3677" customFormat="1" ht="33" customHeight="1">
      <c r="A27" s="3706">
        <v>10</v>
      </c>
      <c r="B27" s="3673"/>
      <c r="C27" s="3708" t="s">
        <v>2241</v>
      </c>
      <c r="D27" s="3710" t="s">
        <v>167</v>
      </c>
      <c r="E27" s="3682"/>
      <c r="F27" s="3749"/>
      <c r="G27" s="3709">
        <f t="shared" si="1"/>
        <v>0</v>
      </c>
      <c r="H27" s="3709">
        <f>+VLOOKUP(C27,'Mủ CN (TT)'!C100:AI161,33,0)</f>
        <v>0</v>
      </c>
      <c r="I27" s="3680"/>
      <c r="J27" s="3602">
        <f>+VLOOKUP(C27,'Mủ CN (TT)'!C100:AK161,35,0)</f>
        <v>0</v>
      </c>
      <c r="K27" s="3603">
        <v>0</v>
      </c>
      <c r="L27" s="3711" t="str">
        <f>+VLOOKUP(C27,'Mủ CN (TT)'!C100:AL161,36,0)</f>
        <v>A</v>
      </c>
      <c r="M27" s="2688">
        <f t="shared" si="2"/>
        <v>0</v>
      </c>
      <c r="N27" s="3711">
        <f>+VLOOKUP(C27,'Chấm công CN'!B100:AJ161,34,0)</f>
        <v>12</v>
      </c>
      <c r="O27" s="3711">
        <f>+VLOOKUP(C27,'Chấm công CN'!B100:AJ161,35,0)</f>
        <v>2</v>
      </c>
      <c r="P27" s="3712">
        <f t="shared" si="3"/>
        <v>14</v>
      </c>
      <c r="Q27" s="3712">
        <v>500000</v>
      </c>
      <c r="R27" s="2688">
        <f>ROUND((N27*(46.1*$E$11))+(O27*(76.9*$E$11))+(P27*20000),0)+Q27-0.4</f>
        <v>1243650.6000000001</v>
      </c>
      <c r="S27" s="3711">
        <f t="shared" si="0"/>
        <v>1243650.6000000001</v>
      </c>
      <c r="T27" s="3674"/>
      <c r="U27" s="3683"/>
      <c r="V27" s="3711">
        <f t="shared" si="4"/>
        <v>1243650.6000000001</v>
      </c>
      <c r="W27" s="3682"/>
      <c r="Y27" s="3226"/>
    </row>
    <row r="28" spans="1:26" s="3677" customFormat="1" ht="33" customHeight="1">
      <c r="A28" s="3706">
        <v>11</v>
      </c>
      <c r="B28" s="3673"/>
      <c r="C28" s="3708" t="s">
        <v>2242</v>
      </c>
      <c r="D28" s="3710" t="s">
        <v>167</v>
      </c>
      <c r="E28" s="3682"/>
      <c r="F28" s="3749"/>
      <c r="G28" s="3709">
        <f t="shared" si="1"/>
        <v>0</v>
      </c>
      <c r="H28" s="3709">
        <f>+VLOOKUP(C28,'Mủ CN (TT)'!C101:AI162,33,0)</f>
        <v>97</v>
      </c>
      <c r="I28" s="3680"/>
      <c r="J28" s="3602">
        <f>+VLOOKUP(C28,'Mủ CN (TT)'!C101:AK162,35,0)</f>
        <v>56.268451485148503</v>
      </c>
      <c r="K28" s="3603">
        <v>55.44475960613444</v>
      </c>
      <c r="L28" s="3711" t="str">
        <f>+VLOOKUP(C28,'Mủ CN (TT)'!C101:AL162,36,0)</f>
        <v>A</v>
      </c>
      <c r="M28" s="2688">
        <f t="shared" si="2"/>
        <v>221800</v>
      </c>
      <c r="N28" s="3711">
        <f>+VLOOKUP(C28,'Chấm công CN'!B101:AJ162,34,0)</f>
        <v>15</v>
      </c>
      <c r="O28" s="3711">
        <f>+VLOOKUP(C28,'Chấm công CN'!B101:AJ162,35,0)</f>
        <v>3</v>
      </c>
      <c r="P28" s="3712">
        <f t="shared" si="3"/>
        <v>18</v>
      </c>
      <c r="Q28" s="3712">
        <v>500000</v>
      </c>
      <c r="R28" s="2688">
        <f>ROUND((N28*(46.1*$E$11))+(O28*(76.9*$E$11))+(P28*20000),0)+Q28-0.24</f>
        <v>1464778.76</v>
      </c>
      <c r="S28" s="3711">
        <f t="shared" si="0"/>
        <v>1686578.76</v>
      </c>
      <c r="T28" s="3674"/>
      <c r="U28" s="3683"/>
      <c r="V28" s="3711">
        <f t="shared" si="4"/>
        <v>1686578.76</v>
      </c>
      <c r="W28" s="3682"/>
      <c r="Y28" s="3226"/>
    </row>
    <row r="29" spans="1:26" s="3677" customFormat="1" ht="33" customHeight="1">
      <c r="A29" s="3706">
        <v>12</v>
      </c>
      <c r="B29" s="3673"/>
      <c r="C29" s="3708" t="s">
        <v>488</v>
      </c>
      <c r="D29" s="3710" t="s">
        <v>167</v>
      </c>
      <c r="E29" s="3682"/>
      <c r="F29" s="3749"/>
      <c r="G29" s="3709">
        <f t="shared" si="1"/>
        <v>0</v>
      </c>
      <c r="H29" s="3709">
        <f>+VLOOKUP(C29,'Mủ CN (TT)'!C102:AI163,33,0)</f>
        <v>98</v>
      </c>
      <c r="I29" s="3680"/>
      <c r="J29" s="3602">
        <f>+VLOOKUP(C29,'Mủ CN (TT)'!C102:AK163,35,0)</f>
        <v>56.848538613861372</v>
      </c>
      <c r="K29" s="3603">
        <v>56.01635506599149</v>
      </c>
      <c r="L29" s="3711" t="str">
        <f>+VLOOKUP(C29,'Mủ CN (TT)'!C102:AL163,36,0)</f>
        <v>A</v>
      </c>
      <c r="M29" s="2688">
        <f t="shared" si="2"/>
        <v>224087</v>
      </c>
      <c r="N29" s="3711">
        <f>+VLOOKUP(C29,'Chấm công CN'!B102:AJ163,34,0)</f>
        <v>15</v>
      </c>
      <c r="O29" s="3711">
        <f>+VLOOKUP(C29,'Chấm công CN'!B102:AJ163,35,0)</f>
        <v>3</v>
      </c>
      <c r="P29" s="3712">
        <f t="shared" si="3"/>
        <v>18</v>
      </c>
      <c r="Q29" s="3712">
        <v>500000</v>
      </c>
      <c r="R29" s="2688">
        <f>ROUND((N29*(46.1*$E$11))+(O29*(76.9*$E$11))+(P29*20000),0)+Q29-0.24</f>
        <v>1464778.76</v>
      </c>
      <c r="S29" s="3711">
        <f t="shared" si="0"/>
        <v>1688865.76</v>
      </c>
      <c r="T29" s="3674"/>
      <c r="U29" s="3683"/>
      <c r="V29" s="3711">
        <f t="shared" si="4"/>
        <v>1688865.76</v>
      </c>
      <c r="W29" s="3682"/>
      <c r="Y29" s="3226"/>
    </row>
    <row r="30" spans="1:26" s="3677" customFormat="1" ht="33" customHeight="1">
      <c r="A30" s="3706">
        <v>13</v>
      </c>
      <c r="B30" s="3673"/>
      <c r="C30" s="3708" t="s">
        <v>2243</v>
      </c>
      <c r="D30" s="3710" t="s">
        <v>167</v>
      </c>
      <c r="E30" s="3682"/>
      <c r="F30" s="3749"/>
      <c r="G30" s="3709">
        <f t="shared" si="1"/>
        <v>0</v>
      </c>
      <c r="H30" s="3709">
        <f>+VLOOKUP(C30,'Mủ CN (TT)'!C103:AI164,33,0)</f>
        <v>68</v>
      </c>
      <c r="I30" s="3680"/>
      <c r="J30" s="3602">
        <f>+VLOOKUP(C30,'Mủ CN (TT)'!C103:AK164,35,0)</f>
        <v>39.445924752475236</v>
      </c>
      <c r="K30" s="3603">
        <v>38.868491270279812</v>
      </c>
      <c r="L30" s="3711" t="str">
        <f>+VLOOKUP(C30,'Mủ CN (TT)'!C103:AL164,36,0)</f>
        <v>A</v>
      </c>
      <c r="M30" s="2688">
        <f t="shared" si="2"/>
        <v>155489</v>
      </c>
      <c r="N30" s="3711">
        <f>+VLOOKUP(C30,'Chấm công CN'!B103:AJ164,34,0)</f>
        <v>13</v>
      </c>
      <c r="O30" s="3711">
        <f>+VLOOKUP(C30,'Chấm công CN'!B103:AJ164,35,0)</f>
        <v>3</v>
      </c>
      <c r="P30" s="3712">
        <f t="shared" si="3"/>
        <v>16</v>
      </c>
      <c r="Q30" s="3712">
        <v>500000</v>
      </c>
      <c r="R30" s="2688">
        <f t="shared" ref="R30:R82" si="6">ROUND((N30*(46.1*$E$11))+(O30*(76.9*$E$11))+(P30*20000),0)+Q30</f>
        <v>1364314</v>
      </c>
      <c r="S30" s="3711">
        <f t="shared" si="0"/>
        <v>1519803</v>
      </c>
      <c r="T30" s="3674"/>
      <c r="U30" s="3683"/>
      <c r="V30" s="3711">
        <f t="shared" si="4"/>
        <v>1519803</v>
      </c>
      <c r="W30" s="3682"/>
      <c r="Y30" s="3226"/>
    </row>
    <row r="31" spans="1:26" s="3677" customFormat="1" ht="33" customHeight="1">
      <c r="A31" s="3706">
        <v>14</v>
      </c>
      <c r="B31" s="3673"/>
      <c r="C31" s="3708" t="s">
        <v>2244</v>
      </c>
      <c r="D31" s="3710" t="s">
        <v>167</v>
      </c>
      <c r="E31" s="3682"/>
      <c r="F31" s="3749"/>
      <c r="G31" s="3709">
        <f t="shared" si="1"/>
        <v>0</v>
      </c>
      <c r="H31" s="3709">
        <f>+VLOOKUP(C31,'Mủ CN (TT)'!C104:AI165,33,0)</f>
        <v>56</v>
      </c>
      <c r="I31" s="3680"/>
      <c r="J31" s="3602">
        <f>+VLOOKUP(C31,'Mủ CN (TT)'!C104:AK165,35,0)</f>
        <v>32.484879207920784</v>
      </c>
      <c r="K31" s="3603">
        <v>32.009345751995134</v>
      </c>
      <c r="L31" s="3711" t="str">
        <f>+VLOOKUP(C31,'Mủ CN (TT)'!C104:AL165,36,0)</f>
        <v>A</v>
      </c>
      <c r="M31" s="2688">
        <f t="shared" si="2"/>
        <v>128050</v>
      </c>
      <c r="N31" s="3711">
        <f>+VLOOKUP(C31,'Chấm công CN'!B104:AJ165,34,0)</f>
        <v>14</v>
      </c>
      <c r="O31" s="3711">
        <f>+VLOOKUP(C31,'Chấm công CN'!B104:AJ165,35,0)</f>
        <v>3</v>
      </c>
      <c r="P31" s="3712">
        <f t="shared" si="3"/>
        <v>17</v>
      </c>
      <c r="Q31" s="3712">
        <v>500000</v>
      </c>
      <c r="R31" s="2688">
        <f>ROUND((N31*(46.1*$E$11))+(O31*(76.9*$E$11))+(P31*20000),0)+Q31+0.38</f>
        <v>1414546.38</v>
      </c>
      <c r="S31" s="3711">
        <f t="shared" si="0"/>
        <v>1542596.38</v>
      </c>
      <c r="T31" s="3674"/>
      <c r="U31" s="3683"/>
      <c r="V31" s="3711">
        <f t="shared" si="4"/>
        <v>1542596.38</v>
      </c>
      <c r="W31" s="3682"/>
      <c r="Y31" s="3226"/>
    </row>
    <row r="32" spans="1:26" s="3677" customFormat="1" ht="33" customHeight="1">
      <c r="A32" s="3706">
        <v>15</v>
      </c>
      <c r="B32" s="3673"/>
      <c r="C32" s="3708" t="s">
        <v>2245</v>
      </c>
      <c r="D32" s="3710" t="s">
        <v>167</v>
      </c>
      <c r="E32" s="3682"/>
      <c r="F32" s="3749"/>
      <c r="G32" s="3709">
        <f t="shared" si="1"/>
        <v>0</v>
      </c>
      <c r="H32" s="3709">
        <f>+VLOOKUP(C32,'Mủ CN (TT)'!C105:AI166,33,0)</f>
        <v>38</v>
      </c>
      <c r="I32" s="3680"/>
      <c r="J32" s="3602">
        <f>+VLOOKUP(C32,'Mủ CN (TT)'!C105:AK166,35,0)</f>
        <v>22.043310891089103</v>
      </c>
      <c r="K32" s="3603">
        <v>21.720627474568129</v>
      </c>
      <c r="L32" s="3711" t="str">
        <f>+VLOOKUP(C32,'Mủ CN (TT)'!C105:AL166,36,0)</f>
        <v>A</v>
      </c>
      <c r="M32" s="2688">
        <f t="shared" si="2"/>
        <v>86891</v>
      </c>
      <c r="N32" s="3711">
        <f>+VLOOKUP(C32,'Chấm công CN'!B105:AJ166,34,0)</f>
        <v>13</v>
      </c>
      <c r="O32" s="3711">
        <f>+VLOOKUP(C32,'Chấm công CN'!B105:AJ166,35,0)</f>
        <v>3</v>
      </c>
      <c r="P32" s="3712">
        <f t="shared" si="3"/>
        <v>16</v>
      </c>
      <c r="Q32" s="3712">
        <v>500000</v>
      </c>
      <c r="R32" s="2688">
        <f t="shared" si="6"/>
        <v>1364314</v>
      </c>
      <c r="S32" s="3711">
        <f t="shared" si="0"/>
        <v>1451205</v>
      </c>
      <c r="T32" s="3674"/>
      <c r="U32" s="3683"/>
      <c r="V32" s="3711">
        <f t="shared" si="4"/>
        <v>1451205</v>
      </c>
      <c r="W32" s="3682"/>
      <c r="Y32" s="3226"/>
    </row>
    <row r="33" spans="1:25" s="3677" customFormat="1" ht="33" customHeight="1">
      <c r="A33" s="3706">
        <v>16</v>
      </c>
      <c r="B33" s="3673"/>
      <c r="C33" s="3708" t="s">
        <v>2246</v>
      </c>
      <c r="D33" s="3710" t="s">
        <v>167</v>
      </c>
      <c r="E33" s="3682"/>
      <c r="F33" s="3749"/>
      <c r="G33" s="3709">
        <f t="shared" si="1"/>
        <v>0</v>
      </c>
      <c r="H33" s="3709">
        <f>+VLOOKUP(C33,'Mủ CN (TT)'!C106:AI167,33,0)</f>
        <v>39</v>
      </c>
      <c r="I33" s="3680"/>
      <c r="J33" s="3602">
        <f>+VLOOKUP(C33,'Mủ CN (TT)'!C106:AK167,35,0)</f>
        <v>22.623398019801975</v>
      </c>
      <c r="K33" s="3603">
        <v>22.292222934425187</v>
      </c>
      <c r="L33" s="3711" t="str">
        <f>+VLOOKUP(C33,'Mủ CN (TT)'!C106:AL167,36,0)</f>
        <v>A</v>
      </c>
      <c r="M33" s="2688">
        <f t="shared" si="2"/>
        <v>89177</v>
      </c>
      <c r="N33" s="3711">
        <f>+VLOOKUP(C33,'Chấm công CN'!B106:AJ167,34,0)</f>
        <v>13</v>
      </c>
      <c r="O33" s="3711">
        <f>+VLOOKUP(C33,'Chấm công CN'!B106:AJ167,35,0)</f>
        <v>3</v>
      </c>
      <c r="P33" s="3712">
        <f t="shared" si="3"/>
        <v>16</v>
      </c>
      <c r="Q33" s="3712">
        <v>500000</v>
      </c>
      <c r="R33" s="2688">
        <f t="shared" si="6"/>
        <v>1364314</v>
      </c>
      <c r="S33" s="3711">
        <f t="shared" si="0"/>
        <v>1453491</v>
      </c>
      <c r="T33" s="3674"/>
      <c r="U33" s="3683"/>
      <c r="V33" s="3711">
        <f t="shared" si="4"/>
        <v>1453491</v>
      </c>
      <c r="W33" s="3682"/>
      <c r="Y33" s="3226"/>
    </row>
    <row r="34" spans="1:25" s="3677" customFormat="1" ht="33" customHeight="1">
      <c r="A34" s="3706">
        <v>17</v>
      </c>
      <c r="B34" s="3673"/>
      <c r="C34" s="3708" t="s">
        <v>2247</v>
      </c>
      <c r="D34" s="3710" t="s">
        <v>167</v>
      </c>
      <c r="E34" s="3682"/>
      <c r="F34" s="3749"/>
      <c r="G34" s="3709">
        <f t="shared" si="1"/>
        <v>0</v>
      </c>
      <c r="H34" s="3709">
        <f>+VLOOKUP(C34,'Mủ CN (TT)'!C107:AI168,33,0)</f>
        <v>53</v>
      </c>
      <c r="I34" s="3680"/>
      <c r="J34" s="3602">
        <f>+VLOOKUP(C34,'Mủ CN (TT)'!C107:AK168,35,0)</f>
        <v>30.744617821782171</v>
      </c>
      <c r="K34" s="3603">
        <v>30.294559372423976</v>
      </c>
      <c r="L34" s="3711" t="str">
        <f>+VLOOKUP(C34,'Mủ CN (TT)'!C107:AL168,36,0)</f>
        <v>A</v>
      </c>
      <c r="M34" s="2688">
        <f t="shared" si="2"/>
        <v>121190</v>
      </c>
      <c r="N34" s="3711">
        <f>+VLOOKUP(C34,'Chấm công CN'!B107:AJ168,34,0)</f>
        <v>12</v>
      </c>
      <c r="O34" s="3711">
        <f>+VLOOKUP(C34,'Chấm công CN'!B107:AJ168,35,0)</f>
        <v>3</v>
      </c>
      <c r="P34" s="3712">
        <f t="shared" si="3"/>
        <v>15</v>
      </c>
      <c r="Q34" s="3712">
        <v>500000</v>
      </c>
      <c r="R34" s="2688">
        <f>ROUND((N34*(46.1*$E$11))+(O34*(76.9*$E$11))+(P34*20000),0)+Q34-0.38</f>
        <v>1314081.6200000001</v>
      </c>
      <c r="S34" s="3711">
        <f t="shared" si="0"/>
        <v>1435271.62</v>
      </c>
      <c r="T34" s="3674"/>
      <c r="U34" s="3683"/>
      <c r="V34" s="3711">
        <f t="shared" si="4"/>
        <v>1435271.62</v>
      </c>
      <c r="W34" s="3682"/>
      <c r="Y34" s="3226"/>
    </row>
    <row r="35" spans="1:25" s="3677" customFormat="1" ht="33" customHeight="1">
      <c r="A35" s="3706">
        <v>18</v>
      </c>
      <c r="B35" s="3673"/>
      <c r="C35" s="3708" t="s">
        <v>2248</v>
      </c>
      <c r="D35" s="3710" t="s">
        <v>167</v>
      </c>
      <c r="E35" s="3682"/>
      <c r="F35" s="3749"/>
      <c r="G35" s="3709">
        <f t="shared" si="1"/>
        <v>0</v>
      </c>
      <c r="H35" s="3709">
        <f>+VLOOKUP(C35,'Mủ CN (TT)'!C108:AI169,33,0)</f>
        <v>54</v>
      </c>
      <c r="I35" s="3680"/>
      <c r="J35" s="3602">
        <f>+VLOOKUP(C35,'Mủ CN (TT)'!C108:AK169,35,0)</f>
        <v>31.324704950495043</v>
      </c>
      <c r="K35" s="3603">
        <v>30.866154832281033</v>
      </c>
      <c r="L35" s="3711" t="str">
        <f>+VLOOKUP(C35,'Mủ CN (TT)'!C108:AL169,36,0)</f>
        <v>A</v>
      </c>
      <c r="M35" s="2688">
        <f t="shared" si="2"/>
        <v>123476</v>
      </c>
      <c r="N35" s="3711">
        <f>+VLOOKUP(C35,'Chấm công CN'!B108:AJ169,34,0)</f>
        <v>12</v>
      </c>
      <c r="O35" s="3711">
        <f>+VLOOKUP(C35,'Chấm công CN'!B108:AJ169,35,0)</f>
        <v>3</v>
      </c>
      <c r="P35" s="3712">
        <f t="shared" si="3"/>
        <v>15</v>
      </c>
      <c r="Q35" s="3712">
        <v>500000</v>
      </c>
      <c r="R35" s="2688">
        <f t="shared" ref="R35:R36" si="7">ROUND((N35*(46.1*$E$11))+(O35*(76.9*$E$11))+(P35*20000),0)+Q35-0.38</f>
        <v>1314081.6200000001</v>
      </c>
      <c r="S35" s="3711">
        <f t="shared" si="0"/>
        <v>1437557.62</v>
      </c>
      <c r="T35" s="3674"/>
      <c r="U35" s="3683"/>
      <c r="V35" s="3711">
        <f t="shared" si="4"/>
        <v>1437557.62</v>
      </c>
      <c r="W35" s="3682"/>
      <c r="Y35" s="3226"/>
    </row>
    <row r="36" spans="1:25" s="3677" customFormat="1" ht="33" customHeight="1">
      <c r="A36" s="3706">
        <v>19</v>
      </c>
      <c r="B36" s="3673"/>
      <c r="C36" s="3708" t="s">
        <v>2249</v>
      </c>
      <c r="D36" s="3710" t="s">
        <v>167</v>
      </c>
      <c r="E36" s="3682"/>
      <c r="F36" s="3749"/>
      <c r="G36" s="3709">
        <f t="shared" si="1"/>
        <v>0</v>
      </c>
      <c r="H36" s="3709">
        <f>+VLOOKUP(C36,'Mủ CN (TT)'!C109:AI170,33,0)</f>
        <v>56</v>
      </c>
      <c r="I36" s="3680"/>
      <c r="J36" s="3602">
        <f>+VLOOKUP(C36,'Mủ CN (TT)'!C109:AK170,35,0)</f>
        <v>32.484879207920784</v>
      </c>
      <c r="K36" s="3603">
        <v>32.009345751995134</v>
      </c>
      <c r="L36" s="3711" t="str">
        <f>+VLOOKUP(C36,'Mủ CN (TT)'!C109:AL170,36,0)</f>
        <v>A</v>
      </c>
      <c r="M36" s="2688">
        <f t="shared" si="2"/>
        <v>128050</v>
      </c>
      <c r="N36" s="3711">
        <f>+VLOOKUP(C36,'Chấm công CN'!B109:AJ170,34,0)</f>
        <v>12</v>
      </c>
      <c r="O36" s="3711">
        <f>+VLOOKUP(C36,'Chấm công CN'!B109:AJ170,35,0)</f>
        <v>3</v>
      </c>
      <c r="P36" s="3712">
        <f t="shared" si="3"/>
        <v>15</v>
      </c>
      <c r="Q36" s="3712">
        <v>500000</v>
      </c>
      <c r="R36" s="2688">
        <f t="shared" si="7"/>
        <v>1314081.6200000001</v>
      </c>
      <c r="S36" s="3711">
        <f t="shared" si="0"/>
        <v>1442131.62</v>
      </c>
      <c r="T36" s="3674"/>
      <c r="U36" s="3683"/>
      <c r="V36" s="3711">
        <f t="shared" si="4"/>
        <v>1442131.62</v>
      </c>
      <c r="W36" s="3682"/>
      <c r="Y36" s="3226"/>
    </row>
    <row r="37" spans="1:25" s="3677" customFormat="1" ht="33" customHeight="1">
      <c r="A37" s="3706">
        <v>20</v>
      </c>
      <c r="B37" s="3673"/>
      <c r="C37" s="3708" t="s">
        <v>2250</v>
      </c>
      <c r="D37" s="3710" t="s">
        <v>167</v>
      </c>
      <c r="E37" s="3682"/>
      <c r="F37" s="3749"/>
      <c r="G37" s="3709">
        <f t="shared" si="1"/>
        <v>0</v>
      </c>
      <c r="H37" s="3709">
        <f>+VLOOKUP(C37,'Mủ CN (TT)'!C110:AI171,33,0)</f>
        <v>40</v>
      </c>
      <c r="I37" s="3680"/>
      <c r="J37" s="3602">
        <f>+VLOOKUP(C37,'Mủ CN (TT)'!C110:AK171,35,0)</f>
        <v>23.203485148514847</v>
      </c>
      <c r="K37" s="3603">
        <v>22.863818394282244</v>
      </c>
      <c r="L37" s="3711" t="str">
        <f>+VLOOKUP(C37,'Mủ CN (TT)'!C110:AL171,36,0)</f>
        <v>A</v>
      </c>
      <c r="M37" s="2688">
        <f t="shared" si="2"/>
        <v>91464</v>
      </c>
      <c r="N37" s="3711">
        <f>+VLOOKUP(C37,'Chấm công CN'!B110:AJ171,34,0)</f>
        <v>10</v>
      </c>
      <c r="O37" s="3711">
        <f>+VLOOKUP(C37,'Chấm công CN'!B110:AJ171,35,0)</f>
        <v>2</v>
      </c>
      <c r="P37" s="3712">
        <f t="shared" si="3"/>
        <v>12</v>
      </c>
      <c r="Q37" s="3712">
        <v>500000</v>
      </c>
      <c r="R37" s="2688">
        <f>ROUND((N37*(46.1*$E$11))+(O37*(76.9*$E$11))+(P37*20000),0)+Q37-0.16</f>
        <v>1143185.8400000001</v>
      </c>
      <c r="S37" s="3711">
        <f t="shared" si="0"/>
        <v>1234649.8400000001</v>
      </c>
      <c r="T37" s="3674"/>
      <c r="U37" s="3683"/>
      <c r="V37" s="3711">
        <f t="shared" si="4"/>
        <v>1234649.8400000001</v>
      </c>
      <c r="W37" s="3682"/>
      <c r="Y37" s="3226"/>
    </row>
    <row r="38" spans="1:25" s="3677" customFormat="1" ht="33" customHeight="1">
      <c r="A38" s="3706">
        <v>21</v>
      </c>
      <c r="B38" s="3673"/>
      <c r="C38" s="3708" t="s">
        <v>2251</v>
      </c>
      <c r="D38" s="3710" t="s">
        <v>167</v>
      </c>
      <c r="E38" s="3682"/>
      <c r="F38" s="3749"/>
      <c r="G38" s="3709">
        <f t="shared" si="1"/>
        <v>0</v>
      </c>
      <c r="H38" s="3709">
        <f>+VLOOKUP(C38,'Mủ CN (TT)'!C111:AI172,33,0)</f>
        <v>40</v>
      </c>
      <c r="I38" s="3680"/>
      <c r="J38" s="3602">
        <f>+VLOOKUP(C38,'Mủ CN (TT)'!C111:AK172,35,0)</f>
        <v>23.203485148514847</v>
      </c>
      <c r="K38" s="3603">
        <v>22.863818394282244</v>
      </c>
      <c r="L38" s="3711" t="str">
        <f>+VLOOKUP(C38,'Mủ CN (TT)'!C111:AL172,36,0)</f>
        <v>A</v>
      </c>
      <c r="M38" s="2688">
        <f t="shared" si="2"/>
        <v>91464</v>
      </c>
      <c r="N38" s="3711">
        <f>+VLOOKUP(C38,'Chấm công CN'!B111:AJ172,34,0)</f>
        <v>10</v>
      </c>
      <c r="O38" s="3711">
        <f>+VLOOKUP(C38,'Chấm công CN'!B111:AJ172,35,0)</f>
        <v>2</v>
      </c>
      <c r="P38" s="3712">
        <f t="shared" si="3"/>
        <v>12</v>
      </c>
      <c r="Q38" s="3712">
        <v>500000</v>
      </c>
      <c r="R38" s="2688">
        <f t="shared" ref="R38:R39" si="8">ROUND((N38*(46.1*$E$11))+(O38*(76.9*$E$11))+(P38*20000),0)+Q38-0.16</f>
        <v>1143185.8400000001</v>
      </c>
      <c r="S38" s="3711">
        <f t="shared" si="0"/>
        <v>1234649.8400000001</v>
      </c>
      <c r="T38" s="3674"/>
      <c r="U38" s="3683"/>
      <c r="V38" s="3711">
        <f t="shared" si="4"/>
        <v>1234649.8400000001</v>
      </c>
      <c r="W38" s="3682"/>
      <c r="Y38" s="3226"/>
    </row>
    <row r="39" spans="1:25" s="3677" customFormat="1" ht="33" customHeight="1">
      <c r="A39" s="3706">
        <v>22</v>
      </c>
      <c r="B39" s="3673"/>
      <c r="C39" s="3708" t="s">
        <v>2252</v>
      </c>
      <c r="D39" s="3710" t="s">
        <v>167</v>
      </c>
      <c r="E39" s="3682"/>
      <c r="F39" s="3749"/>
      <c r="G39" s="3709">
        <f t="shared" si="1"/>
        <v>0</v>
      </c>
      <c r="H39" s="3709">
        <f>+VLOOKUP(C39,'Mủ CN (TT)'!C112:AI173,33,0)</f>
        <v>33</v>
      </c>
      <c r="I39" s="3680"/>
      <c r="J39" s="3602">
        <f>+VLOOKUP(C39,'Mủ CN (TT)'!C112:AK173,35,0)</f>
        <v>19.142875247524749</v>
      </c>
      <c r="K39" s="3603">
        <v>18.862650175282852</v>
      </c>
      <c r="L39" s="3711" t="str">
        <f>+VLOOKUP(C39,'Mủ CN (TT)'!C112:AL173,36,0)</f>
        <v>A</v>
      </c>
      <c r="M39" s="2688">
        <f t="shared" si="2"/>
        <v>75458</v>
      </c>
      <c r="N39" s="3711">
        <f>+VLOOKUP(C39,'Chấm công CN'!B112:AJ173,34,0)</f>
        <v>10</v>
      </c>
      <c r="O39" s="3711">
        <f>+VLOOKUP(C39,'Chấm công CN'!B112:AJ173,35,0)</f>
        <v>2</v>
      </c>
      <c r="P39" s="3712">
        <f t="shared" si="3"/>
        <v>12</v>
      </c>
      <c r="Q39" s="3712">
        <v>500000</v>
      </c>
      <c r="R39" s="2688">
        <f t="shared" si="8"/>
        <v>1143185.8400000001</v>
      </c>
      <c r="S39" s="3711">
        <f t="shared" si="0"/>
        <v>1218643.8400000001</v>
      </c>
      <c r="T39" s="3674"/>
      <c r="U39" s="3683"/>
      <c r="V39" s="3711">
        <f t="shared" si="4"/>
        <v>1218643.8400000001</v>
      </c>
      <c r="W39" s="3682"/>
      <c r="Y39" s="3226"/>
    </row>
    <row r="40" spans="1:25" s="3677" customFormat="1" ht="33" customHeight="1">
      <c r="A40" s="3706">
        <v>23</v>
      </c>
      <c r="B40" s="3673"/>
      <c r="C40" s="3708" t="s">
        <v>2253</v>
      </c>
      <c r="D40" s="3710" t="s">
        <v>167</v>
      </c>
      <c r="E40" s="3682"/>
      <c r="F40" s="3749"/>
      <c r="G40" s="3709">
        <f t="shared" si="1"/>
        <v>0</v>
      </c>
      <c r="H40" s="3709">
        <f>+VLOOKUP(C40,'Mủ CN (TT)'!C113:AI174,33,0)</f>
        <v>40</v>
      </c>
      <c r="I40" s="3680"/>
      <c r="J40" s="3602">
        <f>+VLOOKUP(C40,'Mủ CN (TT)'!C113:AK174,35,0)</f>
        <v>23.203485148514847</v>
      </c>
      <c r="K40" s="3603">
        <v>22.863818394282244</v>
      </c>
      <c r="L40" s="3711" t="str">
        <f>+VLOOKUP(C40,'Mủ CN (TT)'!C113:AL174,36,0)</f>
        <v>A</v>
      </c>
      <c r="M40" s="2688">
        <f t="shared" si="2"/>
        <v>91464</v>
      </c>
      <c r="N40" s="3711">
        <f>+VLOOKUP(C40,'Chấm công CN'!B113:AJ174,34,0)</f>
        <v>14</v>
      </c>
      <c r="O40" s="3711">
        <f>+VLOOKUP(C40,'Chấm công CN'!B113:AJ174,35,0)</f>
        <v>3</v>
      </c>
      <c r="P40" s="3712">
        <f t="shared" si="3"/>
        <v>17</v>
      </c>
      <c r="Q40" s="3712">
        <v>500000</v>
      </c>
      <c r="R40" s="2688">
        <f>ROUND((N40*(46.1*$E$11))+(O40*(76.9*$E$11))+(P40*20000),0)+Q40+0.38</f>
        <v>1414546.38</v>
      </c>
      <c r="S40" s="3711">
        <f t="shared" si="0"/>
        <v>1506010.38</v>
      </c>
      <c r="T40" s="3674"/>
      <c r="U40" s="3683"/>
      <c r="V40" s="3711">
        <f t="shared" si="4"/>
        <v>1506010.38</v>
      </c>
      <c r="W40" s="3682"/>
      <c r="Y40" s="3226"/>
    </row>
    <row r="41" spans="1:25" s="3677" customFormat="1" ht="33" customHeight="1">
      <c r="A41" s="3706">
        <v>24</v>
      </c>
      <c r="B41" s="3673"/>
      <c r="C41" s="3708" t="s">
        <v>2254</v>
      </c>
      <c r="D41" s="3710" t="s">
        <v>167</v>
      </c>
      <c r="E41" s="3682"/>
      <c r="F41" s="3749"/>
      <c r="G41" s="3709">
        <f t="shared" si="1"/>
        <v>0</v>
      </c>
      <c r="H41" s="3709">
        <f>+VLOOKUP(C41,'Mủ CN (TT)'!C114:AI175,33,0)</f>
        <v>40</v>
      </c>
      <c r="I41" s="3680"/>
      <c r="J41" s="3602">
        <f>+VLOOKUP(C41,'Mủ CN (TT)'!C114:AK175,35,0)</f>
        <v>23.203485148514847</v>
      </c>
      <c r="K41" s="3603">
        <v>22.863818394282244</v>
      </c>
      <c r="L41" s="3711" t="str">
        <f>+VLOOKUP(C41,'Mủ CN (TT)'!C114:AL175,36,0)</f>
        <v>A</v>
      </c>
      <c r="M41" s="2688">
        <f t="shared" si="2"/>
        <v>91464</v>
      </c>
      <c r="N41" s="3711">
        <f>+VLOOKUP(C41,'Chấm công CN'!B114:AJ175,34,0)</f>
        <v>14</v>
      </c>
      <c r="O41" s="3711">
        <f>+VLOOKUP(C41,'Chấm công CN'!B114:AJ175,35,0)</f>
        <v>3</v>
      </c>
      <c r="P41" s="3712">
        <f t="shared" si="3"/>
        <v>17</v>
      </c>
      <c r="Q41" s="3712">
        <v>500000</v>
      </c>
      <c r="R41" s="2688">
        <f>ROUND((N41*(46.1*$E$11))+(O41*(76.9*$E$11))+(P41*20000),0)+Q41+0.38</f>
        <v>1414546.38</v>
      </c>
      <c r="S41" s="3711">
        <f t="shared" si="0"/>
        <v>1506010.38</v>
      </c>
      <c r="T41" s="3674"/>
      <c r="U41" s="3683"/>
      <c r="V41" s="3711">
        <f t="shared" si="4"/>
        <v>1506010.38</v>
      </c>
      <c r="W41" s="3682"/>
      <c r="Y41" s="3226"/>
    </row>
    <row r="42" spans="1:25" s="3677" customFormat="1" ht="33" customHeight="1">
      <c r="A42" s="3706">
        <v>25</v>
      </c>
      <c r="B42" s="3673"/>
      <c r="C42" s="3708" t="s">
        <v>2255</v>
      </c>
      <c r="D42" s="3710" t="s">
        <v>167</v>
      </c>
      <c r="E42" s="3682"/>
      <c r="F42" s="3749"/>
      <c r="G42" s="3709">
        <f t="shared" si="1"/>
        <v>0</v>
      </c>
      <c r="H42" s="3709">
        <f>+VLOOKUP(C42,'Mủ CN (TT)'!C115:AI176,33,0)</f>
        <v>65</v>
      </c>
      <c r="I42" s="3680"/>
      <c r="J42" s="3602">
        <f>+VLOOKUP(C42,'Mủ CN (TT)'!C115:AK176,35,0)</f>
        <v>37.705663366336623</v>
      </c>
      <c r="K42" s="3603">
        <v>37.153704890708646</v>
      </c>
      <c r="L42" s="3711" t="str">
        <f>+VLOOKUP(C42,'Mủ CN (TT)'!C115:AL176,36,0)</f>
        <v>A</v>
      </c>
      <c r="M42" s="2688">
        <f t="shared" si="2"/>
        <v>148629</v>
      </c>
      <c r="N42" s="3711">
        <f>+VLOOKUP(C42,'Chấm công CN'!B115:AJ176,34,0)</f>
        <v>13</v>
      </c>
      <c r="O42" s="3711">
        <f>+VLOOKUP(C42,'Chấm công CN'!B115:AJ176,35,0)</f>
        <v>2</v>
      </c>
      <c r="P42" s="3712">
        <f t="shared" si="3"/>
        <v>15</v>
      </c>
      <c r="Q42" s="3712">
        <v>500000</v>
      </c>
      <c r="R42" s="2688">
        <f>ROUND((N42*(46.1*$E$11))+(O42*(76.9*$E$11))+(P42*20000),0)+Q42-0.02</f>
        <v>1293882.98</v>
      </c>
      <c r="S42" s="3711">
        <f t="shared" si="0"/>
        <v>1442511.98</v>
      </c>
      <c r="T42" s="3674"/>
      <c r="U42" s="3683"/>
      <c r="V42" s="3711">
        <f t="shared" si="4"/>
        <v>1442511.98</v>
      </c>
      <c r="W42" s="3682"/>
      <c r="Y42" s="3226"/>
    </row>
    <row r="43" spans="1:25" s="3677" customFormat="1" ht="33" customHeight="1">
      <c r="A43" s="3706">
        <v>26</v>
      </c>
      <c r="B43" s="3673"/>
      <c r="C43" s="3708" t="s">
        <v>2256</v>
      </c>
      <c r="D43" s="3710" t="s">
        <v>167</v>
      </c>
      <c r="E43" s="3682"/>
      <c r="F43" s="3749"/>
      <c r="G43" s="3709">
        <f t="shared" si="1"/>
        <v>0</v>
      </c>
      <c r="H43" s="3709">
        <f>+VLOOKUP(C43,'Mủ CN (TT)'!C116:AI177,33,0)</f>
        <v>65</v>
      </c>
      <c r="I43" s="3680"/>
      <c r="J43" s="3602">
        <f>+VLOOKUP(C43,'Mủ CN (TT)'!C116:AK177,35,0)</f>
        <v>37.705663366336623</v>
      </c>
      <c r="K43" s="3603">
        <v>37.153704890708646</v>
      </c>
      <c r="L43" s="3711" t="str">
        <f>+VLOOKUP(C43,'Mủ CN (TT)'!C116:AL177,36,0)</f>
        <v>A</v>
      </c>
      <c r="M43" s="2688">
        <f t="shared" si="2"/>
        <v>148629</v>
      </c>
      <c r="N43" s="3711">
        <f>+VLOOKUP(C43,'Chấm công CN'!B116:AJ177,34,0)</f>
        <v>13</v>
      </c>
      <c r="O43" s="3711">
        <f>+VLOOKUP(C43,'Chấm công CN'!B116:AJ177,35,0)</f>
        <v>2</v>
      </c>
      <c r="P43" s="3712">
        <f t="shared" si="3"/>
        <v>15</v>
      </c>
      <c r="Q43" s="3712">
        <v>500000</v>
      </c>
      <c r="R43" s="2688">
        <f>ROUND((N43*(46.1*$E$11))+(O43*(76.9*$E$11))+(P43*20000),0)+Q43-0.02</f>
        <v>1293882.98</v>
      </c>
      <c r="S43" s="3711">
        <f t="shared" si="0"/>
        <v>1442511.98</v>
      </c>
      <c r="T43" s="3674"/>
      <c r="U43" s="3683"/>
      <c r="V43" s="3711">
        <f t="shared" si="4"/>
        <v>1442511.98</v>
      </c>
      <c r="W43" s="3682"/>
      <c r="Y43" s="3226"/>
    </row>
    <row r="44" spans="1:25" s="3677" customFormat="1" ht="33" customHeight="1">
      <c r="A44" s="3706">
        <v>27</v>
      </c>
      <c r="B44" s="3673"/>
      <c r="C44" s="3708" t="s">
        <v>2257</v>
      </c>
      <c r="D44" s="3710" t="s">
        <v>167</v>
      </c>
      <c r="E44" s="3682"/>
      <c r="F44" s="3749"/>
      <c r="G44" s="3709">
        <f t="shared" si="1"/>
        <v>0</v>
      </c>
      <c r="H44" s="3709">
        <f>+VLOOKUP(C44,'Mủ CN (TT)'!C117:AI178,33,0)</f>
        <v>197</v>
      </c>
      <c r="I44" s="3680"/>
      <c r="J44" s="3602">
        <f>+VLOOKUP(C44,'Mủ CN (TT)'!C117:AK178,35,0)</f>
        <v>114.27716435643562</v>
      </c>
      <c r="K44" s="3603">
        <v>112.60430559184005</v>
      </c>
      <c r="L44" s="3711" t="str">
        <f>+VLOOKUP(C44,'Mủ CN (TT)'!C117:AL178,36,0)</f>
        <v>A</v>
      </c>
      <c r="M44" s="2688">
        <f t="shared" si="2"/>
        <v>450460</v>
      </c>
      <c r="N44" s="3711">
        <f>+VLOOKUP(C44,'Chấm công CN'!B117:AJ178,34,0)</f>
        <v>15</v>
      </c>
      <c r="O44" s="3711">
        <f>+VLOOKUP(C44,'Chấm công CN'!B117:AJ178,35,0)</f>
        <v>3</v>
      </c>
      <c r="P44" s="3712">
        <f t="shared" si="3"/>
        <v>18</v>
      </c>
      <c r="Q44" s="3712">
        <v>500000</v>
      </c>
      <c r="R44" s="2688">
        <f>ROUND((N44*(46.1*$E$11))+(O44*(76.9*$E$11))+(P44*20000),0)+Q44-0.24</f>
        <v>1464778.76</v>
      </c>
      <c r="S44" s="3711">
        <f t="shared" si="0"/>
        <v>1915238.76</v>
      </c>
      <c r="T44" s="3674"/>
      <c r="U44" s="3683"/>
      <c r="V44" s="3711">
        <f t="shared" si="4"/>
        <v>1915238.76</v>
      </c>
      <c r="W44" s="3682"/>
      <c r="Y44" s="3226"/>
    </row>
    <row r="45" spans="1:25" s="3677" customFormat="1" ht="33" customHeight="1">
      <c r="A45" s="3706">
        <v>28</v>
      </c>
      <c r="B45" s="3673"/>
      <c r="C45" s="3708" t="s">
        <v>488</v>
      </c>
      <c r="D45" s="3710" t="s">
        <v>167</v>
      </c>
      <c r="E45" s="3682"/>
      <c r="F45" s="3749"/>
      <c r="G45" s="3709">
        <f t="shared" si="1"/>
        <v>0</v>
      </c>
      <c r="H45" s="3709">
        <f>+VLOOKUP(C45,'Mủ CN (TT)'!C118:AI179,33,0)</f>
        <v>194</v>
      </c>
      <c r="I45" s="3680"/>
      <c r="J45" s="3602">
        <f>+VLOOKUP(C45,'Mủ CN (TT)'!C118:AK179,35,0)</f>
        <v>112.53690297029701</v>
      </c>
      <c r="K45" s="3603">
        <v>110.88951921226888</v>
      </c>
      <c r="L45" s="3711" t="str">
        <f>+VLOOKUP(C45,'Mủ CN (TT)'!C118:AL179,36,0)</f>
        <v>A</v>
      </c>
      <c r="M45" s="2688">
        <f t="shared" si="2"/>
        <v>443600</v>
      </c>
      <c r="N45" s="3711">
        <f>+VLOOKUP(C45,'Chấm công CN'!B118:AJ179,34,0)</f>
        <v>15</v>
      </c>
      <c r="O45" s="3711">
        <f>+VLOOKUP(C45,'Chấm công CN'!B118:AJ179,35,0)</f>
        <v>3</v>
      </c>
      <c r="P45" s="3712">
        <f t="shared" si="3"/>
        <v>18</v>
      </c>
      <c r="Q45" s="3712">
        <v>500000</v>
      </c>
      <c r="R45" s="2688">
        <f>ROUND((N45*(46.1*$E$11))+(O45*(76.9*$E$11))+(P45*20000),0)+Q45-0.24</f>
        <v>1464778.76</v>
      </c>
      <c r="S45" s="3711">
        <f t="shared" si="0"/>
        <v>1908378.76</v>
      </c>
      <c r="T45" s="3674"/>
      <c r="U45" s="3683"/>
      <c r="V45" s="3711">
        <f t="shared" si="4"/>
        <v>1908378.76</v>
      </c>
      <c r="W45" s="3682"/>
      <c r="Y45" s="3226"/>
    </row>
    <row r="46" spans="1:25" s="3677" customFormat="1" ht="33" customHeight="1">
      <c r="A46" s="3706">
        <v>29</v>
      </c>
      <c r="B46" s="3673"/>
      <c r="C46" s="3708" t="s">
        <v>2258</v>
      </c>
      <c r="D46" s="3710" t="s">
        <v>167</v>
      </c>
      <c r="E46" s="3682"/>
      <c r="F46" s="3749"/>
      <c r="G46" s="3709">
        <f t="shared" si="1"/>
        <v>0</v>
      </c>
      <c r="H46" s="3709">
        <f>+VLOOKUP(C46,'Mủ CN (TT)'!C119:AI180,33,0)</f>
        <v>86</v>
      </c>
      <c r="I46" s="3680"/>
      <c r="J46" s="3602">
        <f>+VLOOKUP(C46,'Mủ CN (TT)'!C119:AK180,35,0)</f>
        <v>49.88749306930692</v>
      </c>
      <c r="K46" s="3603">
        <v>49.157209547706827</v>
      </c>
      <c r="L46" s="3711" t="str">
        <f>+VLOOKUP(C46,'Mủ CN (TT)'!C119:AL180,36,0)</f>
        <v>A</v>
      </c>
      <c r="M46" s="2688">
        <f t="shared" si="2"/>
        <v>196648</v>
      </c>
      <c r="N46" s="3711">
        <f>+VLOOKUP(C46,'Chấm công CN'!B119:AJ180,34,0)</f>
        <v>15</v>
      </c>
      <c r="O46" s="3711">
        <f>+VLOOKUP(C46,'Chấm công CN'!B119:AJ180,35,0)</f>
        <v>3</v>
      </c>
      <c r="P46" s="3712">
        <f t="shared" si="3"/>
        <v>18</v>
      </c>
      <c r="Q46" s="3712">
        <v>500000</v>
      </c>
      <c r="R46" s="2688">
        <f>ROUND((N46*(46.1*$E$11))+(O46*(76.9*$E$11))+(P46*20000),0)+Q46-0.24</f>
        <v>1464778.76</v>
      </c>
      <c r="S46" s="3711">
        <f t="shared" si="0"/>
        <v>1661426.76</v>
      </c>
      <c r="T46" s="3674"/>
      <c r="U46" s="3683"/>
      <c r="V46" s="3711">
        <f t="shared" si="4"/>
        <v>1661426.76</v>
      </c>
      <c r="W46" s="3682"/>
      <c r="Y46" s="3226"/>
    </row>
    <row r="47" spans="1:25" s="3677" customFormat="1" ht="33" customHeight="1">
      <c r="A47" s="3706">
        <v>30</v>
      </c>
      <c r="B47" s="3673"/>
      <c r="C47" s="3708" t="s">
        <v>2259</v>
      </c>
      <c r="D47" s="3710" t="s">
        <v>167</v>
      </c>
      <c r="E47" s="3682"/>
      <c r="F47" s="3749"/>
      <c r="G47" s="3709">
        <f t="shared" si="1"/>
        <v>0</v>
      </c>
      <c r="H47" s="3709">
        <f>+VLOOKUP(C47,'Mủ CN (TT)'!C120:AI181,33,0)</f>
        <v>86</v>
      </c>
      <c r="I47" s="3680"/>
      <c r="J47" s="3602">
        <f>+VLOOKUP(C47,'Mủ CN (TT)'!C120:AK181,35,0)</f>
        <v>49.88749306930692</v>
      </c>
      <c r="K47" s="3603">
        <v>49.157209547706827</v>
      </c>
      <c r="L47" s="3711" t="str">
        <f>+VLOOKUP(C47,'Mủ CN (TT)'!C120:AL181,36,0)</f>
        <v>A</v>
      </c>
      <c r="M47" s="2688">
        <f t="shared" si="2"/>
        <v>196648</v>
      </c>
      <c r="N47" s="3711">
        <f>+VLOOKUP(C47,'Chấm công CN'!B120:AJ181,34,0)</f>
        <v>15</v>
      </c>
      <c r="O47" s="3711">
        <f>+VLOOKUP(C47,'Chấm công CN'!B120:AJ181,35,0)</f>
        <v>3</v>
      </c>
      <c r="P47" s="3712">
        <f t="shared" si="3"/>
        <v>18</v>
      </c>
      <c r="Q47" s="3712">
        <v>500000</v>
      </c>
      <c r="R47" s="2688">
        <f>ROUND((N47*(46.1*$E$11))+(O47*(76.9*$E$11))+(P47*20000),0)+Q47-0.24</f>
        <v>1464778.76</v>
      </c>
      <c r="S47" s="3711">
        <f t="shared" si="0"/>
        <v>1661426.76</v>
      </c>
      <c r="T47" s="3674"/>
      <c r="U47" s="3683"/>
      <c r="V47" s="3711">
        <f t="shared" si="4"/>
        <v>1661426.76</v>
      </c>
      <c r="W47" s="3682"/>
      <c r="Y47" s="3226"/>
    </row>
    <row r="48" spans="1:25" s="3677" customFormat="1" ht="33" customHeight="1">
      <c r="A48" s="3706">
        <v>31</v>
      </c>
      <c r="B48" s="3673"/>
      <c r="C48" s="3708" t="s">
        <v>2260</v>
      </c>
      <c r="D48" s="3710" t="s">
        <v>167</v>
      </c>
      <c r="E48" s="3682"/>
      <c r="F48" s="3749"/>
      <c r="G48" s="3709">
        <f t="shared" si="1"/>
        <v>0</v>
      </c>
      <c r="H48" s="3709">
        <f>+VLOOKUP(C48,'Mủ CN (TT)'!C121:AI182,33,0)</f>
        <v>85</v>
      </c>
      <c r="I48" s="3680"/>
      <c r="J48" s="3602">
        <f>+VLOOKUP(C48,'Mủ CN (TT)'!C121:AK182,35,0)</f>
        <v>49.307405940594052</v>
      </c>
      <c r="K48" s="3603">
        <v>48.585614087849777</v>
      </c>
      <c r="L48" s="3711" t="str">
        <f>+VLOOKUP(C48,'Mủ CN (TT)'!C121:AL182,36,0)</f>
        <v>A</v>
      </c>
      <c r="M48" s="2688">
        <f t="shared" si="2"/>
        <v>194361</v>
      </c>
      <c r="N48" s="3711">
        <f>+VLOOKUP(C48,'Chấm công CN'!B121:AJ182,34,0)</f>
        <v>15</v>
      </c>
      <c r="O48" s="3711">
        <f>+VLOOKUP(C48,'Chấm công CN'!B121:AJ182,35,0)</f>
        <v>3</v>
      </c>
      <c r="P48" s="3712">
        <f t="shared" si="3"/>
        <v>18</v>
      </c>
      <c r="Q48" s="3712">
        <v>500000</v>
      </c>
      <c r="R48" s="2688">
        <f>ROUND((N48*(46.1*$E$11))+(O48*(76.9*$E$11))+(P48*20000),0)+Q48-0.24</f>
        <v>1464778.76</v>
      </c>
      <c r="S48" s="3711">
        <f t="shared" si="0"/>
        <v>1659139.76</v>
      </c>
      <c r="T48" s="3674"/>
      <c r="U48" s="3683"/>
      <c r="V48" s="3711">
        <f t="shared" si="4"/>
        <v>1659139.76</v>
      </c>
      <c r="W48" s="3682"/>
      <c r="Y48" s="3226"/>
    </row>
    <row r="49" spans="1:25" s="3677" customFormat="1" ht="33" customHeight="1">
      <c r="A49" s="3706">
        <v>32</v>
      </c>
      <c r="B49" s="3673"/>
      <c r="C49" s="3708" t="s">
        <v>2261</v>
      </c>
      <c r="D49" s="3710" t="s">
        <v>167</v>
      </c>
      <c r="E49" s="3682"/>
      <c r="F49" s="3749"/>
      <c r="G49" s="3709">
        <f t="shared" si="1"/>
        <v>0</v>
      </c>
      <c r="H49" s="3709">
        <f>+VLOOKUP(C49,'Mủ CN (TT)'!C122:AI183,33,0)</f>
        <v>0</v>
      </c>
      <c r="I49" s="3680"/>
      <c r="J49" s="3602">
        <f>+VLOOKUP(C49,'Mủ CN (TT)'!C122:AK183,35,0)</f>
        <v>0</v>
      </c>
      <c r="K49" s="3603">
        <v>0</v>
      </c>
      <c r="L49" s="3711" t="str">
        <f>+VLOOKUP(C49,'Mủ CN (TT)'!C122:AL183,36,0)</f>
        <v>A</v>
      </c>
      <c r="M49" s="2688">
        <f t="shared" si="2"/>
        <v>0</v>
      </c>
      <c r="N49" s="3711">
        <f>+VLOOKUP(C49,'Chấm công CN'!B122:AJ183,34,0)</f>
        <v>13</v>
      </c>
      <c r="O49" s="3711">
        <f>+VLOOKUP(C49,'Chấm công CN'!B122:AJ183,35,0)</f>
        <v>3</v>
      </c>
      <c r="P49" s="3712">
        <f t="shared" si="3"/>
        <v>16</v>
      </c>
      <c r="Q49" s="3712">
        <v>500000</v>
      </c>
      <c r="R49" s="2688">
        <f t="shared" si="6"/>
        <v>1364314</v>
      </c>
      <c r="S49" s="3711">
        <f t="shared" si="0"/>
        <v>1364314</v>
      </c>
      <c r="T49" s="3674"/>
      <c r="U49" s="3683"/>
      <c r="V49" s="3711">
        <f t="shared" si="4"/>
        <v>1364314</v>
      </c>
      <c r="W49" s="3682"/>
      <c r="Y49" s="3226"/>
    </row>
    <row r="50" spans="1:25" s="3677" customFormat="1" ht="33" customHeight="1">
      <c r="A50" s="3706">
        <v>33</v>
      </c>
      <c r="B50" s="3673"/>
      <c r="C50" s="3708" t="s">
        <v>1504</v>
      </c>
      <c r="D50" s="3710" t="s">
        <v>167</v>
      </c>
      <c r="E50" s="3682"/>
      <c r="F50" s="3749"/>
      <c r="G50" s="3709">
        <f t="shared" si="1"/>
        <v>0</v>
      </c>
      <c r="H50" s="3709">
        <f>+VLOOKUP(C50,'Mủ CN (TT)'!C123:AI184,33,0)</f>
        <v>209</v>
      </c>
      <c r="I50" s="3680"/>
      <c r="J50" s="3602">
        <f>+VLOOKUP(C50,'Mủ CN (TT)'!C123:AK184,35,0)</f>
        <v>121.23820990099007</v>
      </c>
      <c r="K50" s="3603">
        <v>119.46345111012472</v>
      </c>
      <c r="L50" s="3711" t="str">
        <f>+VLOOKUP(C50,'Mủ CN (TT)'!C123:AL184,36,0)</f>
        <v>A</v>
      </c>
      <c r="M50" s="2688">
        <f t="shared" si="2"/>
        <v>477899</v>
      </c>
      <c r="N50" s="3711">
        <f>+VLOOKUP(C50,'Chấm công CN'!B123:AJ184,34,0)</f>
        <v>14</v>
      </c>
      <c r="O50" s="3711">
        <f>+VLOOKUP(C50,'Chấm công CN'!B123:AJ184,35,0)</f>
        <v>3</v>
      </c>
      <c r="P50" s="3712">
        <f t="shared" si="3"/>
        <v>17</v>
      </c>
      <c r="Q50" s="3712">
        <v>500000</v>
      </c>
      <c r="R50" s="2688">
        <f>ROUND((N50*(46.1*$E$11))+(O50*(76.9*$E$11))+(P50*20000),0)+Q50+0.38</f>
        <v>1414546.38</v>
      </c>
      <c r="S50" s="3711">
        <f t="shared" ref="S50:S81" si="9">+G50+M50+R50</f>
        <v>1892445.38</v>
      </c>
      <c r="T50" s="3674"/>
      <c r="U50" s="3683"/>
      <c r="V50" s="3711">
        <f t="shared" si="4"/>
        <v>1892445.38</v>
      </c>
      <c r="W50" s="3682"/>
      <c r="Y50" s="3226"/>
    </row>
    <row r="51" spans="1:25" s="3677" customFormat="1" ht="33" customHeight="1">
      <c r="A51" s="3706">
        <v>34</v>
      </c>
      <c r="B51" s="3673"/>
      <c r="C51" s="3708" t="s">
        <v>2262</v>
      </c>
      <c r="D51" s="3710" t="s">
        <v>167</v>
      </c>
      <c r="E51" s="3682"/>
      <c r="F51" s="3749"/>
      <c r="G51" s="3709">
        <f t="shared" si="1"/>
        <v>0</v>
      </c>
      <c r="H51" s="3709">
        <f>+VLOOKUP(C51,'Mủ CN (TT)'!C124:AI185,33,0)</f>
        <v>83</v>
      </c>
      <c r="I51" s="3680"/>
      <c r="J51" s="3602">
        <f>+VLOOKUP(C51,'Mủ CN (TT)'!C124:AK185,35,0)</f>
        <v>48.147231683168307</v>
      </c>
      <c r="K51" s="3603">
        <v>47.442423168135662</v>
      </c>
      <c r="L51" s="3711" t="str">
        <f>+VLOOKUP(C51,'Mủ CN (TT)'!C124:AL185,36,0)</f>
        <v>A</v>
      </c>
      <c r="M51" s="2688">
        <f t="shared" si="2"/>
        <v>189788</v>
      </c>
      <c r="N51" s="3711">
        <f>+VLOOKUP(C51,'Chấm công CN'!B124:AJ185,34,0)</f>
        <v>10</v>
      </c>
      <c r="O51" s="3711">
        <f>+VLOOKUP(C51,'Chấm công CN'!B124:AJ185,35,0)</f>
        <v>2</v>
      </c>
      <c r="P51" s="3712">
        <f t="shared" si="3"/>
        <v>12</v>
      </c>
      <c r="Q51" s="3712">
        <v>500000</v>
      </c>
      <c r="R51" s="2688">
        <f>ROUND((N51*(46.1*$E$11))+(O51*(76.9*$E$11))+(P51*20000),0)+Q51-0.16</f>
        <v>1143185.8400000001</v>
      </c>
      <c r="S51" s="3711">
        <f t="shared" si="9"/>
        <v>1332973.8400000001</v>
      </c>
      <c r="T51" s="3674"/>
      <c r="U51" s="3683"/>
      <c r="V51" s="3711">
        <f t="shared" si="4"/>
        <v>1332973.8400000001</v>
      </c>
      <c r="W51" s="3682"/>
      <c r="Y51" s="3226"/>
    </row>
    <row r="52" spans="1:25" s="3677" customFormat="1" ht="33" customHeight="1">
      <c r="A52" s="3706">
        <v>35</v>
      </c>
      <c r="B52" s="3673"/>
      <c r="C52" s="3708" t="s">
        <v>2263</v>
      </c>
      <c r="D52" s="3710" t="s">
        <v>167</v>
      </c>
      <c r="E52" s="3682"/>
      <c r="F52" s="3749"/>
      <c r="G52" s="3709">
        <f t="shared" si="1"/>
        <v>0</v>
      </c>
      <c r="H52" s="3709">
        <f>+VLOOKUP(C52,'Mủ CN (TT)'!C125:AI186,33,0)</f>
        <v>83</v>
      </c>
      <c r="I52" s="3680"/>
      <c r="J52" s="3602">
        <f>+VLOOKUP(C52,'Mủ CN (TT)'!C125:AK186,35,0)</f>
        <v>48.147231683168307</v>
      </c>
      <c r="K52" s="3603">
        <v>47.442423168135662</v>
      </c>
      <c r="L52" s="3711" t="str">
        <f>+VLOOKUP(C52,'Mủ CN (TT)'!C125:AL186,36,0)</f>
        <v>A</v>
      </c>
      <c r="M52" s="2688">
        <f t="shared" si="2"/>
        <v>189788</v>
      </c>
      <c r="N52" s="3711">
        <f>+VLOOKUP(C52,'Chấm công CN'!B125:AJ186,34,0)</f>
        <v>10</v>
      </c>
      <c r="O52" s="3711">
        <f>+VLOOKUP(C52,'Chấm công CN'!B125:AJ186,35,0)</f>
        <v>2</v>
      </c>
      <c r="P52" s="3712">
        <f t="shared" si="3"/>
        <v>12</v>
      </c>
      <c r="Q52" s="3712">
        <v>500000</v>
      </c>
      <c r="R52" s="2688">
        <f>ROUND((N52*(46.1*$E$11))+(O52*(76.9*$E$11))+(P52*20000),0)+Q52-0.16</f>
        <v>1143185.8400000001</v>
      </c>
      <c r="S52" s="3711">
        <f t="shared" si="9"/>
        <v>1332973.8400000001</v>
      </c>
      <c r="T52" s="3674"/>
      <c r="U52" s="3683"/>
      <c r="V52" s="3711">
        <f t="shared" si="4"/>
        <v>1332973.8400000001</v>
      </c>
      <c r="W52" s="3682"/>
      <c r="Y52" s="3226"/>
    </row>
    <row r="53" spans="1:25" s="3677" customFormat="1" ht="33" customHeight="1">
      <c r="A53" s="3706">
        <v>36</v>
      </c>
      <c r="B53" s="3673"/>
      <c r="C53" s="3708" t="s">
        <v>1491</v>
      </c>
      <c r="D53" s="3710" t="s">
        <v>167</v>
      </c>
      <c r="E53" s="3682"/>
      <c r="F53" s="3749"/>
      <c r="G53" s="3709">
        <f t="shared" si="1"/>
        <v>0</v>
      </c>
      <c r="H53" s="3709">
        <f>+VLOOKUP(C53,'Mủ CN (TT)'!C126:AI187,33,0)</f>
        <v>237</v>
      </c>
      <c r="I53" s="3680"/>
      <c r="J53" s="3602">
        <f>+VLOOKUP(C53,'Mủ CN (TT)'!C126:AK187,35,0)</f>
        <v>137.48064950495046</v>
      </c>
      <c r="K53" s="3603">
        <v>135.46812398612229</v>
      </c>
      <c r="L53" s="3711" t="str">
        <f>+VLOOKUP(C53,'Mủ CN (TT)'!C126:AL187,36,0)</f>
        <v>A</v>
      </c>
      <c r="M53" s="2688">
        <f t="shared" si="2"/>
        <v>541924</v>
      </c>
      <c r="N53" s="3711">
        <f>+VLOOKUP(C53,'Chấm công CN'!B126:AJ187,34,0)</f>
        <v>13</v>
      </c>
      <c r="O53" s="3711">
        <f>+VLOOKUP(C53,'Chấm công CN'!B126:AJ187,35,0)</f>
        <v>3</v>
      </c>
      <c r="P53" s="3712">
        <f t="shared" si="3"/>
        <v>16</v>
      </c>
      <c r="Q53" s="3712">
        <v>500000</v>
      </c>
      <c r="R53" s="2688">
        <f t="shared" si="6"/>
        <v>1364314</v>
      </c>
      <c r="S53" s="3711">
        <f t="shared" si="9"/>
        <v>1906238</v>
      </c>
      <c r="T53" s="3674"/>
      <c r="U53" s="3683"/>
      <c r="V53" s="3711">
        <f t="shared" si="4"/>
        <v>1906238</v>
      </c>
      <c r="W53" s="3682"/>
      <c r="Y53" s="3226"/>
    </row>
    <row r="54" spans="1:25" s="3677" customFormat="1" ht="33" customHeight="1">
      <c r="A54" s="3706">
        <v>37</v>
      </c>
      <c r="B54" s="3673"/>
      <c r="C54" s="3708" t="s">
        <v>1492</v>
      </c>
      <c r="D54" s="3710" t="s">
        <v>167</v>
      </c>
      <c r="E54" s="3682"/>
      <c r="F54" s="3749"/>
      <c r="G54" s="3709">
        <f t="shared" si="1"/>
        <v>0</v>
      </c>
      <c r="H54" s="3709">
        <f>+VLOOKUP(C54,'Mủ CN (TT)'!C127:AI188,33,0)</f>
        <v>280</v>
      </c>
      <c r="I54" s="3680"/>
      <c r="J54" s="3602">
        <f>+VLOOKUP(C54,'Mủ CN (TT)'!C127:AK188,35,0)</f>
        <v>162.42439603960392</v>
      </c>
      <c r="K54" s="3603">
        <v>160.04672875997571</v>
      </c>
      <c r="L54" s="3711" t="str">
        <f>+VLOOKUP(C54,'Mủ CN (TT)'!C127:AL188,36,0)</f>
        <v>A</v>
      </c>
      <c r="M54" s="2688">
        <f t="shared" si="2"/>
        <v>640248</v>
      </c>
      <c r="N54" s="3711">
        <f>+VLOOKUP(C54,'Chấm công CN'!B127:AJ188,34,0)</f>
        <v>13</v>
      </c>
      <c r="O54" s="3711">
        <f>+VLOOKUP(C54,'Chấm công CN'!B127:AJ188,35,0)</f>
        <v>3</v>
      </c>
      <c r="P54" s="3712">
        <f t="shared" si="3"/>
        <v>16</v>
      </c>
      <c r="Q54" s="3712">
        <v>500000</v>
      </c>
      <c r="R54" s="2688">
        <f t="shared" si="6"/>
        <v>1364314</v>
      </c>
      <c r="S54" s="3711">
        <f t="shared" si="9"/>
        <v>2004562</v>
      </c>
      <c r="T54" s="3674"/>
      <c r="U54" s="3683"/>
      <c r="V54" s="3711">
        <f t="shared" si="4"/>
        <v>2004562</v>
      </c>
      <c r="W54" s="3682"/>
      <c r="Y54" s="3226"/>
    </row>
    <row r="55" spans="1:25" s="3677" customFormat="1" ht="33" customHeight="1">
      <c r="A55" s="3706">
        <v>38</v>
      </c>
      <c r="B55" s="3673"/>
      <c r="C55" s="3708" t="s">
        <v>1712</v>
      </c>
      <c r="D55" s="3710" t="s">
        <v>167</v>
      </c>
      <c r="E55" s="3682"/>
      <c r="F55" s="3749"/>
      <c r="G55" s="3709">
        <f t="shared" si="1"/>
        <v>0</v>
      </c>
      <c r="H55" s="3709">
        <f>+VLOOKUP(C55,'Mủ CN (TT)'!C128:AI189,33,0)</f>
        <v>25</v>
      </c>
      <c r="I55" s="3680"/>
      <c r="J55" s="3602">
        <f>+VLOOKUP(C55,'Mủ CN (TT)'!C128:AK189,35,0)</f>
        <v>14.502178217821779</v>
      </c>
      <c r="K55" s="3603">
        <v>14.289886496426403</v>
      </c>
      <c r="L55" s="3711" t="str">
        <f>+VLOOKUP(C55,'Mủ CN (TT)'!C128:AL189,36,0)</f>
        <v>A</v>
      </c>
      <c r="M55" s="2688">
        <f t="shared" si="2"/>
        <v>57165</v>
      </c>
      <c r="N55" s="3711">
        <f>+VLOOKUP(C55,'Chấm công CN'!B128:AJ189,34,0)</f>
        <v>14</v>
      </c>
      <c r="O55" s="3711">
        <f>+VLOOKUP(C55,'Chấm công CN'!B128:AJ189,35,0)</f>
        <v>2</v>
      </c>
      <c r="P55" s="3712">
        <f t="shared" si="3"/>
        <v>16</v>
      </c>
      <c r="Q55" s="3712">
        <v>500000</v>
      </c>
      <c r="R55" s="2688">
        <f>ROUND((N55*(46.1*$E$11))+(O55*(76.9*$E$11))+(P55*20000),0)+Q55+0.36</f>
        <v>1344115.36</v>
      </c>
      <c r="S55" s="3711">
        <f t="shared" si="9"/>
        <v>1401280.36</v>
      </c>
      <c r="T55" s="3674"/>
      <c r="U55" s="3683"/>
      <c r="V55" s="3711">
        <f t="shared" si="4"/>
        <v>1401280.36</v>
      </c>
      <c r="W55" s="3682"/>
      <c r="Y55" s="3226"/>
    </row>
    <row r="56" spans="1:25" s="3677" customFormat="1" ht="33" customHeight="1">
      <c r="A56" s="3706">
        <v>39</v>
      </c>
      <c r="B56" s="3673"/>
      <c r="C56" s="3708" t="s">
        <v>1538</v>
      </c>
      <c r="D56" s="3710" t="s">
        <v>167</v>
      </c>
      <c r="E56" s="3682"/>
      <c r="F56" s="3749"/>
      <c r="G56" s="3709">
        <f t="shared" si="1"/>
        <v>0</v>
      </c>
      <c r="H56" s="3709">
        <f>+VLOOKUP(C56,'Mủ CN (TT)'!C129:AI190,33,0)</f>
        <v>168</v>
      </c>
      <c r="I56" s="3680"/>
      <c r="J56" s="3602">
        <f>+VLOOKUP(C56,'Mủ CN (TT)'!C129:AK190,35,0)</f>
        <v>97.454637623762352</v>
      </c>
      <c r="K56" s="3603">
        <v>96.028037255985438</v>
      </c>
      <c r="L56" s="3711" t="str">
        <f>+VLOOKUP(C56,'Mủ CN (TT)'!C129:AL190,36,0)</f>
        <v>A</v>
      </c>
      <c r="M56" s="2688">
        <f t="shared" si="2"/>
        <v>384149</v>
      </c>
      <c r="N56" s="3711">
        <f>+VLOOKUP(C56,'Chấm công CN'!B129:AJ190,34,0)</f>
        <v>15</v>
      </c>
      <c r="O56" s="3711">
        <f>+VLOOKUP(C56,'Chấm công CN'!B129:AJ190,35,0)</f>
        <v>3</v>
      </c>
      <c r="P56" s="3712">
        <f t="shared" si="3"/>
        <v>18</v>
      </c>
      <c r="Q56" s="3712">
        <v>500000</v>
      </c>
      <c r="R56" s="2688">
        <f>ROUND((N56*(46.1*$E$11))+(O56*(76.9*$E$11))+(P56*20000),0)+Q56-0.24</f>
        <v>1464778.76</v>
      </c>
      <c r="S56" s="3711">
        <f t="shared" si="9"/>
        <v>1848927.76</v>
      </c>
      <c r="T56" s="3674"/>
      <c r="U56" s="3683"/>
      <c r="V56" s="3711">
        <f t="shared" si="4"/>
        <v>1848927.76</v>
      </c>
      <c r="W56" s="3682"/>
      <c r="Y56" s="3226"/>
    </row>
    <row r="57" spans="1:25" s="3677" customFormat="1" ht="33" customHeight="1">
      <c r="A57" s="3706">
        <v>40</v>
      </c>
      <c r="B57" s="3673"/>
      <c r="C57" s="3708" t="s">
        <v>2264</v>
      </c>
      <c r="D57" s="3710" t="s">
        <v>167</v>
      </c>
      <c r="E57" s="3682"/>
      <c r="F57" s="3749"/>
      <c r="G57" s="3709">
        <f t="shared" si="1"/>
        <v>0</v>
      </c>
      <c r="H57" s="3709">
        <f>+VLOOKUP(C57,'Mủ CN (TT)'!C130:AI191,33,0)</f>
        <v>185</v>
      </c>
      <c r="I57" s="3680"/>
      <c r="J57" s="3602">
        <f>+VLOOKUP(C57,'Mủ CN (TT)'!C130:AK191,35,0)</f>
        <v>107.31611881188117</v>
      </c>
      <c r="K57" s="3603">
        <v>105.7451600735554</v>
      </c>
      <c r="L57" s="3711" t="str">
        <f>+VLOOKUP(C57,'Mủ CN (TT)'!C130:AL191,36,0)</f>
        <v>A</v>
      </c>
      <c r="M57" s="2688">
        <f t="shared" si="2"/>
        <v>423021</v>
      </c>
      <c r="N57" s="3711">
        <f>+VLOOKUP(C57,'Chấm công CN'!B130:AJ191,34,0)</f>
        <v>15</v>
      </c>
      <c r="O57" s="3711">
        <f>+VLOOKUP(C57,'Chấm công CN'!B130:AJ191,35,0)</f>
        <v>3</v>
      </c>
      <c r="P57" s="3712">
        <f t="shared" si="3"/>
        <v>18</v>
      </c>
      <c r="Q57" s="3712">
        <v>500000</v>
      </c>
      <c r="R57" s="2688">
        <f t="shared" ref="R57:R59" si="10">ROUND((N57*(46.1*$E$11))+(O57*(76.9*$E$11))+(P57*20000),0)+Q57-0.24</f>
        <v>1464778.76</v>
      </c>
      <c r="S57" s="3711">
        <f t="shared" si="9"/>
        <v>1887799.76</v>
      </c>
      <c r="T57" s="3674"/>
      <c r="U57" s="3683"/>
      <c r="V57" s="3711">
        <f t="shared" si="4"/>
        <v>1887799.76</v>
      </c>
      <c r="W57" s="3682"/>
      <c r="Y57" s="3226"/>
    </row>
    <row r="58" spans="1:25" s="3677" customFormat="1" ht="33" customHeight="1">
      <c r="A58" s="3706">
        <v>41</v>
      </c>
      <c r="B58" s="3673"/>
      <c r="C58" s="3708" t="s">
        <v>2265</v>
      </c>
      <c r="D58" s="3710" t="s">
        <v>167</v>
      </c>
      <c r="E58" s="3682"/>
      <c r="F58" s="3749"/>
      <c r="G58" s="3709">
        <f t="shared" si="1"/>
        <v>0</v>
      </c>
      <c r="H58" s="3709">
        <f>+VLOOKUP(C58,'Mủ CN (TT)'!C131:AI192,33,0)</f>
        <v>148</v>
      </c>
      <c r="I58" s="3680"/>
      <c r="J58" s="3602">
        <f>+VLOOKUP(C58,'Mủ CN (TT)'!C131:AK192,35,0)</f>
        <v>85.852895049504937</v>
      </c>
      <c r="K58" s="3603">
        <v>84.5961280588443</v>
      </c>
      <c r="L58" s="3711" t="str">
        <f>+VLOOKUP(C58,'Mủ CN (TT)'!C131:AL192,36,0)</f>
        <v>A</v>
      </c>
      <c r="M58" s="2688">
        <f t="shared" si="2"/>
        <v>338417</v>
      </c>
      <c r="N58" s="3711">
        <f>+VLOOKUP(C58,'Chấm công CN'!B131:AJ192,34,0)</f>
        <v>15</v>
      </c>
      <c r="O58" s="3711">
        <f>+VLOOKUP(C58,'Chấm công CN'!B131:AJ192,35,0)</f>
        <v>3</v>
      </c>
      <c r="P58" s="3712">
        <f t="shared" si="3"/>
        <v>18</v>
      </c>
      <c r="Q58" s="3712">
        <v>500000</v>
      </c>
      <c r="R58" s="2688">
        <f t="shared" si="10"/>
        <v>1464778.76</v>
      </c>
      <c r="S58" s="3711">
        <f t="shared" si="9"/>
        <v>1803195.76</v>
      </c>
      <c r="T58" s="3674"/>
      <c r="U58" s="3683"/>
      <c r="V58" s="3711">
        <f t="shared" si="4"/>
        <v>1803195.76</v>
      </c>
      <c r="W58" s="3682"/>
      <c r="Y58" s="3226"/>
    </row>
    <row r="59" spans="1:25" s="3677" customFormat="1" ht="33" customHeight="1">
      <c r="A59" s="3706">
        <v>42</v>
      </c>
      <c r="B59" s="3673"/>
      <c r="C59" s="3708" t="s">
        <v>2266</v>
      </c>
      <c r="D59" s="3710" t="s">
        <v>167</v>
      </c>
      <c r="E59" s="3682"/>
      <c r="F59" s="3749"/>
      <c r="G59" s="3709">
        <f t="shared" si="1"/>
        <v>0</v>
      </c>
      <c r="H59" s="3709">
        <f>+VLOOKUP(C59,'Mủ CN (TT)'!C132:AI193,33,0)</f>
        <v>149</v>
      </c>
      <c r="I59" s="3680"/>
      <c r="J59" s="3602">
        <f>+VLOOKUP(C59,'Mủ CN (TT)'!C132:AK193,35,0)</f>
        <v>86.432982178217799</v>
      </c>
      <c r="K59" s="3603">
        <v>85.167723518701365</v>
      </c>
      <c r="L59" s="3711" t="str">
        <f>+VLOOKUP(C59,'Mủ CN (TT)'!C132:AL193,36,0)</f>
        <v>A</v>
      </c>
      <c r="M59" s="2688">
        <f t="shared" si="2"/>
        <v>340703</v>
      </c>
      <c r="N59" s="3711">
        <f>+VLOOKUP(C59,'Chấm công CN'!B132:AJ193,34,0)</f>
        <v>15</v>
      </c>
      <c r="O59" s="3711">
        <f>+VLOOKUP(C59,'Chấm công CN'!B132:AJ193,35,0)</f>
        <v>3</v>
      </c>
      <c r="P59" s="3712">
        <f t="shared" si="3"/>
        <v>18</v>
      </c>
      <c r="Q59" s="3712">
        <v>500000</v>
      </c>
      <c r="R59" s="2688">
        <f t="shared" si="10"/>
        <v>1464778.76</v>
      </c>
      <c r="S59" s="3711">
        <f t="shared" si="9"/>
        <v>1805481.76</v>
      </c>
      <c r="T59" s="3674"/>
      <c r="U59" s="3683"/>
      <c r="V59" s="3711">
        <f t="shared" si="4"/>
        <v>1805481.76</v>
      </c>
      <c r="W59" s="3682"/>
      <c r="Y59" s="3226"/>
    </row>
    <row r="60" spans="1:25" s="3677" customFormat="1" ht="33" customHeight="1">
      <c r="A60" s="3706">
        <v>43</v>
      </c>
      <c r="B60" s="3673"/>
      <c r="C60" s="3708" t="s">
        <v>2267</v>
      </c>
      <c r="D60" s="3710" t="s">
        <v>167</v>
      </c>
      <c r="E60" s="3682"/>
      <c r="F60" s="3749"/>
      <c r="G60" s="3709">
        <f t="shared" si="1"/>
        <v>0</v>
      </c>
      <c r="H60" s="3709">
        <f>+VLOOKUP(C60,'Mủ CN (TT)'!C133:AI194,33,0)</f>
        <v>0</v>
      </c>
      <c r="I60" s="3680"/>
      <c r="J60" s="3602">
        <f>+VLOOKUP(C60,'Mủ CN (TT)'!C133:AK194,35,0)</f>
        <v>0</v>
      </c>
      <c r="K60" s="3603">
        <v>0</v>
      </c>
      <c r="L60" s="3711" t="str">
        <f>+VLOOKUP(C60,'Mủ CN (TT)'!C133:AL194,36,0)</f>
        <v>B</v>
      </c>
      <c r="M60" s="2688">
        <f t="shared" si="2"/>
        <v>0</v>
      </c>
      <c r="N60" s="3711">
        <f>+VLOOKUP(C60,'Chấm công CN'!B133:AJ194,34,0)</f>
        <v>7</v>
      </c>
      <c r="O60" s="3711">
        <f>+VLOOKUP(C60,'Chấm công CN'!B133:AJ194,35,0)</f>
        <v>2</v>
      </c>
      <c r="P60" s="3712">
        <f t="shared" si="3"/>
        <v>9</v>
      </c>
      <c r="Q60" s="3712">
        <v>500000</v>
      </c>
      <c r="R60" s="2688">
        <f>ROUND((N60*(46.1*$E$11))+(O60*(76.9*$E$11))+(P60*20000),0)+Q60-0.3</f>
        <v>992488.7</v>
      </c>
      <c r="S60" s="3711">
        <f t="shared" si="9"/>
        <v>992488.7</v>
      </c>
      <c r="T60" s="3674"/>
      <c r="U60" s="3683"/>
      <c r="V60" s="3711">
        <f t="shared" si="4"/>
        <v>992488.7</v>
      </c>
      <c r="W60" s="3682"/>
      <c r="Y60" s="3226"/>
    </row>
    <row r="61" spans="1:25" s="3677" customFormat="1" ht="33" customHeight="1">
      <c r="A61" s="3706">
        <v>44</v>
      </c>
      <c r="B61" s="3673"/>
      <c r="C61" s="3708" t="s">
        <v>2268</v>
      </c>
      <c r="D61" s="3710" t="s">
        <v>167</v>
      </c>
      <c r="E61" s="3682"/>
      <c r="F61" s="3749"/>
      <c r="G61" s="3709">
        <f t="shared" si="1"/>
        <v>0</v>
      </c>
      <c r="H61" s="3709">
        <f>+VLOOKUP(C61,'Mủ CN (TT)'!C134:AI195,33,0)</f>
        <v>109</v>
      </c>
      <c r="I61" s="3680"/>
      <c r="J61" s="3602">
        <f>+VLOOKUP(C61,'Mủ CN (TT)'!C134:AK195,35,0)</f>
        <v>63.229497029702955</v>
      </c>
      <c r="K61" s="3603">
        <v>62.30390512441911</v>
      </c>
      <c r="L61" s="3711" t="str">
        <f>+VLOOKUP(C61,'Mủ CN (TT)'!C134:AL195,36,0)</f>
        <v>A</v>
      </c>
      <c r="M61" s="2688">
        <f t="shared" si="2"/>
        <v>249239</v>
      </c>
      <c r="N61" s="3711">
        <f>+VLOOKUP(C61,'Chấm công CN'!B134:AJ195,34,0)</f>
        <v>13</v>
      </c>
      <c r="O61" s="3711">
        <f>+VLOOKUP(C61,'Chấm công CN'!B134:AJ195,35,0)</f>
        <v>3</v>
      </c>
      <c r="P61" s="3712">
        <f t="shared" si="3"/>
        <v>16</v>
      </c>
      <c r="Q61" s="3712">
        <v>500000</v>
      </c>
      <c r="R61" s="2688">
        <f t="shared" si="6"/>
        <v>1364314</v>
      </c>
      <c r="S61" s="3711">
        <f t="shared" si="9"/>
        <v>1613553</v>
      </c>
      <c r="T61" s="3674"/>
      <c r="U61" s="3683"/>
      <c r="V61" s="3711">
        <f t="shared" si="4"/>
        <v>1613553</v>
      </c>
      <c r="W61" s="3682"/>
      <c r="Y61" s="3226"/>
    </row>
    <row r="62" spans="1:25" s="3677" customFormat="1" ht="33" customHeight="1">
      <c r="A62" s="3706">
        <v>45</v>
      </c>
      <c r="B62" s="3673"/>
      <c r="C62" s="3708" t="s">
        <v>2269</v>
      </c>
      <c r="D62" s="3710" t="s">
        <v>167</v>
      </c>
      <c r="E62" s="3682"/>
      <c r="F62" s="3749"/>
      <c r="G62" s="3709">
        <f t="shared" si="1"/>
        <v>0</v>
      </c>
      <c r="H62" s="3709">
        <f>+VLOOKUP(C62,'Mủ CN (TT)'!C135:AI196,33,0)</f>
        <v>45</v>
      </c>
      <c r="I62" s="3680"/>
      <c r="J62" s="3602">
        <f>+VLOOKUP(C62,'Mủ CN (TT)'!C135:AK196,35,0)</f>
        <v>26.103920792079201</v>
      </c>
      <c r="K62" s="3603">
        <v>25.721795693567525</v>
      </c>
      <c r="L62" s="3711" t="str">
        <f>+VLOOKUP(C62,'Mủ CN (TT)'!C135:AL196,36,0)</f>
        <v>A</v>
      </c>
      <c r="M62" s="2688">
        <f t="shared" si="2"/>
        <v>102897</v>
      </c>
      <c r="N62" s="3711">
        <f>+VLOOKUP(C62,'Chấm công CN'!B135:AJ196,34,0)</f>
        <v>14</v>
      </c>
      <c r="O62" s="3711">
        <f>+VLOOKUP(C62,'Chấm công CN'!B135:AJ196,35,0)</f>
        <v>3</v>
      </c>
      <c r="P62" s="3712">
        <f t="shared" si="3"/>
        <v>17</v>
      </c>
      <c r="Q62" s="3712">
        <v>500000</v>
      </c>
      <c r="R62" s="2688">
        <f t="shared" si="6"/>
        <v>1414546</v>
      </c>
      <c r="S62" s="3711">
        <f t="shared" si="9"/>
        <v>1517443</v>
      </c>
      <c r="T62" s="3674"/>
      <c r="U62" s="3683"/>
      <c r="V62" s="3711">
        <f t="shared" si="4"/>
        <v>1517443</v>
      </c>
      <c r="W62" s="3682"/>
      <c r="Y62" s="3226"/>
    </row>
    <row r="63" spans="1:25" s="3677" customFormat="1" ht="33" customHeight="1">
      <c r="A63" s="3706">
        <v>46</v>
      </c>
      <c r="B63" s="3673"/>
      <c r="C63" s="3708" t="s">
        <v>2270</v>
      </c>
      <c r="D63" s="3710" t="s">
        <v>167</v>
      </c>
      <c r="E63" s="3682"/>
      <c r="F63" s="3749"/>
      <c r="G63" s="3709">
        <f t="shared" si="1"/>
        <v>0</v>
      </c>
      <c r="H63" s="3709">
        <f>+VLOOKUP(C63,'Mủ CN (TT)'!C136:AI197,33,0)</f>
        <v>135</v>
      </c>
      <c r="I63" s="3680"/>
      <c r="J63" s="3602">
        <f>+VLOOKUP(C63,'Mủ CN (TT)'!C136:AK197,35,0)</f>
        <v>78.31176237623761</v>
      </c>
      <c r="K63" s="3603">
        <v>77.165387080702587</v>
      </c>
      <c r="L63" s="3711" t="str">
        <f>+VLOOKUP(C63,'Mủ CN (TT)'!C136:AL197,36,0)</f>
        <v>A</v>
      </c>
      <c r="M63" s="2688">
        <f t="shared" si="2"/>
        <v>308691</v>
      </c>
      <c r="N63" s="3711">
        <f>+VLOOKUP(C63,'Chấm công CN'!B136:AJ197,34,0)</f>
        <v>14</v>
      </c>
      <c r="O63" s="3711">
        <f>+VLOOKUP(C63,'Chấm công CN'!B136:AJ197,35,0)</f>
        <v>3</v>
      </c>
      <c r="P63" s="3712">
        <f t="shared" si="3"/>
        <v>17</v>
      </c>
      <c r="Q63" s="3712">
        <v>500000</v>
      </c>
      <c r="R63" s="2688">
        <f t="shared" si="6"/>
        <v>1414546</v>
      </c>
      <c r="S63" s="3711">
        <f t="shared" si="9"/>
        <v>1723237</v>
      </c>
      <c r="T63" s="3674"/>
      <c r="U63" s="3683"/>
      <c r="V63" s="3711">
        <f t="shared" si="4"/>
        <v>1723237</v>
      </c>
      <c r="W63" s="3682"/>
      <c r="Y63" s="3226"/>
    </row>
    <row r="64" spans="1:25" s="3677" customFormat="1" ht="33" customHeight="1">
      <c r="A64" s="3706">
        <v>47</v>
      </c>
      <c r="B64" s="3673"/>
      <c r="C64" s="3708" t="s">
        <v>486</v>
      </c>
      <c r="D64" s="3710" t="s">
        <v>167</v>
      </c>
      <c r="E64" s="3682"/>
      <c r="F64" s="3749"/>
      <c r="G64" s="3709">
        <f t="shared" si="1"/>
        <v>0</v>
      </c>
      <c r="H64" s="3709">
        <f>+VLOOKUP(C64,'Mủ CN (TT)'!C137:AI198,33,0)</f>
        <v>85</v>
      </c>
      <c r="I64" s="3680"/>
      <c r="J64" s="3602">
        <f>+VLOOKUP(C64,'Mủ CN (TT)'!C137:AK198,35,0)</f>
        <v>49.307405940594052</v>
      </c>
      <c r="K64" s="3603">
        <v>48.585614087849777</v>
      </c>
      <c r="L64" s="3711" t="str">
        <f>+VLOOKUP(C64,'Mủ CN (TT)'!C137:AL198,36,0)</f>
        <v>A</v>
      </c>
      <c r="M64" s="2688">
        <f t="shared" si="2"/>
        <v>194361</v>
      </c>
      <c r="N64" s="3711">
        <f>+VLOOKUP(C64,'Chấm công CN'!B137:AJ198,34,0)</f>
        <v>11</v>
      </c>
      <c r="O64" s="3711">
        <f>+VLOOKUP(C64,'Chấm công CN'!B137:AJ198,35,0)</f>
        <v>2</v>
      </c>
      <c r="P64" s="3712">
        <f t="shared" si="3"/>
        <v>13</v>
      </c>
      <c r="Q64" s="3712">
        <v>500000</v>
      </c>
      <c r="R64" s="2688">
        <f t="shared" si="6"/>
        <v>1193418</v>
      </c>
      <c r="S64" s="3711">
        <f t="shared" si="9"/>
        <v>1387779</v>
      </c>
      <c r="T64" s="3674"/>
      <c r="U64" s="3683"/>
      <c r="V64" s="3711">
        <f t="shared" si="4"/>
        <v>1387779</v>
      </c>
      <c r="W64" s="3682"/>
      <c r="Y64" s="3226"/>
    </row>
    <row r="65" spans="1:25" s="3677" customFormat="1" ht="33" customHeight="1">
      <c r="A65" s="3706">
        <v>48</v>
      </c>
      <c r="B65" s="3673"/>
      <c r="C65" s="3708" t="s">
        <v>2271</v>
      </c>
      <c r="D65" s="3710" t="s">
        <v>167</v>
      </c>
      <c r="E65" s="3682"/>
      <c r="F65" s="3749"/>
      <c r="G65" s="3709">
        <f t="shared" si="1"/>
        <v>0</v>
      </c>
      <c r="H65" s="3709">
        <f>+VLOOKUP(C65,'Mủ CN (TT)'!C138:AI199,33,0)</f>
        <v>0</v>
      </c>
      <c r="I65" s="3680"/>
      <c r="J65" s="3602">
        <f>+VLOOKUP(C65,'Mủ CN (TT)'!C138:AK199,35,0)</f>
        <v>0</v>
      </c>
      <c r="K65" s="3603">
        <v>0</v>
      </c>
      <c r="L65" s="3711" t="str">
        <f>+VLOOKUP(C65,'Mủ CN (TT)'!C138:AL199,36,0)</f>
        <v>B</v>
      </c>
      <c r="M65" s="2688">
        <f t="shared" si="2"/>
        <v>0</v>
      </c>
      <c r="N65" s="3711">
        <f>+VLOOKUP(C65,'Chấm công CN'!B138:AJ199,34,0)</f>
        <v>12</v>
      </c>
      <c r="O65" s="3711">
        <f>+VLOOKUP(C65,'Chấm công CN'!B138:AJ199,35,0)</f>
        <v>2</v>
      </c>
      <c r="P65" s="3712">
        <f t="shared" si="3"/>
        <v>14</v>
      </c>
      <c r="Q65" s="3712">
        <v>500000</v>
      </c>
      <c r="R65" s="2688">
        <f t="shared" si="6"/>
        <v>1243651</v>
      </c>
      <c r="S65" s="3711">
        <f t="shared" si="9"/>
        <v>1243651</v>
      </c>
      <c r="T65" s="3674"/>
      <c r="U65" s="3683"/>
      <c r="V65" s="3711">
        <f t="shared" si="4"/>
        <v>1243651</v>
      </c>
      <c r="W65" s="3682"/>
      <c r="Y65" s="3226"/>
    </row>
    <row r="66" spans="1:25" s="3677" customFormat="1" ht="33" customHeight="1">
      <c r="A66" s="3706">
        <v>49</v>
      </c>
      <c r="B66" s="3673"/>
      <c r="C66" s="3708" t="s">
        <v>1229</v>
      </c>
      <c r="D66" s="3710" t="s">
        <v>167</v>
      </c>
      <c r="E66" s="3682"/>
      <c r="F66" s="3749"/>
      <c r="G66" s="3709">
        <f t="shared" si="1"/>
        <v>0</v>
      </c>
      <c r="H66" s="3709">
        <f>+VLOOKUP(C66,'Mủ CN (TT)'!C139:AI200,33,0)</f>
        <v>116</v>
      </c>
      <c r="I66" s="3680"/>
      <c r="J66" s="3602">
        <f>+VLOOKUP(C66,'Mủ CN (TT)'!C139:AK200,35,0)</f>
        <v>67.290106930693057</v>
      </c>
      <c r="K66" s="3603">
        <v>66.305073343418513</v>
      </c>
      <c r="L66" s="3711" t="str">
        <f>+VLOOKUP(C66,'Mủ CN (TT)'!C139:AL200,36,0)</f>
        <v>A</v>
      </c>
      <c r="M66" s="2688">
        <f t="shared" si="2"/>
        <v>265245</v>
      </c>
      <c r="N66" s="3711">
        <f>+VLOOKUP(C66,'Chấm công CN'!B139:AJ200,34,0)</f>
        <v>13</v>
      </c>
      <c r="O66" s="3711">
        <f>+VLOOKUP(C66,'Chấm công CN'!B139:AJ200,35,0)</f>
        <v>3</v>
      </c>
      <c r="P66" s="3712">
        <f t="shared" si="3"/>
        <v>16</v>
      </c>
      <c r="Q66" s="3712">
        <v>500000</v>
      </c>
      <c r="R66" s="2688">
        <f t="shared" si="6"/>
        <v>1364314</v>
      </c>
      <c r="S66" s="3711">
        <f t="shared" si="9"/>
        <v>1629559</v>
      </c>
      <c r="T66" s="3674"/>
      <c r="U66" s="3683"/>
      <c r="V66" s="3711">
        <f t="shared" si="4"/>
        <v>1629559</v>
      </c>
      <c r="W66" s="3682"/>
      <c r="Y66" s="3226"/>
    </row>
    <row r="67" spans="1:25" s="3677" customFormat="1" ht="33" customHeight="1">
      <c r="A67" s="3706">
        <v>50</v>
      </c>
      <c r="B67" s="3673"/>
      <c r="C67" s="3708" t="s">
        <v>1507</v>
      </c>
      <c r="D67" s="3710" t="s">
        <v>167</v>
      </c>
      <c r="E67" s="3682"/>
      <c r="F67" s="3749"/>
      <c r="G67" s="3709">
        <f t="shared" si="1"/>
        <v>0</v>
      </c>
      <c r="H67" s="3709">
        <f>+VLOOKUP(C67,'Mủ CN (TT)'!C140:AI201,33,0)</f>
        <v>87</v>
      </c>
      <c r="I67" s="3680"/>
      <c r="J67" s="3602">
        <f>+VLOOKUP(C67,'Mủ CN (TT)'!C140:AK201,35,0)</f>
        <v>50.467580198019789</v>
      </c>
      <c r="K67" s="3603">
        <v>49.728805007563878</v>
      </c>
      <c r="L67" s="3711" t="str">
        <f>+VLOOKUP(C67,'Mủ CN (TT)'!C140:AL201,36,0)</f>
        <v>A</v>
      </c>
      <c r="M67" s="2688">
        <f t="shared" si="2"/>
        <v>198934</v>
      </c>
      <c r="N67" s="3711">
        <f>+VLOOKUP(C67,'Chấm công CN'!B140:AJ201,34,0)</f>
        <v>9</v>
      </c>
      <c r="O67" s="3711">
        <f>+VLOOKUP(C67,'Chấm công CN'!B140:AJ201,35,0)</f>
        <v>3</v>
      </c>
      <c r="P67" s="3712">
        <f t="shared" si="3"/>
        <v>12</v>
      </c>
      <c r="Q67" s="3712">
        <v>500000</v>
      </c>
      <c r="R67" s="2688">
        <f t="shared" si="6"/>
        <v>1163384</v>
      </c>
      <c r="S67" s="3711">
        <f t="shared" si="9"/>
        <v>1362318</v>
      </c>
      <c r="T67" s="3674"/>
      <c r="U67" s="3683"/>
      <c r="V67" s="3711">
        <f t="shared" si="4"/>
        <v>1362318</v>
      </c>
      <c r="W67" s="3682"/>
      <c r="Y67" s="3226"/>
    </row>
    <row r="68" spans="1:25" s="3677" customFormat="1" ht="33" customHeight="1">
      <c r="A68" s="3706">
        <v>51</v>
      </c>
      <c r="B68" s="3673"/>
      <c r="C68" s="3708" t="s">
        <v>1706</v>
      </c>
      <c r="D68" s="3710" t="s">
        <v>167</v>
      </c>
      <c r="E68" s="3682"/>
      <c r="F68" s="3749"/>
      <c r="G68" s="3709">
        <f t="shared" si="1"/>
        <v>0</v>
      </c>
      <c r="H68" s="3709">
        <f>+VLOOKUP(C68,'Mủ CN (TT)'!C141:AI202,33,0)</f>
        <v>0</v>
      </c>
      <c r="I68" s="3680"/>
      <c r="J68" s="3602">
        <f>+VLOOKUP(C68,'Mủ CN (TT)'!C141:AK202,35,0)</f>
        <v>0</v>
      </c>
      <c r="K68" s="3603">
        <v>0</v>
      </c>
      <c r="L68" s="3711" t="str">
        <f>+VLOOKUP(C68,'Mủ CN (TT)'!C141:AL202,36,0)</f>
        <v>A</v>
      </c>
      <c r="M68" s="2688">
        <f t="shared" si="2"/>
        <v>0</v>
      </c>
      <c r="N68" s="3711">
        <f>+VLOOKUP(C68,'Chấm công CN'!B141:AJ202,34,0)</f>
        <v>13</v>
      </c>
      <c r="O68" s="3711">
        <f>+VLOOKUP(C68,'Chấm công CN'!B141:AJ202,35,0)</f>
        <v>2</v>
      </c>
      <c r="P68" s="3712">
        <f t="shared" si="3"/>
        <v>15</v>
      </c>
      <c r="Q68" s="3712">
        <v>500000</v>
      </c>
      <c r="R68" s="2688">
        <f t="shared" si="6"/>
        <v>1293883</v>
      </c>
      <c r="S68" s="3711">
        <f t="shared" si="9"/>
        <v>1293883</v>
      </c>
      <c r="T68" s="3674"/>
      <c r="U68" s="3683"/>
      <c r="V68" s="3711">
        <f t="shared" si="4"/>
        <v>1293883</v>
      </c>
      <c r="W68" s="3682"/>
      <c r="Y68" s="3226"/>
    </row>
    <row r="69" spans="1:25" s="3677" customFormat="1" ht="33" customHeight="1">
      <c r="A69" s="3706">
        <v>52</v>
      </c>
      <c r="B69" s="3673"/>
      <c r="C69" s="3708" t="s">
        <v>2272</v>
      </c>
      <c r="D69" s="3710" t="s">
        <v>167</v>
      </c>
      <c r="E69" s="3682"/>
      <c r="F69" s="3749"/>
      <c r="G69" s="3709">
        <f t="shared" si="1"/>
        <v>0</v>
      </c>
      <c r="H69" s="3709">
        <f>+VLOOKUP(C69,'Mủ CN (TT)'!C142:AI203,33,0)</f>
        <v>107</v>
      </c>
      <c r="I69" s="3680"/>
      <c r="J69" s="3602">
        <f>+VLOOKUP(C69,'Mủ CN (TT)'!C142:AK203,35,0)</f>
        <v>62.069322772277211</v>
      </c>
      <c r="K69" s="3603">
        <v>61.160714204705002</v>
      </c>
      <c r="L69" s="3711" t="str">
        <f>+VLOOKUP(C69,'Mủ CN (TT)'!C142:AL203,36,0)</f>
        <v>A</v>
      </c>
      <c r="M69" s="2688">
        <f t="shared" si="2"/>
        <v>244666</v>
      </c>
      <c r="N69" s="3711">
        <f>+VLOOKUP(C69,'Chấm công CN'!B142:AJ203,34,0)</f>
        <v>13</v>
      </c>
      <c r="O69" s="3711">
        <f>+VLOOKUP(C69,'Chấm công CN'!B142:AJ203,35,0)</f>
        <v>2</v>
      </c>
      <c r="P69" s="3712">
        <f t="shared" si="3"/>
        <v>15</v>
      </c>
      <c r="Q69" s="3712">
        <v>500000</v>
      </c>
      <c r="R69" s="2688">
        <f t="shared" si="6"/>
        <v>1293883</v>
      </c>
      <c r="S69" s="3711">
        <f t="shared" si="9"/>
        <v>1538549</v>
      </c>
      <c r="T69" s="3674"/>
      <c r="U69" s="3683"/>
      <c r="V69" s="3711">
        <f t="shared" si="4"/>
        <v>1538549</v>
      </c>
      <c r="W69" s="3682"/>
      <c r="Y69" s="3226"/>
    </row>
    <row r="70" spans="1:25" s="3677" customFormat="1" ht="33" customHeight="1">
      <c r="A70" s="3706">
        <v>53</v>
      </c>
      <c r="B70" s="3673"/>
      <c r="C70" s="3708" t="s">
        <v>2273</v>
      </c>
      <c r="D70" s="3710" t="s">
        <v>167</v>
      </c>
      <c r="E70" s="3682"/>
      <c r="F70" s="3749"/>
      <c r="G70" s="3709">
        <f t="shared" si="1"/>
        <v>0</v>
      </c>
      <c r="H70" s="3709">
        <f>+VLOOKUP(C70,'Mủ CN (TT)'!C143:AI204,33,0)</f>
        <v>25</v>
      </c>
      <c r="I70" s="3680"/>
      <c r="J70" s="3602">
        <f>+VLOOKUP(C70,'Mủ CN (TT)'!C143:AK204,35,0)</f>
        <v>14.502178217821779</v>
      </c>
      <c r="K70" s="3603">
        <v>14.289886496426403</v>
      </c>
      <c r="L70" s="3711" t="str">
        <f>+VLOOKUP(C70,'Mủ CN (TT)'!C143:AL204,36,0)</f>
        <v>A</v>
      </c>
      <c r="M70" s="2688">
        <f t="shared" si="2"/>
        <v>57165</v>
      </c>
      <c r="N70" s="3711">
        <f>+VLOOKUP(C70,'Chấm công CN'!B143:AJ204,34,0)</f>
        <v>12</v>
      </c>
      <c r="O70" s="3711">
        <f>+VLOOKUP(C70,'Chấm công CN'!B143:AJ204,35,0)</f>
        <v>2</v>
      </c>
      <c r="P70" s="3712">
        <f t="shared" si="3"/>
        <v>14</v>
      </c>
      <c r="Q70" s="3712">
        <v>500000</v>
      </c>
      <c r="R70" s="2688">
        <f t="shared" si="6"/>
        <v>1243651</v>
      </c>
      <c r="S70" s="3711">
        <f t="shared" si="9"/>
        <v>1300816</v>
      </c>
      <c r="T70" s="3674"/>
      <c r="U70" s="3683"/>
      <c r="V70" s="3711">
        <f t="shared" si="4"/>
        <v>1300816</v>
      </c>
      <c r="W70" s="3682"/>
      <c r="Y70" s="3226"/>
    </row>
    <row r="71" spans="1:25" s="3677" customFormat="1" ht="33" customHeight="1">
      <c r="A71" s="3706">
        <v>54</v>
      </c>
      <c r="B71" s="3673"/>
      <c r="C71" s="3708" t="s">
        <v>2274</v>
      </c>
      <c r="D71" s="3710" t="s">
        <v>167</v>
      </c>
      <c r="E71" s="3682"/>
      <c r="F71" s="3749"/>
      <c r="G71" s="3709">
        <f t="shared" si="1"/>
        <v>0</v>
      </c>
      <c r="H71" s="3709">
        <f>+VLOOKUP(C71,'Mủ CN (TT)'!C144:AI205,33,0)</f>
        <v>96</v>
      </c>
      <c r="I71" s="3680"/>
      <c r="J71" s="3602">
        <f>+VLOOKUP(C71,'Mủ CN (TT)'!C144:AK205,35,0)</f>
        <v>55.688364356435628</v>
      </c>
      <c r="K71" s="3603">
        <v>54.873164146277375</v>
      </c>
      <c r="L71" s="3711" t="str">
        <f>+VLOOKUP(C71,'Mủ CN (TT)'!C144:AL205,36,0)</f>
        <v>A</v>
      </c>
      <c r="M71" s="2688">
        <f t="shared" si="2"/>
        <v>219514</v>
      </c>
      <c r="N71" s="3711">
        <f>+VLOOKUP(C71,'Chấm công CN'!B144:AJ205,34,0)</f>
        <v>12</v>
      </c>
      <c r="O71" s="3711">
        <f>+VLOOKUP(C71,'Chấm công CN'!B144:AJ205,35,0)</f>
        <v>3</v>
      </c>
      <c r="P71" s="3712">
        <f t="shared" si="3"/>
        <v>15</v>
      </c>
      <c r="Q71" s="3712">
        <v>500000</v>
      </c>
      <c r="R71" s="2688">
        <f t="shared" si="6"/>
        <v>1314082</v>
      </c>
      <c r="S71" s="3711">
        <f t="shared" si="9"/>
        <v>1533596</v>
      </c>
      <c r="T71" s="3674"/>
      <c r="U71" s="3683"/>
      <c r="V71" s="3711">
        <f t="shared" si="4"/>
        <v>1533596</v>
      </c>
      <c r="W71" s="3682"/>
      <c r="Y71" s="3226"/>
    </row>
    <row r="72" spans="1:25" s="3677" customFormat="1" ht="33" customHeight="1">
      <c r="A72" s="3706">
        <v>55</v>
      </c>
      <c r="B72" s="3673"/>
      <c r="C72" s="3708" t="s">
        <v>2275</v>
      </c>
      <c r="D72" s="3710" t="s">
        <v>167</v>
      </c>
      <c r="E72" s="3682"/>
      <c r="F72" s="3749"/>
      <c r="G72" s="3709">
        <f t="shared" si="1"/>
        <v>0</v>
      </c>
      <c r="H72" s="3709">
        <f>+VLOOKUP(C72,'Mủ CN (TT)'!C145:AI206,33,0)</f>
        <v>247</v>
      </c>
      <c r="I72" s="3680"/>
      <c r="J72" s="3602">
        <f>+VLOOKUP(C72,'Mủ CN (TT)'!C145:AK206,35,0)</f>
        <v>143.28152079207916</v>
      </c>
      <c r="K72" s="3603">
        <v>141.18407858469286</v>
      </c>
      <c r="L72" s="3711" t="str">
        <f>+VLOOKUP(C72,'Mủ CN (TT)'!C145:AL206,36,0)</f>
        <v>A</v>
      </c>
      <c r="M72" s="2688">
        <f t="shared" si="2"/>
        <v>564790</v>
      </c>
      <c r="N72" s="3711">
        <f>+VLOOKUP(C72,'Chấm công CN'!B145:AJ206,34,0)</f>
        <v>15</v>
      </c>
      <c r="O72" s="3711">
        <f>+VLOOKUP(C72,'Chấm công CN'!B145:AJ206,35,0)</f>
        <v>3</v>
      </c>
      <c r="P72" s="3712">
        <f t="shared" si="3"/>
        <v>18</v>
      </c>
      <c r="Q72" s="3712">
        <v>500000</v>
      </c>
      <c r="R72" s="2688">
        <f t="shared" si="6"/>
        <v>1464779</v>
      </c>
      <c r="S72" s="3711">
        <f t="shared" si="9"/>
        <v>2029569</v>
      </c>
      <c r="T72" s="3674"/>
      <c r="U72" s="3683"/>
      <c r="V72" s="3711">
        <f t="shared" si="4"/>
        <v>2029569</v>
      </c>
      <c r="W72" s="3682"/>
      <c r="Y72" s="3226"/>
    </row>
    <row r="73" spans="1:25" s="3677" customFormat="1" ht="33" customHeight="1">
      <c r="A73" s="3706">
        <v>56</v>
      </c>
      <c r="B73" s="3673"/>
      <c r="C73" s="3708" t="s">
        <v>2276</v>
      </c>
      <c r="D73" s="3710" t="s">
        <v>167</v>
      </c>
      <c r="E73" s="3682"/>
      <c r="F73" s="3749"/>
      <c r="G73" s="3709">
        <f t="shared" si="1"/>
        <v>0</v>
      </c>
      <c r="H73" s="3709">
        <f>+VLOOKUP(C73,'Mủ CN (TT)'!C146:AI207,33,0)</f>
        <v>287</v>
      </c>
      <c r="I73" s="3680"/>
      <c r="J73" s="3602">
        <f>+VLOOKUP(C73,'Mủ CN (TT)'!C146:AK207,35,0)</f>
        <v>166.48500594059402</v>
      </c>
      <c r="K73" s="3603">
        <v>164.0478969789751</v>
      </c>
      <c r="L73" s="3711" t="str">
        <f>+VLOOKUP(C73,'Mủ CN (TT)'!C146:AL207,36,0)</f>
        <v>A</v>
      </c>
      <c r="M73" s="2688">
        <f t="shared" si="2"/>
        <v>656254</v>
      </c>
      <c r="N73" s="3711">
        <f>+VLOOKUP(C73,'Chấm công CN'!B146:AJ207,34,0)</f>
        <v>15</v>
      </c>
      <c r="O73" s="3711">
        <f>+VLOOKUP(C73,'Chấm công CN'!B146:AJ207,35,0)</f>
        <v>3</v>
      </c>
      <c r="P73" s="3712">
        <f t="shared" si="3"/>
        <v>18</v>
      </c>
      <c r="Q73" s="3712">
        <v>500000</v>
      </c>
      <c r="R73" s="2688">
        <f t="shared" si="6"/>
        <v>1464779</v>
      </c>
      <c r="S73" s="3711">
        <f t="shared" si="9"/>
        <v>2121033</v>
      </c>
      <c r="T73" s="3674"/>
      <c r="U73" s="3683"/>
      <c r="V73" s="3711">
        <f t="shared" si="4"/>
        <v>2121033</v>
      </c>
      <c r="W73" s="3682"/>
      <c r="Y73" s="3226"/>
    </row>
    <row r="74" spans="1:25" s="3677" customFormat="1" ht="33" customHeight="1">
      <c r="A74" s="3706">
        <v>57</v>
      </c>
      <c r="B74" s="3673"/>
      <c r="C74" s="3708" t="s">
        <v>281</v>
      </c>
      <c r="D74" s="3710" t="s">
        <v>167</v>
      </c>
      <c r="E74" s="3682"/>
      <c r="F74" s="3749"/>
      <c r="G74" s="3709">
        <f t="shared" si="1"/>
        <v>0</v>
      </c>
      <c r="H74" s="3709">
        <f>+VLOOKUP(C74,'Mủ CN (TT)'!C147:AI208,33,0)</f>
        <v>0</v>
      </c>
      <c r="I74" s="3680"/>
      <c r="J74" s="3602">
        <f>+VLOOKUP(C74,'Mủ CN (TT)'!C147:AK208,35,0)</f>
        <v>0</v>
      </c>
      <c r="K74" s="3603">
        <v>0</v>
      </c>
      <c r="L74" s="3711" t="str">
        <f>+VLOOKUP(C74,'Mủ CN (TT)'!C147:AL208,36,0)</f>
        <v>A</v>
      </c>
      <c r="M74" s="2688">
        <f t="shared" si="2"/>
        <v>0</v>
      </c>
      <c r="N74" s="3711">
        <f>+VLOOKUP(C74,'Chấm công CN'!B147:AJ208,34,0)</f>
        <v>8</v>
      </c>
      <c r="O74" s="3711">
        <f>+VLOOKUP(C74,'Chấm công CN'!B147:AJ208,35,0)</f>
        <v>1</v>
      </c>
      <c r="P74" s="3712">
        <f t="shared" si="3"/>
        <v>9</v>
      </c>
      <c r="Q74" s="3712">
        <v>500000</v>
      </c>
      <c r="R74" s="2688">
        <f t="shared" si="6"/>
        <v>972290</v>
      </c>
      <c r="S74" s="3711">
        <f t="shared" si="9"/>
        <v>972290</v>
      </c>
      <c r="T74" s="3674"/>
      <c r="U74" s="3683"/>
      <c r="V74" s="3711">
        <f t="shared" si="4"/>
        <v>972290</v>
      </c>
      <c r="W74" s="3682"/>
      <c r="Y74" s="3226"/>
    </row>
    <row r="75" spans="1:25" s="3677" customFormat="1" ht="33" customHeight="1">
      <c r="A75" s="3706">
        <v>58</v>
      </c>
      <c r="B75" s="3673"/>
      <c r="C75" s="3708" t="s">
        <v>2277</v>
      </c>
      <c r="D75" s="3710" t="s">
        <v>167</v>
      </c>
      <c r="E75" s="3682"/>
      <c r="F75" s="3749"/>
      <c r="G75" s="3709">
        <f t="shared" si="1"/>
        <v>0</v>
      </c>
      <c r="H75" s="3709">
        <f>+VLOOKUP(C75,'Mủ CN (TT)'!C148:AI209,33,0)</f>
        <v>0</v>
      </c>
      <c r="I75" s="3680"/>
      <c r="J75" s="3602">
        <f>+VLOOKUP(C75,'Mủ CN (TT)'!C148:AK209,35,0)</f>
        <v>0</v>
      </c>
      <c r="K75" s="3603">
        <v>0</v>
      </c>
      <c r="L75" s="3711" t="str">
        <f>+VLOOKUP(C75,'Mủ CN (TT)'!C148:AL209,36,0)</f>
        <v>A</v>
      </c>
      <c r="M75" s="2688">
        <f t="shared" si="2"/>
        <v>0</v>
      </c>
      <c r="N75" s="3711">
        <f>+VLOOKUP(C75,'Chấm công CN'!B148:AJ209,34,0)</f>
        <v>1</v>
      </c>
      <c r="O75" s="3711">
        <f>+VLOOKUP(C75,'Chấm công CN'!B148:AJ209,35,0)</f>
        <v>0</v>
      </c>
      <c r="P75" s="3712">
        <f t="shared" si="3"/>
        <v>1</v>
      </c>
      <c r="Q75" s="3712">
        <v>500000</v>
      </c>
      <c r="R75" s="2688">
        <f t="shared" si="6"/>
        <v>550232</v>
      </c>
      <c r="S75" s="3711">
        <f t="shared" si="9"/>
        <v>550232</v>
      </c>
      <c r="T75" s="3674"/>
      <c r="U75" s="3683"/>
      <c r="V75" s="3711">
        <f t="shared" si="4"/>
        <v>550232</v>
      </c>
      <c r="W75" s="3682"/>
      <c r="Y75" s="3226"/>
    </row>
    <row r="76" spans="1:25" s="3677" customFormat="1" ht="33" customHeight="1">
      <c r="A76" s="3706">
        <v>59</v>
      </c>
      <c r="B76" s="3673"/>
      <c r="C76" s="3708" t="s">
        <v>1698</v>
      </c>
      <c r="D76" s="3710" t="s">
        <v>167</v>
      </c>
      <c r="E76" s="3682"/>
      <c r="F76" s="3749"/>
      <c r="G76" s="3709">
        <f t="shared" si="1"/>
        <v>0</v>
      </c>
      <c r="H76" s="3709">
        <f>+VLOOKUP(C76,'Mủ CN (TT)'!C149:AI210,33,0)</f>
        <v>58</v>
      </c>
      <c r="I76" s="3680"/>
      <c r="J76" s="3602">
        <f>+VLOOKUP(C76,'Mủ CN (TT)'!C149:AK210,35,0)</f>
        <v>33.645053465346528</v>
      </c>
      <c r="K76" s="3603">
        <v>33.152536671709257</v>
      </c>
      <c r="L76" s="3711" t="str">
        <f>+VLOOKUP(C76,'Mủ CN (TT)'!C149:AL210,36,0)</f>
        <v>A</v>
      </c>
      <c r="M76" s="2688">
        <f t="shared" si="2"/>
        <v>132623</v>
      </c>
      <c r="N76" s="3711">
        <f>+VLOOKUP(C76,'Chấm công CN'!B149:AJ210,34,0)</f>
        <v>14</v>
      </c>
      <c r="O76" s="3711">
        <f>+VLOOKUP(C76,'Chấm công CN'!B149:AJ210,35,0)</f>
        <v>2</v>
      </c>
      <c r="P76" s="3712">
        <f t="shared" si="3"/>
        <v>16</v>
      </c>
      <c r="Q76" s="3712">
        <v>500000</v>
      </c>
      <c r="R76" s="2688">
        <f t="shared" si="6"/>
        <v>1344115</v>
      </c>
      <c r="S76" s="3711">
        <f t="shared" si="9"/>
        <v>1476738</v>
      </c>
      <c r="T76" s="3674"/>
      <c r="U76" s="3683"/>
      <c r="V76" s="3711">
        <f t="shared" si="4"/>
        <v>1476738</v>
      </c>
      <c r="W76" s="3682"/>
      <c r="Y76" s="3226"/>
    </row>
    <row r="77" spans="1:25" s="3677" customFormat="1" ht="33" customHeight="1">
      <c r="A77" s="3706">
        <v>60</v>
      </c>
      <c r="B77" s="3673"/>
      <c r="C77" s="3708" t="s">
        <v>2278</v>
      </c>
      <c r="D77" s="3710" t="s">
        <v>167</v>
      </c>
      <c r="E77" s="3682"/>
      <c r="F77" s="3749"/>
      <c r="G77" s="3709">
        <f t="shared" si="1"/>
        <v>0</v>
      </c>
      <c r="H77" s="3709">
        <f>+VLOOKUP(C77,'Mủ CN (TT)'!C150:AI211,33,0)</f>
        <v>79</v>
      </c>
      <c r="I77" s="3680"/>
      <c r="J77" s="3602">
        <f>+VLOOKUP(C77,'Mủ CN (TT)'!C150:AK211,35,0)</f>
        <v>45.826883168316819</v>
      </c>
      <c r="K77" s="3603">
        <v>45.156041328707431</v>
      </c>
      <c r="L77" s="3711" t="str">
        <f>+VLOOKUP(C77,'Mủ CN (TT)'!C150:AL211,36,0)</f>
        <v>A</v>
      </c>
      <c r="M77" s="2688">
        <f t="shared" si="2"/>
        <v>180641</v>
      </c>
      <c r="N77" s="3711">
        <f>+VLOOKUP(C77,'Chấm công CN'!B150:AJ211,34,0)</f>
        <v>12</v>
      </c>
      <c r="O77" s="3711">
        <f>+VLOOKUP(C77,'Chấm công CN'!B150:AJ211,35,0)</f>
        <v>2</v>
      </c>
      <c r="P77" s="3712">
        <f t="shared" si="3"/>
        <v>14</v>
      </c>
      <c r="Q77" s="3712">
        <v>500000</v>
      </c>
      <c r="R77" s="2688">
        <f t="shared" si="6"/>
        <v>1243651</v>
      </c>
      <c r="S77" s="3711">
        <f t="shared" si="9"/>
        <v>1424292</v>
      </c>
      <c r="T77" s="3674"/>
      <c r="U77" s="3683"/>
      <c r="V77" s="3711">
        <f t="shared" si="4"/>
        <v>1424292</v>
      </c>
      <c r="W77" s="3682"/>
      <c r="Y77" s="3226"/>
    </row>
    <row r="78" spans="1:25" s="3677" customFormat="1" ht="33" customHeight="1">
      <c r="A78" s="3706">
        <v>61</v>
      </c>
      <c r="B78" s="3673"/>
      <c r="C78" s="3708" t="s">
        <v>243</v>
      </c>
      <c r="D78" s="3710" t="s">
        <v>167</v>
      </c>
      <c r="E78" s="3682"/>
      <c r="F78" s="3749"/>
      <c r="G78" s="3709">
        <f t="shared" si="1"/>
        <v>0</v>
      </c>
      <c r="H78" s="3709">
        <f>+VLOOKUP(C78,'Mủ CN (TT)'!C151:AI212,33,0)</f>
        <v>0</v>
      </c>
      <c r="I78" s="3680"/>
      <c r="J78" s="3602">
        <f>+VLOOKUP(C78,'Mủ CN (TT)'!C151:AK212,35,0)</f>
        <v>0</v>
      </c>
      <c r="K78" s="3603">
        <v>0</v>
      </c>
      <c r="L78" s="3711" t="str">
        <f>+VLOOKUP(C78,'Mủ CN (TT)'!C151:AL212,36,0)</f>
        <v>A</v>
      </c>
      <c r="M78" s="2688">
        <f t="shared" si="2"/>
        <v>0</v>
      </c>
      <c r="N78" s="3711">
        <f>+VLOOKUP(C78,'Chấm công CN'!B151:AJ212,34,0)</f>
        <v>10</v>
      </c>
      <c r="O78" s="3711">
        <f>+VLOOKUP(C78,'Chấm công CN'!B151:AJ212,35,0)</f>
        <v>2</v>
      </c>
      <c r="P78" s="3712">
        <f t="shared" si="3"/>
        <v>12</v>
      </c>
      <c r="Q78" s="3712">
        <v>500000</v>
      </c>
      <c r="R78" s="2688">
        <f t="shared" si="6"/>
        <v>1143186</v>
      </c>
      <c r="S78" s="3711">
        <f t="shared" si="9"/>
        <v>1143186</v>
      </c>
      <c r="T78" s="3674"/>
      <c r="U78" s="3683"/>
      <c r="V78" s="3711">
        <f t="shared" si="4"/>
        <v>1143186</v>
      </c>
      <c r="W78" s="3682"/>
      <c r="Y78" s="3226"/>
    </row>
    <row r="79" spans="1:25" s="3677" customFormat="1" ht="33" customHeight="1">
      <c r="A79" s="3706">
        <v>62</v>
      </c>
      <c r="B79" s="3673"/>
      <c r="C79" s="3708" t="s">
        <v>842</v>
      </c>
      <c r="D79" s="3710" t="s">
        <v>167</v>
      </c>
      <c r="E79" s="3682"/>
      <c r="F79" s="3749"/>
      <c r="G79" s="3709">
        <f t="shared" si="1"/>
        <v>0</v>
      </c>
      <c r="H79" s="3709">
        <f>+VLOOKUP(C79,'Mủ CN (TT)'!C152:AI213,33,0)</f>
        <v>0</v>
      </c>
      <c r="I79" s="3680"/>
      <c r="J79" s="3602">
        <f>+VLOOKUP(C79,'Mủ CN (TT)'!C152:AK213,35,0)</f>
        <v>0</v>
      </c>
      <c r="K79" s="3603">
        <v>0</v>
      </c>
      <c r="L79" s="3711" t="str">
        <f>+VLOOKUP(C79,'Mủ CN (TT)'!C152:AL213,36,0)</f>
        <v>A</v>
      </c>
      <c r="M79" s="2688">
        <f t="shared" si="2"/>
        <v>0</v>
      </c>
      <c r="N79" s="3711">
        <f>+VLOOKUP(C79,'Chấm công CN'!B152:AJ213,34,0)</f>
        <v>7</v>
      </c>
      <c r="O79" s="3711">
        <f>+VLOOKUP(C79,'Chấm công CN'!B152:AJ213,35,0)</f>
        <v>1</v>
      </c>
      <c r="P79" s="3712">
        <f t="shared" si="3"/>
        <v>8</v>
      </c>
      <c r="Q79" s="3712">
        <v>500000</v>
      </c>
      <c r="R79" s="2688">
        <f t="shared" si="6"/>
        <v>922058</v>
      </c>
      <c r="S79" s="3711">
        <f t="shared" si="9"/>
        <v>922058</v>
      </c>
      <c r="T79" s="3674"/>
      <c r="U79" s="3683"/>
      <c r="V79" s="3711">
        <f t="shared" si="4"/>
        <v>922058</v>
      </c>
      <c r="W79" s="3682"/>
      <c r="Y79" s="3226"/>
    </row>
    <row r="80" spans="1:25" s="3808" customFormat="1" ht="33" customHeight="1">
      <c r="A80" s="3706">
        <v>63</v>
      </c>
      <c r="B80" s="3806"/>
      <c r="C80" s="3708" t="s">
        <v>2279</v>
      </c>
      <c r="D80" s="3710" t="s">
        <v>167</v>
      </c>
      <c r="E80" s="3810"/>
      <c r="F80" s="3767"/>
      <c r="G80" s="3709">
        <f t="shared" si="1"/>
        <v>0</v>
      </c>
      <c r="H80" s="3709">
        <f>+VLOOKUP(C80,'Mủ CN (TT)'!C153:AI214,33,0)</f>
        <v>0</v>
      </c>
      <c r="I80" s="3809"/>
      <c r="J80" s="3602">
        <f>+VLOOKUP(C80,'Mủ CN (TT)'!C153:AK214,35,0)</f>
        <v>0</v>
      </c>
      <c r="K80" s="3603">
        <v>0</v>
      </c>
      <c r="L80" s="3711" t="str">
        <f>+VLOOKUP(C80,'Mủ CN (TT)'!C153:AL214,36,0)</f>
        <v>B</v>
      </c>
      <c r="M80" s="2688">
        <f t="shared" si="2"/>
        <v>0</v>
      </c>
      <c r="N80" s="3711">
        <f>+VLOOKUP(C80,'Chấm công CN'!B153:AJ214,34,0)</f>
        <v>4</v>
      </c>
      <c r="O80" s="3711">
        <f>+VLOOKUP(C80,'Chấm công CN'!B153:AJ214,35,0)</f>
        <v>0</v>
      </c>
      <c r="P80" s="3712">
        <f t="shared" si="3"/>
        <v>4</v>
      </c>
      <c r="Q80" s="3712">
        <v>500000</v>
      </c>
      <c r="R80" s="2688">
        <f t="shared" si="6"/>
        <v>700930</v>
      </c>
      <c r="S80" s="3711">
        <f t="shared" si="9"/>
        <v>700930</v>
      </c>
      <c r="T80" s="3807"/>
      <c r="U80" s="3811"/>
      <c r="V80" s="3711">
        <f t="shared" si="4"/>
        <v>700930</v>
      </c>
      <c r="W80" s="3810"/>
      <c r="Y80" s="3226"/>
    </row>
    <row r="81" spans="1:25" s="3677" customFormat="1" ht="33" customHeight="1">
      <c r="A81" s="3706">
        <v>64</v>
      </c>
      <c r="B81" s="3673"/>
      <c r="C81" s="3708" t="s">
        <v>1514</v>
      </c>
      <c r="D81" s="3710" t="s">
        <v>167</v>
      </c>
      <c r="E81" s="3682"/>
      <c r="F81" s="3767"/>
      <c r="G81" s="3709">
        <f t="shared" si="1"/>
        <v>0</v>
      </c>
      <c r="H81" s="3709">
        <f>+VLOOKUP(C81,'Mủ CN (TT)'!C154:AI215,33,0)</f>
        <v>12</v>
      </c>
      <c r="I81" s="3680"/>
      <c r="J81" s="3602">
        <f>+VLOOKUP(C81,'Mủ CN (TT)'!C154:AK215,35,0)</f>
        <v>7.049903649635036</v>
      </c>
      <c r="K81" s="3603">
        <v>6.9467028642789899</v>
      </c>
      <c r="L81" s="3711" t="str">
        <f>+VLOOKUP(C81,'Mủ CN (TT)'!C154:AL215,36,0)</f>
        <v>B</v>
      </c>
      <c r="M81" s="2688">
        <f t="shared" si="2"/>
        <v>26423</v>
      </c>
      <c r="N81" s="3711">
        <f>+VLOOKUP(C81,'Chấm công CN'!B154:AJ215,34,0)</f>
        <v>7</v>
      </c>
      <c r="O81" s="3711">
        <f>+VLOOKUP(C81,'Chấm công CN'!B154:AJ215,35,0)</f>
        <v>1</v>
      </c>
      <c r="P81" s="3712">
        <f t="shared" si="3"/>
        <v>8</v>
      </c>
      <c r="Q81" s="3712">
        <v>500000</v>
      </c>
      <c r="R81" s="2688">
        <f t="shared" si="6"/>
        <v>922058</v>
      </c>
      <c r="S81" s="3711">
        <f t="shared" si="9"/>
        <v>948481</v>
      </c>
      <c r="T81" s="3674"/>
      <c r="U81" s="3683"/>
      <c r="V81" s="3711">
        <f t="shared" si="4"/>
        <v>948481</v>
      </c>
      <c r="W81" s="3682"/>
      <c r="Y81" s="3226"/>
    </row>
    <row r="82" spans="1:25" s="3677" customFormat="1" ht="33" customHeight="1">
      <c r="A82" s="3706">
        <v>65</v>
      </c>
      <c r="B82" s="3673"/>
      <c r="C82" s="3708" t="s">
        <v>2280</v>
      </c>
      <c r="D82" s="3710" t="s">
        <v>167</v>
      </c>
      <c r="E82" s="3682"/>
      <c r="F82" s="3767"/>
      <c r="G82" s="3709">
        <f t="shared" si="1"/>
        <v>0</v>
      </c>
      <c r="H82" s="3709">
        <f>+VLOOKUP(C82,'Mủ CN (TT)'!C155:AI216,33,0)</f>
        <v>0</v>
      </c>
      <c r="I82" s="3680"/>
      <c r="J82" s="3602">
        <f>+VLOOKUP(C82,'Mủ CN (TT)'!C155:AK216,35,0)</f>
        <v>0</v>
      </c>
      <c r="K82" s="3603">
        <v>0</v>
      </c>
      <c r="L82" s="3711" t="str">
        <f>+VLOOKUP(C82,'Mủ CN (TT)'!C155:AL216,36,0)</f>
        <v>A</v>
      </c>
      <c r="M82" s="2688">
        <f t="shared" si="2"/>
        <v>0</v>
      </c>
      <c r="N82" s="3711">
        <f>+VLOOKUP(C82,'Chấm công CN'!B155:AJ216,34,0)</f>
        <v>10</v>
      </c>
      <c r="O82" s="3711">
        <f>+VLOOKUP(C82,'Chấm công CN'!B155:AJ216,35,0)</f>
        <v>0</v>
      </c>
      <c r="P82" s="3712">
        <f t="shared" si="3"/>
        <v>10</v>
      </c>
      <c r="Q82" s="3712">
        <v>500000</v>
      </c>
      <c r="R82" s="2688">
        <f t="shared" si="6"/>
        <v>1002324</v>
      </c>
      <c r="S82" s="3711">
        <f t="shared" ref="S82:S103" si="11">+G82+M82+R82</f>
        <v>1002324</v>
      </c>
      <c r="T82" s="3674"/>
      <c r="U82" s="3683"/>
      <c r="V82" s="3711">
        <f t="shared" si="4"/>
        <v>1002324</v>
      </c>
      <c r="W82" s="3682"/>
      <c r="Y82" s="3226"/>
    </row>
    <row r="83" spans="1:25" s="3677" customFormat="1" ht="33" customHeight="1">
      <c r="A83" s="3706">
        <v>66</v>
      </c>
      <c r="B83" s="3673"/>
      <c r="C83" s="3708" t="s">
        <v>2281</v>
      </c>
      <c r="D83" s="3710" t="s">
        <v>167</v>
      </c>
      <c r="E83" s="3748"/>
      <c r="F83" s="3767"/>
      <c r="G83" s="3709">
        <f t="shared" ref="G83:G103" si="12">ROUND(F83*25000,0)</f>
        <v>0</v>
      </c>
      <c r="H83" s="3709">
        <f>+VLOOKUP(C83,'Mủ CN (TT)'!C156:AI217,33,0)</f>
        <v>10</v>
      </c>
      <c r="I83" s="3680"/>
      <c r="J83" s="3602">
        <f>+VLOOKUP(C83,'Mủ CN (TT)'!C156:AK217,35,0)</f>
        <v>5.8749197080291973</v>
      </c>
      <c r="K83" s="3603">
        <v>5.7889190535658246</v>
      </c>
      <c r="L83" s="3711" t="str">
        <f>+VLOOKUP(C83,'Mủ CN (TT)'!C156:AL217,36,0)</f>
        <v>A</v>
      </c>
      <c r="M83" s="2688">
        <f t="shared" ref="M83:M101" si="13">ROUND(J83*IF(L83="A",(6.1*$E$12),IF(L83="B",(5.8*$E$12),IF(L83="C",(5.5*$E$12),IF(L83="D",(5.2*$E$12))))),0)</f>
        <v>23158</v>
      </c>
      <c r="N83" s="3711">
        <f>+VLOOKUP(C83,'Chấm công CN'!B156:AJ217,34,0)</f>
        <v>8</v>
      </c>
      <c r="O83" s="3711">
        <f>+VLOOKUP(C83,'Chấm công CN'!B156:AJ217,35,0)</f>
        <v>1</v>
      </c>
      <c r="P83" s="3712">
        <f t="shared" ref="P83:P103" si="14">+N83+O83</f>
        <v>9</v>
      </c>
      <c r="Q83" s="3712">
        <v>500000</v>
      </c>
      <c r="R83" s="2688">
        <f t="shared" ref="R83:R91" si="15">ROUND((N83*(46.1*$E$11))+(O83*(76.9*$E$11))+(P83*20000),0)+Q83</f>
        <v>972290</v>
      </c>
      <c r="S83" s="3711">
        <f t="shared" si="11"/>
        <v>995448</v>
      </c>
      <c r="T83" s="3674"/>
      <c r="U83" s="3683"/>
      <c r="V83" s="3711">
        <f t="shared" ref="V83:V103" si="16">+S83-T83</f>
        <v>995448</v>
      </c>
      <c r="W83" s="3682"/>
      <c r="Y83" s="3226"/>
    </row>
    <row r="84" spans="1:25" s="3677" customFormat="1" ht="33" customHeight="1">
      <c r="A84" s="3706">
        <v>67</v>
      </c>
      <c r="B84" s="3673"/>
      <c r="C84" s="3708" t="s">
        <v>2282</v>
      </c>
      <c r="D84" s="3710" t="s">
        <v>167</v>
      </c>
      <c r="E84" s="3748"/>
      <c r="F84" s="3767"/>
      <c r="G84" s="3709">
        <f t="shared" si="12"/>
        <v>0</v>
      </c>
      <c r="H84" s="3709">
        <f>+VLOOKUP(C84,'Mủ CN (TT)'!C157:AI218,33,0)</f>
        <v>31</v>
      </c>
      <c r="I84" s="3680"/>
      <c r="J84" s="3602">
        <f>+VLOOKUP(C84,'Mủ CN (TT)'!C157:AK218,35,0)</f>
        <v>18.212251094890512</v>
      </c>
      <c r="K84" s="3603">
        <v>17.94564906605406</v>
      </c>
      <c r="L84" s="3711" t="str">
        <f>+VLOOKUP(C84,'Mủ CN (TT)'!C157:AL218,36,0)</f>
        <v>A</v>
      </c>
      <c r="M84" s="2688">
        <f t="shared" si="13"/>
        <v>71789</v>
      </c>
      <c r="N84" s="3711">
        <f>+VLOOKUP(C84,'Chấm công CN'!B157:AJ218,34,0)</f>
        <v>7</v>
      </c>
      <c r="O84" s="3711">
        <f>+VLOOKUP(C84,'Chấm công CN'!B157:AJ218,35,0)</f>
        <v>1</v>
      </c>
      <c r="P84" s="3712">
        <f t="shared" si="14"/>
        <v>8</v>
      </c>
      <c r="Q84" s="3712">
        <v>500000</v>
      </c>
      <c r="R84" s="2688">
        <f t="shared" si="15"/>
        <v>922058</v>
      </c>
      <c r="S84" s="3711">
        <f t="shared" si="11"/>
        <v>993847</v>
      </c>
      <c r="T84" s="3674"/>
      <c r="U84" s="3683"/>
      <c r="V84" s="3711">
        <f t="shared" si="16"/>
        <v>993847</v>
      </c>
      <c r="W84" s="3682"/>
      <c r="Y84" s="3226"/>
    </row>
    <row r="85" spans="1:25" s="3677" customFormat="1" ht="33" customHeight="1">
      <c r="A85" s="3706">
        <v>68</v>
      </c>
      <c r="B85" s="3673"/>
      <c r="C85" s="3708" t="s">
        <v>2283</v>
      </c>
      <c r="D85" s="3710" t="s">
        <v>167</v>
      </c>
      <c r="E85" s="3748"/>
      <c r="F85" s="3767"/>
      <c r="G85" s="3709">
        <f t="shared" si="12"/>
        <v>0</v>
      </c>
      <c r="H85" s="3709">
        <f>+VLOOKUP(C85,'Mủ CN (TT)'!C158:AI219,33,0)</f>
        <v>9</v>
      </c>
      <c r="I85" s="3680"/>
      <c r="J85" s="3602">
        <f>+VLOOKUP(C85,'Mủ CN (TT)'!C158:AK219,35,0)</f>
        <v>5.2874277372262775</v>
      </c>
      <c r="K85" s="3603">
        <v>5.2100271482092415</v>
      </c>
      <c r="L85" s="3711" t="str">
        <f>+VLOOKUP(C85,'Mủ CN (TT)'!C158:AL219,36,0)</f>
        <v>A</v>
      </c>
      <c r="M85" s="2688">
        <f t="shared" si="13"/>
        <v>20842</v>
      </c>
      <c r="N85" s="3711">
        <f>+VLOOKUP(C85,'Chấm công CN'!B158:AJ219,34,0)</f>
        <v>7</v>
      </c>
      <c r="O85" s="3711">
        <f>+VLOOKUP(C85,'Chấm công CN'!B158:AJ219,35,0)</f>
        <v>1</v>
      </c>
      <c r="P85" s="3712">
        <f t="shared" si="14"/>
        <v>8</v>
      </c>
      <c r="Q85" s="3712">
        <v>500000</v>
      </c>
      <c r="R85" s="2688">
        <f t="shared" si="15"/>
        <v>922058</v>
      </c>
      <c r="S85" s="3711">
        <f t="shared" si="11"/>
        <v>942900</v>
      </c>
      <c r="T85" s="3674"/>
      <c r="U85" s="3683"/>
      <c r="V85" s="3711">
        <f t="shared" si="16"/>
        <v>942900</v>
      </c>
      <c r="W85" s="3682"/>
      <c r="Y85" s="3226"/>
    </row>
    <row r="86" spans="1:25" s="3677" customFormat="1" ht="33" customHeight="1">
      <c r="A86" s="3706">
        <v>69</v>
      </c>
      <c r="B86" s="3673"/>
      <c r="C86" s="3708" t="s">
        <v>847</v>
      </c>
      <c r="D86" s="3710" t="s">
        <v>167</v>
      </c>
      <c r="E86" s="3748"/>
      <c r="F86" s="3767"/>
      <c r="G86" s="3709">
        <f t="shared" si="12"/>
        <v>0</v>
      </c>
      <c r="H86" s="3709">
        <f>+VLOOKUP(C86,'Mủ CN (TT)'!C159:AI220,33,0)</f>
        <v>15</v>
      </c>
      <c r="I86" s="3680"/>
      <c r="J86" s="3602">
        <f>+VLOOKUP(C86,'Mủ CN (TT)'!C159:AK220,35,0)</f>
        <v>8.8123795620437964</v>
      </c>
      <c r="K86" s="3603">
        <v>8.6833785803487391</v>
      </c>
      <c r="L86" s="3711" t="str">
        <f>+VLOOKUP(C86,'Mủ CN (TT)'!C159:AL220,36,0)</f>
        <v>A</v>
      </c>
      <c r="M86" s="2688">
        <f t="shared" si="13"/>
        <v>34737</v>
      </c>
      <c r="N86" s="3711">
        <f>+VLOOKUP(C86,'Chấm công CN'!B159:AJ220,34,0)</f>
        <v>9</v>
      </c>
      <c r="O86" s="3711">
        <f>+VLOOKUP(C86,'Chấm công CN'!B159:AJ220,35,0)</f>
        <v>2</v>
      </c>
      <c r="P86" s="3712">
        <f t="shared" si="14"/>
        <v>11</v>
      </c>
      <c r="Q86" s="3712">
        <v>500000</v>
      </c>
      <c r="R86" s="2688">
        <f t="shared" si="15"/>
        <v>1092953</v>
      </c>
      <c r="S86" s="3711">
        <f t="shared" si="11"/>
        <v>1127690</v>
      </c>
      <c r="T86" s="3674"/>
      <c r="U86" s="3683"/>
      <c r="V86" s="3711">
        <f t="shared" si="16"/>
        <v>1127690</v>
      </c>
      <c r="W86" s="3682"/>
      <c r="Y86" s="3226"/>
    </row>
    <row r="87" spans="1:25" s="3677" customFormat="1" ht="33" customHeight="1">
      <c r="A87" s="3706">
        <v>70</v>
      </c>
      <c r="B87" s="3673"/>
      <c r="C87" s="3708" t="s">
        <v>288</v>
      </c>
      <c r="D87" s="3710" t="s">
        <v>167</v>
      </c>
      <c r="E87" s="3748"/>
      <c r="F87" s="3767"/>
      <c r="G87" s="3709">
        <f t="shared" si="12"/>
        <v>0</v>
      </c>
      <c r="H87" s="3709">
        <f>+VLOOKUP(C87,'Mủ CN (TT)'!C160:AI221,33,0)</f>
        <v>5</v>
      </c>
      <c r="I87" s="3680"/>
      <c r="J87" s="3602">
        <f>+VLOOKUP(C87,'Mủ CN (TT)'!C160:AK221,35,0)</f>
        <v>2.9374598540145986</v>
      </c>
      <c r="K87" s="3603">
        <v>2.8944595267829123</v>
      </c>
      <c r="L87" s="3711" t="str">
        <f>+VLOOKUP(C87,'Mủ CN (TT)'!C160:AL221,36,0)</f>
        <v>A</v>
      </c>
      <c r="M87" s="2688">
        <f t="shared" si="13"/>
        <v>11579</v>
      </c>
      <c r="N87" s="3711">
        <f>+VLOOKUP(C87,'Chấm công CN'!B160:AJ221,34,0)</f>
        <v>8</v>
      </c>
      <c r="O87" s="3711">
        <f>+VLOOKUP(C87,'Chấm công CN'!B160:AJ221,35,0)</f>
        <v>2</v>
      </c>
      <c r="P87" s="3712">
        <f t="shared" si="14"/>
        <v>10</v>
      </c>
      <c r="Q87" s="3712">
        <v>500000</v>
      </c>
      <c r="R87" s="2688">
        <f t="shared" si="15"/>
        <v>1042721</v>
      </c>
      <c r="S87" s="3711">
        <f t="shared" si="11"/>
        <v>1054300</v>
      </c>
      <c r="T87" s="3674"/>
      <c r="U87" s="3683"/>
      <c r="V87" s="3711">
        <f t="shared" si="16"/>
        <v>1054300</v>
      </c>
      <c r="W87" s="3682"/>
      <c r="Y87" s="3226"/>
    </row>
    <row r="88" spans="1:25" s="3677" customFormat="1" ht="33" customHeight="1">
      <c r="A88" s="3706">
        <v>71</v>
      </c>
      <c r="B88" s="3673"/>
      <c r="C88" s="3708" t="s">
        <v>1206</v>
      </c>
      <c r="D88" s="3710" t="s">
        <v>167</v>
      </c>
      <c r="E88" s="3748"/>
      <c r="F88" s="3767"/>
      <c r="G88" s="3709">
        <f t="shared" si="12"/>
        <v>0</v>
      </c>
      <c r="H88" s="3709">
        <f>+VLOOKUP(C88,'Mủ CN (TT)'!C161:AI222,33,0)</f>
        <v>55</v>
      </c>
      <c r="I88" s="3680"/>
      <c r="J88" s="3602">
        <f>+VLOOKUP(C88,'Mủ CN (TT)'!C161:AK222,35,0)</f>
        <v>32.312058394160587</v>
      </c>
      <c r="K88" s="3603">
        <v>31.839054794612036</v>
      </c>
      <c r="L88" s="3711" t="str">
        <f>+VLOOKUP(C88,'Mủ CN (TT)'!C161:AL222,36,0)</f>
        <v>A</v>
      </c>
      <c r="M88" s="2688">
        <f t="shared" si="13"/>
        <v>127368</v>
      </c>
      <c r="N88" s="3711">
        <f>+VLOOKUP(C88,'Chấm công CN'!B161:AJ222,34,0)</f>
        <v>9</v>
      </c>
      <c r="O88" s="3711">
        <f>+VLOOKUP(C88,'Chấm công CN'!B161:AJ222,35,0)</f>
        <v>2</v>
      </c>
      <c r="P88" s="3712">
        <f t="shared" si="14"/>
        <v>11</v>
      </c>
      <c r="Q88" s="3712">
        <v>500000</v>
      </c>
      <c r="R88" s="2688">
        <f t="shared" si="15"/>
        <v>1092953</v>
      </c>
      <c r="S88" s="3711">
        <f t="shared" si="11"/>
        <v>1220321</v>
      </c>
      <c r="T88" s="3674"/>
      <c r="U88" s="3683"/>
      <c r="V88" s="3711">
        <f t="shared" si="16"/>
        <v>1220321</v>
      </c>
      <c r="W88" s="3682"/>
      <c r="Y88" s="3226"/>
    </row>
    <row r="89" spans="1:25" s="3677" customFormat="1" ht="33" customHeight="1">
      <c r="A89" s="3706">
        <v>72</v>
      </c>
      <c r="B89" s="3673"/>
      <c r="C89" s="3708" t="s">
        <v>2284</v>
      </c>
      <c r="D89" s="3710" t="s">
        <v>167</v>
      </c>
      <c r="E89" s="3748"/>
      <c r="F89" s="3767"/>
      <c r="G89" s="3709">
        <f t="shared" si="12"/>
        <v>0</v>
      </c>
      <c r="H89" s="3709">
        <f>+VLOOKUP(C89,'Mủ CN (TT)'!C162:AI223,33,0)</f>
        <v>36</v>
      </c>
      <c r="I89" s="3680"/>
      <c r="J89" s="3602">
        <f>+VLOOKUP(C89,'Mủ CN (TT)'!C162:AK223,35,0)</f>
        <v>21.14971094890511</v>
      </c>
      <c r="K89" s="3603">
        <v>20.840108592836966</v>
      </c>
      <c r="L89" s="3711" t="str">
        <f>+VLOOKUP(C89,'Mủ CN (TT)'!C162:AL223,36,0)</f>
        <v>A</v>
      </c>
      <c r="M89" s="2688">
        <f t="shared" si="13"/>
        <v>83368</v>
      </c>
      <c r="N89" s="3711">
        <f>+VLOOKUP(C89,'Chấm công CN'!B162:AJ223,34,0)</f>
        <v>9</v>
      </c>
      <c r="O89" s="3711">
        <f>+VLOOKUP(C89,'Chấm công CN'!B162:AJ223,35,0)</f>
        <v>1</v>
      </c>
      <c r="P89" s="3712">
        <f t="shared" si="14"/>
        <v>10</v>
      </c>
      <c r="Q89" s="3712">
        <v>500000</v>
      </c>
      <c r="R89" s="2688">
        <f t="shared" si="15"/>
        <v>1022522</v>
      </c>
      <c r="S89" s="3711">
        <f t="shared" si="11"/>
        <v>1105890</v>
      </c>
      <c r="T89" s="3674"/>
      <c r="U89" s="3683"/>
      <c r="V89" s="3711">
        <f t="shared" si="16"/>
        <v>1105890</v>
      </c>
      <c r="W89" s="3682"/>
      <c r="Y89" s="3226"/>
    </row>
    <row r="90" spans="1:25" s="3677" customFormat="1" ht="33" customHeight="1">
      <c r="A90" s="3706">
        <v>73</v>
      </c>
      <c r="B90" s="3673"/>
      <c r="C90" s="3708" t="s">
        <v>2285</v>
      </c>
      <c r="D90" s="3710" t="s">
        <v>167</v>
      </c>
      <c r="E90" s="3748"/>
      <c r="F90" s="3767"/>
      <c r="G90" s="3709">
        <f t="shared" si="12"/>
        <v>0</v>
      </c>
      <c r="H90" s="3709">
        <f>+VLOOKUP(C90,'Mủ CN (TT)'!C163:AI224,33,0)</f>
        <v>98</v>
      </c>
      <c r="I90" s="3680"/>
      <c r="J90" s="3602">
        <f>+VLOOKUP(C90,'Mủ CN (TT)'!C163:AK224,35,0)</f>
        <v>57.574213138686133</v>
      </c>
      <c r="K90" s="3603">
        <v>56.731406724945074</v>
      </c>
      <c r="L90" s="3711" t="str">
        <f>+VLOOKUP(C90,'Mủ CN (TT)'!C163:AL224,36,0)</f>
        <v>A</v>
      </c>
      <c r="M90" s="2688">
        <f t="shared" si="13"/>
        <v>226947</v>
      </c>
      <c r="N90" s="3711">
        <f>+VLOOKUP(C90,'Chấm công CN'!B163:AJ224,34,0)</f>
        <v>9</v>
      </c>
      <c r="O90" s="3711">
        <f>+VLOOKUP(C90,'Chấm công CN'!B163:AJ224,35,0)</f>
        <v>2</v>
      </c>
      <c r="P90" s="3712">
        <f t="shared" si="14"/>
        <v>11</v>
      </c>
      <c r="Q90" s="3712">
        <v>500000</v>
      </c>
      <c r="R90" s="2688">
        <f t="shared" si="15"/>
        <v>1092953</v>
      </c>
      <c r="S90" s="3711">
        <f t="shared" si="11"/>
        <v>1319900</v>
      </c>
      <c r="T90" s="3674"/>
      <c r="U90" s="3683"/>
      <c r="V90" s="3711">
        <f t="shared" si="16"/>
        <v>1319900</v>
      </c>
      <c r="W90" s="3682"/>
      <c r="Y90" s="3226"/>
    </row>
    <row r="91" spans="1:25" s="3677" customFormat="1" ht="33" customHeight="1">
      <c r="A91" s="3706">
        <v>74</v>
      </c>
      <c r="B91" s="3673"/>
      <c r="C91" s="3708" t="s">
        <v>2286</v>
      </c>
      <c r="D91" s="3710" t="s">
        <v>167</v>
      </c>
      <c r="E91" s="3748"/>
      <c r="F91" s="3767"/>
      <c r="G91" s="3709">
        <f t="shared" si="12"/>
        <v>0</v>
      </c>
      <c r="H91" s="3709">
        <f>+VLOOKUP(C91,'Mủ CN (TT)'!C164:AI225,33,0)</f>
        <v>117</v>
      </c>
      <c r="I91" s="3680"/>
      <c r="J91" s="3602">
        <f>+VLOOKUP(C91,'Mủ CN (TT)'!C164:AK225,35,0)</f>
        <v>68.736560583941611</v>
      </c>
      <c r="K91" s="3603">
        <v>67.730352926720144</v>
      </c>
      <c r="L91" s="3711" t="str">
        <f>+VLOOKUP(C91,'Mủ CN (TT)'!C164:AL225,36,0)</f>
        <v>A</v>
      </c>
      <c r="M91" s="2688">
        <f t="shared" si="13"/>
        <v>270947</v>
      </c>
      <c r="N91" s="3711">
        <f>+VLOOKUP(C91,'Chấm công CN'!B164:AJ225,34,0)</f>
        <v>9</v>
      </c>
      <c r="O91" s="3711">
        <f>+VLOOKUP(C91,'Chấm công CN'!B164:AJ225,35,0)</f>
        <v>2</v>
      </c>
      <c r="P91" s="3712">
        <f t="shared" si="14"/>
        <v>11</v>
      </c>
      <c r="Q91" s="3712">
        <v>500000</v>
      </c>
      <c r="R91" s="2688">
        <f t="shared" si="15"/>
        <v>1092953</v>
      </c>
      <c r="S91" s="3711">
        <f t="shared" si="11"/>
        <v>1363900</v>
      </c>
      <c r="T91" s="3674"/>
      <c r="U91" s="3683"/>
      <c r="V91" s="3711">
        <f t="shared" si="16"/>
        <v>1363900</v>
      </c>
      <c r="W91" s="3682"/>
      <c r="Y91" s="3226"/>
    </row>
    <row r="92" spans="1:25" s="3677" customFormat="1" ht="33" customHeight="1">
      <c r="A92" s="3706">
        <v>75</v>
      </c>
      <c r="B92" s="3673"/>
      <c r="C92" s="3708" t="s">
        <v>2287</v>
      </c>
      <c r="D92" s="3710" t="s">
        <v>167</v>
      </c>
      <c r="E92" s="3748"/>
      <c r="F92" s="3767"/>
      <c r="G92" s="3709">
        <f t="shared" si="12"/>
        <v>0</v>
      </c>
      <c r="H92" s="3709">
        <f>+VLOOKUP(C92,'Mủ CN (TT)'!C165:AI226,33,0)</f>
        <v>51</v>
      </c>
      <c r="I92" s="3680"/>
      <c r="J92" s="3602">
        <f>+VLOOKUP(C92,'Mủ CN (TT)'!C165:AK226,35,0)</f>
        <v>29.962090510948904</v>
      </c>
      <c r="K92" s="3603">
        <v>29.523487173185703</v>
      </c>
      <c r="L92" s="3711" t="str">
        <f>+VLOOKUP(C92,'Mủ CN (TT)'!C165:AL226,36,0)</f>
        <v>A</v>
      </c>
      <c r="M92" s="2688">
        <f t="shared" si="13"/>
        <v>118105</v>
      </c>
      <c r="N92" s="3711">
        <f>+VLOOKUP(C92,'Chấm công CN'!B165:AJ226,34,0)</f>
        <v>10</v>
      </c>
      <c r="O92" s="3711">
        <f>+VLOOKUP(C92,'Chấm công CN'!B165:AJ226,35,0)</f>
        <v>1</v>
      </c>
      <c r="P92" s="3712">
        <f t="shared" si="14"/>
        <v>11</v>
      </c>
      <c r="Q92" s="3712">
        <v>500000</v>
      </c>
      <c r="R92" s="2688">
        <f>ROUND((N92*(46.1*$E$11))+(O92*(76.9*$E$11))+(P92*20000),0)+Q92+0.18</f>
        <v>1072755.18</v>
      </c>
      <c r="S92" s="3711">
        <f t="shared" si="11"/>
        <v>1190860.18</v>
      </c>
      <c r="T92" s="3674"/>
      <c r="U92" s="3683"/>
      <c r="V92" s="3711">
        <f t="shared" si="16"/>
        <v>1190860.18</v>
      </c>
      <c r="W92" s="3682"/>
      <c r="Y92" s="3226"/>
    </row>
    <row r="93" spans="1:25" s="3677" customFormat="1" ht="33" customHeight="1">
      <c r="A93" s="3706">
        <v>76</v>
      </c>
      <c r="B93" s="3673"/>
      <c r="C93" s="3708" t="s">
        <v>1207</v>
      </c>
      <c r="D93" s="3710" t="s">
        <v>167</v>
      </c>
      <c r="E93" s="3748"/>
      <c r="F93" s="3767"/>
      <c r="G93" s="3709">
        <f t="shared" si="12"/>
        <v>0</v>
      </c>
      <c r="H93" s="3709">
        <f>+VLOOKUP(C93,'Mủ CN (TT)'!C166:AI227,33,0)</f>
        <v>2</v>
      </c>
      <c r="I93" s="3680"/>
      <c r="J93" s="3602">
        <f>+VLOOKUP(C93,'Mủ CN (TT)'!C166:AK227,35,0)</f>
        <v>1.1749839416058394</v>
      </c>
      <c r="K93" s="3603">
        <v>1.1577838107131648</v>
      </c>
      <c r="L93" s="3711" t="str">
        <f>+VLOOKUP(C93,'Mủ CN (TT)'!C166:AL227,36,0)</f>
        <v>A</v>
      </c>
      <c r="M93" s="2688">
        <f t="shared" si="13"/>
        <v>4632</v>
      </c>
      <c r="N93" s="3711">
        <f>+VLOOKUP(C93,'Chấm công CN'!B166:AJ227,34,0)</f>
        <v>8</v>
      </c>
      <c r="O93" s="3711">
        <f>+VLOOKUP(C93,'Chấm công CN'!B166:AJ227,35,0)</f>
        <v>1</v>
      </c>
      <c r="P93" s="3712">
        <f t="shared" si="14"/>
        <v>9</v>
      </c>
      <c r="Q93" s="3712">
        <v>500000</v>
      </c>
      <c r="R93" s="2688">
        <f>ROUND((N93*(46.1*$E$11))+(O93*(76.9*$E$11))+(P93*20000),0)+Q93+0.06</f>
        <v>972290.06</v>
      </c>
      <c r="S93" s="3711">
        <f t="shared" si="11"/>
        <v>976922.06</v>
      </c>
      <c r="T93" s="3674"/>
      <c r="U93" s="3683"/>
      <c r="V93" s="3711">
        <f t="shared" si="16"/>
        <v>976922.06</v>
      </c>
      <c r="W93" s="3682"/>
      <c r="Y93" s="3226"/>
    </row>
    <row r="94" spans="1:25" s="3677" customFormat="1" ht="33" customHeight="1">
      <c r="A94" s="3706">
        <v>77</v>
      </c>
      <c r="B94" s="3673"/>
      <c r="C94" s="3708" t="s">
        <v>2288</v>
      </c>
      <c r="D94" s="3710" t="s">
        <v>167</v>
      </c>
      <c r="E94" s="3748"/>
      <c r="F94" s="3767"/>
      <c r="G94" s="3709">
        <f t="shared" si="12"/>
        <v>0</v>
      </c>
      <c r="H94" s="3709">
        <f>+VLOOKUP(C94,'Mủ CN (TT)'!C167:AI228,33,0)</f>
        <v>18</v>
      </c>
      <c r="I94" s="3680"/>
      <c r="J94" s="3602">
        <f>+VLOOKUP(C94,'Mủ CN (TT)'!C167:AK228,35,0)</f>
        <v>10.574855474452555</v>
      </c>
      <c r="K94" s="3603">
        <v>10.420054296418483</v>
      </c>
      <c r="L94" s="3711" t="str">
        <f>+VLOOKUP(C94,'Mủ CN (TT)'!C167:AL228,36,0)</f>
        <v>B</v>
      </c>
      <c r="M94" s="2688">
        <f t="shared" si="13"/>
        <v>39634</v>
      </c>
      <c r="N94" s="3711">
        <f>+VLOOKUP(C94,'Chấm công CN'!B167:AJ228,34,0)</f>
        <v>6</v>
      </c>
      <c r="O94" s="3711">
        <f>+VLOOKUP(C94,'Chấm công CN'!B167:AJ228,35,0)</f>
        <v>1</v>
      </c>
      <c r="P94" s="3712">
        <f t="shared" si="14"/>
        <v>7</v>
      </c>
      <c r="Q94" s="3712">
        <v>500000</v>
      </c>
      <c r="R94" s="2688">
        <f>ROUND((N94*(46.1*$E$11))+(O94*(76.9*$E$11))+(P94*20000),0)+Q94+0.3</f>
        <v>871825.3</v>
      </c>
      <c r="S94" s="3711">
        <f t="shared" si="11"/>
        <v>911459.3</v>
      </c>
      <c r="T94" s="3674"/>
      <c r="U94" s="3683"/>
      <c r="V94" s="3711">
        <f t="shared" si="16"/>
        <v>911459.3</v>
      </c>
      <c r="W94" s="3682"/>
      <c r="Y94" s="3226"/>
    </row>
    <row r="95" spans="1:25" s="3677" customFormat="1" ht="33" customHeight="1">
      <c r="A95" s="3706">
        <v>78</v>
      </c>
      <c r="B95" s="3673"/>
      <c r="C95" s="3708" t="s">
        <v>1511</v>
      </c>
      <c r="D95" s="3710" t="s">
        <v>167</v>
      </c>
      <c r="E95" s="3748"/>
      <c r="F95" s="3767"/>
      <c r="G95" s="3709">
        <f t="shared" si="12"/>
        <v>0</v>
      </c>
      <c r="H95" s="3709">
        <f>+VLOOKUP(C95,'Mủ CN (TT)'!C168:AI229,33,0)</f>
        <v>100</v>
      </c>
      <c r="I95" s="3680"/>
      <c r="J95" s="3602">
        <f>+VLOOKUP(C95,'Mủ CN (TT)'!C168:AK229,35,0)</f>
        <v>58.749197080291971</v>
      </c>
      <c r="K95" s="3603">
        <v>57.889190535658244</v>
      </c>
      <c r="L95" s="3711" t="str">
        <f>+VLOOKUP(C95,'Mủ CN (TT)'!C168:AL229,36,0)</f>
        <v>A</v>
      </c>
      <c r="M95" s="2688">
        <f t="shared" si="13"/>
        <v>231579</v>
      </c>
      <c r="N95" s="3711">
        <f>+VLOOKUP(C95,'Chấm công CN'!B168:AJ229,34,0)</f>
        <v>10</v>
      </c>
      <c r="O95" s="3711">
        <f>+VLOOKUP(C95,'Chấm công CN'!B168:AJ229,35,0)</f>
        <v>1</v>
      </c>
      <c r="P95" s="3712">
        <f t="shared" si="14"/>
        <v>11</v>
      </c>
      <c r="Q95" s="3712">
        <v>500000</v>
      </c>
      <c r="R95" s="2688">
        <f>ROUND((N95*(46.1*$E$11))+(O95*(76.9*$E$11))+(P95*20000),0)+Q95-0.18</f>
        <v>1072754.82</v>
      </c>
      <c r="S95" s="3711">
        <f t="shared" si="11"/>
        <v>1304333.82</v>
      </c>
      <c r="T95" s="3674"/>
      <c r="U95" s="3683"/>
      <c r="V95" s="3711">
        <f t="shared" si="16"/>
        <v>1304333.82</v>
      </c>
      <c r="W95" s="3682"/>
      <c r="Y95" s="3226"/>
    </row>
    <row r="96" spans="1:25" s="3677" customFormat="1" ht="33" customHeight="1">
      <c r="A96" s="3706">
        <v>79</v>
      </c>
      <c r="B96" s="3673"/>
      <c r="C96" s="3708" t="s">
        <v>1513</v>
      </c>
      <c r="D96" s="3710" t="s">
        <v>167</v>
      </c>
      <c r="E96" s="3748"/>
      <c r="F96" s="3767"/>
      <c r="G96" s="3709">
        <f t="shared" si="12"/>
        <v>0</v>
      </c>
      <c r="H96" s="3709">
        <f>+VLOOKUP(C96,'Mủ CN (TT)'!C169:AI230,33,0)</f>
        <v>64</v>
      </c>
      <c r="I96" s="3680"/>
      <c r="J96" s="3602">
        <f>+VLOOKUP(C96,'Mủ CN (TT)'!C169:AK230,35,0)</f>
        <v>37.599486131386861</v>
      </c>
      <c r="K96" s="3603">
        <v>37.049081942821282</v>
      </c>
      <c r="L96" s="3711" t="str">
        <f>+VLOOKUP(C96,'Mủ CN (TT)'!C169:AL230,36,0)</f>
        <v>A</v>
      </c>
      <c r="M96" s="2688">
        <f t="shared" si="13"/>
        <v>148210</v>
      </c>
      <c r="N96" s="3711">
        <f>+VLOOKUP(C96,'Chấm công CN'!B169:AJ230,34,0)</f>
        <v>8</v>
      </c>
      <c r="O96" s="3711">
        <f>+VLOOKUP(C96,'Chấm công CN'!B169:AJ230,35,0)</f>
        <v>2</v>
      </c>
      <c r="P96" s="3712">
        <f t="shared" si="14"/>
        <v>10</v>
      </c>
      <c r="Q96" s="3712">
        <v>500000</v>
      </c>
      <c r="R96" s="2688">
        <f>ROUND((N96*(46.1*$E$11))+(O96*(76.9*$E$11))+(P96*20000),0)+Q96+0.08</f>
        <v>1042721.08</v>
      </c>
      <c r="S96" s="3711">
        <f t="shared" si="11"/>
        <v>1190931.08</v>
      </c>
      <c r="T96" s="3674"/>
      <c r="U96" s="3683"/>
      <c r="V96" s="3711">
        <f t="shared" si="16"/>
        <v>1190931.08</v>
      </c>
      <c r="W96" s="3682"/>
      <c r="Y96" s="3226"/>
    </row>
    <row r="97" spans="1:27" s="3677" customFormat="1" ht="33" customHeight="1">
      <c r="A97" s="3706">
        <v>80</v>
      </c>
      <c r="B97" s="3673"/>
      <c r="C97" s="3708" t="s">
        <v>1268</v>
      </c>
      <c r="D97" s="3710" t="s">
        <v>167</v>
      </c>
      <c r="E97" s="3748"/>
      <c r="F97" s="3767"/>
      <c r="G97" s="3709">
        <f t="shared" si="12"/>
        <v>0</v>
      </c>
      <c r="H97" s="3709">
        <f>+VLOOKUP(C97,'Mủ CN (TT)'!C170:AI231,33,0)</f>
        <v>0</v>
      </c>
      <c r="I97" s="3680"/>
      <c r="J97" s="3602">
        <f>+VLOOKUP(C97,'Mủ CN (TT)'!C170:AK231,35,0)</f>
        <v>0</v>
      </c>
      <c r="K97" s="3603">
        <v>0</v>
      </c>
      <c r="L97" s="3711" t="str">
        <f>+VLOOKUP(C97,'Mủ CN (TT)'!C170:AL231,36,0)</f>
        <v>A</v>
      </c>
      <c r="M97" s="2688">
        <f t="shared" si="13"/>
        <v>0</v>
      </c>
      <c r="N97" s="3711">
        <f>+VLOOKUP(C97,'Chấm công CN'!B170:AJ231,34,0)</f>
        <v>10</v>
      </c>
      <c r="O97" s="3711">
        <f>+VLOOKUP(C97,'Chấm công CN'!B170:AJ231,35,0)</f>
        <v>0</v>
      </c>
      <c r="P97" s="3712">
        <f t="shared" si="14"/>
        <v>10</v>
      </c>
      <c r="Q97" s="3712">
        <v>500000</v>
      </c>
      <c r="R97" s="2688">
        <f>ROUND((N97*(46.1*$E$11))+(O97*(76.9*$E$11))+(P97*20000),0)+Q97-0.2</f>
        <v>1002323.8</v>
      </c>
      <c r="S97" s="3711">
        <f t="shared" si="11"/>
        <v>1002323.8</v>
      </c>
      <c r="T97" s="3674"/>
      <c r="U97" s="3683"/>
      <c r="V97" s="3711">
        <f t="shared" si="16"/>
        <v>1002323.8</v>
      </c>
      <c r="W97" s="3682"/>
      <c r="Y97" s="3226"/>
    </row>
    <row r="98" spans="1:27" s="3677" customFormat="1" ht="33" customHeight="1">
      <c r="A98" s="3706">
        <v>81</v>
      </c>
      <c r="B98" s="3673"/>
      <c r="C98" s="3708" t="s">
        <v>2289</v>
      </c>
      <c r="D98" s="3710" t="s">
        <v>167</v>
      </c>
      <c r="E98" s="3748"/>
      <c r="F98" s="3767"/>
      <c r="G98" s="3709">
        <f t="shared" si="12"/>
        <v>0</v>
      </c>
      <c r="H98" s="3709">
        <f>+VLOOKUP(C98,'Mủ CN (TT)'!C171:AI232,33,0)</f>
        <v>34</v>
      </c>
      <c r="I98" s="3680"/>
      <c r="J98" s="3602">
        <f>+VLOOKUP(C98,'Mủ CN (TT)'!C171:AK232,35,0)</f>
        <v>19.974727007299268</v>
      </c>
      <c r="K98" s="3603">
        <v>19.682324782123803</v>
      </c>
      <c r="L98" s="3711" t="str">
        <f>+VLOOKUP(C98,'Mủ CN (TT)'!C171:AL232,36,0)</f>
        <v>A</v>
      </c>
      <c r="M98" s="2688">
        <f t="shared" si="13"/>
        <v>78737</v>
      </c>
      <c r="N98" s="3711">
        <f>+VLOOKUP(C98,'Chấm công CN'!B171:AJ232,34,0)</f>
        <v>9</v>
      </c>
      <c r="O98" s="3711">
        <f>+VLOOKUP(C98,'Chấm công CN'!B171:AJ232,35,0)</f>
        <v>2</v>
      </c>
      <c r="P98" s="3712">
        <f t="shared" si="14"/>
        <v>11</v>
      </c>
      <c r="Q98" s="3712">
        <v>500000</v>
      </c>
      <c r="R98" s="2688">
        <f>ROUND((N98*(46.1*$E$11))+(O98*(76.9*$E$11))+(P98*20000),0)+Q98+0.46</f>
        <v>1092953.46</v>
      </c>
      <c r="S98" s="3711">
        <f t="shared" si="11"/>
        <v>1171690.46</v>
      </c>
      <c r="T98" s="3674"/>
      <c r="U98" s="3683"/>
      <c r="V98" s="3711">
        <f t="shared" si="16"/>
        <v>1171690.46</v>
      </c>
      <c r="W98" s="3682"/>
      <c r="Y98" s="3226"/>
    </row>
    <row r="99" spans="1:27" s="3677" customFormat="1" ht="33" customHeight="1">
      <c r="A99" s="3706">
        <v>82</v>
      </c>
      <c r="B99" s="3673"/>
      <c r="C99" s="3708" t="s">
        <v>2290</v>
      </c>
      <c r="D99" s="3710" t="s">
        <v>167</v>
      </c>
      <c r="E99" s="3748"/>
      <c r="F99" s="3767"/>
      <c r="G99" s="3709">
        <f t="shared" si="12"/>
        <v>0</v>
      </c>
      <c r="H99" s="3709">
        <f>+VLOOKUP(C99,'Mủ CN (TT)'!C172:AI233,33,0)</f>
        <v>0</v>
      </c>
      <c r="I99" s="3680"/>
      <c r="J99" s="3602">
        <f>+VLOOKUP(C99,'Mủ CN (TT)'!C172:AK233,35,0)</f>
        <v>0</v>
      </c>
      <c r="K99" s="3603">
        <v>0</v>
      </c>
      <c r="L99" s="3711" t="str">
        <f>+VLOOKUP(C99,'Mủ CN (TT)'!C172:AL233,36,0)</f>
        <v>B</v>
      </c>
      <c r="M99" s="2688">
        <f t="shared" si="13"/>
        <v>0</v>
      </c>
      <c r="N99" s="3711">
        <f>+VLOOKUP(C99,'Chấm công CN'!B172:AJ233,34,0)</f>
        <v>7</v>
      </c>
      <c r="O99" s="3711">
        <f>+VLOOKUP(C99,'Chấm công CN'!B172:AJ233,35,0)</f>
        <v>1</v>
      </c>
      <c r="P99" s="3712">
        <f t="shared" si="14"/>
        <v>8</v>
      </c>
      <c r="Q99" s="3712">
        <v>500000</v>
      </c>
      <c r="R99" s="2688">
        <f>ROUND((N99*(46.1*$E$11))+(O99*(76.9*$E$11))+(P99*20000),0)+Q99-0.32</f>
        <v>922057.68</v>
      </c>
      <c r="S99" s="3711">
        <f t="shared" si="11"/>
        <v>922057.68</v>
      </c>
      <c r="T99" s="3674"/>
      <c r="U99" s="3683"/>
      <c r="V99" s="3711">
        <f t="shared" si="16"/>
        <v>922057.68</v>
      </c>
      <c r="W99" s="3682"/>
      <c r="Y99" s="3226"/>
    </row>
    <row r="100" spans="1:27" s="3677" customFormat="1" ht="33" customHeight="1">
      <c r="A100" s="3706">
        <v>83</v>
      </c>
      <c r="B100" s="3673"/>
      <c r="C100" s="3708" t="s">
        <v>2291</v>
      </c>
      <c r="D100" s="3710" t="s">
        <v>167</v>
      </c>
      <c r="E100" s="3748"/>
      <c r="F100" s="3767"/>
      <c r="G100" s="3709">
        <f t="shared" si="12"/>
        <v>0</v>
      </c>
      <c r="H100" s="3709">
        <f>+VLOOKUP(C100,'Mủ CN (TT)'!C173:AI234,33,0)</f>
        <v>110</v>
      </c>
      <c r="I100" s="3680"/>
      <c r="J100" s="3602">
        <f>+VLOOKUP(C100,'Mủ CN (TT)'!C173:AK234,35,0)</f>
        <v>64.624116788321174</v>
      </c>
      <c r="K100" s="3603">
        <v>63.678109589224086</v>
      </c>
      <c r="L100" s="3711" t="str">
        <f>+VLOOKUP(C100,'Mủ CN (TT)'!C173:AL234,36,0)</f>
        <v>A</v>
      </c>
      <c r="M100" s="2688">
        <f t="shared" si="13"/>
        <v>254737</v>
      </c>
      <c r="N100" s="3711">
        <f>+VLOOKUP(C100,'Chấm công CN'!B173:AJ234,34,0)</f>
        <v>10</v>
      </c>
      <c r="O100" s="3711">
        <f>+VLOOKUP(C100,'Chấm công CN'!B173:AJ234,35,0)</f>
        <v>1</v>
      </c>
      <c r="P100" s="3712">
        <f t="shared" si="14"/>
        <v>11</v>
      </c>
      <c r="Q100" s="3712">
        <v>500000</v>
      </c>
      <c r="R100" s="2688">
        <f>ROUND((N100*(46.1*$E$11))+(O100*(76.9*$E$11))+(P100*20000),0)+Q100-0.18</f>
        <v>1072754.82</v>
      </c>
      <c r="S100" s="3711">
        <f t="shared" si="11"/>
        <v>1327491.82</v>
      </c>
      <c r="T100" s="3674"/>
      <c r="U100" s="3683"/>
      <c r="V100" s="3711">
        <f t="shared" si="16"/>
        <v>1327491.82</v>
      </c>
      <c r="W100" s="3682"/>
      <c r="Y100" s="3226"/>
    </row>
    <row r="101" spans="1:27" s="3677" customFormat="1" ht="33" customHeight="1">
      <c r="A101" s="3706">
        <v>84</v>
      </c>
      <c r="B101" s="3673"/>
      <c r="C101" s="3708" t="s">
        <v>2292</v>
      </c>
      <c r="D101" s="3710" t="s">
        <v>167</v>
      </c>
      <c r="E101" s="3748"/>
      <c r="F101" s="3767"/>
      <c r="G101" s="3709">
        <f t="shared" si="12"/>
        <v>0</v>
      </c>
      <c r="H101" s="3709">
        <f>+VLOOKUP(C101,'Mủ CN (TT)'!C174:AI235,33,0)</f>
        <v>9</v>
      </c>
      <c r="I101" s="3680"/>
      <c r="J101" s="3602">
        <f>+VLOOKUP(C101,'Mủ CN (TT)'!C174:AK235,35,0)</f>
        <v>5.2874277372262775</v>
      </c>
      <c r="K101" s="3603">
        <v>5.2100271482092415</v>
      </c>
      <c r="L101" s="3711" t="str">
        <f>+VLOOKUP(C101,'Mủ CN (TT)'!C174:AL235,36,0)</f>
        <v>A</v>
      </c>
      <c r="M101" s="2688">
        <f t="shared" si="13"/>
        <v>20842</v>
      </c>
      <c r="N101" s="3711">
        <f>+VLOOKUP(C101,'Chấm công CN'!B174:AJ235,34,0)</f>
        <v>9</v>
      </c>
      <c r="O101" s="3711">
        <f>+VLOOKUP(C101,'Chấm công CN'!B174:AJ235,35,0)</f>
        <v>2</v>
      </c>
      <c r="P101" s="3712">
        <f t="shared" si="14"/>
        <v>11</v>
      </c>
      <c r="Q101" s="3712">
        <v>500000</v>
      </c>
      <c r="R101" s="2688">
        <f>ROUND((N101*(46.1*$E$11))+(O101*(76.9*$E$11))+(P101*20000),0)+Q101+0.46</f>
        <v>1092953.46</v>
      </c>
      <c r="S101" s="3711">
        <f t="shared" si="11"/>
        <v>1113795.46</v>
      </c>
      <c r="T101" s="3674"/>
      <c r="U101" s="3683"/>
      <c r="V101" s="3711">
        <f t="shared" si="16"/>
        <v>1113795.46</v>
      </c>
      <c r="W101" s="3682"/>
      <c r="Y101" s="3226"/>
    </row>
    <row r="102" spans="1:27" s="3677" customFormat="1" ht="33" customHeight="1">
      <c r="A102" s="3706">
        <v>85</v>
      </c>
      <c r="B102" s="3673"/>
      <c r="C102" s="3708" t="s">
        <v>2293</v>
      </c>
      <c r="D102" s="3710" t="s">
        <v>167</v>
      </c>
      <c r="E102" s="3748"/>
      <c r="F102" s="3767"/>
      <c r="G102" s="3709">
        <f t="shared" si="12"/>
        <v>0</v>
      </c>
      <c r="H102" s="3709">
        <f>+VLOOKUP(C102,'Mủ CN (TT)'!C175:AI236,33,0)</f>
        <v>92</v>
      </c>
      <c r="I102" s="3680"/>
      <c r="J102" s="3602">
        <f>+VLOOKUP(C102,'Mủ CN (TT)'!C175:AK236,35,0)</f>
        <v>54.049261313868612</v>
      </c>
      <c r="K102" s="3603">
        <v>53.258055292805579</v>
      </c>
      <c r="L102" s="3711" t="str">
        <f>+VLOOKUP(C102,'Mủ CN (TT)'!C175:AL236,36,0)</f>
        <v>A</v>
      </c>
      <c r="M102" s="2688">
        <f>ROUND(J102*IF(L102="A",(6.1*$E$12),IF(L102="B",(5.8*$E$12),IF(L102="C",(5.5*$E$12),IF(L102="D",(5.2*$E$12))))),0)</f>
        <v>213052</v>
      </c>
      <c r="N102" s="3711">
        <f>+VLOOKUP(C102,'Chấm công CN'!B175:AJ236,34,0)</f>
        <v>10</v>
      </c>
      <c r="O102" s="3711">
        <f>+VLOOKUP(C102,'Chấm công CN'!B175:AJ236,35,0)</f>
        <v>2</v>
      </c>
      <c r="P102" s="3712">
        <f t="shared" si="14"/>
        <v>12</v>
      </c>
      <c r="Q102" s="3712">
        <v>500000</v>
      </c>
      <c r="R102" s="2688">
        <f>ROUND((N102*(46.1*$E$11))+(O102*(76.9*$E$11))+(P102*20000),0)+Q102-0.16</f>
        <v>1143185.8400000001</v>
      </c>
      <c r="S102" s="3711">
        <f t="shared" si="11"/>
        <v>1356237.84</v>
      </c>
      <c r="T102" s="3674"/>
      <c r="U102" s="3683"/>
      <c r="V102" s="3711">
        <f t="shared" si="16"/>
        <v>1356237.84</v>
      </c>
      <c r="W102" s="3682"/>
      <c r="Y102" s="3226"/>
    </row>
    <row r="103" spans="1:27" s="3677" customFormat="1" ht="33" customHeight="1">
      <c r="A103" s="3706">
        <v>86</v>
      </c>
      <c r="B103" s="3673"/>
      <c r="C103" s="3708" t="s">
        <v>1253</v>
      </c>
      <c r="D103" s="3710" t="s">
        <v>167</v>
      </c>
      <c r="E103" s="3748"/>
      <c r="F103" s="3767"/>
      <c r="G103" s="3709">
        <f t="shared" si="12"/>
        <v>0</v>
      </c>
      <c r="H103" s="3709">
        <f>+VLOOKUP(C103,'Mủ CN (TT)'!C176:AI237,33,0)</f>
        <v>0</v>
      </c>
      <c r="I103" s="3680"/>
      <c r="J103" s="3602">
        <f>+VLOOKUP(C103,'Mủ CN (TT)'!C176:AK237,35,0)</f>
        <v>0</v>
      </c>
      <c r="K103" s="3602"/>
      <c r="L103" s="3711" t="str">
        <f>+VLOOKUP(C103,'Mủ CN (TT)'!C176:AL237,36,0)</f>
        <v>A</v>
      </c>
      <c r="M103" s="2688">
        <f t="shared" ref="M103" si="17">ROUND(J103*IF(L103="A",(6.1*$E$12),IF(J103="B",(5.8*$E$12),IF(J103="C",(5.5*$E$12),IF(J103="D",(5.2*$E$12))))),0)</f>
        <v>0</v>
      </c>
      <c r="N103" s="3711">
        <f>+VLOOKUP(C103,'Chấm công CN'!B176:AJ237,34,0)</f>
        <v>10</v>
      </c>
      <c r="O103" s="3711">
        <f>+VLOOKUP(C103,'Chấm công CN'!B176:AJ237,35,0)</f>
        <v>0</v>
      </c>
      <c r="P103" s="3712">
        <f t="shared" si="14"/>
        <v>10</v>
      </c>
      <c r="Q103" s="3712">
        <v>500000</v>
      </c>
      <c r="R103" s="2688">
        <f>ROUND((N103*(46.1*$E$11))+(O103*(76.9*$E$11))+(P103*20000),0)+Q103-0.2</f>
        <v>1002323.8</v>
      </c>
      <c r="S103" s="3711">
        <f t="shared" si="11"/>
        <v>1002323.8</v>
      </c>
      <c r="T103" s="3674"/>
      <c r="U103" s="3683"/>
      <c r="V103" s="3711">
        <f t="shared" si="16"/>
        <v>1002323.8</v>
      </c>
      <c r="W103" s="3682"/>
      <c r="Y103" s="3226"/>
    </row>
    <row r="104" spans="1:27" s="3677" customFormat="1" ht="38.25" customHeight="1">
      <c r="A104" s="3973" t="s">
        <v>61</v>
      </c>
      <c r="B104" s="3974"/>
      <c r="C104" s="3974"/>
      <c r="D104" s="3975"/>
      <c r="E104" s="3678"/>
      <c r="F104" s="3103">
        <f>+SUBTOTAL(9,F18:F103)</f>
        <v>0</v>
      </c>
      <c r="G104" s="3013">
        <f t="shared" ref="G104:T104" si="18">+SUBTOTAL(9,G18:G103)</f>
        <v>0</v>
      </c>
      <c r="H104" s="3013">
        <f t="shared" si="18"/>
        <v>5918</v>
      </c>
      <c r="I104" s="3103">
        <f t="shared" si="18"/>
        <v>0</v>
      </c>
      <c r="J104" s="3013">
        <f t="shared" si="18"/>
        <v>3439.3830306569325</v>
      </c>
      <c r="K104" s="3103">
        <f t="shared" si="18"/>
        <v>3389.0352461276475</v>
      </c>
      <c r="L104" s="3103">
        <f t="shared" si="18"/>
        <v>0</v>
      </c>
      <c r="M104" s="3013">
        <f>+SUBTOTAL(9,M18:M103)</f>
        <v>13554016</v>
      </c>
      <c r="N104" s="3013">
        <f t="shared" si="18"/>
        <v>981</v>
      </c>
      <c r="O104" s="3013">
        <f t="shared" si="18"/>
        <v>186</v>
      </c>
      <c r="P104" s="3013">
        <f t="shared" si="18"/>
        <v>1167</v>
      </c>
      <c r="Q104" s="3013">
        <f t="shared" si="18"/>
        <v>43000000</v>
      </c>
      <c r="R104" s="3013">
        <f t="shared" si="18"/>
        <v>105378134.39999998</v>
      </c>
      <c r="S104" s="3013">
        <f t="shared" si="18"/>
        <v>118932150.39999998</v>
      </c>
      <c r="T104" s="3103">
        <f t="shared" si="18"/>
        <v>0</v>
      </c>
      <c r="U104" s="3013" t="e">
        <f>+SUBTOTAL(9,#REF!)</f>
        <v>#REF!</v>
      </c>
      <c r="V104" s="3013">
        <f>+SUBTOTAL(9,V18:V103)</f>
        <v>118932150.39999998</v>
      </c>
      <c r="W104" s="2552"/>
      <c r="X104" s="2519"/>
      <c r="Y104" s="2519"/>
      <c r="Z104" s="2519"/>
      <c r="AA104" s="2519"/>
    </row>
    <row r="105" spans="1:27" ht="38.25" customHeight="1">
      <c r="A105" s="3976" t="s">
        <v>2506</v>
      </c>
      <c r="B105" s="3976"/>
      <c r="C105" s="3976"/>
      <c r="D105" s="3976"/>
      <c r="E105" s="3976"/>
      <c r="F105" s="3976"/>
      <c r="G105" s="3976"/>
      <c r="H105" s="3976"/>
      <c r="I105" s="3976"/>
      <c r="J105" s="3976"/>
      <c r="K105" s="3976"/>
      <c r="L105" s="3976"/>
      <c r="M105" s="3976"/>
      <c r="N105" s="3976"/>
      <c r="O105" s="3976"/>
      <c r="P105" s="3976"/>
      <c r="Q105" s="3976"/>
      <c r="R105" s="3976"/>
      <c r="S105" s="3976"/>
      <c r="T105" s="3976"/>
      <c r="U105" s="3976"/>
      <c r="V105" s="3976"/>
      <c r="W105" s="3976"/>
    </row>
    <row r="106" spans="1:27" ht="26.25">
      <c r="A106" s="3707"/>
      <c r="B106" s="2553"/>
      <c r="C106" s="2553"/>
      <c r="D106" s="2553"/>
      <c r="E106" s="2553"/>
      <c r="F106" s="2553"/>
      <c r="G106" s="2553"/>
      <c r="H106" s="2553"/>
      <c r="I106" s="2553"/>
      <c r="J106" s="3017"/>
      <c r="K106" s="3017"/>
      <c r="L106" s="2553"/>
      <c r="M106" s="2553"/>
      <c r="N106" s="2553"/>
      <c r="O106" s="2553"/>
      <c r="P106" s="2553"/>
      <c r="Q106" s="2553"/>
      <c r="R106" s="2553"/>
      <c r="S106" s="2553"/>
      <c r="T106" s="2553"/>
      <c r="U106" s="2553"/>
      <c r="V106" s="2553"/>
      <c r="W106" s="2553"/>
    </row>
    <row r="107" spans="1:27" ht="26.25">
      <c r="A107" s="3594"/>
      <c r="B107" s="2555"/>
      <c r="C107" s="2556"/>
      <c r="D107" s="2557"/>
      <c r="E107" s="2557"/>
      <c r="F107" s="2558"/>
      <c r="G107" s="2559"/>
      <c r="H107" s="2559"/>
      <c r="I107" s="2559"/>
      <c r="J107" s="3018"/>
      <c r="K107" s="3018"/>
      <c r="L107" s="2561"/>
      <c r="M107" s="2562"/>
      <c r="N107" s="2563"/>
      <c r="O107" s="2563"/>
      <c r="P107" s="2563"/>
      <c r="Q107" s="2563"/>
      <c r="R107" s="2559"/>
      <c r="S107" s="3977" t="s">
        <v>2162</v>
      </c>
      <c r="T107" s="3977"/>
      <c r="U107" s="3977"/>
      <c r="V107" s="3977"/>
      <c r="W107" s="3977"/>
    </row>
    <row r="108" spans="1:27" hidden="1">
      <c r="D108" s="2564"/>
      <c r="E108" s="2564"/>
      <c r="F108" s="2565"/>
      <c r="N108" s="2566"/>
      <c r="O108" s="2566"/>
      <c r="P108" s="2566"/>
      <c r="Q108" s="2566"/>
      <c r="T108" s="2567"/>
      <c r="U108" s="2567"/>
      <c r="V108" s="2567"/>
      <c r="X108" s="2568"/>
      <c r="Y108" s="2568"/>
      <c r="Z108" s="2568"/>
      <c r="AA108" s="2568"/>
    </row>
    <row r="109" spans="1:27">
      <c r="D109" s="2564"/>
      <c r="E109" s="2564"/>
      <c r="F109" s="2565"/>
      <c r="N109" s="2566"/>
      <c r="O109" s="2566"/>
      <c r="P109" s="2566"/>
      <c r="Q109" s="2566"/>
      <c r="T109" s="2567"/>
      <c r="U109" s="2567"/>
      <c r="V109" s="2567"/>
      <c r="X109" s="2568"/>
      <c r="Y109" s="2568"/>
      <c r="Z109" s="2568"/>
      <c r="AA109" s="2568"/>
    </row>
    <row r="110" spans="1:27" s="2568" customFormat="1" ht="22.5">
      <c r="A110" s="3962" t="s">
        <v>502</v>
      </c>
      <c r="B110" s="3962"/>
      <c r="C110" s="3962"/>
      <c r="D110" s="2528"/>
      <c r="E110" s="3962" t="s">
        <v>1598</v>
      </c>
      <c r="F110" s="3962"/>
      <c r="G110" s="3962"/>
      <c r="H110" s="3962"/>
      <c r="I110" s="3962"/>
      <c r="J110" s="3962"/>
      <c r="K110" s="3962"/>
      <c r="L110" s="3962"/>
      <c r="M110" s="2528"/>
      <c r="N110" s="3962" t="s">
        <v>513</v>
      </c>
      <c r="O110" s="3962"/>
      <c r="P110" s="3962"/>
      <c r="Q110" s="3962"/>
      <c r="R110" s="3962"/>
      <c r="S110" s="3962" t="s">
        <v>1599</v>
      </c>
      <c r="T110" s="3962"/>
      <c r="U110" s="3962"/>
      <c r="V110" s="3962"/>
      <c r="W110" s="3962"/>
    </row>
    <row r="111" spans="1:27" s="2568" customFormat="1">
      <c r="A111" s="3595"/>
      <c r="C111" s="3672"/>
      <c r="D111" s="3672"/>
      <c r="E111" s="3672"/>
      <c r="F111" s="3672"/>
      <c r="G111" s="3672"/>
      <c r="H111" s="3672"/>
      <c r="I111" s="3672"/>
      <c r="J111" s="3020"/>
      <c r="K111" s="3020"/>
      <c r="L111" s="3672"/>
      <c r="M111" s="2528"/>
      <c r="O111" s="2528"/>
      <c r="P111" s="2528"/>
      <c r="Q111" s="2528"/>
      <c r="R111" s="2570"/>
      <c r="S111" s="3672"/>
      <c r="T111" s="3672"/>
      <c r="U111" s="3672"/>
      <c r="V111" s="3672"/>
    </row>
    <row r="112" spans="1:27" s="2568" customFormat="1">
      <c r="A112" s="3595"/>
      <c r="C112" s="3672"/>
      <c r="D112" s="3672"/>
      <c r="E112" s="3672"/>
      <c r="F112" s="3014"/>
      <c r="G112" s="3672"/>
      <c r="H112" s="3672"/>
      <c r="I112" s="3672"/>
      <c r="J112" s="3020"/>
      <c r="K112" s="3020"/>
      <c r="L112" s="3672"/>
      <c r="M112" s="2528"/>
      <c r="Q112" s="2528"/>
      <c r="R112" s="2570"/>
      <c r="S112" s="3672"/>
      <c r="T112" s="3672"/>
      <c r="U112" s="3672"/>
      <c r="V112" s="3672"/>
    </row>
    <row r="113" spans="1:27" s="2568" customFormat="1">
      <c r="A113" s="3595"/>
      <c r="C113" s="3672"/>
      <c r="D113" s="3672"/>
      <c r="E113" s="3672"/>
      <c r="F113" s="3014"/>
      <c r="G113" s="3672"/>
      <c r="H113" s="3672"/>
      <c r="I113" s="3672"/>
      <c r="J113" s="3020"/>
      <c r="K113" s="3020"/>
      <c r="L113" s="3672"/>
      <c r="M113" s="2528"/>
      <c r="O113" s="2528"/>
      <c r="P113" s="2528"/>
      <c r="Q113" s="2528"/>
      <c r="R113" s="2570"/>
      <c r="S113" s="3672"/>
      <c r="T113" s="3672"/>
      <c r="U113" s="3672"/>
      <c r="V113" s="3672"/>
    </row>
    <row r="114" spans="1:27" s="2568" customFormat="1">
      <c r="A114" s="3595"/>
      <c r="C114" s="3672"/>
      <c r="D114" s="3672"/>
      <c r="E114" s="3672"/>
      <c r="F114" s="3672"/>
      <c r="G114" s="3672"/>
      <c r="H114" s="3672"/>
      <c r="I114" s="3672"/>
      <c r="J114" s="3672"/>
      <c r="K114" s="3768"/>
      <c r="L114" s="3672"/>
      <c r="M114" s="2571"/>
      <c r="O114" s="2528"/>
      <c r="P114" s="2528"/>
      <c r="Q114" s="2528"/>
      <c r="R114" s="2528"/>
      <c r="S114" s="3672"/>
      <c r="T114" s="3672"/>
      <c r="U114" s="3672"/>
      <c r="V114" s="3672"/>
    </row>
    <row r="115" spans="1:27" s="2568" customFormat="1">
      <c r="A115" s="3595"/>
      <c r="C115" s="3672"/>
      <c r="D115" s="3672"/>
      <c r="E115" s="3672"/>
      <c r="F115" s="3679"/>
      <c r="G115" s="3672"/>
      <c r="H115" s="3672"/>
      <c r="I115" s="3672"/>
      <c r="J115" s="3020"/>
      <c r="K115" s="3020"/>
      <c r="L115" s="3672"/>
      <c r="M115" s="2528"/>
      <c r="O115" s="2528"/>
      <c r="P115" s="2528"/>
      <c r="Q115" s="2528"/>
      <c r="R115" s="2570"/>
      <c r="S115" s="3672"/>
      <c r="T115" s="3672"/>
      <c r="U115" s="3672"/>
      <c r="V115" s="3672"/>
    </row>
    <row r="116" spans="1:27" s="2568" customFormat="1">
      <c r="A116" s="3595"/>
      <c r="C116" s="3672"/>
      <c r="D116" s="3679"/>
      <c r="E116" s="3679"/>
      <c r="F116" s="3677"/>
      <c r="G116" s="3014"/>
      <c r="H116" s="3672"/>
      <c r="I116" s="3672"/>
      <c r="J116" s="3020"/>
      <c r="K116" s="3020"/>
      <c r="L116" s="3672"/>
      <c r="M116" s="2528"/>
      <c r="N116" s="3510"/>
      <c r="O116" s="3510"/>
      <c r="P116" s="3510"/>
      <c r="Q116" s="3510"/>
      <c r="R116" s="2570"/>
      <c r="S116" s="3672"/>
      <c r="T116" s="3672"/>
      <c r="U116" s="3672"/>
      <c r="V116" s="3672"/>
    </row>
    <row r="117" spans="1:27" s="2568" customFormat="1">
      <c r="A117" s="3595"/>
      <c r="C117" s="3672"/>
      <c r="D117" s="3672"/>
      <c r="E117" s="3672"/>
      <c r="F117" s="3672"/>
      <c r="J117" s="3021"/>
      <c r="K117" s="3021"/>
      <c r="L117" s="2528"/>
      <c r="M117" s="2528"/>
      <c r="V117" s="3672"/>
      <c r="W117" s="2528"/>
    </row>
    <row r="118" spans="1:27" s="2568" customFormat="1">
      <c r="A118" s="3991"/>
      <c r="B118" s="3991"/>
      <c r="C118" s="3991"/>
      <c r="D118" s="3991"/>
      <c r="E118" s="3991"/>
      <c r="F118" s="3991"/>
      <c r="G118" s="3672"/>
      <c r="H118" s="3962"/>
      <c r="I118" s="3962"/>
      <c r="J118" s="3962"/>
      <c r="K118" s="3962"/>
      <c r="L118" s="3962"/>
      <c r="M118" s="3962"/>
      <c r="N118" s="3962"/>
      <c r="O118" s="3962"/>
      <c r="P118" s="3962"/>
      <c r="Q118" s="3962"/>
      <c r="R118" s="3962"/>
      <c r="S118" s="3978"/>
      <c r="T118" s="3978"/>
      <c r="U118" s="3978"/>
      <c r="V118" s="3978"/>
      <c r="W118" s="3978"/>
      <c r="X118" s="2519"/>
      <c r="Y118" s="2519"/>
      <c r="Z118" s="2519"/>
      <c r="AA118" s="2519"/>
    </row>
    <row r="119" spans="1:27" s="2568" customFormat="1">
      <c r="A119" s="3595"/>
      <c r="C119" s="3672"/>
      <c r="D119" s="3679"/>
      <c r="E119" s="3679"/>
      <c r="F119" s="2571"/>
      <c r="G119" s="3684"/>
      <c r="H119" s="3684"/>
      <c r="I119" s="3684"/>
      <c r="J119" s="3020"/>
      <c r="K119" s="3020"/>
      <c r="L119" s="3672"/>
      <c r="M119" s="3962"/>
      <c r="N119" s="3962"/>
      <c r="O119" s="3962"/>
      <c r="P119" s="3962"/>
      <c r="Q119" s="3962"/>
      <c r="R119" s="2519"/>
      <c r="S119" s="2571"/>
      <c r="T119" s="2528"/>
      <c r="U119" s="2528"/>
      <c r="V119" s="2528"/>
      <c r="X119" s="2519"/>
      <c r="Y119" s="2519"/>
      <c r="Z119" s="2519"/>
      <c r="AA119" s="2519"/>
    </row>
    <row r="120" spans="1:27">
      <c r="B120" s="2519"/>
      <c r="C120" s="2519"/>
      <c r="F120" s="2566"/>
      <c r="G120" s="2566"/>
      <c r="H120" s="2566"/>
      <c r="I120" s="2566"/>
      <c r="J120" s="3007"/>
      <c r="K120" s="3007"/>
      <c r="L120" s="2574"/>
      <c r="M120" s="2566"/>
    </row>
    <row r="121" spans="1:27">
      <c r="B121" s="2519"/>
      <c r="C121" s="2519"/>
      <c r="F121" s="2566"/>
      <c r="G121" s="2575"/>
      <c r="H121" s="2575"/>
      <c r="I121" s="2575"/>
      <c r="J121" s="3007"/>
      <c r="K121" s="3007"/>
      <c r="L121" s="2574"/>
      <c r="M121" s="2576"/>
      <c r="N121" s="3986"/>
      <c r="O121" s="3986"/>
      <c r="P121" s="3671"/>
      <c r="Q121" s="3671"/>
      <c r="R121" s="2577"/>
      <c r="S121" s="2577"/>
    </row>
    <row r="122" spans="1:27">
      <c r="B122" s="2519"/>
      <c r="C122" s="2519"/>
      <c r="F122" s="2566"/>
      <c r="G122" s="2575"/>
      <c r="H122" s="2575"/>
      <c r="I122" s="2575"/>
      <c r="J122" s="3007"/>
      <c r="K122" s="3007"/>
      <c r="L122" s="2574"/>
      <c r="M122" s="2576"/>
      <c r="N122" s="3671"/>
      <c r="O122" s="3671"/>
      <c r="P122" s="3671"/>
      <c r="Q122" s="3671"/>
      <c r="R122" s="2577"/>
      <c r="S122" s="2577"/>
    </row>
    <row r="123" spans="1:27">
      <c r="B123" s="2519"/>
      <c r="C123" s="2519"/>
      <c r="F123" s="2566"/>
      <c r="G123" s="2575"/>
      <c r="H123" s="2575"/>
      <c r="I123" s="2575"/>
      <c r="J123" s="3007"/>
      <c r="K123" s="3007"/>
      <c r="L123" s="2574"/>
      <c r="M123" s="2576"/>
      <c r="N123" s="3671"/>
      <c r="O123" s="3671"/>
      <c r="P123" s="3671"/>
      <c r="Q123" s="3671"/>
      <c r="R123" s="2577"/>
      <c r="S123" s="2577"/>
    </row>
    <row r="124" spans="1:27">
      <c r="B124" s="2519"/>
      <c r="C124" s="2519"/>
      <c r="F124" s="2566"/>
      <c r="G124" s="2575"/>
      <c r="H124" s="2575"/>
      <c r="I124" s="2575"/>
      <c r="J124" s="3007"/>
      <c r="K124" s="3007"/>
      <c r="L124" s="2574"/>
      <c r="M124" s="2576"/>
      <c r="N124" s="3671"/>
      <c r="O124" s="3671"/>
      <c r="P124" s="3671"/>
      <c r="Q124" s="3671"/>
      <c r="R124" s="2577"/>
      <c r="S124" s="2577"/>
    </row>
    <row r="125" spans="1:27">
      <c r="B125" s="2519"/>
      <c r="C125" s="2519"/>
      <c r="F125" s="2566"/>
      <c r="G125" s="2575"/>
      <c r="H125" s="2575"/>
      <c r="I125" s="2575"/>
      <c r="J125" s="3007"/>
      <c r="K125" s="3007"/>
      <c r="L125" s="2574"/>
      <c r="M125" s="2576"/>
      <c r="N125" s="3671"/>
      <c r="O125" s="3671"/>
      <c r="P125" s="3671"/>
      <c r="Q125" s="3671"/>
      <c r="R125" s="2577"/>
      <c r="S125" s="2577"/>
    </row>
    <row r="126" spans="1:27">
      <c r="B126" s="2519"/>
      <c r="C126" s="2519"/>
      <c r="F126" s="2566"/>
      <c r="G126" s="2575"/>
      <c r="H126" s="2575"/>
      <c r="I126" s="2575"/>
      <c r="J126" s="3007"/>
      <c r="K126" s="3007"/>
      <c r="L126" s="2574"/>
      <c r="M126" s="2576"/>
      <c r="N126" s="3671"/>
      <c r="O126" s="3671"/>
      <c r="P126" s="3671"/>
      <c r="Q126" s="3671"/>
      <c r="R126" s="2577"/>
      <c r="S126" s="2577"/>
    </row>
    <row r="127" spans="1:27">
      <c r="B127" s="2519"/>
      <c r="C127" s="2519"/>
      <c r="F127" s="2566"/>
      <c r="G127" s="2575"/>
      <c r="H127" s="2575"/>
      <c r="I127" s="2575"/>
      <c r="J127" s="3007"/>
      <c r="K127" s="3007"/>
      <c r="L127" s="2574"/>
      <c r="M127" s="2576"/>
      <c r="N127" s="3671"/>
      <c r="O127" s="3671"/>
      <c r="P127" s="3671"/>
      <c r="Q127" s="3671"/>
      <c r="R127" s="2577"/>
      <c r="S127" s="2577"/>
    </row>
    <row r="128" spans="1:27">
      <c r="B128" s="2519"/>
      <c r="C128" s="2519"/>
      <c r="F128" s="2566"/>
      <c r="G128" s="2575"/>
      <c r="H128" s="2575"/>
      <c r="I128" s="2575"/>
      <c r="J128" s="3007"/>
      <c r="K128" s="3007"/>
      <c r="L128" s="2574"/>
      <c r="M128" s="2576"/>
      <c r="N128" s="3671"/>
      <c r="O128" s="3671"/>
      <c r="P128" s="3671"/>
      <c r="Q128" s="3671"/>
      <c r="R128" s="2577"/>
      <c r="S128" s="2577"/>
    </row>
    <row r="129" spans="1:19">
      <c r="B129" s="2519"/>
      <c r="C129" s="2519"/>
      <c r="F129" s="2566"/>
      <c r="G129" s="2575"/>
      <c r="H129" s="2575"/>
      <c r="I129" s="2575"/>
      <c r="J129" s="3007"/>
      <c r="K129" s="3007"/>
      <c r="L129" s="2574"/>
      <c r="M129" s="2576"/>
      <c r="N129" s="3671"/>
      <c r="O129" s="3671"/>
      <c r="P129" s="3671"/>
      <c r="Q129" s="3671"/>
      <c r="R129" s="2577"/>
      <c r="S129" s="2577"/>
    </row>
    <row r="130" spans="1:19">
      <c r="B130" s="2519"/>
      <c r="C130" s="2519"/>
      <c r="F130" s="2566"/>
      <c r="G130" s="2575"/>
      <c r="H130" s="2575"/>
      <c r="I130" s="2575"/>
      <c r="J130" s="3007"/>
      <c r="K130" s="3007"/>
      <c r="L130" s="2574"/>
      <c r="M130" s="2576"/>
      <c r="N130" s="3671"/>
      <c r="O130" s="3671"/>
      <c r="P130" s="3671"/>
      <c r="Q130" s="3671"/>
      <c r="R130" s="2577"/>
      <c r="S130" s="2577"/>
    </row>
    <row r="131" spans="1:19">
      <c r="B131" s="2519"/>
      <c r="C131" s="2519"/>
      <c r="F131" s="2566"/>
      <c r="G131" s="2575"/>
      <c r="H131" s="2575"/>
      <c r="I131" s="2575"/>
      <c r="J131" s="3007"/>
      <c r="K131" s="3007"/>
      <c r="L131" s="2574"/>
      <c r="M131" s="2576"/>
      <c r="N131" s="3671"/>
      <c r="O131" s="3671"/>
      <c r="P131" s="3671"/>
      <c r="Q131" s="3671"/>
      <c r="R131" s="2577"/>
      <c r="S131" s="2577"/>
    </row>
    <row r="132" spans="1:19">
      <c r="B132" s="2519"/>
      <c r="C132" s="2519"/>
      <c r="F132" s="2566"/>
      <c r="G132" s="2575"/>
      <c r="H132" s="2575"/>
      <c r="I132" s="2575"/>
      <c r="J132" s="3007"/>
      <c r="K132" s="3007"/>
      <c r="L132" s="2574"/>
      <c r="M132" s="2576"/>
      <c r="N132" s="3671"/>
      <c r="O132" s="3671"/>
      <c r="P132" s="3671"/>
      <c r="Q132" s="3671"/>
      <c r="R132" s="2577"/>
      <c r="S132" s="2577"/>
    </row>
    <row r="133" spans="1:19">
      <c r="B133" s="2519"/>
      <c r="C133" s="2519"/>
      <c r="F133" s="2566"/>
      <c r="G133" s="2575"/>
      <c r="H133" s="2575"/>
      <c r="I133" s="2575"/>
      <c r="J133" s="3007"/>
      <c r="K133" s="3007"/>
      <c r="L133" s="2574"/>
      <c r="M133" s="2576"/>
      <c r="N133" s="3671"/>
      <c r="O133" s="3671"/>
      <c r="P133" s="3671"/>
      <c r="Q133" s="3671"/>
      <c r="R133" s="2577"/>
      <c r="S133" s="2577"/>
    </row>
    <row r="134" spans="1:19">
      <c r="B134" s="2519"/>
      <c r="C134" s="2519"/>
      <c r="F134" s="2566"/>
      <c r="G134" s="2575"/>
      <c r="H134" s="2575"/>
      <c r="I134" s="2575"/>
      <c r="J134" s="3007"/>
      <c r="K134" s="3007"/>
      <c r="L134" s="2574"/>
      <c r="M134" s="2576"/>
      <c r="N134" s="3671"/>
      <c r="O134" s="3671"/>
      <c r="P134" s="3671"/>
      <c r="Q134" s="3671"/>
      <c r="R134" s="2577"/>
      <c r="S134" s="2577"/>
    </row>
    <row r="135" spans="1:19">
      <c r="A135" s="3596"/>
      <c r="B135" s="2519"/>
      <c r="C135" s="2519"/>
      <c r="F135" s="2566"/>
      <c r="G135" s="2575"/>
      <c r="H135" s="2575"/>
      <c r="I135" s="2575"/>
      <c r="J135" s="3007"/>
      <c r="K135" s="3007"/>
      <c r="L135" s="2574"/>
      <c r="M135" s="2576"/>
      <c r="N135" s="3671"/>
      <c r="O135" s="3671"/>
      <c r="P135" s="3671"/>
      <c r="Q135" s="3671"/>
      <c r="R135" s="2577"/>
      <c r="S135" s="2577"/>
    </row>
    <row r="136" spans="1:19">
      <c r="A136" s="3596"/>
      <c r="B136" s="2519"/>
      <c r="C136" s="2519"/>
      <c r="F136" s="2566"/>
      <c r="G136" s="2575"/>
      <c r="H136" s="2575"/>
      <c r="I136" s="2575"/>
      <c r="J136" s="3007"/>
      <c r="K136" s="3007"/>
      <c r="L136" s="2574"/>
      <c r="M136" s="2576"/>
      <c r="N136" s="3671"/>
      <c r="O136" s="3671"/>
      <c r="P136" s="3671"/>
      <c r="Q136" s="3671"/>
      <c r="R136" s="2577"/>
      <c r="S136" s="2577"/>
    </row>
    <row r="137" spans="1:19">
      <c r="A137" s="3596"/>
      <c r="B137" s="2519"/>
      <c r="C137" s="2519"/>
      <c r="F137" s="2566"/>
      <c r="G137" s="2575"/>
      <c r="H137" s="2575"/>
      <c r="I137" s="2575"/>
      <c r="J137" s="3007"/>
      <c r="K137" s="3007"/>
      <c r="L137" s="2574"/>
      <c r="M137" s="2576"/>
      <c r="N137" s="3671"/>
      <c r="O137" s="3671"/>
      <c r="P137" s="3671"/>
      <c r="Q137" s="3671"/>
      <c r="R137" s="2577"/>
      <c r="S137" s="2577"/>
    </row>
    <row r="138" spans="1:19">
      <c r="A138" s="3596"/>
      <c r="B138" s="2519"/>
      <c r="C138" s="2519"/>
      <c r="F138" s="2566"/>
      <c r="G138" s="2575"/>
      <c r="H138" s="2575"/>
      <c r="I138" s="2575"/>
      <c r="J138" s="3007"/>
      <c r="K138" s="3007"/>
      <c r="L138" s="2574"/>
      <c r="M138" s="2576"/>
      <c r="N138" s="3671"/>
      <c r="O138" s="3671"/>
      <c r="P138" s="3671"/>
      <c r="Q138" s="3671"/>
      <c r="R138" s="2577"/>
      <c r="S138" s="2577"/>
    </row>
    <row r="139" spans="1:19">
      <c r="A139" s="3596"/>
      <c r="B139" s="2519"/>
      <c r="C139" s="2519"/>
      <c r="F139" s="2566"/>
      <c r="G139" s="2575"/>
      <c r="H139" s="2575"/>
      <c r="I139" s="2575"/>
      <c r="J139" s="3007"/>
      <c r="K139" s="3007"/>
      <c r="L139" s="2574"/>
      <c r="M139" s="2576"/>
      <c r="N139" s="3671"/>
      <c r="O139" s="3671"/>
      <c r="P139" s="3671"/>
      <c r="Q139" s="3671"/>
      <c r="R139" s="2577"/>
      <c r="S139" s="2577"/>
    </row>
    <row r="140" spans="1:19">
      <c r="A140" s="3596"/>
      <c r="B140" s="2519"/>
      <c r="C140" s="2519"/>
      <c r="F140" s="2566"/>
      <c r="G140" s="2575"/>
      <c r="H140" s="2575"/>
      <c r="I140" s="2575"/>
      <c r="J140" s="3007"/>
      <c r="K140" s="3007"/>
      <c r="L140" s="2574"/>
      <c r="M140" s="2576"/>
      <c r="N140" s="3671"/>
      <c r="O140" s="3671"/>
      <c r="P140" s="3671"/>
      <c r="Q140" s="3671"/>
      <c r="R140" s="2577"/>
      <c r="S140" s="2577"/>
    </row>
    <row r="141" spans="1:19">
      <c r="A141" s="3596"/>
      <c r="B141" s="2519"/>
      <c r="C141" s="2519"/>
      <c r="F141" s="2566"/>
      <c r="G141" s="2575"/>
      <c r="H141" s="2575"/>
      <c r="I141" s="2575"/>
      <c r="J141" s="3007"/>
      <c r="K141" s="3007"/>
      <c r="L141" s="2574"/>
      <c r="M141" s="2576"/>
      <c r="N141" s="3671"/>
      <c r="O141" s="3671"/>
      <c r="P141" s="3671"/>
      <c r="Q141" s="3671"/>
      <c r="R141" s="2577"/>
      <c r="S141" s="2577"/>
    </row>
    <row r="142" spans="1:19">
      <c r="A142" s="3596"/>
      <c r="B142" s="2519"/>
      <c r="C142" s="2519"/>
      <c r="F142" s="2566"/>
      <c r="G142" s="2575"/>
      <c r="H142" s="2575"/>
      <c r="I142" s="2575"/>
      <c r="J142" s="3007"/>
      <c r="K142" s="3007"/>
      <c r="L142" s="2574"/>
      <c r="M142" s="2576"/>
      <c r="N142" s="3671"/>
      <c r="O142" s="3671"/>
      <c r="P142" s="3671"/>
      <c r="Q142" s="3671"/>
      <c r="R142" s="2577"/>
      <c r="S142" s="2577"/>
    </row>
    <row r="143" spans="1:19">
      <c r="A143" s="3596"/>
      <c r="B143" s="2519"/>
      <c r="C143" s="2519"/>
      <c r="F143" s="2566"/>
      <c r="G143" s="2575"/>
      <c r="H143" s="2575"/>
      <c r="I143" s="2575"/>
      <c r="J143" s="3007"/>
      <c r="K143" s="3007"/>
      <c r="L143" s="2574"/>
      <c r="M143" s="2576"/>
      <c r="N143" s="3671"/>
      <c r="O143" s="3671"/>
      <c r="P143" s="3671"/>
      <c r="Q143" s="3671"/>
      <c r="R143" s="2577"/>
      <c r="S143" s="2577"/>
    </row>
    <row r="144" spans="1:19">
      <c r="A144" s="3596"/>
      <c r="B144" s="2519"/>
      <c r="C144" s="2519"/>
      <c r="F144" s="2566"/>
      <c r="G144" s="2575"/>
      <c r="H144" s="2575"/>
      <c r="I144" s="2575"/>
      <c r="J144" s="3007"/>
      <c r="K144" s="3007"/>
      <c r="L144" s="2574"/>
      <c r="M144" s="2576"/>
      <c r="N144" s="3671"/>
      <c r="O144" s="3671"/>
      <c r="P144" s="3671"/>
      <c r="Q144" s="3671"/>
      <c r="R144" s="2577"/>
      <c r="S144" s="2577"/>
    </row>
    <row r="145" spans="1:22">
      <c r="A145" s="3596"/>
      <c r="B145" s="2519"/>
      <c r="C145" s="2519"/>
      <c r="F145" s="2566"/>
      <c r="G145" s="2575"/>
      <c r="H145" s="2575"/>
      <c r="I145" s="2575"/>
      <c r="J145" s="3007"/>
      <c r="K145" s="3007"/>
      <c r="L145" s="2574"/>
      <c r="M145" s="2576"/>
      <c r="N145" s="3671"/>
      <c r="O145" s="3671"/>
      <c r="P145" s="3671"/>
      <c r="Q145" s="3671"/>
      <c r="R145" s="2577"/>
      <c r="S145" s="2577"/>
    </row>
    <row r="146" spans="1:22">
      <c r="A146" s="3596"/>
      <c r="B146" s="2519"/>
      <c r="C146" s="2519"/>
      <c r="F146" s="2566"/>
      <c r="G146" s="2575"/>
      <c r="H146" s="2575"/>
      <c r="I146" s="2575"/>
      <c r="J146" s="3007"/>
      <c r="K146" s="3007"/>
      <c r="L146" s="2574"/>
      <c r="M146" s="2576"/>
      <c r="N146" s="3671"/>
      <c r="O146" s="3671"/>
      <c r="P146" s="3671"/>
      <c r="Q146" s="3671"/>
      <c r="R146" s="2577"/>
      <c r="S146" s="2577"/>
    </row>
    <row r="147" spans="1:22">
      <c r="A147" s="3596"/>
      <c r="B147" s="2519"/>
      <c r="C147" s="2519"/>
      <c r="F147" s="2566"/>
      <c r="G147" s="2575"/>
      <c r="H147" s="2575"/>
      <c r="I147" s="2575"/>
      <c r="J147" s="3007"/>
      <c r="K147" s="3007"/>
      <c r="L147" s="2574"/>
      <c r="M147" s="2576"/>
      <c r="N147" s="3671"/>
      <c r="O147" s="3671"/>
      <c r="P147" s="3671"/>
      <c r="Q147" s="3671"/>
      <c r="R147" s="2577"/>
      <c r="S147" s="2577"/>
    </row>
    <row r="148" spans="1:22">
      <c r="A148" s="3596"/>
      <c r="B148" s="2519"/>
      <c r="C148" s="2519"/>
      <c r="F148" s="2566"/>
      <c r="G148" s="2575"/>
      <c r="H148" s="2575"/>
      <c r="I148" s="2575"/>
      <c r="J148" s="3007"/>
      <c r="K148" s="3007"/>
      <c r="L148" s="2574"/>
      <c r="M148" s="2576"/>
      <c r="N148" s="3671"/>
      <c r="O148" s="3671"/>
      <c r="P148" s="3671"/>
      <c r="Q148" s="3671"/>
      <c r="R148" s="2577"/>
      <c r="S148" s="2577"/>
    </row>
    <row r="149" spans="1:22">
      <c r="A149" s="3596"/>
      <c r="B149" s="2519"/>
      <c r="C149" s="2519"/>
      <c r="F149" s="2566"/>
      <c r="G149" s="2575"/>
      <c r="H149" s="2575"/>
      <c r="I149" s="2575"/>
      <c r="J149" s="3007"/>
      <c r="K149" s="3007"/>
      <c r="L149" s="2574"/>
      <c r="M149" s="2576"/>
      <c r="N149" s="3671"/>
      <c r="O149" s="3671"/>
      <c r="P149" s="3671"/>
      <c r="Q149" s="3671"/>
      <c r="R149" s="2577"/>
      <c r="S149" s="2577"/>
    </row>
    <row r="150" spans="1:22">
      <c r="A150" s="3596"/>
      <c r="B150" s="2519"/>
      <c r="C150" s="2519"/>
      <c r="F150" s="2566"/>
      <c r="G150" s="2575"/>
      <c r="H150" s="2575"/>
      <c r="I150" s="2575"/>
      <c r="J150" s="3007"/>
      <c r="K150" s="3007"/>
      <c r="L150" s="2574"/>
      <c r="M150" s="2576"/>
      <c r="N150" s="3671"/>
      <c r="O150" s="3671"/>
      <c r="P150" s="3671"/>
      <c r="Q150" s="3671"/>
      <c r="R150" s="2577"/>
      <c r="S150" s="2577"/>
    </row>
    <row r="151" spans="1:22">
      <c r="A151" s="3596"/>
      <c r="B151" s="2519"/>
      <c r="C151" s="2519"/>
      <c r="F151" s="2566"/>
      <c r="G151" s="2575"/>
      <c r="H151" s="2575"/>
      <c r="I151" s="2575"/>
      <c r="J151" s="3007"/>
      <c r="K151" s="3007"/>
      <c r="L151" s="2574"/>
      <c r="M151" s="2576"/>
      <c r="N151" s="3671"/>
      <c r="O151" s="3671"/>
      <c r="P151" s="3671"/>
      <c r="Q151" s="3671"/>
      <c r="R151" s="2577"/>
      <c r="S151" s="2577"/>
    </row>
    <row r="152" spans="1:22">
      <c r="A152" s="3596"/>
      <c r="B152" s="2519"/>
      <c r="C152" s="2519"/>
      <c r="F152" s="2566"/>
      <c r="G152" s="2575"/>
      <c r="H152" s="2575"/>
      <c r="I152" s="2575"/>
      <c r="J152" s="3007"/>
      <c r="K152" s="3007"/>
      <c r="L152" s="2574"/>
      <c r="M152" s="2576"/>
      <c r="N152" s="3671"/>
      <c r="O152" s="3671"/>
      <c r="P152" s="3671"/>
      <c r="Q152" s="3671"/>
      <c r="R152" s="2577"/>
      <c r="S152" s="2577"/>
    </row>
    <row r="153" spans="1:22">
      <c r="A153" s="3596"/>
      <c r="B153" s="2519"/>
      <c r="C153" s="2519"/>
      <c r="F153" s="2566"/>
      <c r="G153" s="2575"/>
      <c r="H153" s="2575"/>
      <c r="I153" s="2575"/>
      <c r="J153" s="3007"/>
      <c r="K153" s="3007"/>
      <c r="L153" s="2574"/>
      <c r="M153" s="2576"/>
      <c r="N153" s="3671"/>
      <c r="O153" s="3671"/>
      <c r="P153" s="3671"/>
      <c r="Q153" s="3671"/>
      <c r="R153" s="2577"/>
      <c r="S153" s="2577"/>
    </row>
    <row r="154" spans="1:22">
      <c r="A154" s="3596"/>
      <c r="B154" s="2519"/>
      <c r="C154" s="2519"/>
      <c r="F154" s="2566"/>
      <c r="J154" s="3007"/>
      <c r="K154" s="3007"/>
      <c r="L154" s="2574"/>
      <c r="M154" s="2519"/>
      <c r="R154" s="2579"/>
    </row>
    <row r="155" spans="1:22">
      <c r="A155" s="3596"/>
      <c r="B155" s="2519"/>
      <c r="C155" s="2566"/>
      <c r="F155" s="2580"/>
      <c r="J155" s="3007"/>
      <c r="K155" s="3007"/>
      <c r="L155" s="2574"/>
      <c r="M155" s="2519"/>
      <c r="N155" s="2577"/>
      <c r="O155" s="2577"/>
      <c r="P155" s="2577"/>
      <c r="Q155" s="2577"/>
      <c r="T155" s="2577"/>
      <c r="U155" s="2577"/>
      <c r="V155" s="2577"/>
    </row>
    <row r="156" spans="1:22">
      <c r="A156" s="3596"/>
      <c r="B156" s="2519"/>
      <c r="C156" s="2519"/>
      <c r="D156" s="2566"/>
      <c r="E156" s="2566"/>
      <c r="F156" s="2566"/>
      <c r="L156" s="3675"/>
      <c r="M156" s="2519"/>
      <c r="T156" s="2577"/>
      <c r="U156" s="2577"/>
      <c r="V156" s="2577"/>
    </row>
    <row r="157" spans="1:22">
      <c r="A157" s="3596"/>
      <c r="B157" s="2519"/>
      <c r="C157" s="2566" t="e">
        <f>#REF!+#REF!+#REF!+#REF!</f>
        <v>#REF!</v>
      </c>
      <c r="D157" s="2581"/>
      <c r="E157" s="2581"/>
      <c r="F157" s="3989" t="s">
        <v>1600</v>
      </c>
      <c r="G157" s="2566">
        <f>SUMIF(L104:L104,"A",J104:J104)</f>
        <v>0</v>
      </c>
      <c r="H157" s="2566"/>
      <c r="I157" s="2566"/>
      <c r="J157" s="3007">
        <f>G157*2500</f>
        <v>0</v>
      </c>
      <c r="K157" s="3007"/>
      <c r="L157" s="2574"/>
      <c r="M157" s="2575"/>
      <c r="O157" s="2519">
        <f>7.2+0.6+21+5+70</f>
        <v>103.8</v>
      </c>
    </row>
    <row r="158" spans="1:22">
      <c r="A158" s="3596"/>
      <c r="B158" s="2519"/>
      <c r="C158" s="2519"/>
      <c r="F158" s="3989"/>
      <c r="G158" s="2566">
        <f>SUMIF(L104:L104,"B",J104:J104)</f>
        <v>0</v>
      </c>
      <c r="H158" s="2566"/>
      <c r="I158" s="2566"/>
      <c r="J158" s="3007">
        <f>G158*2400</f>
        <v>0</v>
      </c>
      <c r="K158" s="3007"/>
      <c r="L158" s="2574"/>
      <c r="M158" s="2566"/>
    </row>
    <row r="159" spans="1:22">
      <c r="A159" s="3596"/>
      <c r="B159" s="2519"/>
      <c r="C159" s="2519"/>
      <c r="F159" s="3989"/>
      <c r="G159" s="2566">
        <f>SUMIF(L104:L104,"C",J104:J104)</f>
        <v>0</v>
      </c>
      <c r="H159" s="2566"/>
      <c r="I159" s="2566"/>
      <c r="J159" s="3007">
        <f>G159*2300</f>
        <v>0</v>
      </c>
      <c r="K159" s="3007"/>
      <c r="L159" s="2574"/>
      <c r="M159" s="2519"/>
      <c r="N159" s="2576"/>
      <c r="O159" s="2576"/>
      <c r="P159" s="2576"/>
      <c r="Q159" s="2576"/>
      <c r="R159" s="2576"/>
      <c r="V159" s="2566"/>
    </row>
    <row r="160" spans="1:22">
      <c r="A160" s="3596"/>
      <c r="B160" s="2519"/>
      <c r="C160" s="2519"/>
      <c r="F160" s="3989"/>
      <c r="G160" s="2566">
        <f>SUMIF(L104:L104,"D",J104:J104)</f>
        <v>0</v>
      </c>
      <c r="H160" s="2566"/>
      <c r="I160" s="2566"/>
      <c r="J160" s="3007">
        <f>G160*2200</f>
        <v>0</v>
      </c>
      <c r="K160" s="3007"/>
      <c r="L160" s="2574"/>
      <c r="M160" s="2519"/>
      <c r="N160" s="3671"/>
      <c r="O160" s="3671"/>
      <c r="P160" s="3671"/>
      <c r="Q160" s="3671"/>
      <c r="R160" s="3671"/>
      <c r="V160" s="2566"/>
    </row>
    <row r="161" spans="1:22">
      <c r="A161" s="3596"/>
      <c r="B161" s="2519"/>
      <c r="C161" s="2519"/>
      <c r="F161" s="2566"/>
      <c r="G161" s="2566"/>
      <c r="H161" s="2566"/>
      <c r="I161" s="2566"/>
      <c r="J161" s="3007"/>
      <c r="K161" s="3007"/>
      <c r="L161" s="2574"/>
      <c r="M161" s="2519"/>
      <c r="N161" s="3671"/>
      <c r="O161" s="3671"/>
      <c r="P161" s="3671"/>
      <c r="Q161" s="3671"/>
      <c r="R161" s="3671"/>
      <c r="V161" s="2566"/>
    </row>
    <row r="162" spans="1:22">
      <c r="A162" s="3596"/>
      <c r="B162" s="2519"/>
      <c r="C162" s="2519"/>
      <c r="F162" s="2566"/>
      <c r="G162" s="2566"/>
      <c r="H162" s="2566"/>
      <c r="I162" s="2566"/>
      <c r="J162" s="3007"/>
      <c r="K162" s="3007"/>
      <c r="L162" s="2574"/>
      <c r="M162" s="2519"/>
      <c r="N162" s="3671"/>
      <c r="O162" s="3671"/>
      <c r="P162" s="3671"/>
      <c r="Q162" s="3671"/>
      <c r="R162" s="3671"/>
      <c r="V162" s="2566"/>
    </row>
    <row r="163" spans="1:22">
      <c r="A163" s="3596"/>
      <c r="B163" s="2519"/>
      <c r="C163" s="2519"/>
      <c r="F163" s="2566"/>
      <c r="G163" s="2566"/>
      <c r="H163" s="2566"/>
      <c r="I163" s="2566"/>
      <c r="J163" s="3007"/>
      <c r="K163" s="3007"/>
      <c r="L163" s="2574"/>
      <c r="M163" s="2519"/>
      <c r="N163" s="3671"/>
      <c r="O163" s="3671"/>
      <c r="P163" s="3671"/>
      <c r="Q163" s="3671"/>
      <c r="R163" s="3671"/>
      <c r="V163" s="2566"/>
    </row>
    <row r="164" spans="1:22">
      <c r="A164" s="3596"/>
      <c r="B164" s="2519"/>
      <c r="C164" s="2519"/>
      <c r="F164" s="2566"/>
      <c r="G164" s="2566"/>
      <c r="H164" s="2566"/>
      <c r="I164" s="2566"/>
      <c r="J164" s="3007"/>
      <c r="K164" s="3007"/>
      <c r="L164" s="2574"/>
      <c r="M164" s="2519"/>
      <c r="N164" s="3671"/>
      <c r="O164" s="3671"/>
      <c r="P164" s="3671"/>
      <c r="Q164" s="3671"/>
      <c r="R164" s="3671"/>
      <c r="V164" s="2566"/>
    </row>
    <row r="165" spans="1:22">
      <c r="A165" s="3596"/>
      <c r="B165" s="2519"/>
      <c r="C165" s="2519"/>
      <c r="F165" s="2566"/>
      <c r="G165" s="2566"/>
      <c r="H165" s="2566"/>
      <c r="I165" s="2566"/>
      <c r="J165" s="3007"/>
      <c r="K165" s="3007"/>
      <c r="L165" s="2574"/>
      <c r="M165" s="2519"/>
      <c r="N165" s="3671"/>
      <c r="O165" s="3671"/>
      <c r="P165" s="3671"/>
      <c r="Q165" s="3671"/>
      <c r="R165" s="3671"/>
      <c r="V165" s="2566"/>
    </row>
    <row r="166" spans="1:22">
      <c r="A166" s="3596"/>
      <c r="B166" s="2519"/>
      <c r="C166" s="2519"/>
      <c r="F166" s="2566"/>
      <c r="G166" s="2566"/>
      <c r="H166" s="2566"/>
      <c r="I166" s="2566"/>
      <c r="J166" s="3007"/>
      <c r="K166" s="3007"/>
      <c r="L166" s="2574"/>
      <c r="M166" s="2519"/>
      <c r="N166" s="3671"/>
      <c r="O166" s="3671"/>
      <c r="P166" s="3671"/>
      <c r="Q166" s="3671"/>
      <c r="R166" s="3671"/>
      <c r="V166" s="2566"/>
    </row>
    <row r="167" spans="1:22">
      <c r="B167" s="2519"/>
      <c r="C167" s="2519"/>
      <c r="F167" s="2519"/>
      <c r="G167" s="2519">
        <f>SUM(G157:G165)</f>
        <v>0</v>
      </c>
      <c r="J167" s="3007">
        <f>SUM(J157:J165)</f>
        <v>0</v>
      </c>
      <c r="K167" s="3007"/>
      <c r="L167" s="2574"/>
      <c r="M167" s="2519"/>
      <c r="N167" s="3961" t="e">
        <f>J167+J177+G182</f>
        <v>#REF!</v>
      </c>
      <c r="O167" s="3961"/>
      <c r="P167" s="3675"/>
      <c r="Q167" s="3675"/>
      <c r="R167" s="2519" t="e">
        <f>N167-#REF!</f>
        <v>#REF!</v>
      </c>
    </row>
    <row r="168" spans="1:22">
      <c r="B168" s="2519"/>
      <c r="C168" s="2519"/>
      <c r="F168" s="2519"/>
      <c r="J168" s="3022"/>
      <c r="K168" s="3022"/>
      <c r="L168" s="3676"/>
      <c r="M168" s="2519"/>
      <c r="O168" s="2577"/>
      <c r="P168" s="2577"/>
      <c r="Q168" s="2577"/>
      <c r="R168" s="2577"/>
    </row>
    <row r="169" spans="1:22">
      <c r="B169" s="2519"/>
      <c r="C169" s="2519"/>
      <c r="F169" s="2566"/>
      <c r="G169" s="2519">
        <v>5422</v>
      </c>
      <c r="J169" s="3007">
        <f>G169*30000</f>
        <v>162660000</v>
      </c>
      <c r="K169" s="3007"/>
      <c r="L169" s="2574"/>
      <c r="M169" s="2519"/>
    </row>
    <row r="170" spans="1:22">
      <c r="B170" s="2519"/>
      <c r="C170" s="2519"/>
      <c r="F170" s="2566"/>
      <c r="G170" s="2519">
        <v>20</v>
      </c>
      <c r="J170" s="3007">
        <f>G170*60000</f>
        <v>1200000</v>
      </c>
      <c r="K170" s="3007"/>
      <c r="L170" s="2574"/>
      <c r="M170" s="2519"/>
    </row>
    <row r="171" spans="1:22">
      <c r="B171" s="2519"/>
      <c r="C171" s="2519"/>
      <c r="F171" s="2566"/>
      <c r="G171" s="2519">
        <v>230</v>
      </c>
      <c r="J171" s="3007">
        <f>G171*80000</f>
        <v>18400000</v>
      </c>
      <c r="K171" s="3007"/>
      <c r="L171" s="2574"/>
      <c r="M171" s="2519"/>
    </row>
    <row r="172" spans="1:22">
      <c r="A172" s="3596"/>
      <c r="G172" s="2519">
        <v>998</v>
      </c>
      <c r="J172" s="3007">
        <f>G172*50000</f>
        <v>49900000</v>
      </c>
      <c r="K172" s="3007"/>
      <c r="L172" s="2574"/>
      <c r="V172" s="2577"/>
    </row>
    <row r="173" spans="1:22">
      <c r="A173" s="3596"/>
      <c r="G173" s="2519">
        <v>2</v>
      </c>
      <c r="J173" s="3007">
        <f>G173*80000</f>
        <v>160000</v>
      </c>
      <c r="K173" s="3007"/>
      <c r="L173" s="2574"/>
      <c r="V173" s="2577"/>
    </row>
    <row r="174" spans="1:22">
      <c r="A174" s="3596"/>
      <c r="G174" s="2519">
        <v>89</v>
      </c>
      <c r="J174" s="3007">
        <f>G174*100000</f>
        <v>8900000</v>
      </c>
      <c r="K174" s="3007"/>
      <c r="L174" s="2574"/>
      <c r="V174" s="3675"/>
    </row>
    <row r="175" spans="1:22">
      <c r="A175" s="3596"/>
      <c r="G175" s="2519">
        <v>301.56000000000006</v>
      </c>
      <c r="J175" s="3007">
        <f>G175*25000</f>
        <v>7539000.0000000019</v>
      </c>
      <c r="K175" s="3007"/>
      <c r="L175" s="2574"/>
      <c r="V175" s="3675"/>
    </row>
    <row r="176" spans="1:22">
      <c r="A176" s="3596"/>
      <c r="G176" s="2519">
        <v>2965</v>
      </c>
      <c r="J176" s="3007">
        <f>G176*20000</f>
        <v>59300000</v>
      </c>
      <c r="K176" s="3007"/>
      <c r="L176" s="2574"/>
      <c r="V176" s="3675"/>
    </row>
    <row r="177" spans="1:19">
      <c r="A177" s="3596"/>
      <c r="B177" s="2926"/>
      <c r="G177" s="2519">
        <f>SUM(G169:G176)</f>
        <v>10027.560000000001</v>
      </c>
      <c r="J177" s="3990">
        <f>SUM(J169:J176)</f>
        <v>308059000</v>
      </c>
      <c r="K177" s="3990"/>
      <c r="L177" s="3990"/>
      <c r="R177" s="3675"/>
      <c r="S177" s="2577"/>
    </row>
    <row r="178" spans="1:19">
      <c r="A178" s="3596"/>
      <c r="B178" s="2584"/>
      <c r="G178" s="2566" t="e">
        <f>#REF!+#REF!+#REF!+F104</f>
        <v>#REF!</v>
      </c>
      <c r="H178" s="2566"/>
      <c r="I178" s="2566"/>
      <c r="J178" s="3007" t="e">
        <f>G178*25000</f>
        <v>#REF!</v>
      </c>
      <c r="K178" s="3007"/>
      <c r="L178" s="2574"/>
    </row>
    <row r="179" spans="1:19">
      <c r="A179" s="3596"/>
      <c r="B179" s="2584"/>
      <c r="F179" s="2577" t="s">
        <v>1601</v>
      </c>
      <c r="G179" s="2519" t="e">
        <f>#REF!+#REF!</f>
        <v>#REF!</v>
      </c>
      <c r="J179" s="3007" t="e">
        <f>#REF!+#REF!</f>
        <v>#REF!</v>
      </c>
      <c r="K179" s="3007"/>
      <c r="L179" s="2585"/>
    </row>
    <row r="180" spans="1:19">
      <c r="A180" s="3596"/>
      <c r="B180" s="2584"/>
      <c r="G180" s="2519" t="e">
        <f>#REF!</f>
        <v>#REF!</v>
      </c>
      <c r="J180" s="3007" t="e">
        <f>#REF!</f>
        <v>#REF!</v>
      </c>
      <c r="K180" s="3007"/>
      <c r="L180" s="2585"/>
    </row>
    <row r="181" spans="1:19">
      <c r="A181" s="3596"/>
      <c r="G181" s="2519" t="e">
        <f>#REF!+#REF!+#REF!+#REF!</f>
        <v>#REF!</v>
      </c>
      <c r="J181" s="3007" t="e">
        <f>#REF!+#REF!+#REF!+#REF!</f>
        <v>#REF!</v>
      </c>
      <c r="K181" s="3007"/>
      <c r="L181" s="2585"/>
    </row>
    <row r="182" spans="1:19">
      <c r="A182" s="3596"/>
      <c r="G182" s="3990" t="e">
        <f>SUM(J178:L181)</f>
        <v>#REF!</v>
      </c>
      <c r="H182" s="3990"/>
      <c r="I182" s="3990"/>
      <c r="J182" s="3990"/>
      <c r="K182" s="3770"/>
      <c r="L182" s="2585"/>
      <c r="M182" s="2523" t="e">
        <f>G182-#REF!</f>
        <v>#REF!</v>
      </c>
    </row>
    <row r="184" spans="1:19">
      <c r="A184" s="3596"/>
      <c r="J184" s="3979" t="e">
        <f>+#REF!+#REF!+#REF!+#REF!+1000000</f>
        <v>#REF!</v>
      </c>
      <c r="K184" s="3979"/>
      <c r="L184" s="3979"/>
    </row>
    <row r="186" spans="1:19">
      <c r="A186" s="3596"/>
      <c r="G186" s="2566"/>
      <c r="H186" s="2566"/>
      <c r="I186" s="2566"/>
      <c r="J186" s="3007"/>
      <c r="K186" s="3007"/>
    </row>
    <row r="187" spans="1:19">
      <c r="A187" s="3596"/>
      <c r="N187" s="2566"/>
    </row>
    <row r="191" spans="1:19">
      <c r="A191" s="3596"/>
      <c r="G191" s="2566">
        <v>2551.8899999999994</v>
      </c>
      <c r="H191" s="2566"/>
      <c r="I191" s="2566"/>
    </row>
    <row r="192" spans="1:19">
      <c r="A192" s="3596"/>
      <c r="B192" s="2519"/>
      <c r="C192" s="2519"/>
      <c r="F192" s="2519"/>
      <c r="G192" s="2566" t="e">
        <f>+G178-G191</f>
        <v>#REF!</v>
      </c>
      <c r="H192" s="2566"/>
      <c r="I192" s="2566"/>
    </row>
    <row r="198" spans="1:18">
      <c r="A198" s="3596"/>
      <c r="B198" s="2519"/>
      <c r="C198" s="2519"/>
      <c r="F198" s="2519"/>
      <c r="L198" s="2522">
        <v>1678</v>
      </c>
      <c r="M198" s="2523">
        <v>1573</v>
      </c>
      <c r="N198" s="2519">
        <v>1187</v>
      </c>
      <c r="O198" s="2519">
        <v>1183</v>
      </c>
      <c r="R198" s="2519">
        <f>SUM(L198:O198)</f>
        <v>5621</v>
      </c>
    </row>
    <row r="199" spans="1:18">
      <c r="A199" s="3596"/>
      <c r="B199" s="2519"/>
      <c r="C199" s="2519"/>
      <c r="F199" s="2519"/>
      <c r="L199" s="2522">
        <v>257</v>
      </c>
      <c r="M199" s="2523">
        <v>244</v>
      </c>
      <c r="N199" s="2519">
        <v>183</v>
      </c>
      <c r="O199" s="2519">
        <v>182</v>
      </c>
      <c r="R199" s="2519">
        <f>SUM(L199:O199)</f>
        <v>866</v>
      </c>
    </row>
    <row r="200" spans="1:18">
      <c r="A200" s="3596"/>
      <c r="B200" s="2519"/>
      <c r="C200" s="2519"/>
      <c r="F200" s="2519"/>
      <c r="L200" s="2522">
        <v>1935</v>
      </c>
      <c r="M200" s="2523">
        <v>1817</v>
      </c>
      <c r="N200" s="2519">
        <v>1370</v>
      </c>
      <c r="O200" s="2519">
        <v>1365</v>
      </c>
      <c r="R200" s="2519">
        <f>SUM(L200:O200)</f>
        <v>6487</v>
      </c>
    </row>
  </sheetData>
  <mergeCells count="53">
    <mergeCell ref="E110:L110"/>
    <mergeCell ref="A110:C110"/>
    <mergeCell ref="N110:R110"/>
    <mergeCell ref="S110:W110"/>
    <mergeCell ref="H16:H17"/>
    <mergeCell ref="J16:J17"/>
    <mergeCell ref="A104:D104"/>
    <mergeCell ref="A105:W105"/>
    <mergeCell ref="S107:W107"/>
    <mergeCell ref="M16:M17"/>
    <mergeCell ref="N16:N17"/>
    <mergeCell ref="P16:P17"/>
    <mergeCell ref="R16:R17"/>
    <mergeCell ref="I16:I17"/>
    <mergeCell ref="L16:L17"/>
    <mergeCell ref="Q16:Q17"/>
    <mergeCell ref="K16:K17"/>
    <mergeCell ref="S118:W118"/>
    <mergeCell ref="M119:Q119"/>
    <mergeCell ref="N121:O121"/>
    <mergeCell ref="A9:W9"/>
    <mergeCell ref="A10:W10"/>
    <mergeCell ref="V12:W12"/>
    <mergeCell ref="F13:R13"/>
    <mergeCell ref="S13:S17"/>
    <mergeCell ref="T13:T17"/>
    <mergeCell ref="U13:U17"/>
    <mergeCell ref="V13:V17"/>
    <mergeCell ref="W13:W17"/>
    <mergeCell ref="H14:M15"/>
    <mergeCell ref="N14:R15"/>
    <mergeCell ref="O16:O17"/>
    <mergeCell ref="N167:O167"/>
    <mergeCell ref="J177:L177"/>
    <mergeCell ref="G182:J182"/>
    <mergeCell ref="J184:L184"/>
    <mergeCell ref="A118:F118"/>
    <mergeCell ref="F157:F160"/>
    <mergeCell ref="H118:L118"/>
    <mergeCell ref="M118:R118"/>
    <mergeCell ref="A6:J6"/>
    <mergeCell ref="A7:J7"/>
    <mergeCell ref="A2:W2"/>
    <mergeCell ref="A3:W3"/>
    <mergeCell ref="A4:W4"/>
    <mergeCell ref="F14:G15"/>
    <mergeCell ref="E13:E17"/>
    <mergeCell ref="A13:A17"/>
    <mergeCell ref="B13:B17"/>
    <mergeCell ref="C13:C17"/>
    <mergeCell ref="D13:D17"/>
    <mergeCell ref="G16:G17"/>
    <mergeCell ref="F16:F17"/>
  </mergeCells>
  <pageMargins left="0.15748031496062992" right="0.15748031496062992" top="0.47244094488188981" bottom="0.27559055118110237" header="0.31496062992125984" footer="0.15748031496062992"/>
  <pageSetup paperSize="9" scale="45" orientation="landscape" r:id="rId1"/>
  <colBreaks count="1" manualBreakCount="1">
    <brk id="29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B143"/>
  <sheetViews>
    <sheetView zoomScale="53" zoomScaleNormal="53" workbookViewId="0">
      <selection activeCell="I22" sqref="I22"/>
    </sheetView>
  </sheetViews>
  <sheetFormatPr defaultColWidth="9.42578125" defaultRowHeight="23.25"/>
  <cols>
    <col min="1" max="1" width="8.42578125" style="2516" customWidth="1"/>
    <col min="2" max="2" width="20.5703125" style="2517" hidden="1" customWidth="1"/>
    <col min="3" max="3" width="22.5703125" style="2518" customWidth="1"/>
    <col min="4" max="4" width="15.5703125" style="2519" customWidth="1"/>
    <col min="5" max="5" width="19.5703125" style="2519" customWidth="1"/>
    <col min="6" max="6" width="19.28515625" style="2520" customWidth="1"/>
    <col min="7" max="7" width="25.42578125" style="2519" customWidth="1"/>
    <col min="8" max="8" width="14.7109375" style="2519" customWidth="1"/>
    <col min="9" max="9" width="11.42578125" style="2519" customWidth="1"/>
    <col min="10" max="10" width="16.7109375" style="2521" customWidth="1"/>
    <col min="11" max="11" width="16.7109375" style="2521" hidden="1" customWidth="1"/>
    <col min="12" max="12" width="13.28515625" style="2522" customWidth="1"/>
    <col min="13" max="13" width="18.42578125" style="2523" customWidth="1"/>
    <col min="14" max="14" width="23.5703125" style="2523" hidden="1" customWidth="1"/>
    <col min="15" max="15" width="14.7109375" style="2519" customWidth="1"/>
    <col min="16" max="16" width="12" style="2519" customWidth="1"/>
    <col min="17" max="17" width="12" style="2519" hidden="1" customWidth="1"/>
    <col min="18" max="18" width="12.85546875" style="2519" customWidth="1"/>
    <col min="19" max="19" width="20" style="2519" customWidth="1"/>
    <col min="20" max="20" width="20.5703125" style="2519" customWidth="1"/>
    <col min="21" max="21" width="22.42578125" style="2519" customWidth="1"/>
    <col min="22" max="22" width="16.7109375" style="2519" hidden="1" customWidth="1"/>
    <col min="23" max="23" width="24.28515625" style="2519" customWidth="1"/>
    <col min="24" max="24" width="22.7109375" style="2519" hidden="1" customWidth="1"/>
    <col min="25" max="25" width="19.140625" style="2519" customWidth="1"/>
    <col min="26" max="26" width="19.7109375" style="2519" hidden="1" customWidth="1"/>
    <col min="27" max="27" width="22.7109375" style="2519" hidden="1" customWidth="1"/>
    <col min="28" max="28" width="21.5703125" style="2519" hidden="1" customWidth="1"/>
    <col min="29" max="32" width="0" style="2519" hidden="1" customWidth="1"/>
    <col min="33" max="33" width="9.5703125" style="2519" bestFit="1" customWidth="1"/>
    <col min="34" max="16384" width="9.42578125" style="2519"/>
  </cols>
  <sheetData>
    <row r="2" spans="1:28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  <c r="X2" s="3958"/>
      <c r="Y2" s="3958"/>
      <c r="Z2" s="3048"/>
    </row>
    <row r="3" spans="1:28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  <c r="X3" s="3958"/>
      <c r="Y3" s="3958"/>
      <c r="Z3" s="3048"/>
    </row>
    <row r="4" spans="1:28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  <c r="X4" s="3960"/>
      <c r="Y4" s="3960"/>
      <c r="Z4" s="3049"/>
    </row>
    <row r="5" spans="1:28">
      <c r="A5" s="2524"/>
      <c r="B5" s="2524"/>
      <c r="C5" s="2524"/>
      <c r="D5" s="2524"/>
      <c r="E5" s="2697"/>
      <c r="F5" s="2524"/>
      <c r="G5" s="2524"/>
      <c r="H5" s="2524"/>
      <c r="I5" s="3482"/>
      <c r="J5" s="2524"/>
      <c r="K5" s="3571"/>
      <c r="L5" s="2524"/>
      <c r="M5" s="2524"/>
      <c r="N5" s="3571"/>
      <c r="O5" s="2524"/>
      <c r="P5" s="2524"/>
      <c r="Q5" s="3611"/>
      <c r="R5" s="3290"/>
      <c r="S5" s="2524"/>
      <c r="T5" s="2524"/>
      <c r="U5" s="2524"/>
      <c r="V5" s="2524"/>
      <c r="W5" s="2524"/>
      <c r="X5" s="2524"/>
      <c r="Y5" s="2524"/>
      <c r="Z5" s="3048"/>
    </row>
    <row r="6" spans="1:28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3572"/>
      <c r="L6" s="2525"/>
      <c r="M6" s="2525"/>
      <c r="N6" s="2525"/>
      <c r="O6" s="2525"/>
      <c r="P6" s="2525"/>
      <c r="Q6" s="2525"/>
      <c r="R6" s="2525"/>
      <c r="S6" s="2525"/>
      <c r="T6" s="2526"/>
      <c r="U6" s="2526"/>
      <c r="V6" s="2526"/>
      <c r="W6" s="2526"/>
    </row>
    <row r="7" spans="1:28">
      <c r="A7" s="3962" t="s">
        <v>1895</v>
      </c>
      <c r="B7" s="3962"/>
      <c r="C7" s="3962"/>
      <c r="D7" s="3962"/>
      <c r="E7" s="3962"/>
      <c r="F7" s="3962"/>
      <c r="G7" s="3962"/>
      <c r="H7" s="3962"/>
      <c r="I7" s="3962"/>
      <c r="J7" s="3962"/>
      <c r="K7" s="3569"/>
      <c r="L7" s="2525"/>
      <c r="M7" s="2525"/>
      <c r="N7" s="2525"/>
      <c r="O7" s="2525"/>
      <c r="P7" s="2525"/>
      <c r="Q7" s="2525"/>
      <c r="R7" s="3303"/>
      <c r="S7" s="2525"/>
      <c r="T7" s="2526"/>
      <c r="U7" s="2526"/>
      <c r="V7" s="2526"/>
      <c r="W7" s="2526"/>
    </row>
    <row r="8" spans="1:28" ht="22.5" customHeight="1">
      <c r="A8" s="2527"/>
      <c r="B8" s="2527"/>
      <c r="C8" s="2527"/>
      <c r="D8" s="2527"/>
      <c r="E8" s="2695"/>
      <c r="F8" s="2527"/>
      <c r="G8" s="2527"/>
      <c r="H8" s="2527"/>
      <c r="I8" s="3480"/>
      <c r="J8" s="2527"/>
      <c r="K8" s="3569"/>
      <c r="L8" s="2525"/>
      <c r="M8" s="2525"/>
      <c r="N8" s="2525"/>
      <c r="O8" s="2525"/>
      <c r="P8" s="2525"/>
      <c r="Q8" s="2525"/>
      <c r="R8" s="2525"/>
      <c r="S8" s="2525"/>
      <c r="T8" s="2526"/>
      <c r="U8" s="2526"/>
      <c r="V8" s="2526"/>
      <c r="W8" s="2526"/>
    </row>
    <row r="9" spans="1:28" s="2528" customFormat="1" ht="30.75" customHeight="1">
      <c r="A9" s="3963" t="s">
        <v>2303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  <c r="X9" s="3963"/>
      <c r="Y9" s="3963"/>
      <c r="Z9" s="3045"/>
    </row>
    <row r="10" spans="1:28" s="2528" customFormat="1" ht="15.75" customHeight="1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  <c r="Y10" s="3962"/>
      <c r="Z10" s="3046"/>
    </row>
    <row r="11" spans="1:28" s="3034" customFormat="1" ht="29.25" hidden="1" customHeight="1">
      <c r="A11" s="3029"/>
      <c r="B11" s="3030"/>
      <c r="D11" s="3031"/>
      <c r="E11" s="3300">
        <f>+'Đội 2'!E11</f>
        <v>655.8</v>
      </c>
      <c r="F11" s="3031"/>
      <c r="G11" s="3032"/>
      <c r="H11" s="3032"/>
      <c r="I11" s="3032"/>
      <c r="J11" s="3033"/>
      <c r="K11" s="3033"/>
      <c r="L11" s="3030"/>
      <c r="M11" s="3030"/>
      <c r="N11" s="3574"/>
      <c r="O11" s="3030"/>
      <c r="P11" s="3030"/>
      <c r="Q11" s="3612"/>
      <c r="R11" s="3293"/>
      <c r="S11" s="3030"/>
      <c r="T11" s="3030"/>
      <c r="U11" s="3030"/>
      <c r="V11" s="3030"/>
      <c r="W11" s="3030"/>
      <c r="AA11" s="3034">
        <f>'[3]Bảng CC vn'!AK10</f>
        <v>25</v>
      </c>
    </row>
    <row r="12" spans="1:28" ht="27.75" hidden="1" customHeight="1">
      <c r="A12" s="2532"/>
      <c r="B12" s="2533"/>
      <c r="C12" s="3301" t="s">
        <v>1589</v>
      </c>
      <c r="D12" s="3301"/>
      <c r="E12" s="3302">
        <f>+'Đội 2'!E12</f>
        <v>646.20000000000005</v>
      </c>
      <c r="F12" s="3301"/>
      <c r="G12" s="2534"/>
      <c r="H12" s="2534"/>
      <c r="I12" s="2534"/>
      <c r="J12" s="2535"/>
      <c r="K12" s="2535"/>
      <c r="L12" s="2536"/>
      <c r="M12" s="2537"/>
      <c r="N12" s="2537"/>
      <c r="O12" s="2538"/>
      <c r="P12" s="2538"/>
      <c r="Q12" s="2538"/>
      <c r="R12" s="2538"/>
      <c r="S12" s="2538"/>
      <c r="T12" s="2538"/>
      <c r="U12" s="2538"/>
      <c r="V12" s="2538"/>
      <c r="W12" s="2538"/>
      <c r="Y12" s="2539" t="s">
        <v>1590</v>
      </c>
      <c r="Z12" s="2539"/>
    </row>
    <row r="13" spans="1:28" s="2527" customFormat="1" ht="27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7"/>
      <c r="T13" s="3967"/>
      <c r="U13" s="3968" t="s">
        <v>1657</v>
      </c>
      <c r="V13" s="3951" t="s">
        <v>1603</v>
      </c>
      <c r="W13" s="3968" t="s">
        <v>1570</v>
      </c>
      <c r="X13" s="3950" t="s">
        <v>1592</v>
      </c>
      <c r="Y13" s="3950" t="s">
        <v>92</v>
      </c>
      <c r="Z13" s="3052"/>
      <c r="AA13" s="3023"/>
    </row>
    <row r="14" spans="1:28" s="2527" customFormat="1" ht="72.75" customHeight="1">
      <c r="A14" s="3965"/>
      <c r="B14" s="3965"/>
      <c r="C14" s="3966"/>
      <c r="D14" s="3965"/>
      <c r="E14" s="3950"/>
      <c r="F14" s="3994" t="s">
        <v>1659</v>
      </c>
      <c r="G14" s="3995"/>
      <c r="H14" s="3998" t="s">
        <v>183</v>
      </c>
      <c r="I14" s="3998"/>
      <c r="J14" s="3998"/>
      <c r="K14" s="3998"/>
      <c r="L14" s="3998"/>
      <c r="M14" s="3999"/>
      <c r="N14" s="3576"/>
      <c r="O14" s="3968" t="s">
        <v>1900</v>
      </c>
      <c r="P14" s="3968"/>
      <c r="Q14" s="3968"/>
      <c r="R14" s="3968"/>
      <c r="S14" s="3968"/>
      <c r="T14" s="3968"/>
      <c r="U14" s="3968"/>
      <c r="V14" s="3972"/>
      <c r="W14" s="3968"/>
      <c r="X14" s="3950"/>
      <c r="Y14" s="3950"/>
      <c r="Z14" s="3052"/>
    </row>
    <row r="15" spans="1:28" s="2544" customFormat="1" ht="155.25" customHeight="1">
      <c r="A15" s="3965"/>
      <c r="B15" s="3965"/>
      <c r="C15" s="3966"/>
      <c r="D15" s="3965"/>
      <c r="E15" s="3950"/>
      <c r="F15" s="2540" t="s">
        <v>1593</v>
      </c>
      <c r="G15" s="2541" t="s">
        <v>14</v>
      </c>
      <c r="H15" s="2541" t="s">
        <v>1594</v>
      </c>
      <c r="I15" s="3481" t="s">
        <v>2054</v>
      </c>
      <c r="J15" s="2542" t="s">
        <v>2498</v>
      </c>
      <c r="K15" s="3207" t="s">
        <v>2498</v>
      </c>
      <c r="L15" s="2543" t="s">
        <v>1595</v>
      </c>
      <c r="M15" s="2543" t="s">
        <v>1084</v>
      </c>
      <c r="N15" s="3570"/>
      <c r="O15" s="2543" t="s">
        <v>1596</v>
      </c>
      <c r="P15" s="2543" t="s">
        <v>1597</v>
      </c>
      <c r="Q15" s="3609"/>
      <c r="R15" s="3289" t="s">
        <v>1531</v>
      </c>
      <c r="S15" s="2543" t="s">
        <v>2305</v>
      </c>
      <c r="T15" s="2543" t="s">
        <v>1254</v>
      </c>
      <c r="U15" s="3968"/>
      <c r="V15" s="3952"/>
      <c r="W15" s="3968"/>
      <c r="X15" s="3950"/>
      <c r="Y15" s="3950"/>
      <c r="Z15" s="3047" t="s">
        <v>1932</v>
      </c>
      <c r="AA15" s="3057" t="s">
        <v>1930</v>
      </c>
      <c r="AB15" s="3025" t="s">
        <v>819</v>
      </c>
    </row>
    <row r="16" spans="1:28" s="2544" customFormat="1" ht="39" customHeight="1">
      <c r="A16" s="2545">
        <v>1</v>
      </c>
      <c r="B16" s="2545" t="s">
        <v>1822</v>
      </c>
      <c r="C16" s="2546" t="s">
        <v>1216</v>
      </c>
      <c r="D16" s="2546" t="str">
        <f>'[3]CNKT '!D16</f>
        <v>CNKT</v>
      </c>
      <c r="E16" s="2546"/>
      <c r="F16" s="2586"/>
      <c r="G16" s="2546">
        <f>+F16*25000</f>
        <v>0</v>
      </c>
      <c r="H16" s="2546">
        <f>+VLOOKUP(C16,'Mủ CN (TT)'!$C$179:$AI$208,33,0)</f>
        <v>26</v>
      </c>
      <c r="I16" s="2546">
        <v>0</v>
      </c>
      <c r="J16" s="3016">
        <f t="shared" ref="J16:J45" si="0">+H16*$AB$16+I16*0.2</f>
        <v>15.274791240875912</v>
      </c>
      <c r="K16" s="3788">
        <v>15.051189539271142</v>
      </c>
      <c r="L16" s="2545" t="str">
        <f>+VLOOKUP(C16,'Mủ CN (TT)'!$C$179:$AL$208,36,0)</f>
        <v>A</v>
      </c>
      <c r="M16" s="3006">
        <f>ROUND((J16*IF(L16="A",(6.1*$E$12),IF(L16="B",(5.8*$E$12),IF(L16="C",(5.5*$E$12),IF(L16="D",(5.2*$E$12)))))),0)</f>
        <v>60210</v>
      </c>
      <c r="N16" s="3218">
        <f>K16*IF(L16="A",(9.2*$E$11),IF(L16="B",(8.9*$E$11),IF(L16="C",(8.6*$E$11),IF(L16="D",(8.3*$E$11)))))</f>
        <v>90809.244918656914</v>
      </c>
      <c r="O16" s="2546">
        <f>+VLOOKUP(C16,'Chấm công CN'!B179:AJ208,34,0)</f>
        <v>6</v>
      </c>
      <c r="P16" s="2546">
        <f>+VLOOKUP(C16,'Chấm công CN'!B179:AJ208,35,0)</f>
        <v>0</v>
      </c>
      <c r="Q16" s="2546">
        <v>0</v>
      </c>
      <c r="R16" s="2546">
        <f t="shared" ref="R16:R45" si="1">+O16+P16</f>
        <v>6</v>
      </c>
      <c r="S16" s="2546">
        <v>500000</v>
      </c>
      <c r="T16" s="2688">
        <f>ROUND((O16*(46.1*$E$11))+(P16*(76.9*$E$11))+(R16*20000),0)+S16</f>
        <v>801394</v>
      </c>
      <c r="U16" s="2546">
        <f t="shared" ref="U16:U46" si="2">G16+M16+T16</f>
        <v>861604</v>
      </c>
      <c r="V16" s="2546">
        <v>0</v>
      </c>
      <c r="W16" s="2546">
        <f>+U16+V16</f>
        <v>861604</v>
      </c>
      <c r="X16" s="2546"/>
      <c r="Y16" s="2546"/>
      <c r="Z16" s="2546">
        <v>3242</v>
      </c>
      <c r="AA16" s="3714">
        <v>1904.6489693430658</v>
      </c>
      <c r="AB16" s="3065">
        <f>+AA16/Z16</f>
        <v>0.58749197080291971</v>
      </c>
    </row>
    <row r="17" spans="1:28" s="2544" customFormat="1" ht="39" customHeight="1">
      <c r="A17" s="2545">
        <v>2</v>
      </c>
      <c r="B17" s="2545" t="s">
        <v>1823</v>
      </c>
      <c r="C17" s="2546" t="s">
        <v>351</v>
      </c>
      <c r="D17" s="2546" t="str">
        <f>'[3]CNKT '!D17</f>
        <v>CNKT</v>
      </c>
      <c r="E17" s="2546"/>
      <c r="F17" s="2586"/>
      <c r="G17" s="2546">
        <f t="shared" ref="G17:G45" si="3">+F17*25000</f>
        <v>0</v>
      </c>
      <c r="H17" s="2546">
        <f>+VLOOKUP(C17,'Mủ CN (TT)'!$C$179:$AI$208,33,0)</f>
        <v>30</v>
      </c>
      <c r="I17" s="2546">
        <v>0</v>
      </c>
      <c r="J17" s="2688">
        <f t="shared" si="0"/>
        <v>17.624759124087593</v>
      </c>
      <c r="K17" s="3788">
        <v>17.366757160697478</v>
      </c>
      <c r="L17" s="2545" t="str">
        <f>+VLOOKUP(C17,'Mủ CN (TT)'!$C$179:$AL$208,36,0)</f>
        <v>B</v>
      </c>
      <c r="M17" s="3006">
        <f t="shared" ref="M17:M45" si="4">ROUND((J17*IF(L17="A",(6.1*$E$12),IF(L17="B",(5.8*$E$12),IF(L17="C",(5.5*$E$12),IF(L17="D",(5.2*$E$12)))))),0)</f>
        <v>66057</v>
      </c>
      <c r="N17" s="3218">
        <f t="shared" ref="N17:N44" si="5">K17*IF(L17="A",(9.2*$E$11),IF(L17="B",(8.9*$E$11),IF(L17="C",(8.6*$E$11),IF(L17="D",(8.3*$E$11)))))</f>
        <v>101363.16217927012</v>
      </c>
      <c r="O17" s="2546">
        <f>+VLOOKUP(C17,'Chấm công CN'!B180:AJ209,34,0)</f>
        <v>11</v>
      </c>
      <c r="P17" s="2546">
        <f>+VLOOKUP(C17,'Chấm công CN'!B180:AJ209,35,0)</f>
        <v>2</v>
      </c>
      <c r="Q17" s="2546">
        <v>1</v>
      </c>
      <c r="R17" s="2546">
        <f t="shared" si="1"/>
        <v>13</v>
      </c>
      <c r="S17" s="2546">
        <v>500000</v>
      </c>
      <c r="T17" s="2688">
        <f t="shared" ref="T17:T45" si="6">ROUND((O17*(46.1*$E$11))+(P17*(76.9*$E$11))+(R17*20000),0)+S17</f>
        <v>1193418</v>
      </c>
      <c r="U17" s="2546">
        <f t="shared" si="2"/>
        <v>1259475</v>
      </c>
      <c r="V17" s="2546">
        <v>0</v>
      </c>
      <c r="W17" s="2546">
        <f t="shared" ref="W17:W46" si="7">+U17+V17</f>
        <v>1259475</v>
      </c>
      <c r="X17" s="2546"/>
      <c r="Y17" s="2546"/>
      <c r="Z17" s="2546" t="s">
        <v>1961</v>
      </c>
      <c r="AA17" s="3025"/>
      <c r="AB17" s="3067"/>
    </row>
    <row r="18" spans="1:28" s="2544" customFormat="1" ht="39" customHeight="1">
      <c r="A18" s="2545">
        <v>3</v>
      </c>
      <c r="B18" s="2545" t="s">
        <v>1824</v>
      </c>
      <c r="C18" s="2546" t="s">
        <v>334</v>
      </c>
      <c r="D18" s="2546" t="str">
        <f>'[3]CNKT '!D18</f>
        <v>CNKT</v>
      </c>
      <c r="E18" s="2546"/>
      <c r="F18" s="2586"/>
      <c r="G18" s="2546">
        <f t="shared" si="3"/>
        <v>0</v>
      </c>
      <c r="H18" s="2546">
        <f>+VLOOKUP(C18,'Mủ CN (TT)'!$C$179:$AI$208,33,0)</f>
        <v>240</v>
      </c>
      <c r="I18" s="2546">
        <v>0</v>
      </c>
      <c r="J18" s="2688">
        <f t="shared" si="0"/>
        <v>140.99807299270074</v>
      </c>
      <c r="K18" s="3788">
        <v>138.9340572855798</v>
      </c>
      <c r="L18" s="2545" t="str">
        <f>+VLOOKUP(C18,'Mủ CN (TT)'!$C$179:$AL$208,36,0)</f>
        <v>A</v>
      </c>
      <c r="M18" s="3006">
        <f t="shared" si="4"/>
        <v>555789</v>
      </c>
      <c r="N18" s="3218">
        <f t="shared" si="5"/>
        <v>838239.18386452552</v>
      </c>
      <c r="O18" s="2546">
        <f>+VLOOKUP(C18,'Chấm công CN'!B181:AJ210,34,0)</f>
        <v>17</v>
      </c>
      <c r="P18" s="2546">
        <f>+VLOOKUP(C18,'Chấm công CN'!B181:AJ210,35,0)</f>
        <v>2</v>
      </c>
      <c r="Q18" s="2546">
        <v>2</v>
      </c>
      <c r="R18" s="2546">
        <f t="shared" si="1"/>
        <v>19</v>
      </c>
      <c r="S18" s="2546">
        <v>500000</v>
      </c>
      <c r="T18" s="2688">
        <f t="shared" si="6"/>
        <v>1494813</v>
      </c>
      <c r="U18" s="2546">
        <f t="shared" si="2"/>
        <v>2050602</v>
      </c>
      <c r="V18" s="2546">
        <v>0</v>
      </c>
      <c r="W18" s="2546">
        <f t="shared" si="7"/>
        <v>2050602</v>
      </c>
      <c r="X18" s="2546"/>
      <c r="Y18" s="2546"/>
      <c r="Z18" s="2546"/>
      <c r="AA18" s="3025"/>
      <c r="AB18" s="3997">
        <f>+AA19/Z19</f>
        <v>0.56490384615384615</v>
      </c>
    </row>
    <row r="19" spans="1:28" s="2544" customFormat="1" ht="39" customHeight="1">
      <c r="A19" s="2545">
        <v>4</v>
      </c>
      <c r="B19" s="2545" t="s">
        <v>1825</v>
      </c>
      <c r="C19" s="2546" t="s">
        <v>1218</v>
      </c>
      <c r="D19" s="2546" t="str">
        <f>'[3]CNKT '!D19</f>
        <v>CNKT</v>
      </c>
      <c r="E19" s="2546"/>
      <c r="F19" s="2586"/>
      <c r="G19" s="2546">
        <f t="shared" si="3"/>
        <v>0</v>
      </c>
      <c r="H19" s="2546">
        <f>+VLOOKUP(C19,'Mủ CN (TT)'!$C$179:$AI$208,33,0)</f>
        <v>140</v>
      </c>
      <c r="I19" s="2546">
        <v>0</v>
      </c>
      <c r="J19" s="2688">
        <f t="shared" si="0"/>
        <v>82.248875912408764</v>
      </c>
      <c r="K19" s="3788">
        <v>81.044866749921539</v>
      </c>
      <c r="L19" s="2545" t="str">
        <f>+VLOOKUP(C19,'Mủ CN (TT)'!$C$179:$AL$208,36,0)</f>
        <v>A</v>
      </c>
      <c r="M19" s="3006">
        <f t="shared" si="4"/>
        <v>324210</v>
      </c>
      <c r="N19" s="3218">
        <f t="shared" si="5"/>
        <v>488972.85725430649</v>
      </c>
      <c r="O19" s="2546">
        <f>+VLOOKUP(C19,'Chấm công CN'!B182:AJ211,34,0)</f>
        <v>15</v>
      </c>
      <c r="P19" s="2546">
        <f>+VLOOKUP(C19,'Chấm công CN'!B182:AJ211,35,0)</f>
        <v>2</v>
      </c>
      <c r="Q19" s="2546">
        <v>3</v>
      </c>
      <c r="R19" s="2546">
        <f t="shared" si="1"/>
        <v>17</v>
      </c>
      <c r="S19" s="2546">
        <v>500000</v>
      </c>
      <c r="T19" s="2688">
        <f t="shared" si="6"/>
        <v>1394348</v>
      </c>
      <c r="U19" s="2546">
        <f t="shared" si="2"/>
        <v>1718558</v>
      </c>
      <c r="V19" s="2546">
        <v>0</v>
      </c>
      <c r="W19" s="2546">
        <f t="shared" si="7"/>
        <v>1718558</v>
      </c>
      <c r="X19" s="2546"/>
      <c r="Y19" s="2546"/>
      <c r="Z19" s="2546">
        <v>208</v>
      </c>
      <c r="AA19" s="3068">
        <v>117.5</v>
      </c>
      <c r="AB19" s="3997"/>
    </row>
    <row r="20" spans="1:28" s="2544" customFormat="1" ht="39" customHeight="1">
      <c r="A20" s="2545">
        <v>5</v>
      </c>
      <c r="B20" s="2545" t="s">
        <v>1826</v>
      </c>
      <c r="C20" s="2546" t="s">
        <v>1517</v>
      </c>
      <c r="D20" s="2546" t="str">
        <f>'[3]CNKT '!D20</f>
        <v>CNKT</v>
      </c>
      <c r="E20" s="2546"/>
      <c r="F20" s="2586"/>
      <c r="G20" s="2546">
        <f t="shared" si="3"/>
        <v>0</v>
      </c>
      <c r="H20" s="2546">
        <f>+VLOOKUP(C20,'Mủ CN (TT)'!$C$179:$AI$208,33,0)</f>
        <v>8</v>
      </c>
      <c r="I20" s="2546">
        <v>0</v>
      </c>
      <c r="J20" s="2688">
        <f t="shared" si="0"/>
        <v>4.6999357664233576</v>
      </c>
      <c r="K20" s="3788">
        <v>4.6311352428526593</v>
      </c>
      <c r="L20" s="2545" t="str">
        <f>+VLOOKUP(C20,'Mủ CN (TT)'!$C$179:$AL$208,36,0)</f>
        <v>B</v>
      </c>
      <c r="M20" s="3006">
        <f t="shared" si="4"/>
        <v>17615</v>
      </c>
      <c r="N20" s="3218">
        <f t="shared" si="5"/>
        <v>27030.176581138687</v>
      </c>
      <c r="O20" s="2546">
        <f>+VLOOKUP(C20,'Chấm công CN'!B183:AJ212,34,0)</f>
        <v>6</v>
      </c>
      <c r="P20" s="2546">
        <f>+VLOOKUP(C20,'Chấm công CN'!B183:AJ212,35,0)</f>
        <v>1</v>
      </c>
      <c r="Q20" s="2546">
        <v>4</v>
      </c>
      <c r="R20" s="2546">
        <f t="shared" si="1"/>
        <v>7</v>
      </c>
      <c r="S20" s="2546">
        <v>500000</v>
      </c>
      <c r="T20" s="2688">
        <f t="shared" si="6"/>
        <v>871825</v>
      </c>
      <c r="U20" s="2546">
        <f t="shared" si="2"/>
        <v>889440</v>
      </c>
      <c r="V20" s="2546">
        <v>0</v>
      </c>
      <c r="W20" s="2546">
        <f t="shared" si="7"/>
        <v>889440</v>
      </c>
      <c r="X20" s="2546"/>
      <c r="Y20" s="2546"/>
      <c r="Z20" s="3053"/>
      <c r="AA20" s="2544">
        <f>+AA16+AA19</f>
        <v>2022.1489693430658</v>
      </c>
    </row>
    <row r="21" spans="1:28" s="2544" customFormat="1" ht="39" customHeight="1">
      <c r="A21" s="2545">
        <v>6</v>
      </c>
      <c r="B21" s="2545" t="s">
        <v>1827</v>
      </c>
      <c r="C21" s="2546" t="s">
        <v>1217</v>
      </c>
      <c r="D21" s="2546" t="str">
        <f>'[3]CNKT '!D21</f>
        <v>CNKT</v>
      </c>
      <c r="E21" s="2546"/>
      <c r="F21" s="2586"/>
      <c r="G21" s="2546">
        <f t="shared" si="3"/>
        <v>0</v>
      </c>
      <c r="H21" s="2546">
        <f>+VLOOKUP(C21,'Mủ CN (TT)'!$C$179:$AI$208,33,0)</f>
        <v>9</v>
      </c>
      <c r="I21" s="2546">
        <v>0</v>
      </c>
      <c r="J21" s="2688">
        <f t="shared" si="0"/>
        <v>5.2874277372262775</v>
      </c>
      <c r="K21" s="3788">
        <v>5.2100271482092415</v>
      </c>
      <c r="L21" s="2545" t="str">
        <f>+VLOOKUP(C21,'Mủ CN (TT)'!$C$179:$AL$208,36,0)</f>
        <v>A</v>
      </c>
      <c r="M21" s="3006">
        <f t="shared" si="4"/>
        <v>20842</v>
      </c>
      <c r="N21" s="3218">
        <f t="shared" si="5"/>
        <v>31433.969394919703</v>
      </c>
      <c r="O21" s="2546">
        <f>+VLOOKUP(C21,'Chấm công CN'!B184:AJ213,34,0)</f>
        <v>7</v>
      </c>
      <c r="P21" s="2546">
        <f>+VLOOKUP(C21,'Chấm công CN'!B184:AJ213,35,0)</f>
        <v>2</v>
      </c>
      <c r="Q21" s="2546">
        <v>5</v>
      </c>
      <c r="R21" s="2546">
        <f t="shared" si="1"/>
        <v>9</v>
      </c>
      <c r="S21" s="2546">
        <v>500000</v>
      </c>
      <c r="T21" s="2688">
        <f t="shared" si="6"/>
        <v>992489</v>
      </c>
      <c r="U21" s="2546">
        <f t="shared" si="2"/>
        <v>1013331</v>
      </c>
      <c r="V21" s="2546">
        <v>0</v>
      </c>
      <c r="W21" s="2546">
        <f t="shared" si="7"/>
        <v>1013331</v>
      </c>
      <c r="X21" s="2546"/>
      <c r="Y21" s="2546"/>
      <c r="Z21" s="3053"/>
    </row>
    <row r="22" spans="1:28" s="2544" customFormat="1" ht="39" customHeight="1">
      <c r="A22" s="2545">
        <v>7</v>
      </c>
      <c r="B22" s="2545" t="s">
        <v>1828</v>
      </c>
      <c r="C22" s="2546" t="s">
        <v>1545</v>
      </c>
      <c r="D22" s="2546" t="str">
        <f>'[3]CNKT '!D22</f>
        <v>CNKT</v>
      </c>
      <c r="E22" s="2546"/>
      <c r="F22" s="2586"/>
      <c r="G22" s="2546">
        <f t="shared" si="3"/>
        <v>0</v>
      </c>
      <c r="H22" s="2546">
        <f>+VLOOKUP(C22,'Mủ CN (TT)'!$C$179:$AI$208,33,0)</f>
        <v>9</v>
      </c>
      <c r="I22" s="2546">
        <v>0</v>
      </c>
      <c r="J22" s="2688">
        <f t="shared" si="0"/>
        <v>5.2874277372262775</v>
      </c>
      <c r="K22" s="3788">
        <v>5.2100271482092415</v>
      </c>
      <c r="L22" s="2545" t="str">
        <f>+VLOOKUP(C22,'Mủ CN (TT)'!$C$179:$AL$208,36,0)</f>
        <v>B</v>
      </c>
      <c r="M22" s="3006">
        <f t="shared" si="4"/>
        <v>19817</v>
      </c>
      <c r="N22" s="3218">
        <f t="shared" si="5"/>
        <v>30408.948653781023</v>
      </c>
      <c r="O22" s="2546">
        <f>+VLOOKUP(C22,'Chấm công CN'!B185:AJ214,34,0)</f>
        <v>6</v>
      </c>
      <c r="P22" s="2546">
        <f>+VLOOKUP(C22,'Chấm công CN'!B185:AJ214,35,0)</f>
        <v>1</v>
      </c>
      <c r="Q22" s="2546">
        <v>6</v>
      </c>
      <c r="R22" s="2546">
        <f t="shared" si="1"/>
        <v>7</v>
      </c>
      <c r="S22" s="2546">
        <v>500000</v>
      </c>
      <c r="T22" s="2688">
        <f t="shared" si="6"/>
        <v>871825</v>
      </c>
      <c r="U22" s="2546">
        <f t="shared" si="2"/>
        <v>891642</v>
      </c>
      <c r="V22" s="2546">
        <v>0</v>
      </c>
      <c r="W22" s="2546">
        <f t="shared" si="7"/>
        <v>891642</v>
      </c>
      <c r="X22" s="2546"/>
      <c r="Y22" s="2546"/>
      <c r="Z22" s="3053"/>
    </row>
    <row r="23" spans="1:28" s="2544" customFormat="1" ht="39" customHeight="1">
      <c r="A23" s="2545">
        <v>8</v>
      </c>
      <c r="B23" s="2545" t="s">
        <v>1829</v>
      </c>
      <c r="C23" s="2546" t="s">
        <v>152</v>
      </c>
      <c r="D23" s="2546" t="str">
        <f>'[3]CNKT '!D23</f>
        <v>CNKT</v>
      </c>
      <c r="E23" s="2546"/>
      <c r="F23" s="2586"/>
      <c r="G23" s="2546">
        <f t="shared" si="3"/>
        <v>0</v>
      </c>
      <c r="H23" s="2546">
        <f>+VLOOKUP(C23,'Mủ CN (TT)'!$C$179:$AI$208,33,0)</f>
        <v>36</v>
      </c>
      <c r="I23" s="2546">
        <v>0</v>
      </c>
      <c r="J23" s="2688">
        <f t="shared" si="0"/>
        <v>21.14971094890511</v>
      </c>
      <c r="K23" s="3788">
        <v>20.840108592836966</v>
      </c>
      <c r="L23" s="2545" t="str">
        <f>+VLOOKUP(C23,'Mủ CN (TT)'!$C$179:$AL$208,36,0)</f>
        <v>B</v>
      </c>
      <c r="M23" s="3006">
        <f t="shared" si="4"/>
        <v>79268</v>
      </c>
      <c r="N23" s="3218">
        <f t="shared" si="5"/>
        <v>121635.79461512409</v>
      </c>
      <c r="O23" s="2546">
        <f>+VLOOKUP(C23,'Chấm công CN'!B186:AJ215,34,0)</f>
        <v>3</v>
      </c>
      <c r="P23" s="2546">
        <f>+VLOOKUP(C23,'Chấm công CN'!B186:AJ215,35,0)</f>
        <v>1</v>
      </c>
      <c r="Q23" s="2546">
        <v>7</v>
      </c>
      <c r="R23" s="2546">
        <f t="shared" si="1"/>
        <v>4</v>
      </c>
      <c r="S23" s="2546">
        <v>500000</v>
      </c>
      <c r="T23" s="2688">
        <f t="shared" si="6"/>
        <v>721128</v>
      </c>
      <c r="U23" s="2546">
        <f t="shared" si="2"/>
        <v>800396</v>
      </c>
      <c r="V23" s="2546">
        <v>0</v>
      </c>
      <c r="W23" s="2546">
        <f t="shared" si="7"/>
        <v>800396</v>
      </c>
      <c r="X23" s="2546"/>
      <c r="Y23" s="2546"/>
      <c r="Z23" s="3053"/>
    </row>
    <row r="24" spans="1:28" s="2544" customFormat="1" ht="39" customHeight="1">
      <c r="A24" s="2545">
        <v>9</v>
      </c>
      <c r="B24" s="2545" t="s">
        <v>1830</v>
      </c>
      <c r="C24" s="2546" t="s">
        <v>571</v>
      </c>
      <c r="D24" s="2546" t="str">
        <f>'[3]CNKT '!D24</f>
        <v>CNKT</v>
      </c>
      <c r="E24" s="2546"/>
      <c r="F24" s="2586"/>
      <c r="G24" s="2546">
        <f t="shared" si="3"/>
        <v>0</v>
      </c>
      <c r="H24" s="2546">
        <f>+VLOOKUP(C24,'Mủ CN (TT)'!$C$179:$AI$208,33,0)</f>
        <v>109</v>
      </c>
      <c r="I24" s="2546">
        <v>0</v>
      </c>
      <c r="J24" s="2688">
        <f t="shared" si="0"/>
        <v>64.036624817518245</v>
      </c>
      <c r="K24" s="3788">
        <v>63.099217683867487</v>
      </c>
      <c r="L24" s="2545" t="str">
        <f>+VLOOKUP(C24,'Mủ CN (TT)'!$C$179:$AL$208,36,0)</f>
        <v>A</v>
      </c>
      <c r="M24" s="3006">
        <f t="shared" si="4"/>
        <v>252421</v>
      </c>
      <c r="N24" s="3218">
        <f t="shared" si="5"/>
        <v>380700.29600513866</v>
      </c>
      <c r="O24" s="2546">
        <f>+VLOOKUP(C24,'Chấm công CN'!B187:AJ216,34,0)</f>
        <v>7</v>
      </c>
      <c r="P24" s="2546">
        <f>+VLOOKUP(C24,'Chấm công CN'!B187:AJ216,35,0)</f>
        <v>2</v>
      </c>
      <c r="Q24" s="2546">
        <v>8</v>
      </c>
      <c r="R24" s="2546">
        <f t="shared" si="1"/>
        <v>9</v>
      </c>
      <c r="S24" s="2546">
        <v>500000</v>
      </c>
      <c r="T24" s="2688">
        <f t="shared" si="6"/>
        <v>992489</v>
      </c>
      <c r="U24" s="2546">
        <f t="shared" si="2"/>
        <v>1244910</v>
      </c>
      <c r="V24" s="2546">
        <v>0</v>
      </c>
      <c r="W24" s="2546">
        <f t="shared" si="7"/>
        <v>1244910</v>
      </c>
      <c r="X24" s="2546"/>
      <c r="Y24" s="2546"/>
      <c r="Z24" s="3053"/>
    </row>
    <row r="25" spans="1:28" s="2544" customFormat="1" ht="39" customHeight="1">
      <c r="A25" s="2545">
        <v>10</v>
      </c>
      <c r="B25" s="2545" t="s">
        <v>1831</v>
      </c>
      <c r="C25" s="2546" t="s">
        <v>1219</v>
      </c>
      <c r="D25" s="2546" t="str">
        <f>'[3]CNKT '!D25</f>
        <v>CNKT</v>
      </c>
      <c r="E25" s="2546"/>
      <c r="F25" s="2586"/>
      <c r="G25" s="2546">
        <f t="shared" si="3"/>
        <v>0</v>
      </c>
      <c r="H25" s="2546">
        <f>+VLOOKUP(C25,'Mủ CN (TT)'!$C$179:$AI$208,33,0)</f>
        <v>63</v>
      </c>
      <c r="I25" s="2546">
        <v>0</v>
      </c>
      <c r="J25" s="2688">
        <f t="shared" si="0"/>
        <v>37.011994160583939</v>
      </c>
      <c r="K25" s="3788">
        <v>36.470190037464697</v>
      </c>
      <c r="L25" s="2545" t="str">
        <f>+VLOOKUP(C25,'Mủ CN (TT)'!$C$179:$AL$208,36,0)</f>
        <v>A</v>
      </c>
      <c r="M25" s="3006">
        <f t="shared" si="4"/>
        <v>145895</v>
      </c>
      <c r="N25" s="3218">
        <f t="shared" si="5"/>
        <v>220037.78576443795</v>
      </c>
      <c r="O25" s="2546">
        <f>+VLOOKUP(C25,'Chấm công CN'!B188:AJ217,34,0)</f>
        <v>12</v>
      </c>
      <c r="P25" s="2546">
        <f>+VLOOKUP(C25,'Chấm công CN'!B188:AJ217,35,0)</f>
        <v>2</v>
      </c>
      <c r="Q25" s="2546">
        <v>9</v>
      </c>
      <c r="R25" s="2546">
        <f t="shared" si="1"/>
        <v>14</v>
      </c>
      <c r="S25" s="2546">
        <v>500000</v>
      </c>
      <c r="T25" s="2688">
        <f t="shared" si="6"/>
        <v>1243651</v>
      </c>
      <c r="U25" s="2546">
        <f t="shared" si="2"/>
        <v>1389546</v>
      </c>
      <c r="V25" s="2546">
        <v>0</v>
      </c>
      <c r="W25" s="2546">
        <f t="shared" si="7"/>
        <v>1389546</v>
      </c>
      <c r="X25" s="2546"/>
      <c r="Y25" s="2546"/>
      <c r="Z25" s="3053"/>
    </row>
    <row r="26" spans="1:28" s="2544" customFormat="1" ht="39" customHeight="1">
      <c r="A26" s="2545">
        <v>11</v>
      </c>
      <c r="B26" s="2545" t="s">
        <v>1832</v>
      </c>
      <c r="C26" s="2546" t="s">
        <v>853</v>
      </c>
      <c r="D26" s="2546" t="str">
        <f>'[3]CNKT '!D26</f>
        <v>CNKT</v>
      </c>
      <c r="E26" s="2546"/>
      <c r="F26" s="2586"/>
      <c r="G26" s="2546">
        <f t="shared" si="3"/>
        <v>0</v>
      </c>
      <c r="H26" s="2546">
        <f>+VLOOKUP(C26,'Mủ CN (TT)'!$C$179:$AI$208,33,0)</f>
        <v>33</v>
      </c>
      <c r="I26" s="2546">
        <v>0</v>
      </c>
      <c r="J26" s="2688">
        <f t="shared" si="0"/>
        <v>19.387235036496349</v>
      </c>
      <c r="K26" s="3788">
        <v>19.103432876767219</v>
      </c>
      <c r="L26" s="2545" t="str">
        <f>+VLOOKUP(C26,'Mủ CN (TT)'!$C$179:$AL$208,36,0)</f>
        <v>B</v>
      </c>
      <c r="M26" s="3006">
        <f t="shared" si="4"/>
        <v>72663</v>
      </c>
      <c r="N26" s="3218">
        <f t="shared" si="5"/>
        <v>111499.47839719708</v>
      </c>
      <c r="O26" s="2546">
        <f>+VLOOKUP(C26,'Chấm công CN'!B189:AJ218,34,0)</f>
        <v>4</v>
      </c>
      <c r="P26" s="2546">
        <f>+VLOOKUP(C26,'Chấm công CN'!B189:AJ218,35,0)</f>
        <v>1</v>
      </c>
      <c r="Q26" s="2546">
        <v>10</v>
      </c>
      <c r="R26" s="2546">
        <f t="shared" si="1"/>
        <v>5</v>
      </c>
      <c r="S26" s="2546">
        <v>500000</v>
      </c>
      <c r="T26" s="2688">
        <f t="shared" si="6"/>
        <v>771361</v>
      </c>
      <c r="U26" s="2546">
        <f t="shared" si="2"/>
        <v>844024</v>
      </c>
      <c r="V26" s="2546">
        <v>0</v>
      </c>
      <c r="W26" s="2546">
        <f t="shared" si="7"/>
        <v>844024</v>
      </c>
      <c r="X26" s="2546"/>
      <c r="Y26" s="2546"/>
      <c r="Z26" s="3053"/>
    </row>
    <row r="27" spans="1:28" s="2544" customFormat="1" ht="39" customHeight="1">
      <c r="A27" s="2545">
        <v>12</v>
      </c>
      <c r="B27" s="2545" t="s">
        <v>1833</v>
      </c>
      <c r="C27" s="2546" t="s">
        <v>1220</v>
      </c>
      <c r="D27" s="2546" t="str">
        <f>'[3]CNKT '!D27</f>
        <v>CNKT</v>
      </c>
      <c r="E27" s="2546"/>
      <c r="F27" s="2586"/>
      <c r="G27" s="2546">
        <f t="shared" si="3"/>
        <v>0</v>
      </c>
      <c r="H27" s="2546">
        <f>+VLOOKUP(C27,'Mủ CN (TT)'!$C$179:$AI$208,33,0)</f>
        <v>109</v>
      </c>
      <c r="I27" s="2546">
        <v>0</v>
      </c>
      <c r="J27" s="2688">
        <f t="shared" si="0"/>
        <v>64.036624817518245</v>
      </c>
      <c r="K27" s="3788">
        <v>63.099217683867487</v>
      </c>
      <c r="L27" s="2545" t="str">
        <f>+VLOOKUP(C27,'Mủ CN (TT)'!$C$179:$AL$208,36,0)</f>
        <v>A</v>
      </c>
      <c r="M27" s="3006">
        <f t="shared" si="4"/>
        <v>252421</v>
      </c>
      <c r="N27" s="3218">
        <f t="shared" si="5"/>
        <v>380700.29600513866</v>
      </c>
      <c r="O27" s="2546">
        <f>+VLOOKUP(C27,'Chấm công CN'!B190:AJ219,34,0)</f>
        <v>14</v>
      </c>
      <c r="P27" s="2546">
        <f>+VLOOKUP(C27,'Chấm công CN'!B190:AJ219,35,0)</f>
        <v>2</v>
      </c>
      <c r="Q27" s="2546">
        <v>11</v>
      </c>
      <c r="R27" s="2546">
        <f t="shared" si="1"/>
        <v>16</v>
      </c>
      <c r="S27" s="2546">
        <v>500000</v>
      </c>
      <c r="T27" s="2688">
        <f t="shared" si="6"/>
        <v>1344115</v>
      </c>
      <c r="U27" s="2546">
        <f t="shared" si="2"/>
        <v>1596536</v>
      </c>
      <c r="V27" s="2546">
        <v>0</v>
      </c>
      <c r="W27" s="2546">
        <f t="shared" si="7"/>
        <v>1596536</v>
      </c>
      <c r="X27" s="2546"/>
      <c r="Y27" s="2546"/>
      <c r="Z27" s="3053"/>
    </row>
    <row r="28" spans="1:28" s="2544" customFormat="1" ht="39" customHeight="1">
      <c r="A28" s="2545">
        <v>13</v>
      </c>
      <c r="B28" s="2545" t="s">
        <v>1834</v>
      </c>
      <c r="C28" s="2546" t="s">
        <v>1221</v>
      </c>
      <c r="D28" s="2546" t="str">
        <f>'[3]CNKT '!D28</f>
        <v>CNKT</v>
      </c>
      <c r="E28" s="2546"/>
      <c r="F28" s="2586"/>
      <c r="G28" s="2546">
        <f t="shared" si="3"/>
        <v>0</v>
      </c>
      <c r="H28" s="2546">
        <f>+VLOOKUP(C28,'Mủ CN (TT)'!$C$179:$AI$208,33,0)</f>
        <v>74</v>
      </c>
      <c r="I28" s="2546">
        <v>0</v>
      </c>
      <c r="J28" s="2688">
        <f t="shared" si="0"/>
        <v>43.474405839416058</v>
      </c>
      <c r="K28" s="3788">
        <v>42.838000996387102</v>
      </c>
      <c r="L28" s="2545" t="str">
        <f>+VLOOKUP(C28,'Mủ CN (TT)'!$C$179:$AL$208,36,0)</f>
        <v>A</v>
      </c>
      <c r="M28" s="3006">
        <f t="shared" si="4"/>
        <v>171368</v>
      </c>
      <c r="N28" s="3218">
        <f t="shared" si="5"/>
        <v>258457.08169156202</v>
      </c>
      <c r="O28" s="2546">
        <f>+VLOOKUP(C28,'Chấm công CN'!B191:AJ220,34,0)</f>
        <v>10</v>
      </c>
      <c r="P28" s="2546">
        <f>+VLOOKUP(C28,'Chấm công CN'!B191:AJ220,35,0)</f>
        <v>3</v>
      </c>
      <c r="Q28" s="2546">
        <v>12</v>
      </c>
      <c r="R28" s="2546">
        <f t="shared" si="1"/>
        <v>13</v>
      </c>
      <c r="S28" s="2546">
        <v>500000</v>
      </c>
      <c r="T28" s="2688">
        <f t="shared" si="6"/>
        <v>1213617</v>
      </c>
      <c r="U28" s="2546">
        <f t="shared" si="2"/>
        <v>1384985</v>
      </c>
      <c r="V28" s="2546">
        <v>0</v>
      </c>
      <c r="W28" s="2546">
        <f t="shared" si="7"/>
        <v>1384985</v>
      </c>
      <c r="X28" s="2546"/>
      <c r="Y28" s="2546"/>
      <c r="Z28" s="3053"/>
    </row>
    <row r="29" spans="1:28" s="2544" customFormat="1" ht="39" customHeight="1">
      <c r="A29" s="2545">
        <v>14</v>
      </c>
      <c r="B29" s="2545" t="s">
        <v>1835</v>
      </c>
      <c r="C29" s="2546" t="s">
        <v>1222</v>
      </c>
      <c r="D29" s="2546" t="str">
        <f>'[3]CNKT '!D29</f>
        <v>CNKT</v>
      </c>
      <c r="E29" s="2546"/>
      <c r="F29" s="2586"/>
      <c r="G29" s="2546">
        <f t="shared" si="3"/>
        <v>0</v>
      </c>
      <c r="H29" s="2546">
        <f>+VLOOKUP(C29,'Mủ CN (TT)'!$C$179:$AI$208,33,0)</f>
        <v>39</v>
      </c>
      <c r="I29" s="2546">
        <v>0</v>
      </c>
      <c r="J29" s="2688">
        <f t="shared" si="0"/>
        <v>22.91218686131387</v>
      </c>
      <c r="K29" s="3788">
        <v>22.576784308906717</v>
      </c>
      <c r="L29" s="2545" t="str">
        <f>+VLOOKUP(C29,'Mủ CN (TT)'!$C$179:$AL$208,36,0)</f>
        <v>B</v>
      </c>
      <c r="M29" s="3006">
        <f t="shared" si="4"/>
        <v>85874</v>
      </c>
      <c r="N29" s="3218">
        <f t="shared" si="5"/>
        <v>131772.11083305112</v>
      </c>
      <c r="O29" s="2546">
        <f>+VLOOKUP(C29,'Chấm công CN'!B192:AJ221,34,0)</f>
        <v>4</v>
      </c>
      <c r="P29" s="2546">
        <f>+VLOOKUP(C29,'Chấm công CN'!B192:AJ221,35,0)</f>
        <v>1</v>
      </c>
      <c r="Q29" s="2546">
        <v>13</v>
      </c>
      <c r="R29" s="2546">
        <f t="shared" si="1"/>
        <v>5</v>
      </c>
      <c r="S29" s="2546">
        <v>500000</v>
      </c>
      <c r="T29" s="2688">
        <f t="shared" si="6"/>
        <v>771361</v>
      </c>
      <c r="U29" s="2546">
        <f t="shared" si="2"/>
        <v>857235</v>
      </c>
      <c r="V29" s="2546">
        <v>0</v>
      </c>
      <c r="W29" s="2546">
        <f t="shared" si="7"/>
        <v>857235</v>
      </c>
      <c r="X29" s="2546"/>
      <c r="Y29" s="2546"/>
      <c r="Z29" s="3053"/>
    </row>
    <row r="30" spans="1:28" s="2544" customFormat="1" ht="39" customHeight="1">
      <c r="A30" s="2545">
        <v>15</v>
      </c>
      <c r="B30" s="2545" t="s">
        <v>1836</v>
      </c>
      <c r="C30" s="2546" t="s">
        <v>1223</v>
      </c>
      <c r="D30" s="2546" t="str">
        <f>'[3]CNKT '!D30</f>
        <v>CNKT</v>
      </c>
      <c r="E30" s="2546"/>
      <c r="F30" s="2586"/>
      <c r="G30" s="2546">
        <f t="shared" si="3"/>
        <v>0</v>
      </c>
      <c r="H30" s="2546">
        <f>+VLOOKUP(C30,'Mủ CN (TT)'!$C$179:$AI$208,33,0)</f>
        <v>50</v>
      </c>
      <c r="I30" s="2546">
        <v>0</v>
      </c>
      <c r="J30" s="2688">
        <f t="shared" si="0"/>
        <v>29.374598540145985</v>
      </c>
      <c r="K30" s="3788">
        <v>28.944595267829122</v>
      </c>
      <c r="L30" s="2545" t="str">
        <f>+VLOOKUP(C30,'Mủ CN (TT)'!$C$179:$AL$208,36,0)</f>
        <v>A</v>
      </c>
      <c r="M30" s="3006">
        <f t="shared" si="4"/>
        <v>115789</v>
      </c>
      <c r="N30" s="3218">
        <f t="shared" si="5"/>
        <v>174633.16330510948</v>
      </c>
      <c r="O30" s="2546">
        <f>+VLOOKUP(C30,'Chấm công CN'!B193:AJ222,34,0)</f>
        <v>11</v>
      </c>
      <c r="P30" s="2546">
        <f>+VLOOKUP(C30,'Chấm công CN'!B193:AJ222,35,0)</f>
        <v>2</v>
      </c>
      <c r="Q30" s="2546">
        <v>14</v>
      </c>
      <c r="R30" s="2546">
        <f t="shared" si="1"/>
        <v>13</v>
      </c>
      <c r="S30" s="2546">
        <v>500000</v>
      </c>
      <c r="T30" s="2688">
        <f t="shared" si="6"/>
        <v>1193418</v>
      </c>
      <c r="U30" s="2546">
        <f t="shared" si="2"/>
        <v>1309207</v>
      </c>
      <c r="V30" s="2546">
        <v>0</v>
      </c>
      <c r="W30" s="2546">
        <f t="shared" si="7"/>
        <v>1309207</v>
      </c>
      <c r="X30" s="2546"/>
      <c r="Y30" s="2546"/>
      <c r="Z30" s="3053"/>
    </row>
    <row r="31" spans="1:28" s="2544" customFormat="1" ht="39" customHeight="1">
      <c r="A31" s="2545">
        <v>16</v>
      </c>
      <c r="B31" s="2545" t="s">
        <v>1837</v>
      </c>
      <c r="C31" s="2546" t="s">
        <v>1224</v>
      </c>
      <c r="D31" s="2546" t="str">
        <f>'[3]CNKT '!D31</f>
        <v>CNKT</v>
      </c>
      <c r="E31" s="2546"/>
      <c r="F31" s="2586"/>
      <c r="G31" s="2546">
        <f t="shared" si="3"/>
        <v>0</v>
      </c>
      <c r="H31" s="2546">
        <f>+VLOOKUP(C31,'Mủ CN (TT)'!$C$179:$AI$208,33,0)</f>
        <v>84</v>
      </c>
      <c r="I31" s="2546">
        <v>0</v>
      </c>
      <c r="J31" s="2688">
        <f t="shared" si="0"/>
        <v>49.349325547445254</v>
      </c>
      <c r="K31" s="3788">
        <v>48.626920049952922</v>
      </c>
      <c r="L31" s="2545" t="str">
        <f>+VLOOKUP(C31,'Mủ CN (TT)'!$C$179:$AL$208,36,0)</f>
        <v>A</v>
      </c>
      <c r="M31" s="3006">
        <f t="shared" si="4"/>
        <v>194526</v>
      </c>
      <c r="N31" s="3218">
        <f t="shared" si="5"/>
        <v>293383.71435258392</v>
      </c>
      <c r="O31" s="2546">
        <f>+VLOOKUP(C31,'Chấm công CN'!B194:AJ223,34,0)</f>
        <v>5</v>
      </c>
      <c r="P31" s="2546">
        <f>+VLOOKUP(C31,'Chấm công CN'!B194:AJ223,35,0)</f>
        <v>1</v>
      </c>
      <c r="Q31" s="2546">
        <v>15</v>
      </c>
      <c r="R31" s="2546">
        <f t="shared" si="1"/>
        <v>6</v>
      </c>
      <c r="S31" s="2546">
        <v>500000</v>
      </c>
      <c r="T31" s="2688">
        <f t="shared" si="6"/>
        <v>821593</v>
      </c>
      <c r="U31" s="2546">
        <f t="shared" si="2"/>
        <v>1016119</v>
      </c>
      <c r="V31" s="2546">
        <v>0</v>
      </c>
      <c r="W31" s="2546">
        <f t="shared" si="7"/>
        <v>1016119</v>
      </c>
      <c r="X31" s="2546"/>
      <c r="Y31" s="2546"/>
      <c r="Z31" s="3053"/>
    </row>
    <row r="32" spans="1:28" s="2544" customFormat="1" ht="39" customHeight="1">
      <c r="A32" s="2545">
        <v>17</v>
      </c>
      <c r="B32" s="2545" t="s">
        <v>1838</v>
      </c>
      <c r="C32" s="2546" t="s">
        <v>1546</v>
      </c>
      <c r="D32" s="2546" t="str">
        <f>'[3]CNKT '!D32</f>
        <v>CNKT</v>
      </c>
      <c r="E32" s="2546"/>
      <c r="F32" s="2586"/>
      <c r="G32" s="2546">
        <f t="shared" si="3"/>
        <v>0</v>
      </c>
      <c r="H32" s="2546">
        <f>+VLOOKUP(C32,'Mủ CN (TT)'!$C$179:$AI$208,33,0)</f>
        <v>103</v>
      </c>
      <c r="I32" s="2546">
        <v>0</v>
      </c>
      <c r="J32" s="2688">
        <f t="shared" si="0"/>
        <v>60.511672992700731</v>
      </c>
      <c r="K32" s="3788">
        <v>59.625866251728006</v>
      </c>
      <c r="L32" s="2545" t="str">
        <f>+VLOOKUP(C32,'Mủ CN (TT)'!$C$179:$AL$208,36,0)</f>
        <v>B</v>
      </c>
      <c r="M32" s="3006">
        <f t="shared" si="4"/>
        <v>226795</v>
      </c>
      <c r="N32" s="3218">
        <f t="shared" si="5"/>
        <v>348013.5234821607</v>
      </c>
      <c r="O32" s="2546">
        <f>+VLOOKUP(C32,'Chấm công CN'!B195:AJ224,34,0)</f>
        <v>11</v>
      </c>
      <c r="P32" s="2546">
        <f>+VLOOKUP(C32,'Chấm công CN'!B195:AJ224,35,0)</f>
        <v>2</v>
      </c>
      <c r="Q32" s="2546">
        <v>16</v>
      </c>
      <c r="R32" s="2546">
        <f t="shared" si="1"/>
        <v>13</v>
      </c>
      <c r="S32" s="2546">
        <v>500000</v>
      </c>
      <c r="T32" s="2688">
        <f t="shared" si="6"/>
        <v>1193418</v>
      </c>
      <c r="U32" s="2546">
        <f t="shared" si="2"/>
        <v>1420213</v>
      </c>
      <c r="V32" s="2546">
        <v>0</v>
      </c>
      <c r="W32" s="2546">
        <f t="shared" si="7"/>
        <v>1420213</v>
      </c>
      <c r="X32" s="2546"/>
      <c r="Y32" s="2546"/>
      <c r="Z32" s="3053"/>
    </row>
    <row r="33" spans="1:27" s="2544" customFormat="1" ht="39" customHeight="1">
      <c r="A33" s="2545">
        <v>18</v>
      </c>
      <c r="B33" s="2545" t="s">
        <v>1839</v>
      </c>
      <c r="C33" s="2546" t="s">
        <v>1226</v>
      </c>
      <c r="D33" s="2546" t="str">
        <f>'[3]CNKT '!D33</f>
        <v>CNKT</v>
      </c>
      <c r="E33" s="2546"/>
      <c r="F33" s="2586"/>
      <c r="G33" s="2546">
        <f t="shared" si="3"/>
        <v>0</v>
      </c>
      <c r="H33" s="2546">
        <f>+VLOOKUP(C33,'Mủ CN (TT)'!$C$179:$AI$208,33,0)</f>
        <v>37</v>
      </c>
      <c r="I33" s="2546">
        <v>0</v>
      </c>
      <c r="J33" s="2688">
        <f t="shared" si="0"/>
        <v>21.737202919708029</v>
      </c>
      <c r="K33" s="3788">
        <v>21.419000498193551</v>
      </c>
      <c r="L33" s="2545" t="str">
        <f>+VLOOKUP(C33,'Mủ CN (TT)'!$C$179:$AL$208,36,0)</f>
        <v>A</v>
      </c>
      <c r="M33" s="3006">
        <f t="shared" si="4"/>
        <v>85684</v>
      </c>
      <c r="N33" s="3218">
        <f t="shared" si="5"/>
        <v>129228.54084578101</v>
      </c>
      <c r="O33" s="2546">
        <f>+VLOOKUP(C33,'Chấm công CN'!B196:AJ225,34,0)</f>
        <v>11</v>
      </c>
      <c r="P33" s="2546">
        <f>+VLOOKUP(C33,'Chấm công CN'!B196:AJ225,35,0)</f>
        <v>2</v>
      </c>
      <c r="Q33" s="2546">
        <v>17</v>
      </c>
      <c r="R33" s="2546">
        <f t="shared" si="1"/>
        <v>13</v>
      </c>
      <c r="S33" s="2546">
        <v>500000</v>
      </c>
      <c r="T33" s="2688">
        <f t="shared" si="6"/>
        <v>1193418</v>
      </c>
      <c r="U33" s="2546">
        <f t="shared" si="2"/>
        <v>1279102</v>
      </c>
      <c r="V33" s="2546">
        <v>0</v>
      </c>
      <c r="W33" s="2546">
        <f t="shared" si="7"/>
        <v>1279102</v>
      </c>
      <c r="X33" s="2546"/>
      <c r="Y33" s="2546"/>
      <c r="Z33" s="3053"/>
    </row>
    <row r="34" spans="1:27" s="2544" customFormat="1" ht="39" customHeight="1">
      <c r="A34" s="2545">
        <v>19</v>
      </c>
      <c r="B34" s="2545" t="s">
        <v>1840</v>
      </c>
      <c r="C34" s="2546" t="s">
        <v>861</v>
      </c>
      <c r="D34" s="2546" t="str">
        <f>'[3]CNKT '!D34</f>
        <v>CNKT</v>
      </c>
      <c r="E34" s="2546"/>
      <c r="F34" s="2586"/>
      <c r="G34" s="2546">
        <f t="shared" si="3"/>
        <v>0</v>
      </c>
      <c r="H34" s="2546">
        <f>+VLOOKUP(C34,'Mủ CN (TT)'!$C$179:$AI$208,33,0)</f>
        <v>34</v>
      </c>
      <c r="I34" s="2546">
        <v>0</v>
      </c>
      <c r="J34" s="2688">
        <f t="shared" si="0"/>
        <v>19.974727007299268</v>
      </c>
      <c r="K34" s="3788">
        <v>19.682324782123803</v>
      </c>
      <c r="L34" s="2545" t="str">
        <f>+VLOOKUP(C34,'Mủ CN (TT)'!$C$179:$AL$208,36,0)</f>
        <v>A</v>
      </c>
      <c r="M34" s="3006">
        <f t="shared" si="4"/>
        <v>78737</v>
      </c>
      <c r="N34" s="3218">
        <f t="shared" si="5"/>
        <v>118750.55104747445</v>
      </c>
      <c r="O34" s="2546">
        <f>+VLOOKUP(C34,'Chấm công CN'!B197:AJ226,34,0)</f>
        <v>6</v>
      </c>
      <c r="P34" s="2546">
        <f>+VLOOKUP(C34,'Chấm công CN'!B197:AJ226,35,0)</f>
        <v>1</v>
      </c>
      <c r="Q34" s="2546">
        <v>18</v>
      </c>
      <c r="R34" s="2546">
        <f t="shared" si="1"/>
        <v>7</v>
      </c>
      <c r="S34" s="2546">
        <v>500000</v>
      </c>
      <c r="T34" s="2688">
        <f t="shared" si="6"/>
        <v>871825</v>
      </c>
      <c r="U34" s="2546">
        <f t="shared" si="2"/>
        <v>950562</v>
      </c>
      <c r="V34" s="2546">
        <v>0</v>
      </c>
      <c r="W34" s="2546">
        <f t="shared" si="7"/>
        <v>950562</v>
      </c>
      <c r="X34" s="2546"/>
      <c r="Y34" s="2546"/>
      <c r="Z34" s="3053"/>
    </row>
    <row r="35" spans="1:27" s="2544" customFormat="1" ht="39" customHeight="1">
      <c r="A35" s="2545">
        <v>20</v>
      </c>
      <c r="B35" s="2545" t="s">
        <v>1841</v>
      </c>
      <c r="C35" s="2546" t="s">
        <v>486</v>
      </c>
      <c r="D35" s="2546" t="str">
        <f>'[3]CNKT '!D35</f>
        <v>CNKT</v>
      </c>
      <c r="E35" s="2546"/>
      <c r="F35" s="2586"/>
      <c r="G35" s="2546">
        <f t="shared" si="3"/>
        <v>0</v>
      </c>
      <c r="H35" s="2546">
        <f>+VLOOKUP(C35,'Mủ CN (TT)'!$C$179:$AI$208,33,0)</f>
        <v>73</v>
      </c>
      <c r="I35" s="2546">
        <v>0</v>
      </c>
      <c r="J35" s="2688">
        <f t="shared" si="0"/>
        <v>42.886913868613135</v>
      </c>
      <c r="K35" s="3788">
        <v>42.259109091030517</v>
      </c>
      <c r="L35" s="2545" t="str">
        <f>+VLOOKUP(C35,'Mủ CN (TT)'!$C$179:$AL$208,36,0)</f>
        <v>A</v>
      </c>
      <c r="M35" s="3006">
        <f t="shared" si="4"/>
        <v>169052</v>
      </c>
      <c r="N35" s="3218">
        <f t="shared" si="5"/>
        <v>254964.41842545982</v>
      </c>
      <c r="O35" s="2546">
        <f>+VLOOKUP(C35,'Chấm công CN'!B198:AJ227,34,0)</f>
        <v>10</v>
      </c>
      <c r="P35" s="2546">
        <f>+VLOOKUP(C35,'Chấm công CN'!B198:AJ227,35,0)</f>
        <v>2</v>
      </c>
      <c r="Q35" s="2546">
        <v>19</v>
      </c>
      <c r="R35" s="2546">
        <f t="shared" si="1"/>
        <v>12</v>
      </c>
      <c r="S35" s="2546">
        <v>500000</v>
      </c>
      <c r="T35" s="2688">
        <f t="shared" si="6"/>
        <v>1143186</v>
      </c>
      <c r="U35" s="2546">
        <f t="shared" si="2"/>
        <v>1312238</v>
      </c>
      <c r="V35" s="2546">
        <v>0</v>
      </c>
      <c r="W35" s="2546">
        <f t="shared" si="7"/>
        <v>1312238</v>
      </c>
      <c r="X35" s="2546"/>
      <c r="Y35" s="2546"/>
      <c r="Z35" s="3053"/>
    </row>
    <row r="36" spans="1:27" s="2544" customFormat="1" ht="39" customHeight="1">
      <c r="A36" s="2545">
        <v>21</v>
      </c>
      <c r="B36" s="2545" t="s">
        <v>1842</v>
      </c>
      <c r="C36" s="2546" t="s">
        <v>836</v>
      </c>
      <c r="D36" s="2546" t="str">
        <f>'[3]CNKT '!D36</f>
        <v>CNKT</v>
      </c>
      <c r="E36" s="2546"/>
      <c r="F36" s="2586"/>
      <c r="G36" s="2546">
        <f t="shared" si="3"/>
        <v>0</v>
      </c>
      <c r="H36" s="2546">
        <f>+VLOOKUP(C36,'Mủ CN (TT)'!$C$179:$AI$208,33,0)</f>
        <v>25</v>
      </c>
      <c r="I36" s="2546">
        <v>0</v>
      </c>
      <c r="J36" s="2688">
        <f t="shared" si="0"/>
        <v>14.687299270072993</v>
      </c>
      <c r="K36" s="3788">
        <v>14.472297633914561</v>
      </c>
      <c r="L36" s="2545" t="str">
        <f>+VLOOKUP(C36,'Mủ CN (TT)'!$C$179:$AL$208,36,0)</f>
        <v>B</v>
      </c>
      <c r="M36" s="3006">
        <f t="shared" si="4"/>
        <v>55047</v>
      </c>
      <c r="N36" s="3218">
        <f t="shared" si="5"/>
        <v>84469.301816058403</v>
      </c>
      <c r="O36" s="2546">
        <f>+VLOOKUP(C36,'Chấm công CN'!B199:AJ228,34,0)</f>
        <v>1</v>
      </c>
      <c r="P36" s="2546">
        <f>+VLOOKUP(C36,'Chấm công CN'!B199:AJ228,35,0)</f>
        <v>0</v>
      </c>
      <c r="Q36" s="2546">
        <v>20</v>
      </c>
      <c r="R36" s="2546">
        <f t="shared" si="1"/>
        <v>1</v>
      </c>
      <c r="S36" s="2546">
        <v>500000</v>
      </c>
      <c r="T36" s="2688">
        <f t="shared" si="6"/>
        <v>550232</v>
      </c>
      <c r="U36" s="2546">
        <f t="shared" si="2"/>
        <v>605279</v>
      </c>
      <c r="V36" s="2546">
        <v>0</v>
      </c>
      <c r="W36" s="2546">
        <f t="shared" si="7"/>
        <v>605279</v>
      </c>
      <c r="X36" s="2546"/>
      <c r="Y36" s="2546"/>
      <c r="Z36" s="3053"/>
    </row>
    <row r="37" spans="1:27" s="2544" customFormat="1" ht="39" customHeight="1">
      <c r="A37" s="2545">
        <v>22</v>
      </c>
      <c r="B37" s="2545" t="s">
        <v>1843</v>
      </c>
      <c r="C37" s="2546" t="s">
        <v>1227</v>
      </c>
      <c r="D37" s="2546" t="str">
        <f>'[3]CNKT '!D37</f>
        <v>CNKT</v>
      </c>
      <c r="E37" s="2546"/>
      <c r="F37" s="2586"/>
      <c r="G37" s="2546">
        <f t="shared" si="3"/>
        <v>0</v>
      </c>
      <c r="H37" s="2546">
        <f>+VLOOKUP(C37,'Mủ CN (TT)'!$C$179:$AI$208,33,0)</f>
        <v>95</v>
      </c>
      <c r="I37" s="2546">
        <v>0</v>
      </c>
      <c r="J37" s="2688">
        <f t="shared" si="0"/>
        <v>55.811737226277373</v>
      </c>
      <c r="K37" s="3788">
        <v>54.994731008875327</v>
      </c>
      <c r="L37" s="2545" t="str">
        <f>+VLOOKUP(C37,'Mủ CN (TT)'!$C$179:$AL$208,36,0)</f>
        <v>A</v>
      </c>
      <c r="M37" s="3006">
        <f t="shared" si="4"/>
        <v>220000</v>
      </c>
      <c r="N37" s="3218">
        <f t="shared" si="5"/>
        <v>331803.01027970796</v>
      </c>
      <c r="O37" s="2546">
        <f>+VLOOKUP(C37,'Chấm công CN'!B200:AJ229,34,0)</f>
        <v>10</v>
      </c>
      <c r="P37" s="2546">
        <f>+VLOOKUP(C37,'Chấm công CN'!B200:AJ229,35,0)</f>
        <v>2</v>
      </c>
      <c r="Q37" s="2546">
        <v>21</v>
      </c>
      <c r="R37" s="2546">
        <f t="shared" si="1"/>
        <v>12</v>
      </c>
      <c r="S37" s="2546">
        <v>500000</v>
      </c>
      <c r="T37" s="2688">
        <f t="shared" si="6"/>
        <v>1143186</v>
      </c>
      <c r="U37" s="2546">
        <f t="shared" si="2"/>
        <v>1363186</v>
      </c>
      <c r="V37" s="2546">
        <v>0</v>
      </c>
      <c r="W37" s="2546">
        <f t="shared" si="7"/>
        <v>1363186</v>
      </c>
      <c r="X37" s="2546"/>
      <c r="Y37" s="2546"/>
      <c r="Z37" s="3053"/>
    </row>
    <row r="38" spans="1:27" s="2544" customFormat="1" ht="39" customHeight="1">
      <c r="A38" s="2545">
        <v>23</v>
      </c>
      <c r="B38" s="2545" t="s">
        <v>1844</v>
      </c>
      <c r="C38" s="2546" t="s">
        <v>1228</v>
      </c>
      <c r="D38" s="2546" t="str">
        <f>'[3]CNKT '!D38</f>
        <v>CNKT</v>
      </c>
      <c r="E38" s="2546"/>
      <c r="F38" s="2586"/>
      <c r="G38" s="2546">
        <f t="shared" si="3"/>
        <v>0</v>
      </c>
      <c r="H38" s="2546">
        <f>+VLOOKUP(C38,'Mủ CN (TT)'!$C$179:$AI$208,33,0)</f>
        <v>76</v>
      </c>
      <c r="I38" s="2546">
        <v>0</v>
      </c>
      <c r="J38" s="2688">
        <f t="shared" si="0"/>
        <v>44.649389781021895</v>
      </c>
      <c r="K38" s="3788">
        <v>43.995784807100264</v>
      </c>
      <c r="L38" s="2545" t="str">
        <f>+VLOOKUP(C38,'Mủ CN (TT)'!$C$179:$AL$208,36,0)</f>
        <v>A</v>
      </c>
      <c r="M38" s="3006">
        <f t="shared" si="4"/>
        <v>176000</v>
      </c>
      <c r="N38" s="3218">
        <f t="shared" si="5"/>
        <v>265442.40822376637</v>
      </c>
      <c r="O38" s="2546">
        <f>+VLOOKUP(C38,'Chấm công CN'!B201:AJ230,34,0)</f>
        <v>11</v>
      </c>
      <c r="P38" s="2546">
        <f>+VLOOKUP(C38,'Chấm công CN'!B201:AJ230,35,0)</f>
        <v>2</v>
      </c>
      <c r="Q38" s="2546">
        <v>22</v>
      </c>
      <c r="R38" s="2546">
        <f t="shared" si="1"/>
        <v>13</v>
      </c>
      <c r="S38" s="2546">
        <v>500000</v>
      </c>
      <c r="T38" s="2688">
        <f t="shared" si="6"/>
        <v>1193418</v>
      </c>
      <c r="U38" s="2546">
        <f t="shared" si="2"/>
        <v>1369418</v>
      </c>
      <c r="V38" s="2546">
        <v>0</v>
      </c>
      <c r="W38" s="2546">
        <f t="shared" si="7"/>
        <v>1369418</v>
      </c>
      <c r="X38" s="2546"/>
      <c r="Y38" s="2546"/>
      <c r="Z38" s="3053"/>
    </row>
    <row r="39" spans="1:27" s="2544" customFormat="1" ht="39" customHeight="1">
      <c r="A39" s="2545">
        <v>24</v>
      </c>
      <c r="B39" s="2545" t="s">
        <v>1845</v>
      </c>
      <c r="C39" s="2546" t="s">
        <v>1229</v>
      </c>
      <c r="D39" s="2546" t="str">
        <f>'[3]CNKT '!D39</f>
        <v>CNKT</v>
      </c>
      <c r="E39" s="2546"/>
      <c r="F39" s="2586"/>
      <c r="G39" s="2546">
        <f t="shared" si="3"/>
        <v>0</v>
      </c>
      <c r="H39" s="2546">
        <f>+VLOOKUP(C39,'Mủ CN (TT)'!$C$179:$AI$208,33,0)</f>
        <v>28</v>
      </c>
      <c r="I39" s="2546">
        <v>0</v>
      </c>
      <c r="J39" s="2688">
        <f t="shared" si="0"/>
        <v>16.449775182481751</v>
      </c>
      <c r="K39" s="3788">
        <v>16.208973349984308</v>
      </c>
      <c r="L39" s="2545" t="str">
        <f>+VLOOKUP(C39,'Mủ CN (TT)'!$C$179:$AL$208,36,0)</f>
        <v>A</v>
      </c>
      <c r="M39" s="3006">
        <f t="shared" si="4"/>
        <v>64842</v>
      </c>
      <c r="N39" s="3218">
        <f t="shared" si="5"/>
        <v>97794.571450861302</v>
      </c>
      <c r="O39" s="2546">
        <f>+VLOOKUP(C39,'Chấm công CN'!B202:AJ231,34,0)</f>
        <v>6</v>
      </c>
      <c r="P39" s="2546">
        <f>+VLOOKUP(C39,'Chấm công CN'!B202:AJ231,35,0)</f>
        <v>2</v>
      </c>
      <c r="Q39" s="2546">
        <v>23</v>
      </c>
      <c r="R39" s="2546">
        <f t="shared" si="1"/>
        <v>8</v>
      </c>
      <c r="S39" s="2546">
        <v>500000</v>
      </c>
      <c r="T39" s="2688">
        <f t="shared" si="6"/>
        <v>942256</v>
      </c>
      <c r="U39" s="2546">
        <f t="shared" si="2"/>
        <v>1007098</v>
      </c>
      <c r="V39" s="2546">
        <v>0</v>
      </c>
      <c r="W39" s="2546">
        <f t="shared" si="7"/>
        <v>1007098</v>
      </c>
      <c r="X39" s="2546"/>
      <c r="Y39" s="2546"/>
      <c r="Z39" s="3053"/>
    </row>
    <row r="40" spans="1:27" s="2544" customFormat="1" ht="39" customHeight="1">
      <c r="A40" s="2545">
        <v>25</v>
      </c>
      <c r="B40" s="2545" t="s">
        <v>1846</v>
      </c>
      <c r="C40" s="2546" t="s">
        <v>1518</v>
      </c>
      <c r="D40" s="2546" t="str">
        <f>'[3]CNKT '!D40</f>
        <v>CNKT</v>
      </c>
      <c r="E40" s="2546"/>
      <c r="F40" s="2586"/>
      <c r="G40" s="2546">
        <f t="shared" si="3"/>
        <v>0</v>
      </c>
      <c r="H40" s="2546">
        <f>+VLOOKUP(C40,'Mủ CN (TT)'!$C$179:$AI$208,33,0)</f>
        <v>150</v>
      </c>
      <c r="I40" s="2546"/>
      <c r="J40" s="2688">
        <f t="shared" si="0"/>
        <v>88.12379562043796</v>
      </c>
      <c r="K40" s="3788">
        <v>86.833785803487359</v>
      </c>
      <c r="L40" s="2545" t="str">
        <f>+VLOOKUP(C40,'Mủ CN (TT)'!$C$179:$AL$208,36,0)</f>
        <v>A</v>
      </c>
      <c r="M40" s="3006">
        <f t="shared" si="4"/>
        <v>347368</v>
      </c>
      <c r="N40" s="3218">
        <f t="shared" si="5"/>
        <v>523899.48991532839</v>
      </c>
      <c r="O40" s="2546">
        <f>+VLOOKUP(C40,'Chấm công CN'!B203:AJ232,34,0)</f>
        <v>9</v>
      </c>
      <c r="P40" s="2546">
        <f>+VLOOKUP(C40,'Chấm công CN'!B203:AJ232,35,0)</f>
        <v>3</v>
      </c>
      <c r="Q40" s="2546">
        <v>24</v>
      </c>
      <c r="R40" s="2546">
        <f t="shared" si="1"/>
        <v>12</v>
      </c>
      <c r="S40" s="2546">
        <v>500000</v>
      </c>
      <c r="T40" s="2688">
        <f t="shared" si="6"/>
        <v>1163384</v>
      </c>
      <c r="U40" s="2546">
        <f t="shared" si="2"/>
        <v>1510752</v>
      </c>
      <c r="V40" s="2546">
        <v>0</v>
      </c>
      <c r="W40" s="2546">
        <f t="shared" si="7"/>
        <v>1510752</v>
      </c>
      <c r="X40" s="2546"/>
      <c r="Y40" s="2546"/>
      <c r="Z40" s="3053"/>
    </row>
    <row r="41" spans="1:27" s="2544" customFormat="1" ht="39" customHeight="1">
      <c r="A41" s="2545">
        <v>26</v>
      </c>
      <c r="B41" s="2545" t="s">
        <v>1847</v>
      </c>
      <c r="C41" s="2546" t="s">
        <v>1519</v>
      </c>
      <c r="D41" s="2546" t="str">
        <f>'[3]CNKT '!D41</f>
        <v>CNKT</v>
      </c>
      <c r="E41" s="2546"/>
      <c r="F41" s="2586"/>
      <c r="G41" s="2546">
        <f t="shared" si="3"/>
        <v>0</v>
      </c>
      <c r="H41" s="2546">
        <f>+VLOOKUP(C41,'Mủ CN (TT)'!$C$179:$AI$208,33,0)</f>
        <v>151</v>
      </c>
      <c r="I41" s="2546"/>
      <c r="J41" s="2688">
        <f t="shared" si="0"/>
        <v>88.711287591240875</v>
      </c>
      <c r="K41" s="3788">
        <v>87.412677708843944</v>
      </c>
      <c r="L41" s="2545" t="str">
        <f>+VLOOKUP(C41,'Mủ CN (TT)'!$C$179:$AL$208,36,0)</f>
        <v>A</v>
      </c>
      <c r="M41" s="3006">
        <f t="shared" si="4"/>
        <v>349684</v>
      </c>
      <c r="N41" s="3218">
        <f t="shared" si="5"/>
        <v>527392.15318143053</v>
      </c>
      <c r="O41" s="2546">
        <f>+VLOOKUP(C41,'Chấm công CN'!B204:AJ233,34,0)</f>
        <v>11</v>
      </c>
      <c r="P41" s="2546">
        <f>+VLOOKUP(C41,'Chấm công CN'!B204:AJ233,35,0)</f>
        <v>1</v>
      </c>
      <c r="Q41" s="2546">
        <v>25</v>
      </c>
      <c r="R41" s="2546">
        <f t="shared" si="1"/>
        <v>12</v>
      </c>
      <c r="S41" s="2546">
        <v>500000</v>
      </c>
      <c r="T41" s="2688">
        <f t="shared" si="6"/>
        <v>1122987</v>
      </c>
      <c r="U41" s="2546">
        <f t="shared" si="2"/>
        <v>1472671</v>
      </c>
      <c r="V41" s="2546">
        <v>0</v>
      </c>
      <c r="W41" s="2546">
        <f t="shared" si="7"/>
        <v>1472671</v>
      </c>
      <c r="X41" s="2546"/>
      <c r="Y41" s="2546"/>
      <c r="Z41" s="3053"/>
    </row>
    <row r="42" spans="1:27" s="2544" customFormat="1" ht="39" customHeight="1">
      <c r="A42" s="2545">
        <v>27</v>
      </c>
      <c r="B42" s="2545" t="s">
        <v>1848</v>
      </c>
      <c r="C42" s="2546" t="s">
        <v>1520</v>
      </c>
      <c r="D42" s="2546" t="str">
        <f>'[3]CNKT '!D42</f>
        <v>CNKT</v>
      </c>
      <c r="E42" s="2546"/>
      <c r="F42" s="2586"/>
      <c r="G42" s="2546">
        <f t="shared" si="3"/>
        <v>0</v>
      </c>
      <c r="H42" s="2546">
        <f>+VLOOKUP(C42,'Mủ CN (TT)'!$C$179:$AI$208,33,0)</f>
        <v>250</v>
      </c>
      <c r="I42" s="2546"/>
      <c r="J42" s="2688">
        <f t="shared" si="0"/>
        <v>146.87299270072992</v>
      </c>
      <c r="K42" s="3788">
        <v>144.72297633914559</v>
      </c>
      <c r="L42" s="2545" t="str">
        <f>+VLOOKUP(C42,'Mủ CN (TT)'!$C$179:$AL$208,36,0)</f>
        <v>B</v>
      </c>
      <c r="M42" s="3006">
        <f t="shared" si="4"/>
        <v>550474</v>
      </c>
      <c r="N42" s="3218">
        <f t="shared" si="5"/>
        <v>844693.01816058392</v>
      </c>
      <c r="O42" s="2546">
        <f>+VLOOKUP(C42,'Chấm công CN'!B205:AJ234,34,0)</f>
        <v>12</v>
      </c>
      <c r="P42" s="2546">
        <f>+VLOOKUP(C42,'Chấm công CN'!B205:AJ234,35,0)</f>
        <v>2</v>
      </c>
      <c r="Q42" s="2546">
        <v>26</v>
      </c>
      <c r="R42" s="2546">
        <f t="shared" si="1"/>
        <v>14</v>
      </c>
      <c r="S42" s="2546">
        <v>500000</v>
      </c>
      <c r="T42" s="2688">
        <f t="shared" si="6"/>
        <v>1243651</v>
      </c>
      <c r="U42" s="2546">
        <f t="shared" si="2"/>
        <v>1794125</v>
      </c>
      <c r="V42" s="2546">
        <v>0</v>
      </c>
      <c r="W42" s="2546">
        <f t="shared" si="7"/>
        <v>1794125</v>
      </c>
      <c r="X42" s="2546"/>
      <c r="Y42" s="2546"/>
      <c r="Z42" s="3053"/>
    </row>
    <row r="43" spans="1:27" s="2544" customFormat="1" ht="39" customHeight="1">
      <c r="A43" s="2545">
        <v>28</v>
      </c>
      <c r="B43" s="2545" t="s">
        <v>1849</v>
      </c>
      <c r="C43" s="2546" t="s">
        <v>1521</v>
      </c>
      <c r="D43" s="2546" t="str">
        <f>'[3]CNKT '!D43</f>
        <v>CNKT</v>
      </c>
      <c r="E43" s="2546"/>
      <c r="F43" s="2586"/>
      <c r="G43" s="2546">
        <f t="shared" si="3"/>
        <v>0</v>
      </c>
      <c r="H43" s="2546">
        <f>+VLOOKUP(C43,'Mủ CN (TT)'!$C$179:$AI$208,33,0)</f>
        <v>295</v>
      </c>
      <c r="I43" s="2546"/>
      <c r="J43" s="2688">
        <f t="shared" si="0"/>
        <v>173.31013138686131</v>
      </c>
      <c r="K43" s="3788">
        <v>170.77311208019182</v>
      </c>
      <c r="L43" s="2545" t="str">
        <f>+VLOOKUP(C43,'Mủ CN (TT)'!$C$179:$AL$208,36,0)</f>
        <v>B</v>
      </c>
      <c r="M43" s="3006">
        <f t="shared" si="4"/>
        <v>649559</v>
      </c>
      <c r="N43" s="3218">
        <f t="shared" si="5"/>
        <v>996737.76142948912</v>
      </c>
      <c r="O43" s="2546">
        <f>+VLOOKUP(C43,'Chấm công CN'!B206:AJ235,34,0)</f>
        <v>8</v>
      </c>
      <c r="P43" s="2546">
        <f>+VLOOKUP(C43,'Chấm công CN'!B206:AJ235,35,0)</f>
        <v>2</v>
      </c>
      <c r="Q43" s="2546">
        <v>27</v>
      </c>
      <c r="R43" s="2546">
        <f t="shared" si="1"/>
        <v>10</v>
      </c>
      <c r="S43" s="2546">
        <v>500000</v>
      </c>
      <c r="T43" s="2688">
        <f t="shared" si="6"/>
        <v>1042721</v>
      </c>
      <c r="U43" s="2546">
        <f t="shared" si="2"/>
        <v>1692280</v>
      </c>
      <c r="V43" s="2546">
        <v>0</v>
      </c>
      <c r="W43" s="2546">
        <f t="shared" si="7"/>
        <v>1692280</v>
      </c>
      <c r="X43" s="2546"/>
      <c r="Y43" s="2546"/>
      <c r="Z43" s="3053"/>
    </row>
    <row r="44" spans="1:27" s="2544" customFormat="1" ht="39" customHeight="1">
      <c r="A44" s="2545">
        <v>29</v>
      </c>
      <c r="B44" s="2545" t="s">
        <v>1850</v>
      </c>
      <c r="C44" s="2546" t="s">
        <v>1522</v>
      </c>
      <c r="D44" s="2546" t="str">
        <f>'[3]CNKT '!D44</f>
        <v>CNKT</v>
      </c>
      <c r="E44" s="2546"/>
      <c r="F44" s="2586"/>
      <c r="G44" s="2546">
        <f t="shared" si="3"/>
        <v>0</v>
      </c>
      <c r="H44" s="2546">
        <f>+VLOOKUP(C44,'Mủ CN (TT)'!$C$179:$AI$208,33,0)</f>
        <v>403</v>
      </c>
      <c r="I44" s="2546"/>
      <c r="J44" s="2688">
        <f t="shared" si="0"/>
        <v>236.75926423357663</v>
      </c>
      <c r="K44" s="3788">
        <v>233.29343785870273</v>
      </c>
      <c r="L44" s="2545" t="str">
        <f>+VLOOKUP(C44,'Mủ CN (TT)'!$C$179:$AL$208,36,0)</f>
        <v>A</v>
      </c>
      <c r="M44" s="3006">
        <f t="shared" si="4"/>
        <v>933262</v>
      </c>
      <c r="N44" s="3218">
        <f t="shared" si="5"/>
        <v>1407543.2962391824</v>
      </c>
      <c r="O44" s="2546">
        <f>+VLOOKUP(C44,'Chấm công CN'!B207:AJ236,34,0)</f>
        <v>12</v>
      </c>
      <c r="P44" s="2546">
        <f>+VLOOKUP(C44,'Chấm công CN'!B207:AJ236,35,0)</f>
        <v>3</v>
      </c>
      <c r="Q44" s="2546">
        <v>28</v>
      </c>
      <c r="R44" s="2546">
        <f t="shared" si="1"/>
        <v>15</v>
      </c>
      <c r="S44" s="2546">
        <v>500000</v>
      </c>
      <c r="T44" s="2688">
        <f t="shared" si="6"/>
        <v>1314082</v>
      </c>
      <c r="U44" s="2546">
        <f t="shared" si="2"/>
        <v>2247344</v>
      </c>
      <c r="V44" s="2546">
        <v>0</v>
      </c>
      <c r="W44" s="2546">
        <f t="shared" si="7"/>
        <v>2247344</v>
      </c>
      <c r="X44" s="2546"/>
      <c r="Y44" s="2546"/>
      <c r="Z44" s="3053"/>
    </row>
    <row r="45" spans="1:27" s="2544" customFormat="1" ht="39" customHeight="1">
      <c r="A45" s="2545">
        <v>30</v>
      </c>
      <c r="B45" s="2545" t="s">
        <v>1851</v>
      </c>
      <c r="C45" s="2546" t="s">
        <v>1230</v>
      </c>
      <c r="D45" s="2546" t="str">
        <f>'[3]CNKT '!D45</f>
        <v>CNKT</v>
      </c>
      <c r="E45" s="2546"/>
      <c r="F45" s="2586"/>
      <c r="G45" s="2546">
        <f t="shared" si="3"/>
        <v>0</v>
      </c>
      <c r="H45" s="2546">
        <f>+VLOOKUP(C45,'Mủ CN (TT)'!$C$179:$AI$208,33,0)</f>
        <v>463</v>
      </c>
      <c r="I45" s="2546"/>
      <c r="J45" s="2688">
        <f t="shared" si="0"/>
        <v>272.00878248175184</v>
      </c>
      <c r="K45" s="3788">
        <v>268.02695218009762</v>
      </c>
      <c r="L45" s="2545" t="str">
        <f>+VLOOKUP(C45,'Mủ CN (TT)'!$C$179:$AL$208,36,0)</f>
        <v>A</v>
      </c>
      <c r="M45" s="3006">
        <f t="shared" si="4"/>
        <v>1072210</v>
      </c>
      <c r="N45" s="3218">
        <f>K45*IF(L45="A",(9.2*$E$11),IF(L45="B",(8.9*$E$11),IF(L45="C",(8.6*$E$11),IF(L45="D",(8.3*$E$11)))))</f>
        <v>1617103.0922053135</v>
      </c>
      <c r="O45" s="2546">
        <f>+VLOOKUP(C45,'Chấm công CN'!B208:AJ237,34,0)</f>
        <v>15</v>
      </c>
      <c r="P45" s="2546">
        <f>+VLOOKUP(C45,'Chấm công CN'!B208:AJ237,35,0)</f>
        <v>2</v>
      </c>
      <c r="Q45" s="2546">
        <v>29</v>
      </c>
      <c r="R45" s="2546">
        <f t="shared" si="1"/>
        <v>17</v>
      </c>
      <c r="S45" s="2546">
        <v>500000</v>
      </c>
      <c r="T45" s="2688">
        <f t="shared" si="6"/>
        <v>1394348</v>
      </c>
      <c r="U45" s="2546">
        <f t="shared" si="2"/>
        <v>2466558</v>
      </c>
      <c r="V45" s="2546">
        <v>0</v>
      </c>
      <c r="W45" s="2546">
        <f t="shared" si="7"/>
        <v>2466558</v>
      </c>
      <c r="X45" s="2546"/>
      <c r="Y45" s="2546"/>
      <c r="Z45" s="3053"/>
    </row>
    <row r="46" spans="1:27" s="2544" customFormat="1" ht="39" customHeight="1">
      <c r="A46" s="2545">
        <v>31</v>
      </c>
      <c r="B46" s="2545">
        <v>0</v>
      </c>
      <c r="C46" s="2546" t="s">
        <v>1572</v>
      </c>
      <c r="D46" s="2546"/>
      <c r="E46" s="2546"/>
      <c r="F46" s="2586"/>
      <c r="G46" s="2546"/>
      <c r="H46" s="2546"/>
      <c r="I46" s="2546">
        <f>+Serum!X13</f>
        <v>0</v>
      </c>
      <c r="J46" s="3016">
        <f>+Serum!AG13</f>
        <v>0</v>
      </c>
      <c r="K46" s="3016"/>
      <c r="L46" s="2545">
        <v>0</v>
      </c>
      <c r="M46" s="2546">
        <f>ROUND(SUM(J40:J45)*0.6*$E$12,0)</f>
        <v>389963</v>
      </c>
      <c r="N46" s="2546">
        <f>+M46</f>
        <v>389963</v>
      </c>
      <c r="O46" s="2546"/>
      <c r="P46" s="2546"/>
      <c r="Q46" s="2546"/>
      <c r="R46" s="2546"/>
      <c r="S46" s="2546">
        <v>0</v>
      </c>
      <c r="T46" s="2688">
        <f>ROUND((O46*(46.1*$E$12))+(P46*(76.9*$E$12))+(S46*20000)+(R46*20000),0)</f>
        <v>0</v>
      </c>
      <c r="U46" s="2546">
        <f t="shared" si="2"/>
        <v>389963</v>
      </c>
      <c r="V46" s="2546">
        <v>0</v>
      </c>
      <c r="W46" s="2546">
        <f t="shared" si="7"/>
        <v>389963</v>
      </c>
      <c r="X46" s="2546"/>
      <c r="Y46" s="2546"/>
      <c r="Z46" s="3053"/>
    </row>
    <row r="47" spans="1:27" s="2544" customFormat="1" ht="39" customHeight="1">
      <c r="A47" s="3973" t="s">
        <v>61</v>
      </c>
      <c r="B47" s="3974"/>
      <c r="C47" s="3974"/>
      <c r="D47" s="3975"/>
      <c r="E47" s="2696">
        <f>SUM(E16:E38)</f>
        <v>0</v>
      </c>
      <c r="F47" s="2588">
        <f t="shared" ref="F47:U47" si="8">SUM(F16:F46)</f>
        <v>0</v>
      </c>
      <c r="G47" s="2550">
        <f t="shared" si="8"/>
        <v>0</v>
      </c>
      <c r="H47" s="2550">
        <f t="shared" si="8"/>
        <v>3242</v>
      </c>
      <c r="I47" s="2550">
        <f t="shared" si="8"/>
        <v>0</v>
      </c>
      <c r="J47" s="3013">
        <f>SUM(J16:J46)</f>
        <v>1904.6489693430658</v>
      </c>
      <c r="K47" s="3013">
        <f>SUM(K16:K46)</f>
        <v>1876.7675571660398</v>
      </c>
      <c r="L47" s="3013">
        <f t="shared" si="8"/>
        <v>0</v>
      </c>
      <c r="M47" s="3013">
        <f t="shared" si="8"/>
        <v>7803442</v>
      </c>
      <c r="N47" s="3013">
        <f t="shared" si="8"/>
        <v>11618875.400518538</v>
      </c>
      <c r="O47" s="3013">
        <f t="shared" si="8"/>
        <v>271</v>
      </c>
      <c r="P47" s="3013">
        <f t="shared" si="8"/>
        <v>51</v>
      </c>
      <c r="Q47" s="3013">
        <f t="shared" si="8"/>
        <v>435</v>
      </c>
      <c r="R47" s="3013">
        <f>SUM(R16:R46)</f>
        <v>322</v>
      </c>
      <c r="S47" s="3013">
        <f t="shared" si="8"/>
        <v>15000000</v>
      </c>
      <c r="T47" s="3013">
        <f>SUM(T16:T46)</f>
        <v>32204957</v>
      </c>
      <c r="U47" s="3013">
        <f t="shared" si="8"/>
        <v>40008399</v>
      </c>
      <c r="V47" s="3013"/>
      <c r="W47" s="3013">
        <f>SUM(W16:W46)</f>
        <v>40008399</v>
      </c>
      <c r="X47" s="2551"/>
      <c r="Y47" s="2552"/>
      <c r="Z47" s="3054"/>
      <c r="AA47" s="2544" t="e">
        <f>+VCKD!#REF!</f>
        <v>#REF!</v>
      </c>
    </row>
    <row r="48" spans="1:27" ht="39" customHeight="1">
      <c r="A48" s="3976" t="s">
        <v>2507</v>
      </c>
      <c r="B48" s="3976"/>
      <c r="C48" s="3976"/>
      <c r="D48" s="3976"/>
      <c r="E48" s="3976"/>
      <c r="F48" s="3976"/>
      <c r="G48" s="3976"/>
      <c r="H48" s="3976"/>
      <c r="I48" s="3976"/>
      <c r="J48" s="3976"/>
      <c r="K48" s="3976"/>
      <c r="L48" s="3976"/>
      <c r="M48" s="3976"/>
      <c r="N48" s="3976"/>
      <c r="O48" s="3976"/>
      <c r="P48" s="3976"/>
      <c r="Q48" s="3976"/>
      <c r="R48" s="3976"/>
      <c r="S48" s="3976"/>
      <c r="T48" s="3976"/>
      <c r="U48" s="3976"/>
      <c r="V48" s="3976"/>
      <c r="W48" s="3976"/>
      <c r="X48" s="3976"/>
      <c r="Y48" s="3976"/>
      <c r="Z48" s="3055"/>
    </row>
    <row r="49" spans="1:26" ht="25.5">
      <c r="A49" s="2553"/>
      <c r="B49" s="2553"/>
      <c r="C49" s="2553"/>
      <c r="D49" s="2553"/>
      <c r="E49" s="2553"/>
      <c r="F49" s="2553"/>
      <c r="G49" s="2553"/>
      <c r="H49" s="2553"/>
      <c r="I49" s="2553"/>
      <c r="J49" s="2553"/>
      <c r="K49" s="2553"/>
      <c r="L49" s="2553"/>
      <c r="M49" s="2553"/>
      <c r="N49" s="2553"/>
      <c r="O49" s="2553"/>
      <c r="P49" s="2553"/>
      <c r="Q49" s="2553"/>
      <c r="R49" s="2553"/>
      <c r="S49" s="2553"/>
      <c r="T49" s="2553"/>
      <c r="U49" s="2553"/>
      <c r="V49" s="2553"/>
      <c r="W49" s="2553"/>
      <c r="X49" s="2553"/>
      <c r="Y49" s="2553"/>
      <c r="Z49" s="2553"/>
    </row>
    <row r="50" spans="1:26" ht="26.25">
      <c r="A50" s="2554"/>
      <c r="B50" s="2555"/>
      <c r="C50" s="2556"/>
      <c r="D50" s="2557"/>
      <c r="E50" s="2557"/>
      <c r="F50" s="2558"/>
      <c r="G50" s="2559"/>
      <c r="H50" s="2559"/>
      <c r="I50" s="2559"/>
      <c r="J50" s="2560"/>
      <c r="K50" s="2560"/>
      <c r="L50" s="2561"/>
      <c r="M50" s="2562"/>
      <c r="N50" s="2562"/>
      <c r="O50" s="2563"/>
      <c r="P50" s="2563"/>
      <c r="Q50" s="2563"/>
      <c r="R50" s="2563"/>
      <c r="S50" s="2563"/>
      <c r="T50" s="2559"/>
      <c r="U50" s="3977" t="s">
        <v>2162</v>
      </c>
      <c r="V50" s="3977"/>
      <c r="W50" s="3977"/>
      <c r="X50" s="3977"/>
      <c r="Y50" s="3977"/>
      <c r="Z50" s="3050"/>
    </row>
    <row r="51" spans="1:26" hidden="1">
      <c r="D51" s="2564"/>
      <c r="E51" s="2564"/>
      <c r="F51" s="2565"/>
      <c r="O51" s="2566"/>
      <c r="P51" s="2566"/>
      <c r="Q51" s="2566"/>
      <c r="R51" s="2566"/>
      <c r="S51" s="2566"/>
      <c r="V51" s="2567"/>
      <c r="W51" s="2567"/>
    </row>
    <row r="52" spans="1:26" hidden="1">
      <c r="D52" s="2564"/>
      <c r="E52" s="2564"/>
      <c r="F52" s="2565"/>
      <c r="O52" s="2566"/>
      <c r="P52" s="2566"/>
      <c r="Q52" s="2566"/>
      <c r="R52" s="2566"/>
      <c r="S52" s="2566"/>
      <c r="V52" s="2567"/>
      <c r="W52" s="2567"/>
    </row>
    <row r="53" spans="1:26" s="2568" customFormat="1" ht="22.5">
      <c r="A53" s="3962" t="s">
        <v>502</v>
      </c>
      <c r="B53" s="3962"/>
      <c r="C53" s="3962"/>
      <c r="D53" s="3962"/>
      <c r="E53" s="3962"/>
      <c r="F53" s="3962"/>
      <c r="G53" s="3962" t="s">
        <v>1598</v>
      </c>
      <c r="H53" s="3962"/>
      <c r="I53" s="3962"/>
      <c r="J53" s="3962"/>
      <c r="K53" s="3962"/>
      <c r="L53" s="3962"/>
      <c r="M53" s="3962"/>
      <c r="N53" s="3569">
        <f>+N47-M47</f>
        <v>3815433.4005185384</v>
      </c>
      <c r="O53" s="3962" t="s">
        <v>513</v>
      </c>
      <c r="P53" s="3962"/>
      <c r="Q53" s="3962"/>
      <c r="R53" s="3962"/>
      <c r="S53" s="3962"/>
      <c r="T53" s="3962"/>
      <c r="U53" s="3962" t="s">
        <v>1599</v>
      </c>
      <c r="V53" s="3962"/>
      <c r="W53" s="3962"/>
      <c r="X53" s="3962"/>
      <c r="Y53" s="3962"/>
      <c r="Z53" s="3046"/>
    </row>
    <row r="54" spans="1:26" s="2568" customFormat="1" ht="22.5">
      <c r="A54" s="2529"/>
      <c r="C54" s="2527"/>
      <c r="D54" s="2527"/>
      <c r="E54" s="2695"/>
      <c r="F54" s="2527"/>
      <c r="G54" s="2527"/>
      <c r="H54" s="2527"/>
      <c r="I54" s="3480"/>
      <c r="J54" s="2569"/>
      <c r="K54" s="2569"/>
      <c r="L54" s="2527"/>
      <c r="M54" s="2528"/>
      <c r="N54" s="2528"/>
      <c r="P54" s="2528"/>
      <c r="Q54" s="2528"/>
      <c r="R54" s="2528"/>
      <c r="S54" s="2528"/>
      <c r="T54" s="2570"/>
      <c r="U54" s="2527"/>
      <c r="V54" s="2527"/>
      <c r="W54" s="2527"/>
    </row>
    <row r="55" spans="1:26" s="2568" customFormat="1" ht="22.5">
      <c r="A55" s="2529"/>
      <c r="C55" s="2527"/>
      <c r="D55" s="2527"/>
      <c r="E55" s="2695"/>
      <c r="F55" s="2527"/>
      <c r="G55" s="2527"/>
      <c r="H55" s="2527"/>
      <c r="I55" s="3480"/>
      <c r="J55" s="2569"/>
      <c r="K55" s="2569"/>
      <c r="L55" s="2527"/>
      <c r="M55" s="2528"/>
      <c r="N55" s="2528"/>
      <c r="P55" s="2528"/>
      <c r="Q55" s="2528"/>
      <c r="R55" s="2528"/>
      <c r="S55" s="2528"/>
      <c r="T55" s="2570"/>
      <c r="U55" s="2527"/>
      <c r="V55" s="2527"/>
      <c r="W55" s="2527"/>
    </row>
    <row r="56" spans="1:26" s="2568" customFormat="1" ht="22.5">
      <c r="A56" s="2529"/>
      <c r="C56" s="2527"/>
      <c r="D56" s="2527"/>
      <c r="E56" s="2695"/>
      <c r="F56" s="2527"/>
      <c r="G56" s="2527"/>
      <c r="H56" s="2527"/>
      <c r="I56" s="3480"/>
      <c r="J56" s="2569"/>
      <c r="K56" s="2569"/>
      <c r="L56" s="2527"/>
      <c r="M56" s="2528"/>
      <c r="N56" s="2528"/>
      <c r="P56" s="2528"/>
      <c r="Q56" s="2528"/>
      <c r="R56" s="2528"/>
      <c r="S56" s="2528"/>
      <c r="T56" s="2570"/>
      <c r="U56" s="2527"/>
      <c r="V56" s="2527"/>
      <c r="W56" s="2527"/>
    </row>
    <row r="57" spans="1:26" s="2568" customFormat="1" ht="22.5">
      <c r="A57" s="2529"/>
      <c r="C57" s="2527"/>
      <c r="D57" s="2527"/>
      <c r="E57" s="2695"/>
      <c r="F57" s="2527"/>
      <c r="G57" s="2527"/>
      <c r="H57" s="2527"/>
      <c r="I57" s="3480"/>
      <c r="J57" s="2569"/>
      <c r="K57" s="2569"/>
      <c r="L57" s="2527"/>
      <c r="M57" s="2571"/>
      <c r="N57" s="2571"/>
      <c r="P57" s="2528"/>
      <c r="Q57" s="2528"/>
      <c r="R57" s="2528"/>
      <c r="S57" s="2528"/>
      <c r="T57" s="2570"/>
      <c r="U57" s="2527"/>
      <c r="V57" s="2527"/>
      <c r="W57" s="2527"/>
    </row>
    <row r="58" spans="1:26" s="2568" customFormat="1" ht="22.5">
      <c r="A58" s="2529"/>
      <c r="C58" s="2527"/>
      <c r="D58" s="2527"/>
      <c r="E58" s="2695"/>
      <c r="F58" s="2572"/>
      <c r="G58" s="2527"/>
      <c r="H58" s="2527"/>
      <c r="I58" s="3480"/>
      <c r="J58" s="2569"/>
      <c r="K58" s="2569"/>
      <c r="L58" s="2527"/>
      <c r="M58" s="2528"/>
      <c r="N58" s="2528">
        <v>473.91961103677698</v>
      </c>
      <c r="P58" s="2528"/>
      <c r="Q58" s="2528"/>
      <c r="R58" s="2528"/>
      <c r="S58" s="2528"/>
      <c r="T58" s="2570"/>
      <c r="U58" s="2527"/>
      <c r="V58" s="2527"/>
      <c r="W58" s="2527"/>
    </row>
    <row r="59" spans="1:26" s="2568" customFormat="1" ht="22.5">
      <c r="A59" s="2529"/>
      <c r="C59" s="2527"/>
      <c r="D59" s="2572"/>
      <c r="E59" s="2572"/>
      <c r="F59" s="2544"/>
      <c r="G59" s="2527"/>
      <c r="H59" s="2527"/>
      <c r="I59" s="3480"/>
      <c r="J59" s="3376"/>
      <c r="K59" s="3569"/>
      <c r="L59" s="2527"/>
      <c r="M59" s="2528"/>
      <c r="N59" s="2528"/>
      <c r="P59" s="2528"/>
      <c r="Q59" s="2528"/>
      <c r="R59" s="2528"/>
      <c r="S59" s="2528"/>
      <c r="T59" s="2570"/>
      <c r="U59" s="2527"/>
      <c r="V59" s="2527"/>
      <c r="W59" s="3023"/>
    </row>
    <row r="60" spans="1:26" s="2568" customFormat="1" ht="22.5">
      <c r="A60" s="2529"/>
      <c r="C60" s="2527"/>
      <c r="D60" s="2527"/>
      <c r="E60" s="2695"/>
      <c r="F60" s="3014"/>
      <c r="J60" s="2528"/>
      <c r="K60" s="2528"/>
      <c r="L60" s="2528"/>
      <c r="M60" s="2528"/>
      <c r="N60" s="2528"/>
      <c r="O60" s="3962"/>
      <c r="P60" s="3962"/>
      <c r="Q60" s="3962"/>
      <c r="R60" s="3962"/>
      <c r="S60" s="3962"/>
      <c r="T60" s="3962"/>
      <c r="W60" s="3962"/>
      <c r="X60" s="3962"/>
      <c r="Y60" s="2528"/>
      <c r="Z60" s="2528"/>
    </row>
    <row r="61" spans="1:26" s="2568" customFormat="1" ht="22.5">
      <c r="A61" s="2529"/>
      <c r="C61" s="2527"/>
      <c r="D61" s="2527"/>
      <c r="E61" s="2695"/>
      <c r="F61" s="2571"/>
      <c r="G61" s="2527"/>
      <c r="H61" s="2527"/>
      <c r="I61" s="3480"/>
      <c r="J61" s="2569"/>
      <c r="K61" s="2569"/>
      <c r="L61" s="2527"/>
      <c r="M61" s="2528"/>
      <c r="N61" s="2528"/>
      <c r="P61" s="2528"/>
      <c r="Q61" s="2528"/>
      <c r="R61" s="2528"/>
      <c r="S61" s="2528"/>
      <c r="T61" s="2570"/>
      <c r="U61" s="2572"/>
      <c r="V61" s="2527"/>
      <c r="W61" s="2527"/>
    </row>
    <row r="62" spans="1:26" s="2568" customFormat="1">
      <c r="A62" s="3991"/>
      <c r="B62" s="3991"/>
      <c r="C62" s="3991"/>
      <c r="D62" s="3991"/>
      <c r="E62" s="3991"/>
      <c r="F62" s="3991"/>
      <c r="G62" s="3996"/>
      <c r="H62" s="3996"/>
      <c r="I62" s="3996"/>
      <c r="J62" s="3996"/>
      <c r="K62" s="3996"/>
      <c r="L62" s="3996"/>
      <c r="M62" s="3996"/>
      <c r="N62" s="3575"/>
      <c r="P62" s="2528"/>
      <c r="Q62" s="2528"/>
      <c r="R62" s="2528"/>
      <c r="S62" s="2528"/>
      <c r="T62" s="2519"/>
      <c r="U62" s="3978"/>
      <c r="V62" s="3978"/>
      <c r="W62" s="3978"/>
      <c r="X62" s="3978"/>
      <c r="Y62" s="3978"/>
      <c r="Z62" s="3051"/>
    </row>
    <row r="63" spans="1:26">
      <c r="B63" s="2519"/>
      <c r="C63" s="2519"/>
      <c r="F63" s="2566"/>
      <c r="G63" s="2566"/>
      <c r="H63" s="2566"/>
      <c r="I63" s="2566"/>
      <c r="J63" s="2574"/>
      <c r="K63" s="2574"/>
      <c r="L63" s="2574"/>
      <c r="M63" s="2566"/>
      <c r="N63" s="2566"/>
    </row>
    <row r="64" spans="1:26">
      <c r="B64" s="2519"/>
      <c r="C64" s="2519"/>
      <c r="F64" s="2566"/>
      <c r="G64" s="2575"/>
      <c r="H64" s="2575"/>
      <c r="I64" s="2575"/>
      <c r="J64" s="2574"/>
      <c r="K64" s="2574"/>
      <c r="L64" s="2574"/>
      <c r="M64" s="2576"/>
      <c r="N64" s="2576"/>
      <c r="O64" s="3986"/>
      <c r="P64" s="3986"/>
      <c r="Q64" s="3608"/>
      <c r="R64" s="3292"/>
      <c r="S64" s="2578"/>
      <c r="T64" s="2577"/>
      <c r="U64" s="2577"/>
    </row>
    <row r="65" spans="1:21">
      <c r="B65" s="2519"/>
      <c r="C65" s="2519"/>
      <c r="F65" s="2566"/>
      <c r="G65" s="2575"/>
      <c r="H65" s="2575"/>
      <c r="I65" s="2575"/>
      <c r="J65" s="2574"/>
      <c r="K65" s="2574"/>
      <c r="L65" s="2574"/>
      <c r="M65" s="2576"/>
      <c r="N65" s="2576"/>
      <c r="O65" s="2578"/>
      <c r="P65" s="2578"/>
      <c r="Q65" s="3608"/>
      <c r="R65" s="3292"/>
      <c r="S65" s="2578"/>
      <c r="T65" s="2577"/>
      <c r="U65" s="2577"/>
    </row>
    <row r="66" spans="1:21">
      <c r="B66" s="2519"/>
      <c r="C66" s="2519"/>
      <c r="F66" s="2566"/>
      <c r="G66" s="2575"/>
      <c r="H66" s="2575"/>
      <c r="I66" s="2575"/>
      <c r="J66" s="2574"/>
      <c r="K66" s="2574"/>
      <c r="L66" s="2574"/>
      <c r="M66" s="2576"/>
      <c r="N66" s="2576"/>
      <c r="O66" s="2578"/>
      <c r="P66" s="2578"/>
      <c r="Q66" s="3608"/>
      <c r="R66" s="3292"/>
      <c r="S66" s="2578"/>
      <c r="T66" s="2577"/>
      <c r="U66" s="2577"/>
    </row>
    <row r="67" spans="1:21">
      <c r="B67" s="2519"/>
      <c r="C67" s="2519"/>
      <c r="F67" s="2566"/>
      <c r="G67" s="2575"/>
      <c r="H67" s="2575"/>
      <c r="I67" s="2575"/>
      <c r="J67" s="2574"/>
      <c r="K67" s="2574"/>
      <c r="L67" s="2574"/>
      <c r="M67" s="2576"/>
      <c r="N67" s="2576"/>
      <c r="O67" s="2578"/>
      <c r="P67" s="2578"/>
      <c r="Q67" s="3608"/>
      <c r="R67" s="3292"/>
      <c r="S67" s="2578"/>
      <c r="T67" s="2577"/>
      <c r="U67" s="2577"/>
    </row>
    <row r="68" spans="1:21">
      <c r="B68" s="2519"/>
      <c r="C68" s="2519"/>
      <c r="F68" s="2566"/>
      <c r="G68" s="2575"/>
      <c r="H68" s="2575"/>
      <c r="I68" s="2575"/>
      <c r="J68" s="2574"/>
      <c r="K68" s="2574"/>
      <c r="L68" s="2574"/>
      <c r="M68" s="2576"/>
      <c r="N68" s="2576"/>
      <c r="O68" s="2578"/>
      <c r="P68" s="2578"/>
      <c r="Q68" s="3608"/>
      <c r="R68" s="3292"/>
      <c r="S68" s="2578"/>
      <c r="T68" s="2577"/>
      <c r="U68" s="2577"/>
    </row>
    <row r="69" spans="1:21">
      <c r="B69" s="2519"/>
      <c r="C69" s="2519"/>
      <c r="F69" s="2566"/>
      <c r="G69" s="2575"/>
      <c r="H69" s="2575"/>
      <c r="I69" s="2575"/>
      <c r="J69" s="2574"/>
      <c r="K69" s="2574"/>
      <c r="L69" s="2574"/>
      <c r="M69" s="2576"/>
      <c r="N69" s="2576"/>
      <c r="O69" s="2578"/>
      <c r="P69" s="2578"/>
      <c r="Q69" s="3608"/>
      <c r="R69" s="3292"/>
      <c r="S69" s="2578"/>
      <c r="T69" s="2577"/>
      <c r="U69" s="2577"/>
    </row>
    <row r="70" spans="1:21">
      <c r="B70" s="2519"/>
      <c r="C70" s="2519"/>
      <c r="F70" s="2566"/>
      <c r="G70" s="2575"/>
      <c r="H70" s="2575"/>
      <c r="I70" s="2575"/>
      <c r="J70" s="2574"/>
      <c r="K70" s="2574"/>
      <c r="L70" s="2574"/>
      <c r="M70" s="2576"/>
      <c r="N70" s="2576"/>
      <c r="O70" s="2578"/>
      <c r="P70" s="2578"/>
      <c r="Q70" s="3608"/>
      <c r="R70" s="3292"/>
      <c r="S70" s="2578"/>
      <c r="T70" s="2577"/>
      <c r="U70" s="2577"/>
    </row>
    <row r="71" spans="1:21">
      <c r="B71" s="2519"/>
      <c r="C71" s="2519"/>
      <c r="F71" s="2566"/>
      <c r="G71" s="2575"/>
      <c r="H71" s="2575"/>
      <c r="I71" s="2575"/>
      <c r="J71" s="2574"/>
      <c r="K71" s="2574"/>
      <c r="L71" s="2574"/>
      <c r="M71" s="2576"/>
      <c r="N71" s="2576"/>
      <c r="O71" s="2578"/>
      <c r="P71" s="2578"/>
      <c r="Q71" s="3608"/>
      <c r="R71" s="3292"/>
      <c r="S71" s="2578"/>
      <c r="T71" s="2577"/>
      <c r="U71" s="2577"/>
    </row>
    <row r="72" spans="1:21">
      <c r="B72" s="2519"/>
      <c r="C72" s="2519"/>
      <c r="F72" s="2566"/>
      <c r="G72" s="2575"/>
      <c r="H72" s="2575"/>
      <c r="I72" s="2575"/>
      <c r="J72" s="2574"/>
      <c r="K72" s="2574"/>
      <c r="L72" s="2574"/>
      <c r="M72" s="2576"/>
      <c r="N72" s="2576"/>
      <c r="O72" s="2578"/>
      <c r="P72" s="2578"/>
      <c r="Q72" s="3608"/>
      <c r="R72" s="3292"/>
      <c r="S72" s="2578"/>
      <c r="T72" s="2577"/>
      <c r="U72" s="2577"/>
    </row>
    <row r="73" spans="1:21">
      <c r="B73" s="2519"/>
      <c r="C73" s="2519"/>
      <c r="F73" s="2566"/>
      <c r="G73" s="2575"/>
      <c r="H73" s="2575"/>
      <c r="I73" s="2575"/>
      <c r="J73" s="2574"/>
      <c r="K73" s="2574"/>
      <c r="L73" s="2574"/>
      <c r="M73" s="2576"/>
      <c r="N73" s="2576"/>
      <c r="O73" s="2578"/>
      <c r="P73" s="2578"/>
      <c r="Q73" s="3608"/>
      <c r="R73" s="3292"/>
      <c r="S73" s="2578"/>
      <c r="T73" s="2577"/>
      <c r="U73" s="2577"/>
    </row>
    <row r="74" spans="1:21">
      <c r="B74" s="2519"/>
      <c r="C74" s="2519"/>
      <c r="F74" s="2566"/>
      <c r="G74" s="2575"/>
      <c r="H74" s="2575"/>
      <c r="I74" s="2575"/>
      <c r="J74" s="2574"/>
      <c r="K74" s="2574"/>
      <c r="L74" s="2574"/>
      <c r="M74" s="2576"/>
      <c r="N74" s="2576"/>
      <c r="O74" s="2578"/>
      <c r="P74" s="2578"/>
      <c r="Q74" s="3608"/>
      <c r="R74" s="3292"/>
      <c r="S74" s="2578"/>
      <c r="T74" s="2577"/>
      <c r="U74" s="2577"/>
    </row>
    <row r="75" spans="1:21">
      <c r="B75" s="2519"/>
      <c r="C75" s="2519"/>
      <c r="F75" s="2566"/>
      <c r="G75" s="2575"/>
      <c r="H75" s="2575"/>
      <c r="I75" s="2575"/>
      <c r="J75" s="2574"/>
      <c r="K75" s="2574"/>
      <c r="L75" s="2574"/>
      <c r="M75" s="2576"/>
      <c r="N75" s="2576"/>
      <c r="O75" s="2578"/>
      <c r="P75" s="2578"/>
      <c r="Q75" s="3608"/>
      <c r="R75" s="3292"/>
      <c r="S75" s="2578"/>
      <c r="T75" s="2577"/>
      <c r="U75" s="2577"/>
    </row>
    <row r="76" spans="1:21">
      <c r="B76" s="2519"/>
      <c r="C76" s="2519"/>
      <c r="F76" s="2566"/>
      <c r="G76" s="2575"/>
      <c r="H76" s="2575"/>
      <c r="I76" s="2575"/>
      <c r="J76" s="2574"/>
      <c r="K76" s="2574"/>
      <c r="L76" s="2574"/>
      <c r="M76" s="2576"/>
      <c r="N76" s="2576"/>
      <c r="O76" s="2578"/>
      <c r="P76" s="2578"/>
      <c r="Q76" s="3608"/>
      <c r="R76" s="3292"/>
      <c r="S76" s="2578"/>
      <c r="T76" s="2577"/>
      <c r="U76" s="2577"/>
    </row>
    <row r="77" spans="1:21">
      <c r="B77" s="2519"/>
      <c r="C77" s="2519"/>
      <c r="F77" s="2566"/>
      <c r="G77" s="2575"/>
      <c r="H77" s="2575"/>
      <c r="I77" s="2575"/>
      <c r="J77" s="2574"/>
      <c r="K77" s="2574"/>
      <c r="L77" s="2574"/>
      <c r="M77" s="2576"/>
      <c r="N77" s="2576"/>
      <c r="O77" s="2578"/>
      <c r="P77" s="2578"/>
      <c r="Q77" s="3608"/>
      <c r="R77" s="3292"/>
      <c r="S77" s="2578"/>
      <c r="T77" s="2577"/>
      <c r="U77" s="2577"/>
    </row>
    <row r="78" spans="1:21">
      <c r="A78" s="2519"/>
      <c r="B78" s="2519"/>
      <c r="C78" s="2519"/>
      <c r="F78" s="2566"/>
      <c r="G78" s="2575"/>
      <c r="H78" s="2575"/>
      <c r="I78" s="2575"/>
      <c r="J78" s="2574"/>
      <c r="K78" s="2574"/>
      <c r="L78" s="2574"/>
      <c r="M78" s="2576"/>
      <c r="N78" s="2576"/>
      <c r="O78" s="2578"/>
      <c r="P78" s="2578"/>
      <c r="Q78" s="3608"/>
      <c r="R78" s="3292"/>
      <c r="S78" s="2578"/>
      <c r="T78" s="2577"/>
      <c r="U78" s="2577"/>
    </row>
    <row r="79" spans="1:21">
      <c r="A79" s="2519"/>
      <c r="B79" s="2519"/>
      <c r="C79" s="2519"/>
      <c r="F79" s="2566"/>
      <c r="G79" s="2575"/>
      <c r="H79" s="2575"/>
      <c r="I79" s="2575"/>
      <c r="J79" s="2574"/>
      <c r="K79" s="2574"/>
      <c r="L79" s="2574"/>
      <c r="M79" s="2576"/>
      <c r="N79" s="2576"/>
      <c r="O79" s="2578"/>
      <c r="P79" s="2578"/>
      <c r="Q79" s="3608"/>
      <c r="R79" s="3292"/>
      <c r="S79" s="2578"/>
      <c r="T79" s="2577"/>
      <c r="U79" s="2577"/>
    </row>
    <row r="80" spans="1:21">
      <c r="A80" s="2519"/>
      <c r="B80" s="2519"/>
      <c r="C80" s="2519"/>
      <c r="F80" s="2566"/>
      <c r="G80" s="2575"/>
      <c r="H80" s="2575"/>
      <c r="I80" s="2575"/>
      <c r="J80" s="2574"/>
      <c r="K80" s="2574"/>
      <c r="L80" s="2574"/>
      <c r="M80" s="2576"/>
      <c r="N80" s="2576"/>
      <c r="O80" s="2578"/>
      <c r="P80" s="2578"/>
      <c r="Q80" s="3608"/>
      <c r="R80" s="3292"/>
      <c r="S80" s="2578"/>
      <c r="T80" s="2577"/>
      <c r="U80" s="2577"/>
    </row>
    <row r="81" spans="1:21">
      <c r="A81" s="2519"/>
      <c r="B81" s="2519"/>
      <c r="C81" s="2519"/>
      <c r="F81" s="2566"/>
      <c r="G81" s="2575"/>
      <c r="H81" s="2575"/>
      <c r="I81" s="2575"/>
      <c r="J81" s="2574"/>
      <c r="K81" s="2574"/>
      <c r="L81" s="2574"/>
      <c r="M81" s="2576"/>
      <c r="N81" s="2576"/>
      <c r="O81" s="2578"/>
      <c r="P81" s="2578"/>
      <c r="Q81" s="3608"/>
      <c r="R81" s="3292"/>
      <c r="S81" s="2578"/>
      <c r="T81" s="2577"/>
      <c r="U81" s="2577"/>
    </row>
    <row r="82" spans="1:21">
      <c r="A82" s="2519"/>
      <c r="B82" s="2519"/>
      <c r="C82" s="2519"/>
      <c r="F82" s="2566"/>
      <c r="G82" s="2575"/>
      <c r="H82" s="2575"/>
      <c r="I82" s="2575"/>
      <c r="J82" s="2574"/>
      <c r="K82" s="2574"/>
      <c r="L82" s="2574"/>
      <c r="M82" s="2576"/>
      <c r="N82" s="2576"/>
      <c r="O82" s="2578"/>
      <c r="P82" s="2578"/>
      <c r="Q82" s="3608"/>
      <c r="R82" s="3292"/>
      <c r="S82" s="2578"/>
      <c r="T82" s="2577"/>
      <c r="U82" s="2577"/>
    </row>
    <row r="83" spans="1:21">
      <c r="A83" s="2519"/>
      <c r="B83" s="2519"/>
      <c r="C83" s="2519"/>
      <c r="F83" s="2566"/>
      <c r="G83" s="2575"/>
      <c r="H83" s="2575"/>
      <c r="I83" s="2575"/>
      <c r="J83" s="2574"/>
      <c r="K83" s="2574"/>
      <c r="L83" s="2574"/>
      <c r="M83" s="2576"/>
      <c r="N83" s="2576"/>
      <c r="O83" s="2578"/>
      <c r="P83" s="2578"/>
      <c r="Q83" s="3608"/>
      <c r="R83" s="3292"/>
      <c r="S83" s="2578"/>
      <c r="T83" s="2577"/>
      <c r="U83" s="2577"/>
    </row>
    <row r="84" spans="1:21">
      <c r="A84" s="2519"/>
      <c r="B84" s="2519"/>
      <c r="C84" s="2519"/>
      <c r="F84" s="2566"/>
      <c r="G84" s="2575"/>
      <c r="H84" s="2575"/>
      <c r="I84" s="2575"/>
      <c r="J84" s="2574"/>
      <c r="K84" s="2574"/>
      <c r="L84" s="2574"/>
      <c r="M84" s="2576"/>
      <c r="N84" s="2576"/>
      <c r="O84" s="2578"/>
      <c r="P84" s="2578"/>
      <c r="Q84" s="3608"/>
      <c r="R84" s="3292"/>
      <c r="S84" s="2578"/>
      <c r="T84" s="2577"/>
      <c r="U84" s="2577"/>
    </row>
    <row r="85" spans="1:21">
      <c r="A85" s="2519"/>
      <c r="B85" s="2519"/>
      <c r="C85" s="2519"/>
      <c r="F85" s="2566"/>
      <c r="G85" s="2575"/>
      <c r="H85" s="2575"/>
      <c r="I85" s="2575"/>
      <c r="J85" s="2574"/>
      <c r="K85" s="2574"/>
      <c r="L85" s="2574"/>
      <c r="M85" s="2576"/>
      <c r="N85" s="2576"/>
      <c r="O85" s="2578"/>
      <c r="P85" s="2578"/>
      <c r="Q85" s="3608"/>
      <c r="R85" s="3292"/>
      <c r="S85" s="2578"/>
      <c r="T85" s="2577"/>
      <c r="U85" s="2577"/>
    </row>
    <row r="86" spans="1:21">
      <c r="A86" s="2519"/>
      <c r="B86" s="2519"/>
      <c r="C86" s="2519"/>
      <c r="F86" s="2566"/>
      <c r="G86" s="2575"/>
      <c r="H86" s="2575"/>
      <c r="I86" s="2575"/>
      <c r="J86" s="2574"/>
      <c r="K86" s="2574"/>
      <c r="L86" s="2574"/>
      <c r="M86" s="2576"/>
      <c r="N86" s="2576"/>
      <c r="O86" s="2578"/>
      <c r="P86" s="2578"/>
      <c r="Q86" s="3608"/>
      <c r="R86" s="3292"/>
      <c r="S86" s="2578"/>
      <c r="T86" s="2577"/>
      <c r="U86" s="2577"/>
    </row>
    <row r="87" spans="1:21">
      <c r="A87" s="2519"/>
      <c r="B87" s="2519"/>
      <c r="C87" s="2519"/>
      <c r="F87" s="2566"/>
      <c r="G87" s="2575"/>
      <c r="H87" s="2575"/>
      <c r="I87" s="2575"/>
      <c r="J87" s="2574"/>
      <c r="K87" s="2574"/>
      <c r="L87" s="2574"/>
      <c r="M87" s="2576"/>
      <c r="N87" s="2576"/>
      <c r="O87" s="2578"/>
      <c r="P87" s="2578"/>
      <c r="Q87" s="3608"/>
      <c r="R87" s="3292"/>
      <c r="S87" s="2578"/>
      <c r="T87" s="2577"/>
      <c r="U87" s="2577"/>
    </row>
    <row r="88" spans="1:21">
      <c r="A88" s="2519"/>
      <c r="B88" s="2519"/>
      <c r="C88" s="2519"/>
      <c r="F88" s="2566"/>
      <c r="G88" s="2575"/>
      <c r="H88" s="2575"/>
      <c r="I88" s="2575"/>
      <c r="J88" s="2574"/>
      <c r="K88" s="2574"/>
      <c r="L88" s="2574"/>
      <c r="M88" s="2576"/>
      <c r="N88" s="2576"/>
      <c r="O88" s="2578"/>
      <c r="P88" s="2578"/>
      <c r="Q88" s="3608"/>
      <c r="R88" s="3292"/>
      <c r="S88" s="2578"/>
      <c r="T88" s="2577"/>
      <c r="U88" s="2577"/>
    </row>
    <row r="89" spans="1:21">
      <c r="A89" s="2519"/>
      <c r="B89" s="2519"/>
      <c r="C89" s="2519"/>
      <c r="F89" s="2566"/>
      <c r="G89" s="2575"/>
      <c r="H89" s="2575"/>
      <c r="I89" s="2575"/>
      <c r="J89" s="2574"/>
      <c r="K89" s="2574"/>
      <c r="L89" s="2574"/>
      <c r="M89" s="2576"/>
      <c r="N89" s="2576"/>
      <c r="O89" s="2578"/>
      <c r="P89" s="2578"/>
      <c r="Q89" s="3608"/>
      <c r="R89" s="3292"/>
      <c r="S89" s="2578"/>
      <c r="T89" s="2577"/>
      <c r="U89" s="2577"/>
    </row>
    <row r="90" spans="1:21">
      <c r="A90" s="2519"/>
      <c r="B90" s="2519"/>
      <c r="C90" s="2519"/>
      <c r="F90" s="2566"/>
      <c r="G90" s="2575"/>
      <c r="H90" s="2575"/>
      <c r="I90" s="2575"/>
      <c r="J90" s="2574"/>
      <c r="K90" s="2574"/>
      <c r="L90" s="2574"/>
      <c r="M90" s="2576"/>
      <c r="N90" s="2576"/>
      <c r="O90" s="2578"/>
      <c r="P90" s="2578"/>
      <c r="Q90" s="3608"/>
      <c r="R90" s="3292"/>
      <c r="S90" s="2578"/>
      <c r="T90" s="2577"/>
      <c r="U90" s="2577"/>
    </row>
    <row r="91" spans="1:21">
      <c r="A91" s="2519"/>
      <c r="B91" s="2519"/>
      <c r="C91" s="2519"/>
      <c r="F91" s="2566"/>
      <c r="G91" s="2575"/>
      <c r="H91" s="2575"/>
      <c r="I91" s="2575"/>
      <c r="J91" s="2574"/>
      <c r="K91" s="2574"/>
      <c r="L91" s="2574"/>
      <c r="M91" s="2576"/>
      <c r="N91" s="2576"/>
      <c r="O91" s="2578"/>
      <c r="P91" s="2578"/>
      <c r="Q91" s="3608"/>
      <c r="R91" s="3292"/>
      <c r="S91" s="2578"/>
      <c r="T91" s="2577"/>
      <c r="U91" s="2577"/>
    </row>
    <row r="92" spans="1:21">
      <c r="A92" s="2519"/>
      <c r="B92" s="2519"/>
      <c r="C92" s="2519"/>
      <c r="F92" s="2566"/>
      <c r="G92" s="2575"/>
      <c r="H92" s="2575"/>
      <c r="I92" s="2575"/>
      <c r="J92" s="2574"/>
      <c r="K92" s="2574"/>
      <c r="L92" s="2574"/>
      <c r="M92" s="2576"/>
      <c r="N92" s="2576"/>
      <c r="O92" s="2578"/>
      <c r="P92" s="2578"/>
      <c r="Q92" s="3608"/>
      <c r="R92" s="3292"/>
      <c r="S92" s="2578"/>
      <c r="T92" s="2577"/>
      <c r="U92" s="2577"/>
    </row>
    <row r="93" spans="1:21">
      <c r="A93" s="2519"/>
      <c r="B93" s="2519"/>
      <c r="C93" s="2519"/>
      <c r="F93" s="2566"/>
      <c r="G93" s="2575"/>
      <c r="H93" s="2575"/>
      <c r="I93" s="2575"/>
      <c r="J93" s="2574"/>
      <c r="K93" s="2574"/>
      <c r="L93" s="2574"/>
      <c r="M93" s="2576"/>
      <c r="N93" s="2576"/>
      <c r="O93" s="2578"/>
      <c r="P93" s="2578"/>
      <c r="Q93" s="3608"/>
      <c r="R93" s="3292"/>
      <c r="S93" s="2578"/>
      <c r="T93" s="2577"/>
      <c r="U93" s="2577"/>
    </row>
    <row r="94" spans="1:21">
      <c r="A94" s="2519"/>
      <c r="B94" s="2519"/>
      <c r="C94" s="2519"/>
      <c r="F94" s="2566"/>
      <c r="G94" s="2575"/>
      <c r="H94" s="2575"/>
      <c r="I94" s="2575"/>
      <c r="J94" s="2574"/>
      <c r="K94" s="2574"/>
      <c r="L94" s="2574"/>
      <c r="M94" s="2576"/>
      <c r="N94" s="2576"/>
      <c r="O94" s="2578"/>
      <c r="P94" s="2578"/>
      <c r="Q94" s="3608"/>
      <c r="R94" s="3292"/>
      <c r="S94" s="2578"/>
      <c r="T94" s="2577"/>
      <c r="U94" s="2577"/>
    </row>
    <row r="95" spans="1:21">
      <c r="A95" s="2519"/>
      <c r="B95" s="2519"/>
      <c r="C95" s="2519"/>
      <c r="F95" s="2566"/>
      <c r="G95" s="2575"/>
      <c r="H95" s="2575"/>
      <c r="I95" s="2575"/>
      <c r="J95" s="2574"/>
      <c r="K95" s="2574"/>
      <c r="L95" s="2574"/>
      <c r="M95" s="2576"/>
      <c r="N95" s="2576"/>
      <c r="O95" s="2578"/>
      <c r="P95" s="2578"/>
      <c r="Q95" s="3608"/>
      <c r="R95" s="3292"/>
      <c r="S95" s="2578"/>
      <c r="T95" s="2577"/>
      <c r="U95" s="2577"/>
    </row>
    <row r="96" spans="1:21">
      <c r="A96" s="2519"/>
      <c r="B96" s="2519"/>
      <c r="C96" s="2519"/>
      <c r="F96" s="2566"/>
      <c r="G96" s="2575"/>
      <c r="H96" s="2575"/>
      <c r="I96" s="2575"/>
      <c r="J96" s="2574"/>
      <c r="K96" s="2574"/>
      <c r="L96" s="2574"/>
      <c r="M96" s="2576"/>
      <c r="N96" s="2576"/>
      <c r="O96" s="2578"/>
      <c r="P96" s="2578"/>
      <c r="Q96" s="3608"/>
      <c r="R96" s="3292"/>
      <c r="S96" s="2578"/>
      <c r="T96" s="2577"/>
      <c r="U96" s="2577"/>
    </row>
    <row r="97" spans="1:23">
      <c r="A97" s="2519"/>
      <c r="B97" s="2519"/>
      <c r="C97" s="2519"/>
      <c r="F97" s="2566"/>
      <c r="J97" s="2574"/>
      <c r="K97" s="2574"/>
      <c r="L97" s="2574"/>
      <c r="M97" s="2519"/>
      <c r="N97" s="2519"/>
      <c r="T97" s="2579"/>
    </row>
    <row r="98" spans="1:23">
      <c r="A98" s="2519"/>
      <c r="B98" s="2519"/>
      <c r="C98" s="2566"/>
      <c r="F98" s="2580"/>
      <c r="J98" s="2574"/>
      <c r="K98" s="2574"/>
      <c r="L98" s="2574"/>
      <c r="M98" s="2519"/>
      <c r="N98" s="2519"/>
      <c r="O98" s="2577"/>
      <c r="P98" s="2577"/>
      <c r="Q98" s="2577"/>
      <c r="R98" s="2577"/>
      <c r="S98" s="2577"/>
      <c r="V98" s="2577"/>
      <c r="W98" s="2577"/>
    </row>
    <row r="99" spans="1:23">
      <c r="A99" s="2519"/>
      <c r="B99" s="2519"/>
      <c r="C99" s="2519"/>
      <c r="D99" s="2566"/>
      <c r="E99" s="2566"/>
      <c r="F99" s="2566"/>
      <c r="L99" s="2517"/>
      <c r="M99" s="2519"/>
      <c r="N99" s="2519"/>
      <c r="V99" s="2577"/>
      <c r="W99" s="2577"/>
    </row>
    <row r="100" spans="1:23">
      <c r="A100" s="2519"/>
      <c r="B100" s="2519"/>
      <c r="C100" s="2566" t="e">
        <f>#REF!+#REF!+#REF!+#REF!</f>
        <v>#REF!</v>
      </c>
      <c r="D100" s="2581"/>
      <c r="E100" s="2581"/>
      <c r="F100" s="3989" t="s">
        <v>1600</v>
      </c>
      <c r="G100" s="2566">
        <f>SUMIF(L16:L47,"A",J16:J47)</f>
        <v>1418.2056175182483</v>
      </c>
      <c r="H100" s="2566"/>
      <c r="I100" s="2566"/>
      <c r="J100" s="2574">
        <f>G100*2500</f>
        <v>3545514.043795621</v>
      </c>
      <c r="K100" s="2574"/>
      <c r="L100" s="2574"/>
      <c r="M100" s="2575"/>
      <c r="N100" s="2575"/>
      <c r="P100" s="2519">
        <f>7.2+0.6+21+5+70</f>
        <v>103.8</v>
      </c>
    </row>
    <row r="101" spans="1:23">
      <c r="A101" s="2519"/>
      <c r="B101" s="2519"/>
      <c r="C101" s="2519"/>
      <c r="F101" s="3989"/>
      <c r="G101" s="2566">
        <f>SUMIF(L16:L47,"B",J16:J47)</f>
        <v>486.44335182481751</v>
      </c>
      <c r="H101" s="2566"/>
      <c r="I101" s="2566"/>
      <c r="J101" s="2574">
        <f>G101*2400</f>
        <v>1167464.0443795621</v>
      </c>
      <c r="K101" s="2574"/>
      <c r="L101" s="2574"/>
      <c r="M101" s="2566"/>
      <c r="N101" s="2566"/>
    </row>
    <row r="102" spans="1:23">
      <c r="A102" s="2519"/>
      <c r="B102" s="2519"/>
      <c r="C102" s="2519"/>
      <c r="F102" s="3989"/>
      <c r="G102" s="2566">
        <f>SUMIF(L16:L47,"C",J16:J47)</f>
        <v>0</v>
      </c>
      <c r="H102" s="2566"/>
      <c r="I102" s="2566"/>
      <c r="J102" s="2574">
        <f>G102*2300</f>
        <v>0</v>
      </c>
      <c r="K102" s="2574"/>
      <c r="L102" s="2574"/>
      <c r="M102" s="2519"/>
      <c r="N102" s="2519"/>
      <c r="O102" s="2576"/>
      <c r="P102" s="2576"/>
      <c r="Q102" s="2576"/>
      <c r="R102" s="2576"/>
      <c r="S102" s="2576"/>
      <c r="T102" s="2576"/>
      <c r="W102" s="2566"/>
    </row>
    <row r="103" spans="1:23">
      <c r="A103" s="2519"/>
      <c r="B103" s="2519"/>
      <c r="C103" s="2519"/>
      <c r="F103" s="3989"/>
      <c r="G103" s="2566">
        <f>SUMIF(L16:L47,"D",J16:J47)</f>
        <v>0</v>
      </c>
      <c r="H103" s="2566"/>
      <c r="I103" s="2566"/>
      <c r="J103" s="2574">
        <f>G103*2200</f>
        <v>0</v>
      </c>
      <c r="K103" s="2574"/>
      <c r="L103" s="2574"/>
      <c r="M103" s="2519"/>
      <c r="N103" s="2519"/>
      <c r="O103" s="2578"/>
      <c r="P103" s="2578"/>
      <c r="Q103" s="3608"/>
      <c r="R103" s="3292"/>
      <c r="S103" s="2578"/>
      <c r="T103" s="2578"/>
      <c r="W103" s="2566"/>
    </row>
    <row r="104" spans="1:23">
      <c r="A104" s="2519"/>
      <c r="B104" s="2519"/>
      <c r="C104" s="2519"/>
      <c r="F104" s="2566"/>
      <c r="G104" s="2566"/>
      <c r="H104" s="2566"/>
      <c r="I104" s="2566"/>
      <c r="J104" s="2574"/>
      <c r="K104" s="2574"/>
      <c r="L104" s="2574"/>
      <c r="M104" s="2519"/>
      <c r="N104" s="2519"/>
      <c r="O104" s="2578"/>
      <c r="P104" s="2578"/>
      <c r="Q104" s="3608"/>
      <c r="R104" s="3292"/>
      <c r="S104" s="2578"/>
      <c r="T104" s="2578"/>
      <c r="W104" s="2566"/>
    </row>
    <row r="105" spans="1:23">
      <c r="A105" s="2519"/>
      <c r="B105" s="2519"/>
      <c r="C105" s="2519"/>
      <c r="F105" s="2566"/>
      <c r="G105" s="2566"/>
      <c r="H105" s="2566"/>
      <c r="I105" s="2566"/>
      <c r="J105" s="2574"/>
      <c r="K105" s="2574"/>
      <c r="L105" s="2574"/>
      <c r="M105" s="2519"/>
      <c r="N105" s="2519"/>
      <c r="O105" s="2578"/>
      <c r="P105" s="2578"/>
      <c r="Q105" s="3608"/>
      <c r="R105" s="3292"/>
      <c r="S105" s="2578"/>
      <c r="T105" s="2578"/>
      <c r="W105" s="2566"/>
    </row>
    <row r="106" spans="1:23">
      <c r="A106" s="2519"/>
      <c r="B106" s="2519"/>
      <c r="C106" s="2519"/>
      <c r="F106" s="2566"/>
      <c r="G106" s="2566"/>
      <c r="H106" s="2566"/>
      <c r="I106" s="2566"/>
      <c r="J106" s="2574"/>
      <c r="K106" s="2574"/>
      <c r="L106" s="2574"/>
      <c r="M106" s="2519"/>
      <c r="N106" s="2519"/>
      <c r="O106" s="2578"/>
      <c r="P106" s="2578"/>
      <c r="Q106" s="3608"/>
      <c r="R106" s="3292"/>
      <c r="S106" s="2578"/>
      <c r="T106" s="2578"/>
      <c r="W106" s="2566"/>
    </row>
    <row r="107" spans="1:23">
      <c r="A107" s="2519"/>
      <c r="B107" s="2519"/>
      <c r="C107" s="2519"/>
      <c r="F107" s="2566"/>
      <c r="G107" s="2566"/>
      <c r="H107" s="2566"/>
      <c r="I107" s="2566"/>
      <c r="J107" s="2574"/>
      <c r="K107" s="2574"/>
      <c r="L107" s="2574"/>
      <c r="M107" s="2519"/>
      <c r="N107" s="2519"/>
      <c r="O107" s="2578"/>
      <c r="P107" s="2578"/>
      <c r="Q107" s="3608"/>
      <c r="R107" s="3292"/>
      <c r="S107" s="2578"/>
      <c r="T107" s="2578"/>
      <c r="W107" s="2566"/>
    </row>
    <row r="108" spans="1:23">
      <c r="A108" s="2519"/>
      <c r="B108" s="2519"/>
      <c r="C108" s="2519"/>
      <c r="F108" s="2566"/>
      <c r="G108" s="2566"/>
      <c r="H108" s="2566"/>
      <c r="I108" s="2566"/>
      <c r="J108" s="2574"/>
      <c r="K108" s="2574"/>
      <c r="L108" s="2574"/>
      <c r="M108" s="2519"/>
      <c r="N108" s="2519"/>
      <c r="O108" s="2578"/>
      <c r="P108" s="2578"/>
      <c r="Q108" s="3608"/>
      <c r="R108" s="3292"/>
      <c r="S108" s="2578"/>
      <c r="T108" s="2578"/>
      <c r="W108" s="2566"/>
    </row>
    <row r="109" spans="1:23">
      <c r="A109" s="2519"/>
      <c r="B109" s="2519"/>
      <c r="C109" s="2519"/>
      <c r="F109" s="2566"/>
      <c r="G109" s="2566"/>
      <c r="H109" s="2566"/>
      <c r="I109" s="2566"/>
      <c r="J109" s="2574"/>
      <c r="K109" s="2574"/>
      <c r="L109" s="2574"/>
      <c r="M109" s="2519"/>
      <c r="N109" s="2519"/>
      <c r="O109" s="2578"/>
      <c r="P109" s="2578"/>
      <c r="Q109" s="3608"/>
      <c r="R109" s="3292"/>
      <c r="S109" s="2578"/>
      <c r="T109" s="2578"/>
      <c r="W109" s="2566"/>
    </row>
    <row r="110" spans="1:23">
      <c r="B110" s="2519"/>
      <c r="C110" s="2519"/>
      <c r="F110" s="2519"/>
      <c r="G110" s="2519">
        <f>SUM(G100:G108)</f>
        <v>1904.6489693430658</v>
      </c>
      <c r="J110" s="2574">
        <f>SUM(J100:J108)</f>
        <v>4712978.0881751832</v>
      </c>
      <c r="K110" s="2574"/>
      <c r="L110" s="2574"/>
      <c r="M110" s="2519"/>
      <c r="N110" s="2519"/>
      <c r="O110" s="3961" t="e">
        <f>J110+J120+G125</f>
        <v>#REF!</v>
      </c>
      <c r="P110" s="3961"/>
      <c r="Q110" s="3610"/>
      <c r="R110" s="3291"/>
      <c r="S110" s="2517"/>
      <c r="T110" s="2519" t="e">
        <f>O110-#REF!</f>
        <v>#REF!</v>
      </c>
    </row>
    <row r="111" spans="1:23">
      <c r="B111" s="2519"/>
      <c r="C111" s="2519"/>
      <c r="F111" s="2519"/>
      <c r="J111" s="2582"/>
      <c r="K111" s="3573"/>
      <c r="L111" s="2582"/>
      <c r="M111" s="2519"/>
      <c r="N111" s="2519"/>
      <c r="P111" s="2577"/>
      <c r="Q111" s="2577"/>
      <c r="R111" s="2577"/>
      <c r="S111" s="2577"/>
      <c r="T111" s="2577"/>
    </row>
    <row r="112" spans="1:23">
      <c r="B112" s="2519"/>
      <c r="C112" s="2519"/>
      <c r="F112" s="2566"/>
      <c r="G112" s="2519">
        <v>5422</v>
      </c>
      <c r="J112" s="2574">
        <f>G112*30000</f>
        <v>162660000</v>
      </c>
      <c r="K112" s="2574"/>
      <c r="L112" s="2574"/>
      <c r="M112" s="2519"/>
      <c r="N112" s="2519"/>
    </row>
    <row r="113" spans="1:23">
      <c r="B113" s="2519"/>
      <c r="C113" s="2519"/>
      <c r="F113" s="2566"/>
      <c r="G113" s="2519">
        <v>20</v>
      </c>
      <c r="J113" s="2574">
        <f>G113*60000</f>
        <v>1200000</v>
      </c>
      <c r="K113" s="2574"/>
      <c r="L113" s="2574"/>
      <c r="M113" s="2519"/>
      <c r="N113" s="2519"/>
    </row>
    <row r="114" spans="1:23">
      <c r="B114" s="2519"/>
      <c r="C114" s="2519"/>
      <c r="F114" s="2566"/>
      <c r="G114" s="2519">
        <v>230</v>
      </c>
      <c r="J114" s="2574">
        <f>G114*80000</f>
        <v>18400000</v>
      </c>
      <c r="K114" s="2574"/>
      <c r="L114" s="2574"/>
      <c r="M114" s="2519"/>
      <c r="N114" s="2519"/>
    </row>
    <row r="115" spans="1:23">
      <c r="A115" s="2519"/>
      <c r="G115" s="2519">
        <v>998</v>
      </c>
      <c r="J115" s="2574">
        <f>G115*50000</f>
        <v>49900000</v>
      </c>
      <c r="K115" s="2574"/>
      <c r="L115" s="2574"/>
      <c r="W115" s="2577"/>
    </row>
    <row r="116" spans="1:23">
      <c r="A116" s="2519"/>
      <c r="G116" s="2519">
        <v>2</v>
      </c>
      <c r="J116" s="2574">
        <f>G116*80000</f>
        <v>160000</v>
      </c>
      <c r="K116" s="2574"/>
      <c r="L116" s="2574"/>
      <c r="W116" s="2577"/>
    </row>
    <row r="117" spans="1:23">
      <c r="A117" s="2519"/>
      <c r="G117" s="2519">
        <v>89</v>
      </c>
      <c r="J117" s="2574">
        <f>G117*100000</f>
        <v>8900000</v>
      </c>
      <c r="K117" s="2574"/>
      <c r="L117" s="2574"/>
      <c r="W117" s="2517"/>
    </row>
    <row r="118" spans="1:23">
      <c r="A118" s="2519"/>
      <c r="G118" s="2519">
        <v>301.56000000000006</v>
      </c>
      <c r="J118" s="2574">
        <f>G118*25000</f>
        <v>7539000.0000000019</v>
      </c>
      <c r="K118" s="2574"/>
      <c r="L118" s="2574"/>
      <c r="W118" s="2517"/>
    </row>
    <row r="119" spans="1:23">
      <c r="A119" s="2519"/>
      <c r="G119" s="2519">
        <v>2965</v>
      </c>
      <c r="J119" s="2574">
        <f>G119*20000</f>
        <v>59300000</v>
      </c>
      <c r="K119" s="2574"/>
      <c r="L119" s="2574"/>
      <c r="W119" s="2517"/>
    </row>
    <row r="120" spans="1:23">
      <c r="A120" s="2519"/>
      <c r="B120" s="2583"/>
      <c r="G120" s="2519">
        <f>SUM(G112:G119)</f>
        <v>10027.560000000001</v>
      </c>
      <c r="J120" s="3990">
        <f>SUM(J112:J119)</f>
        <v>308059000</v>
      </c>
      <c r="K120" s="3990"/>
      <c r="L120" s="3990"/>
      <c r="T120" s="2517"/>
      <c r="U120" s="2577"/>
    </row>
    <row r="121" spans="1:23">
      <c r="A121" s="2519"/>
      <c r="B121" s="2584"/>
      <c r="G121" s="2566" t="e">
        <f>#REF!+#REF!+#REF!+F47</f>
        <v>#REF!</v>
      </c>
      <c r="H121" s="2566"/>
      <c r="I121" s="2566"/>
      <c r="J121" s="2574" t="e">
        <f>G121*25000</f>
        <v>#REF!</v>
      </c>
      <c r="K121" s="2574"/>
      <c r="L121" s="2574"/>
    </row>
    <row r="122" spans="1:23">
      <c r="A122" s="2519"/>
      <c r="B122" s="2584"/>
      <c r="F122" s="2577" t="s">
        <v>1601</v>
      </c>
      <c r="G122" s="2519" t="e">
        <f>#REF!+#REF!</f>
        <v>#REF!</v>
      </c>
      <c r="J122" s="2574" t="e">
        <f>#REF!+#REF!</f>
        <v>#REF!</v>
      </c>
      <c r="K122" s="2574"/>
      <c r="L122" s="2585"/>
    </row>
    <row r="123" spans="1:23">
      <c r="A123" s="2519"/>
      <c r="B123" s="2584"/>
      <c r="G123" s="2519" t="e">
        <f>#REF!</f>
        <v>#REF!</v>
      </c>
      <c r="J123" s="2574" t="e">
        <f>#REF!</f>
        <v>#REF!</v>
      </c>
      <c r="K123" s="2574"/>
      <c r="L123" s="2585"/>
    </row>
    <row r="124" spans="1:23">
      <c r="A124" s="2519"/>
      <c r="G124" s="2519" t="e">
        <f>#REF!+#REF!+#REF!+#REF!</f>
        <v>#REF!</v>
      </c>
      <c r="J124" s="2574" t="e">
        <f>#REF!+#REF!+#REF!+#REF!</f>
        <v>#REF!</v>
      </c>
      <c r="K124" s="2574"/>
      <c r="L124" s="2585"/>
    </row>
    <row r="125" spans="1:23">
      <c r="A125" s="2519"/>
      <c r="G125" s="3990" t="e">
        <f>SUM(J121:L124)</f>
        <v>#REF!</v>
      </c>
      <c r="H125" s="3990"/>
      <c r="I125" s="3990"/>
      <c r="J125" s="3990"/>
      <c r="K125" s="3573"/>
      <c r="L125" s="2585"/>
      <c r="M125" s="2523" t="e">
        <f>G125-#REF!</f>
        <v>#REF!</v>
      </c>
    </row>
    <row r="127" spans="1:23">
      <c r="A127" s="2519"/>
      <c r="J127" s="3979" t="e">
        <f>+#REF!+#REF!+#REF!+#REF!+1000000</f>
        <v>#REF!</v>
      </c>
      <c r="K127" s="3979"/>
      <c r="L127" s="3979"/>
    </row>
    <row r="129" spans="1:20">
      <c r="A129" s="2519"/>
      <c r="G129" s="2566"/>
      <c r="H129" s="2566"/>
      <c r="I129" s="2566"/>
      <c r="J129" s="2574"/>
      <c r="K129" s="2574"/>
    </row>
    <row r="130" spans="1:20">
      <c r="A130" s="2519"/>
      <c r="O130" s="2566"/>
    </row>
    <row r="134" spans="1:20">
      <c r="A134" s="2519"/>
      <c r="G134" s="2566">
        <v>2551.8899999999994</v>
      </c>
      <c r="H134" s="2566"/>
      <c r="I134" s="2566"/>
    </row>
    <row r="135" spans="1:20">
      <c r="A135" s="2519"/>
      <c r="B135" s="2519"/>
      <c r="C135" s="2519"/>
      <c r="F135" s="2519"/>
      <c r="G135" s="2566" t="e">
        <f>+G121-G134</f>
        <v>#REF!</v>
      </c>
      <c r="H135" s="2566"/>
      <c r="I135" s="2566"/>
    </row>
    <row r="141" spans="1:20">
      <c r="A141" s="2519"/>
      <c r="B141" s="2519"/>
      <c r="C141" s="2519"/>
      <c r="F141" s="2519"/>
      <c r="L141" s="2522">
        <v>1678</v>
      </c>
      <c r="M141" s="2523">
        <v>1573</v>
      </c>
      <c r="O141" s="2519">
        <v>1187</v>
      </c>
      <c r="P141" s="2519">
        <v>1183</v>
      </c>
      <c r="T141" s="2519">
        <f>SUM(L141:P141)</f>
        <v>5621</v>
      </c>
    </row>
    <row r="142" spans="1:20">
      <c r="A142" s="2519"/>
      <c r="B142" s="2519"/>
      <c r="C142" s="2519"/>
      <c r="F142" s="2519"/>
      <c r="L142" s="2522">
        <v>257</v>
      </c>
      <c r="M142" s="2523">
        <v>244</v>
      </c>
      <c r="O142" s="2519">
        <v>183</v>
      </c>
      <c r="P142" s="2519">
        <v>182</v>
      </c>
      <c r="T142" s="2519">
        <f>SUM(L142:P142)</f>
        <v>866</v>
      </c>
    </row>
    <row r="143" spans="1:20">
      <c r="A143" s="2519"/>
      <c r="B143" s="2519"/>
      <c r="C143" s="2519"/>
      <c r="F143" s="2519"/>
      <c r="L143" s="2522">
        <v>1935</v>
      </c>
      <c r="M143" s="2523">
        <v>1817</v>
      </c>
      <c r="O143" s="2519">
        <v>1370</v>
      </c>
      <c r="P143" s="2519">
        <v>1365</v>
      </c>
      <c r="T143" s="2519">
        <f>SUM(L143:P143)</f>
        <v>6487</v>
      </c>
    </row>
  </sheetData>
  <mergeCells count="40">
    <mergeCell ref="AB18:AB19"/>
    <mergeCell ref="E13:E15"/>
    <mergeCell ref="Y13:Y15"/>
    <mergeCell ref="O14:T14"/>
    <mergeCell ref="A47:D47"/>
    <mergeCell ref="H14:M14"/>
    <mergeCell ref="A48:Y48"/>
    <mergeCell ref="U50:Y50"/>
    <mergeCell ref="A53:F53"/>
    <mergeCell ref="O53:T53"/>
    <mergeCell ref="U53:Y53"/>
    <mergeCell ref="G53:M53"/>
    <mergeCell ref="J127:L127"/>
    <mergeCell ref="O60:T60"/>
    <mergeCell ref="W60:X60"/>
    <mergeCell ref="O64:P64"/>
    <mergeCell ref="F100:F103"/>
    <mergeCell ref="O110:P110"/>
    <mergeCell ref="U62:Y62"/>
    <mergeCell ref="J120:L120"/>
    <mergeCell ref="G125:J125"/>
    <mergeCell ref="A62:F62"/>
    <mergeCell ref="G62:M62"/>
    <mergeCell ref="A2:Y2"/>
    <mergeCell ref="A3:Y3"/>
    <mergeCell ref="A4:Y4"/>
    <mergeCell ref="A6:J6"/>
    <mergeCell ref="A7:J7"/>
    <mergeCell ref="A9:Y9"/>
    <mergeCell ref="A10:Y10"/>
    <mergeCell ref="A13:A15"/>
    <mergeCell ref="B13:B15"/>
    <mergeCell ref="C13:C15"/>
    <mergeCell ref="D13:D15"/>
    <mergeCell ref="F13:T13"/>
    <mergeCell ref="U13:U15"/>
    <mergeCell ref="F14:G14"/>
    <mergeCell ref="V13:V15"/>
    <mergeCell ref="W13:W15"/>
    <mergeCell ref="X13:X15"/>
  </mergeCells>
  <pageMargins left="0.15748031496062992" right="0.15748031496062992" top="0.51181102362204722" bottom="0.23622047244094491" header="0.31496062992125984" footer="0.15748031496062992"/>
  <pageSetup paperSize="9" scale="4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241"/>
  <sheetViews>
    <sheetView topLeftCell="A7" zoomScaleNormal="100" workbookViewId="0">
      <selection activeCell="M21" sqref="M21"/>
    </sheetView>
  </sheetViews>
  <sheetFormatPr defaultColWidth="9.140625" defaultRowHeight="15.75"/>
  <cols>
    <col min="1" max="1" width="5.42578125" style="3267" customWidth="1"/>
    <col min="2" max="2" width="5.42578125" style="3268" hidden="1" customWidth="1"/>
    <col min="3" max="3" width="21.42578125" style="3267" customWidth="1"/>
    <col min="4" max="4" width="0.28515625" style="3267" hidden="1" customWidth="1"/>
    <col min="5" max="5" width="10.28515625" style="3238" customWidth="1"/>
    <col min="6" max="6" width="9.85546875" style="3238" hidden="1" customWidth="1"/>
    <col min="7" max="7" width="15.85546875" style="3236" customWidth="1"/>
    <col min="8" max="8" width="16.140625" style="3236" customWidth="1"/>
    <col min="9" max="9" width="9.85546875" style="3236" customWidth="1"/>
    <col min="10" max="10" width="7.7109375" style="3236" hidden="1" customWidth="1"/>
    <col min="11" max="11" width="9.140625" style="3267" customWidth="1"/>
    <col min="12" max="12" width="8.28515625" style="3267" customWidth="1"/>
    <col min="13" max="13" width="16" style="3267" customWidth="1"/>
    <col min="14" max="14" width="7.140625" style="3267" customWidth="1"/>
    <col min="15" max="15" width="7.42578125" style="3272" customWidth="1"/>
    <col min="16" max="16" width="7.28515625" style="3272" customWidth="1"/>
    <col min="17" max="17" width="8.140625" style="3272" customWidth="1"/>
    <col min="18" max="18" width="11.140625" style="3272" customWidth="1"/>
    <col min="19" max="19" width="12.140625" style="3236" customWidth="1"/>
    <col min="20" max="20" width="13.42578125" style="3236" customWidth="1"/>
    <col min="21" max="21" width="10.5703125" style="3236" customWidth="1"/>
    <col min="22" max="22" width="16" style="3236" customWidth="1"/>
    <col min="23" max="23" width="11" style="3236" hidden="1" customWidth="1"/>
    <col min="24" max="24" width="9.140625" style="3238" hidden="1" customWidth="1"/>
    <col min="25" max="25" width="1.28515625" style="3238" hidden="1" customWidth="1"/>
    <col min="26" max="26" width="18.85546875" style="3236" hidden="1" customWidth="1"/>
    <col min="27" max="27" width="15" style="3236" hidden="1" customWidth="1"/>
    <col min="28" max="28" width="9.140625" style="3236" hidden="1" customWidth="1"/>
    <col min="29" max="29" width="11.28515625" style="3236" bestFit="1" customWidth="1"/>
    <col min="30" max="30" width="10.7109375" style="3236" customWidth="1"/>
    <col min="31" max="16384" width="9.140625" style="3236"/>
  </cols>
  <sheetData>
    <row r="1" spans="1:27">
      <c r="A1" s="4000" t="s">
        <v>23</v>
      </c>
      <c r="B1" s="4000"/>
      <c r="C1" s="4000"/>
      <c r="D1" s="4000"/>
      <c r="E1" s="4000"/>
      <c r="F1" s="4000"/>
      <c r="G1" s="4000"/>
      <c r="H1" s="4000"/>
      <c r="I1" s="4000"/>
      <c r="J1" s="4000"/>
      <c r="K1" s="4000"/>
      <c r="L1" s="4000"/>
      <c r="M1" s="4000"/>
      <c r="N1" s="4000"/>
      <c r="O1" s="4000"/>
      <c r="P1" s="4000"/>
      <c r="Q1" s="4000"/>
      <c r="R1" s="4000"/>
      <c r="S1" s="4000"/>
      <c r="T1" s="4000"/>
      <c r="U1" s="4000"/>
      <c r="V1" s="4000"/>
      <c r="W1" s="4000"/>
      <c r="X1" s="4000"/>
      <c r="Y1" s="4000"/>
    </row>
    <row r="2" spans="1:27" ht="16.5">
      <c r="A2" s="3920" t="s">
        <v>45</v>
      </c>
      <c r="B2" s="3920"/>
      <c r="C2" s="3920"/>
      <c r="D2" s="3920"/>
      <c r="E2" s="3920"/>
      <c r="F2" s="3920"/>
      <c r="G2" s="3920"/>
      <c r="H2" s="3920"/>
      <c r="I2" s="3920"/>
      <c r="J2" s="3920"/>
      <c r="K2" s="3920"/>
      <c r="L2" s="3920"/>
      <c r="M2" s="3920"/>
      <c r="N2" s="3920"/>
      <c r="O2" s="3920"/>
      <c r="P2" s="3920"/>
      <c r="Q2" s="3920"/>
      <c r="R2" s="3920"/>
      <c r="S2" s="3920"/>
      <c r="T2" s="3920"/>
      <c r="U2" s="3920"/>
      <c r="V2" s="3920"/>
      <c r="W2" s="3920"/>
      <c r="X2" s="3920"/>
      <c r="Y2" s="3920"/>
    </row>
    <row r="3" spans="1:27" ht="23.25" customHeight="1">
      <c r="A3" s="4017" t="s">
        <v>1573</v>
      </c>
      <c r="B3" s="4017"/>
      <c r="C3" s="4017"/>
      <c r="D3" s="4017"/>
      <c r="E3" s="4017"/>
      <c r="F3" s="4017"/>
      <c r="G3" s="4017"/>
      <c r="H3" s="4017"/>
      <c r="I3" s="4017"/>
      <c r="J3" s="4017"/>
      <c r="K3" s="4017"/>
      <c r="L3" s="4017"/>
      <c r="M3" s="4017"/>
      <c r="N3" s="4017"/>
      <c r="O3" s="4017"/>
      <c r="P3" s="4017"/>
      <c r="Q3" s="4017"/>
      <c r="R3" s="4017"/>
      <c r="S3" s="4017"/>
      <c r="T3" s="4017"/>
      <c r="U3" s="4017"/>
      <c r="V3" s="4017"/>
      <c r="W3" s="4017"/>
      <c r="X3" s="4017"/>
      <c r="Y3" s="4017"/>
    </row>
    <row r="4" spans="1:27" ht="16.5">
      <c r="A4" s="4016" t="s">
        <v>929</v>
      </c>
      <c r="B4" s="4016"/>
      <c r="C4" s="4016"/>
      <c r="D4" s="4016"/>
      <c r="E4" s="4016"/>
      <c r="F4" s="4016"/>
      <c r="G4" s="4016"/>
      <c r="H4" s="4016"/>
      <c r="I4" s="979"/>
      <c r="J4" s="979"/>
      <c r="K4" s="979"/>
      <c r="L4" s="979"/>
      <c r="M4" s="979"/>
      <c r="N4" s="979"/>
      <c r="O4" s="979"/>
      <c r="P4" s="979"/>
      <c r="Q4" s="3237"/>
      <c r="R4" s="3237"/>
      <c r="S4" s="4012"/>
      <c r="T4" s="4012"/>
      <c r="U4" s="4012"/>
      <c r="V4" s="4012"/>
      <c r="W4" s="4012"/>
    </row>
    <row r="5" spans="1:27" ht="17.25">
      <c r="A5" s="3947" t="s">
        <v>90</v>
      </c>
      <c r="B5" s="3947"/>
      <c r="C5" s="3947"/>
      <c r="D5" s="3947"/>
      <c r="E5" s="3947"/>
      <c r="F5" s="3947"/>
      <c r="G5" s="3947"/>
      <c r="H5" s="3947"/>
      <c r="I5" s="979"/>
      <c r="J5" s="979"/>
      <c r="K5" s="979"/>
      <c r="L5" s="979"/>
      <c r="M5" s="979"/>
      <c r="N5" s="979"/>
      <c r="O5" s="979"/>
      <c r="P5" s="979"/>
      <c r="Q5" s="3239"/>
      <c r="R5" s="3239"/>
      <c r="S5" s="4013"/>
      <c r="T5" s="4013"/>
      <c r="U5" s="4013"/>
      <c r="V5" s="4013"/>
      <c r="W5" s="4013"/>
    </row>
    <row r="6" spans="1:27" ht="10.5" customHeight="1">
      <c r="A6" s="979"/>
      <c r="B6" s="979"/>
      <c r="C6" s="979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979"/>
      <c r="O6" s="979"/>
      <c r="P6" s="979"/>
      <c r="Q6" s="3240"/>
      <c r="R6" s="3240"/>
      <c r="S6" s="3241"/>
      <c r="T6" s="3242"/>
      <c r="U6" s="3243"/>
      <c r="V6" s="3244"/>
      <c r="W6" s="3243"/>
    </row>
    <row r="7" spans="1:27" s="3246" customFormat="1" ht="25.9" customHeight="1">
      <c r="A7" s="4002" t="s">
        <v>2144</v>
      </c>
      <c r="B7" s="4002"/>
      <c r="C7" s="4002"/>
      <c r="D7" s="4002"/>
      <c r="E7" s="4002"/>
      <c r="F7" s="4002"/>
      <c r="G7" s="4002"/>
      <c r="H7" s="4002"/>
      <c r="I7" s="4002"/>
      <c r="J7" s="4002"/>
      <c r="K7" s="4002"/>
      <c r="L7" s="4002"/>
      <c r="M7" s="4002"/>
      <c r="N7" s="4002"/>
      <c r="O7" s="4002"/>
      <c r="P7" s="4002"/>
      <c r="Q7" s="4002"/>
      <c r="R7" s="4002"/>
      <c r="S7" s="4002"/>
      <c r="T7" s="4002"/>
      <c r="U7" s="4002"/>
      <c r="V7" s="4002"/>
      <c r="W7" s="4002"/>
      <c r="X7" s="4002"/>
      <c r="Y7" s="4002"/>
    </row>
    <row r="8" spans="1:27" s="3246" customFormat="1" ht="26.25" hidden="1" customHeight="1">
      <c r="A8" s="3245"/>
      <c r="B8" s="3245"/>
      <c r="C8" s="3245"/>
      <c r="D8" s="3245"/>
      <c r="E8" s="3245">
        <v>640.39</v>
      </c>
      <c r="F8" s="3245"/>
      <c r="G8" s="3245"/>
      <c r="H8" s="3245"/>
      <c r="I8" s="3245"/>
      <c r="J8" s="3245"/>
      <c r="K8" s="3245"/>
      <c r="L8" s="3245"/>
      <c r="M8" s="3245"/>
      <c r="N8" s="3245"/>
      <c r="O8" s="3245"/>
      <c r="P8" s="3245"/>
      <c r="Q8" s="3245"/>
      <c r="R8" s="3245"/>
      <c r="S8" s="3245"/>
      <c r="T8" s="3245"/>
      <c r="U8" s="3245"/>
      <c r="V8" s="3245"/>
      <c r="W8" s="3245"/>
      <c r="X8" s="3245"/>
      <c r="Y8" s="3245"/>
    </row>
    <row r="9" spans="1:27" s="3246" customFormat="1" ht="18.75" hidden="1" customHeight="1">
      <c r="A9" s="3248"/>
      <c r="B9" s="4030" t="s">
        <v>321</v>
      </c>
      <c r="C9" s="4030"/>
      <c r="D9" s="4014">
        <v>21403</v>
      </c>
      <c r="E9" s="4014"/>
      <c r="F9" s="4014"/>
      <c r="G9" s="3247"/>
      <c r="H9" s="3247"/>
      <c r="I9" s="3247"/>
      <c r="J9" s="3484"/>
      <c r="K9" s="3248"/>
      <c r="L9" s="3248"/>
      <c r="M9" s="3248"/>
      <c r="N9" s="3248"/>
      <c r="O9" s="3249"/>
      <c r="P9" s="3249"/>
      <c r="Q9" s="3249"/>
      <c r="R9" s="3249"/>
      <c r="S9" s="3250"/>
      <c r="T9" s="3251"/>
      <c r="U9" s="3247"/>
      <c r="V9" s="3247"/>
      <c r="W9" s="3247"/>
      <c r="X9" s="3252"/>
      <c r="Y9" s="3252"/>
    </row>
    <row r="10" spans="1:27" s="3246" customFormat="1" ht="20.25" hidden="1" customHeight="1">
      <c r="A10" s="3248"/>
      <c r="B10" s="4030" t="s">
        <v>322</v>
      </c>
      <c r="C10" s="4030"/>
      <c r="D10" s="4015">
        <v>0.98939999999999995</v>
      </c>
      <c r="E10" s="4015"/>
      <c r="F10" s="4015"/>
      <c r="G10" s="3247"/>
      <c r="H10" s="3247"/>
      <c r="I10" s="3247"/>
      <c r="J10" s="3484"/>
      <c r="K10" s="3248"/>
      <c r="L10" s="3248"/>
      <c r="M10" s="3248"/>
      <c r="N10" s="3248"/>
      <c r="O10" s="3249"/>
      <c r="P10" s="3249"/>
      <c r="Q10" s="3249"/>
      <c r="R10" s="3249"/>
      <c r="S10" s="3247"/>
      <c r="T10" s="3247"/>
      <c r="U10" s="3247"/>
      <c r="V10" s="3247"/>
      <c r="W10" s="3247"/>
      <c r="X10" s="3252"/>
      <c r="Y10" s="3252"/>
    </row>
    <row r="11" spans="1:27" s="3246" customFormat="1" ht="20.25" hidden="1" customHeight="1">
      <c r="A11" s="3253"/>
      <c r="B11" s="3254"/>
      <c r="C11" s="3254" t="s">
        <v>1403</v>
      </c>
      <c r="D11" s="4037">
        <f>+'Đội 1'!E12</f>
        <v>646.20000000000005</v>
      </c>
      <c r="E11" s="4037"/>
      <c r="F11" s="3255"/>
      <c r="G11" s="3256"/>
      <c r="H11" s="3256"/>
      <c r="I11" s="3256"/>
      <c r="J11" s="3483"/>
      <c r="K11" s="3253"/>
      <c r="L11" s="3253"/>
      <c r="M11" s="3253"/>
      <c r="N11" s="3253"/>
      <c r="O11" s="3257"/>
      <c r="P11" s="3257"/>
      <c r="Q11" s="3257"/>
      <c r="R11" s="3257"/>
      <c r="S11" s="3256"/>
      <c r="T11" s="3256"/>
      <c r="U11" s="4001" t="s">
        <v>1655</v>
      </c>
      <c r="V11" s="4001"/>
      <c r="W11" s="4001"/>
      <c r="X11" s="4001"/>
      <c r="Y11" s="4001"/>
    </row>
    <row r="12" spans="1:27" s="3258" customFormat="1" ht="18" customHeight="1">
      <c r="A12" s="4005" t="s">
        <v>0</v>
      </c>
      <c r="B12" s="4031" t="s">
        <v>1</v>
      </c>
      <c r="C12" s="4032"/>
      <c r="D12" s="4008" t="s">
        <v>64</v>
      </c>
      <c r="E12" s="4040" t="s">
        <v>2</v>
      </c>
      <c r="F12" s="4040" t="s">
        <v>3</v>
      </c>
      <c r="G12" s="4009" t="s">
        <v>4</v>
      </c>
      <c r="H12" s="4010"/>
      <c r="I12" s="4010"/>
      <c r="J12" s="4010"/>
      <c r="K12" s="4010"/>
      <c r="L12" s="4010"/>
      <c r="M12" s="4010"/>
      <c r="N12" s="4010"/>
      <c r="O12" s="4010"/>
      <c r="P12" s="4010"/>
      <c r="Q12" s="4010"/>
      <c r="R12" s="4010"/>
      <c r="S12" s="4011"/>
      <c r="T12" s="4003" t="s">
        <v>1650</v>
      </c>
      <c r="U12" s="4003" t="s">
        <v>1648</v>
      </c>
      <c r="V12" s="4003" t="s">
        <v>2307</v>
      </c>
      <c r="W12" s="4025" t="s">
        <v>10</v>
      </c>
      <c r="X12" s="4005" t="s">
        <v>9</v>
      </c>
      <c r="Y12" s="4005" t="s">
        <v>92</v>
      </c>
      <c r="AA12" s="3258">
        <v>24</v>
      </c>
    </row>
    <row r="13" spans="1:27" s="3234" customFormat="1" ht="27.75" customHeight="1">
      <c r="A13" s="4006"/>
      <c r="B13" s="4033"/>
      <c r="C13" s="4034"/>
      <c r="D13" s="4008"/>
      <c r="E13" s="4041"/>
      <c r="F13" s="4041"/>
      <c r="G13" s="4008" t="s">
        <v>1725</v>
      </c>
      <c r="H13" s="4047"/>
      <c r="I13" s="4038" t="s">
        <v>183</v>
      </c>
      <c r="J13" s="4038"/>
      <c r="K13" s="4038"/>
      <c r="L13" s="4038"/>
      <c r="M13" s="4039"/>
      <c r="N13" s="4022" t="s">
        <v>1900</v>
      </c>
      <c r="O13" s="4023"/>
      <c r="P13" s="4023"/>
      <c r="Q13" s="4023"/>
      <c r="R13" s="4023"/>
      <c r="S13" s="4024"/>
      <c r="T13" s="4021"/>
      <c r="U13" s="4021"/>
      <c r="V13" s="4021"/>
      <c r="W13" s="4026"/>
      <c r="X13" s="4006"/>
      <c r="Y13" s="4006"/>
    </row>
    <row r="14" spans="1:27" s="3234" customFormat="1" ht="30.75" customHeight="1">
      <c r="A14" s="4006"/>
      <c r="B14" s="4033"/>
      <c r="C14" s="4034"/>
      <c r="D14" s="4008"/>
      <c r="E14" s="4041"/>
      <c r="F14" s="4041"/>
      <c r="G14" s="4044" t="s">
        <v>12</v>
      </c>
      <c r="H14" s="4005" t="s">
        <v>14</v>
      </c>
      <c r="I14" s="4052" t="s">
        <v>1962</v>
      </c>
      <c r="J14" s="4005" t="s">
        <v>2055</v>
      </c>
      <c r="K14" s="4022" t="s">
        <v>2498</v>
      </c>
      <c r="L14" s="4003" t="s">
        <v>189</v>
      </c>
      <c r="M14" s="4024" t="s">
        <v>1254</v>
      </c>
      <c r="N14" s="4003" t="s">
        <v>1647</v>
      </c>
      <c r="O14" s="4018" t="s">
        <v>1649</v>
      </c>
      <c r="P14" s="4018" t="s">
        <v>1531</v>
      </c>
      <c r="Q14" s="4018" t="s">
        <v>2008</v>
      </c>
      <c r="R14" s="4055" t="s">
        <v>2306</v>
      </c>
      <c r="S14" s="4003" t="s">
        <v>1644</v>
      </c>
      <c r="T14" s="4021"/>
      <c r="U14" s="4021"/>
      <c r="V14" s="4021"/>
      <c r="W14" s="4027"/>
      <c r="X14" s="4007"/>
      <c r="Y14" s="4006"/>
    </row>
    <row r="15" spans="1:27" s="3234" customFormat="1" ht="32.25" customHeight="1">
      <c r="A15" s="4007"/>
      <c r="B15" s="4035"/>
      <c r="C15" s="4036"/>
      <c r="D15" s="3259"/>
      <c r="E15" s="4042"/>
      <c r="F15" s="4042"/>
      <c r="G15" s="4045"/>
      <c r="H15" s="4007"/>
      <c r="I15" s="4053"/>
      <c r="J15" s="4007"/>
      <c r="K15" s="4054"/>
      <c r="L15" s="4004"/>
      <c r="M15" s="4046"/>
      <c r="N15" s="4004"/>
      <c r="O15" s="4019"/>
      <c r="P15" s="4019"/>
      <c r="Q15" s="4019"/>
      <c r="R15" s="4056"/>
      <c r="S15" s="4004"/>
      <c r="T15" s="4004"/>
      <c r="U15" s="4004"/>
      <c r="V15" s="4004"/>
      <c r="W15" s="3260"/>
      <c r="X15" s="3261"/>
      <c r="Y15" s="4007"/>
    </row>
    <row r="16" spans="1:27" s="1502" customFormat="1" ht="15" customHeight="1">
      <c r="A16" s="3622">
        <v>1</v>
      </c>
      <c r="B16" s="1500">
        <v>2</v>
      </c>
      <c r="C16" s="3259">
        <v>2</v>
      </c>
      <c r="D16" s="1500">
        <v>4</v>
      </c>
      <c r="E16" s="3259">
        <v>3</v>
      </c>
      <c r="F16" s="1500">
        <v>6</v>
      </c>
      <c r="G16" s="3259">
        <v>5</v>
      </c>
      <c r="H16" s="1500">
        <v>6</v>
      </c>
      <c r="I16" s="1500">
        <v>6</v>
      </c>
      <c r="J16" s="1500"/>
      <c r="K16" s="1500">
        <v>7</v>
      </c>
      <c r="L16" s="3259">
        <v>8</v>
      </c>
      <c r="M16" s="1500">
        <v>9</v>
      </c>
      <c r="N16" s="3259">
        <v>10</v>
      </c>
      <c r="O16" s="3262">
        <v>11</v>
      </c>
      <c r="P16" s="3262">
        <v>12</v>
      </c>
      <c r="Q16" s="3262">
        <v>13</v>
      </c>
      <c r="R16" s="3262">
        <v>14</v>
      </c>
      <c r="S16" s="3259">
        <v>15</v>
      </c>
      <c r="T16" s="1500">
        <v>16</v>
      </c>
      <c r="U16" s="3259">
        <v>17</v>
      </c>
      <c r="V16" s="1500">
        <v>8</v>
      </c>
      <c r="W16" s="3259">
        <v>22</v>
      </c>
      <c r="X16" s="1500"/>
      <c r="Y16" s="1500">
        <v>19</v>
      </c>
    </row>
    <row r="17" spans="1:26" s="1502" customFormat="1" ht="34.5" customHeight="1">
      <c r="A17" s="4043" t="s">
        <v>451</v>
      </c>
      <c r="B17" s="4043"/>
      <c r="C17" s="4043"/>
      <c r="D17" s="4043"/>
      <c r="E17" s="4043"/>
      <c r="F17" s="3009"/>
      <c r="G17" s="2371">
        <f>SUBTOTAL(9,G18:G99)</f>
        <v>0</v>
      </c>
      <c r="H17" s="3685">
        <f t="shared" ref="H17:T17" si="0">SUBTOTAL(9,H18:H99)</f>
        <v>0</v>
      </c>
      <c r="I17" s="2371">
        <f t="shared" si="0"/>
        <v>8354</v>
      </c>
      <c r="J17" s="2371">
        <f t="shared" si="0"/>
        <v>0</v>
      </c>
      <c r="K17" s="2371">
        <f t="shared" si="0"/>
        <v>4802.503999999999</v>
      </c>
      <c r="L17" s="2371">
        <f t="shared" si="0"/>
        <v>0</v>
      </c>
      <c r="M17" s="3685">
        <f t="shared" si="0"/>
        <v>18930603</v>
      </c>
      <c r="N17" s="3685">
        <f t="shared" si="0"/>
        <v>979</v>
      </c>
      <c r="O17" s="3685">
        <f t="shared" si="0"/>
        <v>213</v>
      </c>
      <c r="P17" s="3685">
        <f t="shared" si="0"/>
        <v>1192</v>
      </c>
      <c r="Q17" s="3685">
        <f t="shared" si="0"/>
        <v>68</v>
      </c>
      <c r="R17" s="3685">
        <f t="shared" si="0"/>
        <v>38500000</v>
      </c>
      <c r="S17" s="3685">
        <f t="shared" si="0"/>
        <v>104048355.36</v>
      </c>
      <c r="T17" s="3685">
        <f t="shared" si="0"/>
        <v>122978958.36000004</v>
      </c>
      <c r="U17" s="3685">
        <f t="shared" ref="U17" si="1">SUBTOTAL(9,U18:U99)</f>
        <v>1000000</v>
      </c>
      <c r="V17" s="3685">
        <f t="shared" ref="V17" si="2">SUBTOTAL(9,V18:V99)</f>
        <v>121978958.36000004</v>
      </c>
      <c r="W17" s="1499" t="e">
        <f>SUBTOTAL(9,#REF!)</f>
        <v>#REF!</v>
      </c>
      <c r="X17" s="1499"/>
      <c r="Y17" s="1500"/>
      <c r="Z17" s="1501">
        <f>+'Đội 1'!W100</f>
        <v>121978958.36000004</v>
      </c>
    </row>
    <row r="18" spans="1:26" s="1502" customFormat="1" ht="34.5" customHeight="1">
      <c r="A18" s="3231">
        <v>1</v>
      </c>
      <c r="B18" s="3816"/>
      <c r="C18" s="3715" t="s">
        <v>1557</v>
      </c>
      <c r="D18" s="3816"/>
      <c r="E18" s="3231" t="s">
        <v>167</v>
      </c>
      <c r="F18" s="3009"/>
      <c r="G18" s="3717"/>
      <c r="H18" s="3231">
        <f>+G18*25000</f>
        <v>0</v>
      </c>
      <c r="I18" s="3231">
        <f>+VLOOKUP(C18,'Đội 1'!C18:H99,6,0)</f>
        <v>0</v>
      </c>
      <c r="J18" s="3231"/>
      <c r="K18" s="3231">
        <f>+VLOOKUP(C18,'Đội 1'!C18:K99,8,0)</f>
        <v>0</v>
      </c>
      <c r="L18" s="3231" t="str">
        <f>+VLOOKUP(C18,'Đội 1'!C18:L99,10,0)</f>
        <v>A</v>
      </c>
      <c r="M18" s="3231">
        <f>+VLOOKUP(C18,'Đội 1'!C18:M99,11,0)</f>
        <v>0</v>
      </c>
      <c r="N18" s="3231">
        <f>+VLOOKUP(C18,'Đội 1'!$C$18:$S$99,12,0)</f>
        <v>3</v>
      </c>
      <c r="O18" s="3231">
        <f>+VLOOKUP(C18,'Đội 1'!$C$18:$S$99,13,0)</f>
        <v>2</v>
      </c>
      <c r="P18" s="3231">
        <f>+N18+O18</f>
        <v>5</v>
      </c>
      <c r="Q18" s="3231">
        <f>+VLOOKUP(C18,'Đội 1'!$C$18:$S$99,15,0)</f>
        <v>0</v>
      </c>
      <c r="R18" s="3231">
        <f>+VLOOKUP(C18,'Đội 1'!$C$18:$S$99,16,0)</f>
        <v>500000</v>
      </c>
      <c r="S18" s="3231">
        <f>+VLOOKUP(C18,'Đội 1'!C18:S99,17,0)</f>
        <v>791559.18</v>
      </c>
      <c r="T18" s="3231">
        <f>+H18+M18+S18</f>
        <v>791559.18</v>
      </c>
      <c r="U18" s="3816"/>
      <c r="V18" s="3231">
        <f>T18-U18</f>
        <v>791559.18</v>
      </c>
      <c r="W18" s="1499"/>
      <c r="X18" s="1499"/>
      <c r="Y18" s="1500"/>
      <c r="Z18" s="1501"/>
    </row>
    <row r="19" spans="1:26" s="1502" customFormat="1" ht="34.5" customHeight="1">
      <c r="A19" s="3231">
        <v>2</v>
      </c>
      <c r="B19" s="3816"/>
      <c r="C19" s="3715" t="s">
        <v>2169</v>
      </c>
      <c r="D19" s="3816"/>
      <c r="E19" s="3231" t="s">
        <v>167</v>
      </c>
      <c r="F19" s="3009"/>
      <c r="G19" s="3717"/>
      <c r="H19" s="3231">
        <f t="shared" ref="H19:H82" si="3">+G19*25000</f>
        <v>0</v>
      </c>
      <c r="I19" s="3231">
        <f>+VLOOKUP(C19,'Đội 1'!C19:H100,6,0)</f>
        <v>61</v>
      </c>
      <c r="J19" s="3231"/>
      <c r="K19" s="3231">
        <f>+VLOOKUP(C19,'Đội 1'!C19:K100,8,0)</f>
        <v>34.670523367378522</v>
      </c>
      <c r="L19" s="3231" t="str">
        <f>+VLOOKUP(C19,'Đội 1'!C19:L100,10,0)</f>
        <v>A</v>
      </c>
      <c r="M19" s="3231">
        <f>+VLOOKUP(C19,'Đội 1'!C19:M100,11,0)</f>
        <v>136665</v>
      </c>
      <c r="N19" s="3231">
        <f>+VLOOKUP(C19,'Đội 1'!$C$18:$S$99,12,0)</f>
        <v>12</v>
      </c>
      <c r="O19" s="3231">
        <f>+VLOOKUP(C19,'Đội 1'!$C$18:$S$99,13,0)</f>
        <v>3</v>
      </c>
      <c r="P19" s="3231">
        <f t="shared" ref="P19:P22" si="4">+N19+O19</f>
        <v>15</v>
      </c>
      <c r="Q19" s="3231">
        <f>+VLOOKUP(C19,'Đội 1'!$C$18:$S$99,15,0)</f>
        <v>0</v>
      </c>
      <c r="R19" s="3231">
        <f>+VLOOKUP(C19,'Đội 1'!$C$18:$S$99,16,0)</f>
        <v>500000</v>
      </c>
      <c r="S19" s="3231">
        <f>+VLOOKUP(C19,'Đội 1'!C19:S100,17,0)</f>
        <v>1314081.6200000001</v>
      </c>
      <c r="T19" s="3231">
        <f t="shared" ref="T19:T82" si="5">+H19+M19+S19</f>
        <v>1450746.62</v>
      </c>
      <c r="U19" s="3816"/>
      <c r="V19" s="3231">
        <f t="shared" ref="V19:V82" si="6">T19-U19</f>
        <v>1450746.62</v>
      </c>
      <c r="W19" s="1499"/>
      <c r="X19" s="1499"/>
      <c r="Y19" s="1500"/>
      <c r="Z19" s="1501"/>
    </row>
    <row r="20" spans="1:26" s="1502" customFormat="1" ht="34.5" customHeight="1">
      <c r="A20" s="3231">
        <v>3</v>
      </c>
      <c r="B20" s="3816"/>
      <c r="C20" s="3715" t="s">
        <v>2170</v>
      </c>
      <c r="D20" s="3816"/>
      <c r="E20" s="3231" t="s">
        <v>167</v>
      </c>
      <c r="F20" s="3009"/>
      <c r="G20" s="3717"/>
      <c r="H20" s="3231">
        <f t="shared" si="3"/>
        <v>0</v>
      </c>
      <c r="I20" s="3231">
        <f>+VLOOKUP(C20,'Đội 1'!C20:H101,6,0)</f>
        <v>6</v>
      </c>
      <c r="J20" s="3231"/>
      <c r="K20" s="3231">
        <f>+VLOOKUP(C20,'Đội 1'!C20:K101,8,0)</f>
        <v>3.4102154131847726</v>
      </c>
      <c r="L20" s="3231" t="str">
        <f>+VLOOKUP(C20,'Đội 1'!C20:L101,10,0)</f>
        <v>A</v>
      </c>
      <c r="M20" s="3231">
        <f>+VLOOKUP(C20,'Đội 1'!C20:M101,11,0)</f>
        <v>13442</v>
      </c>
      <c r="N20" s="3231">
        <f>+VLOOKUP(C20,'Đội 1'!$C$18:$S$99,12,0)</f>
        <v>12</v>
      </c>
      <c r="O20" s="3231">
        <f>+VLOOKUP(C20,'Đội 1'!$C$18:$S$99,13,0)</f>
        <v>3</v>
      </c>
      <c r="P20" s="3231">
        <f t="shared" si="4"/>
        <v>15</v>
      </c>
      <c r="Q20" s="3231">
        <f>+VLOOKUP(C20,'Đội 1'!$C$18:$S$99,15,0)</f>
        <v>0</v>
      </c>
      <c r="R20" s="3231">
        <f>+VLOOKUP(C20,'Đội 1'!$C$18:$S$99,16,0)</f>
        <v>500000</v>
      </c>
      <c r="S20" s="3231">
        <f>+VLOOKUP(C20,'Đội 1'!C20:S101,17,0)</f>
        <v>1314081.6200000001</v>
      </c>
      <c r="T20" s="3231">
        <f t="shared" si="5"/>
        <v>1327523.6200000001</v>
      </c>
      <c r="U20" s="3816"/>
      <c r="V20" s="3231">
        <f t="shared" si="6"/>
        <v>1327523.6200000001</v>
      </c>
      <c r="W20" s="1499"/>
      <c r="X20" s="1499"/>
      <c r="Y20" s="1500"/>
      <c r="Z20" s="1501"/>
    </row>
    <row r="21" spans="1:26" s="1502" customFormat="1" ht="34.5" customHeight="1">
      <c r="A21" s="3231">
        <v>4</v>
      </c>
      <c r="B21" s="3816"/>
      <c r="C21" s="3715" t="s">
        <v>2171</v>
      </c>
      <c r="D21" s="3816"/>
      <c r="E21" s="3231" t="s">
        <v>167</v>
      </c>
      <c r="F21" s="3009"/>
      <c r="G21" s="3717"/>
      <c r="H21" s="3231">
        <f t="shared" si="3"/>
        <v>0</v>
      </c>
      <c r="I21" s="3231">
        <f>+VLOOKUP(C21,'Đội 1'!C21:H102,6,0)</f>
        <v>25</v>
      </c>
      <c r="J21" s="3231"/>
      <c r="K21" s="3231">
        <f>+VLOOKUP(C21,'Đội 1'!C21:K102,8,0)</f>
        <v>14.209230888269886</v>
      </c>
      <c r="L21" s="3231" t="str">
        <f>+VLOOKUP(C21,'Đội 1'!C21:L102,10,0)</f>
        <v>A</v>
      </c>
      <c r="M21" s="3231">
        <f>+VLOOKUP(C21,'Đội 1'!C21:M102,11,0)</f>
        <v>56010</v>
      </c>
      <c r="N21" s="3231">
        <f>+VLOOKUP(C21,'Đội 1'!$C$18:$S$99,12,0)</f>
        <v>10</v>
      </c>
      <c r="O21" s="3231">
        <f>+VLOOKUP(C21,'Đội 1'!$C$18:$S$99,13,0)</f>
        <v>3</v>
      </c>
      <c r="P21" s="3231">
        <f t="shared" si="4"/>
        <v>13</v>
      </c>
      <c r="Q21" s="3231">
        <f>+VLOOKUP(C21,'Đội 1'!$C$18:$S$99,15,0)</f>
        <v>0</v>
      </c>
      <c r="R21" s="3231">
        <f>+VLOOKUP(C21,'Đội 1'!$C$18:$S$99,16,0)</f>
        <v>500000</v>
      </c>
      <c r="S21" s="3231">
        <f>+VLOOKUP(C21,'Đội 1'!C21:S102,17,0)</f>
        <v>1213616.8600000001</v>
      </c>
      <c r="T21" s="3231">
        <f t="shared" si="5"/>
        <v>1269626.8600000001</v>
      </c>
      <c r="U21" s="3816"/>
      <c r="V21" s="3231">
        <f t="shared" si="6"/>
        <v>1269626.8600000001</v>
      </c>
      <c r="W21" s="1499"/>
      <c r="X21" s="1499"/>
      <c r="Y21" s="1500"/>
      <c r="Z21" s="1501"/>
    </row>
    <row r="22" spans="1:26" s="1502" customFormat="1" ht="34.5" customHeight="1">
      <c r="A22" s="3231">
        <v>5</v>
      </c>
      <c r="B22" s="3816"/>
      <c r="C22" s="3715" t="s">
        <v>2172</v>
      </c>
      <c r="D22" s="3816"/>
      <c r="E22" s="3231" t="s">
        <v>167</v>
      </c>
      <c r="F22" s="3009"/>
      <c r="G22" s="3717"/>
      <c r="H22" s="3231">
        <f t="shared" si="3"/>
        <v>0</v>
      </c>
      <c r="I22" s="3231">
        <f>+VLOOKUP(C22,'Đội 1'!C22:H103,6,0)</f>
        <v>0</v>
      </c>
      <c r="J22" s="3231"/>
      <c r="K22" s="3231">
        <f>+VLOOKUP(C22,'Đội 1'!C22:K103,8,0)</f>
        <v>0</v>
      </c>
      <c r="L22" s="3231" t="str">
        <f>+VLOOKUP(C22,'Đội 1'!C22:L103,10,0)</f>
        <v>A</v>
      </c>
      <c r="M22" s="3231">
        <f>+VLOOKUP(C22,'Đội 1'!C22:M103,11,0)</f>
        <v>0</v>
      </c>
      <c r="N22" s="3231">
        <f>+VLOOKUP(C22,'Đội 1'!$C$18:$S$99,12,0)</f>
        <v>12</v>
      </c>
      <c r="O22" s="3231">
        <f>+VLOOKUP(C22,'Đội 1'!$C$18:$S$99,13,0)</f>
        <v>2</v>
      </c>
      <c r="P22" s="3231">
        <f t="shared" si="4"/>
        <v>14</v>
      </c>
      <c r="Q22" s="3231">
        <f>+VLOOKUP(C22,'Đội 1'!$C$18:$S$99,15,0)</f>
        <v>0</v>
      </c>
      <c r="R22" s="3231">
        <f>+VLOOKUP(C22,'Đội 1'!$C$18:$S$99,16,0)</f>
        <v>500000</v>
      </c>
      <c r="S22" s="3231">
        <f>+VLOOKUP(C22,'Đội 1'!C22:S103,17,0)</f>
        <v>1243650.6000000001</v>
      </c>
      <c r="T22" s="3231">
        <f t="shared" si="5"/>
        <v>1243650.6000000001</v>
      </c>
      <c r="U22" s="3816"/>
      <c r="V22" s="3231">
        <f t="shared" si="6"/>
        <v>1243650.6000000001</v>
      </c>
      <c r="W22" s="1499"/>
      <c r="X22" s="1499"/>
      <c r="Y22" s="1500"/>
      <c r="Z22" s="1501"/>
    </row>
    <row r="23" spans="1:26" s="1502" customFormat="1" ht="34.5" customHeight="1">
      <c r="A23" s="3231">
        <v>6</v>
      </c>
      <c r="B23" s="3816"/>
      <c r="C23" s="3715" t="s">
        <v>1528</v>
      </c>
      <c r="D23" s="3816"/>
      <c r="E23" s="3231" t="s">
        <v>167</v>
      </c>
      <c r="F23" s="3009"/>
      <c r="G23" s="3717"/>
      <c r="H23" s="3231">
        <f t="shared" si="3"/>
        <v>0</v>
      </c>
      <c r="I23" s="3231">
        <f>+VLOOKUP(C23,'Đội 1'!C23:H104,6,0)</f>
        <v>0</v>
      </c>
      <c r="J23" s="3231"/>
      <c r="K23" s="3231">
        <f>+VLOOKUP(C23,'Đội 1'!C23:K104,8,0)</f>
        <v>0</v>
      </c>
      <c r="L23" s="3231" t="str">
        <f>+VLOOKUP(C23,'Đội 1'!C23:L104,10,0)</f>
        <v>A</v>
      </c>
      <c r="M23" s="3231">
        <f>+VLOOKUP(C23,'Đội 1'!C23:M104,11,0)</f>
        <v>0</v>
      </c>
      <c r="N23" s="3231">
        <f>+VLOOKUP(C23,'Đội 1'!$C$18:$S$99,12,0)</f>
        <v>12</v>
      </c>
      <c r="O23" s="3231">
        <f>+VLOOKUP(C23,'Đội 1'!$C$18:$S$99,13,0)</f>
        <v>3</v>
      </c>
      <c r="P23" s="3231">
        <f t="shared" ref="P23:P86" si="7">+N23+O23</f>
        <v>15</v>
      </c>
      <c r="Q23" s="3231">
        <f>+VLOOKUP(C23,'Đội 1'!$C$18:$S$99,15,0)</f>
        <v>0</v>
      </c>
      <c r="R23" s="3231">
        <f>+VLOOKUP(C23,'Đội 1'!$C$18:$S$99,16,0)</f>
        <v>500000</v>
      </c>
      <c r="S23" s="3231">
        <f>+VLOOKUP(C23,'Đội 1'!C23:S104,17,0)</f>
        <v>1314081.6200000001</v>
      </c>
      <c r="T23" s="3231">
        <f t="shared" si="5"/>
        <v>1314081.6200000001</v>
      </c>
      <c r="U23" s="3816"/>
      <c r="V23" s="3231">
        <f t="shared" si="6"/>
        <v>1314081.6200000001</v>
      </c>
      <c r="W23" s="1499"/>
      <c r="X23" s="1499"/>
      <c r="Y23" s="1500"/>
      <c r="Z23" s="1501"/>
    </row>
    <row r="24" spans="1:26" s="1502" customFormat="1" ht="34.5" customHeight="1">
      <c r="A24" s="3231">
        <v>7</v>
      </c>
      <c r="B24" s="3816"/>
      <c r="C24" s="3715" t="s">
        <v>2173</v>
      </c>
      <c r="D24" s="3816"/>
      <c r="E24" s="3231" t="s">
        <v>167</v>
      </c>
      <c r="F24" s="3009"/>
      <c r="G24" s="3717"/>
      <c r="H24" s="3231">
        <f t="shared" si="3"/>
        <v>0</v>
      </c>
      <c r="I24" s="3231">
        <f>+VLOOKUP(C24,'Đội 1'!C24:H105,6,0)</f>
        <v>40</v>
      </c>
      <c r="J24" s="3231"/>
      <c r="K24" s="3231">
        <f>+VLOOKUP(C24,'Đội 1'!C24:K105,8,0)</f>
        <v>22.734769421231817</v>
      </c>
      <c r="L24" s="3231" t="str">
        <f>+VLOOKUP(C24,'Đội 1'!C24:L105,10,0)</f>
        <v>A</v>
      </c>
      <c r="M24" s="3231">
        <f>+VLOOKUP(C24,'Đội 1'!C24:M105,11,0)</f>
        <v>89616</v>
      </c>
      <c r="N24" s="3231">
        <f>+VLOOKUP(C24,'Đội 1'!$C$18:$S$99,12,0)</f>
        <v>12</v>
      </c>
      <c r="O24" s="3231">
        <f>+VLOOKUP(C24,'Đội 1'!$C$18:$S$99,13,0)</f>
        <v>3</v>
      </c>
      <c r="P24" s="3231">
        <f t="shared" si="7"/>
        <v>15</v>
      </c>
      <c r="Q24" s="3231">
        <f>+VLOOKUP(C24,'Đội 1'!$C$18:$S$99,15,0)</f>
        <v>0</v>
      </c>
      <c r="R24" s="3231">
        <f>+VLOOKUP(C24,'Đội 1'!$C$18:$S$99,16,0)</f>
        <v>500000</v>
      </c>
      <c r="S24" s="3231">
        <f>+VLOOKUP(C24,'Đội 1'!C24:S105,17,0)</f>
        <v>1314081.6200000001</v>
      </c>
      <c r="T24" s="3231">
        <f t="shared" si="5"/>
        <v>1403697.62</v>
      </c>
      <c r="U24" s="3816"/>
      <c r="V24" s="3231">
        <f t="shared" si="6"/>
        <v>1403697.62</v>
      </c>
      <c r="W24" s="1499"/>
      <c r="X24" s="1499"/>
      <c r="Y24" s="1500"/>
      <c r="Z24" s="1501"/>
    </row>
    <row r="25" spans="1:26" s="1502" customFormat="1" ht="34.5" customHeight="1">
      <c r="A25" s="3231">
        <v>8</v>
      </c>
      <c r="B25" s="3816"/>
      <c r="C25" s="3715" t="s">
        <v>2174</v>
      </c>
      <c r="D25" s="3816"/>
      <c r="E25" s="3231" t="s">
        <v>167</v>
      </c>
      <c r="F25" s="3009"/>
      <c r="G25" s="3717"/>
      <c r="H25" s="3231">
        <f t="shared" si="3"/>
        <v>0</v>
      </c>
      <c r="I25" s="3231">
        <f>+VLOOKUP(C25,'Đội 1'!C25:H106,6,0)</f>
        <v>20</v>
      </c>
      <c r="J25" s="3231"/>
      <c r="K25" s="3231">
        <f>+VLOOKUP(C25,'Đội 1'!C25:K106,8,0)</f>
        <v>11.367384710615909</v>
      </c>
      <c r="L25" s="3231" t="str">
        <f>+VLOOKUP(C25,'Đội 1'!C25:L106,10,0)</f>
        <v>A</v>
      </c>
      <c r="M25" s="3231">
        <f>+VLOOKUP(C25,'Đội 1'!C25:M106,11,0)</f>
        <v>44808</v>
      </c>
      <c r="N25" s="3231">
        <f>+VLOOKUP(C25,'Đội 1'!$C$18:$S$99,12,0)</f>
        <v>12</v>
      </c>
      <c r="O25" s="3231">
        <f>+VLOOKUP(C25,'Đội 1'!$C$18:$S$99,13,0)</f>
        <v>3</v>
      </c>
      <c r="P25" s="3231">
        <f t="shared" si="7"/>
        <v>15</v>
      </c>
      <c r="Q25" s="3231">
        <f>+VLOOKUP(C25,'Đội 1'!$C$18:$S$99,15,0)</f>
        <v>0</v>
      </c>
      <c r="R25" s="3231">
        <f>+VLOOKUP(C25,'Đội 1'!$C$18:$S$99,16,0)</f>
        <v>500000</v>
      </c>
      <c r="S25" s="3231">
        <f>+VLOOKUP(C25,'Đội 1'!C25:S106,17,0)</f>
        <v>1314081.6200000001</v>
      </c>
      <c r="T25" s="3231">
        <f t="shared" si="5"/>
        <v>1358889.62</v>
      </c>
      <c r="U25" s="3816"/>
      <c r="V25" s="3231">
        <f t="shared" si="6"/>
        <v>1358889.62</v>
      </c>
      <c r="W25" s="1499"/>
      <c r="X25" s="1499"/>
      <c r="Y25" s="1500"/>
      <c r="Z25" s="1501"/>
    </row>
    <row r="26" spans="1:26" s="1502" customFormat="1" ht="34.5" customHeight="1">
      <c r="A26" s="3231">
        <v>9</v>
      </c>
      <c r="B26" s="3816"/>
      <c r="C26" s="3715" t="s">
        <v>2175</v>
      </c>
      <c r="D26" s="3816"/>
      <c r="E26" s="3231" t="s">
        <v>167</v>
      </c>
      <c r="F26" s="3009"/>
      <c r="G26" s="3717"/>
      <c r="H26" s="3231">
        <f t="shared" si="3"/>
        <v>0</v>
      </c>
      <c r="I26" s="3231">
        <f>+VLOOKUP(C26,'Đội 1'!C26:H107,6,0)</f>
        <v>11</v>
      </c>
      <c r="J26" s="3231"/>
      <c r="K26" s="3231">
        <f>+VLOOKUP(C26,'Đội 1'!C26:K107,8,0)</f>
        <v>6.2520615908387507</v>
      </c>
      <c r="L26" s="3231" t="str">
        <f>+VLOOKUP(C26,'Đội 1'!C26:L107,10,0)</f>
        <v>A</v>
      </c>
      <c r="M26" s="3231">
        <f>+VLOOKUP(C26,'Đội 1'!C26:M107,11,0)</f>
        <v>24645</v>
      </c>
      <c r="N26" s="3231">
        <f>+VLOOKUP(C26,'Đội 1'!$C$18:$S$99,12,0)</f>
        <v>12</v>
      </c>
      <c r="O26" s="3231">
        <f>+VLOOKUP(C26,'Đội 1'!$C$18:$S$99,13,0)</f>
        <v>3</v>
      </c>
      <c r="P26" s="3231">
        <f t="shared" si="7"/>
        <v>15</v>
      </c>
      <c r="Q26" s="3231">
        <f>+VLOOKUP(C26,'Đội 1'!$C$18:$S$99,15,0)</f>
        <v>0</v>
      </c>
      <c r="R26" s="3231">
        <f>+VLOOKUP(C26,'Đội 1'!$C$18:$S$99,16,0)</f>
        <v>500000</v>
      </c>
      <c r="S26" s="3231">
        <f>+VLOOKUP(C26,'Đội 1'!C26:S107,17,0)</f>
        <v>1314081.6200000001</v>
      </c>
      <c r="T26" s="3231">
        <f t="shared" si="5"/>
        <v>1338726.6200000001</v>
      </c>
      <c r="U26" s="3816"/>
      <c r="V26" s="3231">
        <f t="shared" si="6"/>
        <v>1338726.6200000001</v>
      </c>
      <c r="W26" s="1499"/>
      <c r="X26" s="1499"/>
      <c r="Y26" s="1500"/>
      <c r="Z26" s="1501"/>
    </row>
    <row r="27" spans="1:26" s="1502" customFormat="1" ht="34.5" customHeight="1">
      <c r="A27" s="3231">
        <v>10</v>
      </c>
      <c r="B27" s="3816"/>
      <c r="C27" s="3715" t="s">
        <v>2176</v>
      </c>
      <c r="D27" s="3816"/>
      <c r="E27" s="3231" t="s">
        <v>167</v>
      </c>
      <c r="F27" s="3009"/>
      <c r="G27" s="3717"/>
      <c r="H27" s="3231">
        <f t="shared" si="3"/>
        <v>0</v>
      </c>
      <c r="I27" s="3231">
        <f>+VLOOKUP(C27,'Đội 1'!C27:H108,6,0)</f>
        <v>6</v>
      </c>
      <c r="J27" s="3231"/>
      <c r="K27" s="3231">
        <f>+VLOOKUP(C27,'Đội 1'!C27:K108,8,0)</f>
        <v>3.4102154131847726</v>
      </c>
      <c r="L27" s="3231" t="str">
        <f>+VLOOKUP(C27,'Đội 1'!C27:L108,10,0)</f>
        <v>A</v>
      </c>
      <c r="M27" s="3231">
        <f>+VLOOKUP(C27,'Đội 1'!C27:M108,11,0)</f>
        <v>13442</v>
      </c>
      <c r="N27" s="3231">
        <f>+VLOOKUP(C27,'Đội 1'!$C$18:$S$99,12,0)</f>
        <v>12</v>
      </c>
      <c r="O27" s="3231">
        <f>+VLOOKUP(C27,'Đội 1'!$C$18:$S$99,13,0)</f>
        <v>3</v>
      </c>
      <c r="P27" s="3231">
        <f t="shared" si="7"/>
        <v>15</v>
      </c>
      <c r="Q27" s="3231">
        <f>+VLOOKUP(C27,'Đội 1'!$C$18:$S$99,15,0)</f>
        <v>0</v>
      </c>
      <c r="R27" s="3231">
        <f>+VLOOKUP(C27,'Đội 1'!$C$18:$S$99,16,0)</f>
        <v>500000</v>
      </c>
      <c r="S27" s="3231">
        <f>+VLOOKUP(C27,'Đội 1'!C27:S108,17,0)</f>
        <v>1314081.6200000001</v>
      </c>
      <c r="T27" s="3231">
        <f t="shared" si="5"/>
        <v>1327523.6200000001</v>
      </c>
      <c r="U27" s="3816"/>
      <c r="V27" s="3231">
        <f t="shared" si="6"/>
        <v>1327523.6200000001</v>
      </c>
      <c r="W27" s="1499"/>
      <c r="X27" s="1499"/>
      <c r="Y27" s="1500"/>
      <c r="Z27" s="1501"/>
    </row>
    <row r="28" spans="1:26" s="1502" customFormat="1" ht="34.5" customHeight="1">
      <c r="A28" s="3231">
        <v>11</v>
      </c>
      <c r="B28" s="3816"/>
      <c r="C28" s="3715" t="s">
        <v>2177</v>
      </c>
      <c r="D28" s="3816"/>
      <c r="E28" s="3231" t="s">
        <v>167</v>
      </c>
      <c r="F28" s="3009"/>
      <c r="G28" s="3717"/>
      <c r="H28" s="3231">
        <f t="shared" si="3"/>
        <v>0</v>
      </c>
      <c r="I28" s="3231">
        <f>+VLOOKUP(C28,'Đội 1'!C28:H109,6,0)</f>
        <v>24</v>
      </c>
      <c r="J28" s="3231"/>
      <c r="K28" s="3231">
        <f>+VLOOKUP(C28,'Đội 1'!C28:K109,8,0)</f>
        <v>13.64086165273909</v>
      </c>
      <c r="L28" s="3231" t="str">
        <f>+VLOOKUP(C28,'Đội 1'!C28:L109,10,0)</f>
        <v>A</v>
      </c>
      <c r="M28" s="3231">
        <f>+VLOOKUP(C28,'Đội 1'!C28:M109,11,0)</f>
        <v>53770</v>
      </c>
      <c r="N28" s="3231">
        <f>+VLOOKUP(C28,'Đội 1'!$C$18:$S$99,12,0)</f>
        <v>12</v>
      </c>
      <c r="O28" s="3231">
        <f>+VLOOKUP(C28,'Đội 1'!$C$18:$S$99,13,0)</f>
        <v>3</v>
      </c>
      <c r="P28" s="3231">
        <f t="shared" si="7"/>
        <v>15</v>
      </c>
      <c r="Q28" s="3231">
        <f>+VLOOKUP(C28,'Đội 1'!$C$18:$S$99,15,0)</f>
        <v>0</v>
      </c>
      <c r="R28" s="3231">
        <f>+VLOOKUP(C28,'Đội 1'!$C$18:$S$99,16,0)</f>
        <v>500000</v>
      </c>
      <c r="S28" s="3231">
        <f>+VLOOKUP(C28,'Đội 1'!C28:S109,17,0)</f>
        <v>1314081.6200000001</v>
      </c>
      <c r="T28" s="3231">
        <f t="shared" si="5"/>
        <v>1367851.62</v>
      </c>
      <c r="U28" s="3816"/>
      <c r="V28" s="3231">
        <f t="shared" si="6"/>
        <v>1367851.62</v>
      </c>
      <c r="W28" s="1499"/>
      <c r="X28" s="1499"/>
      <c r="Y28" s="1500"/>
      <c r="Z28" s="1501"/>
    </row>
    <row r="29" spans="1:26" s="1502" customFormat="1" ht="34.5" customHeight="1">
      <c r="A29" s="3231">
        <v>12</v>
      </c>
      <c r="B29" s="3816"/>
      <c r="C29" s="3715" t="s">
        <v>2178</v>
      </c>
      <c r="D29" s="3816"/>
      <c r="E29" s="3231" t="s">
        <v>167</v>
      </c>
      <c r="F29" s="3009"/>
      <c r="G29" s="3717"/>
      <c r="H29" s="3231">
        <f t="shared" si="3"/>
        <v>0</v>
      </c>
      <c r="I29" s="3231">
        <f>+VLOOKUP(C29,'Đội 1'!C29:H110,6,0)</f>
        <v>60</v>
      </c>
      <c r="J29" s="3231"/>
      <c r="K29" s="3231">
        <f>+VLOOKUP(C29,'Đội 1'!C29:K110,8,0)</f>
        <v>34.102154131847726</v>
      </c>
      <c r="L29" s="3231" t="str">
        <f>+VLOOKUP(C29,'Đội 1'!C29:L110,10,0)</f>
        <v>A</v>
      </c>
      <c r="M29" s="3231">
        <f>+VLOOKUP(C29,'Đội 1'!C29:M110,11,0)</f>
        <v>134425</v>
      </c>
      <c r="N29" s="3231">
        <f>+VLOOKUP(C29,'Đội 1'!$C$18:$S$99,12,0)</f>
        <v>12</v>
      </c>
      <c r="O29" s="3231">
        <f>+VLOOKUP(C29,'Đội 1'!$C$18:$S$99,13,0)</f>
        <v>3</v>
      </c>
      <c r="P29" s="3231">
        <f t="shared" si="7"/>
        <v>15</v>
      </c>
      <c r="Q29" s="3231">
        <f>+VLOOKUP(C29,'Đội 1'!$C$18:$S$99,15,0)</f>
        <v>0</v>
      </c>
      <c r="R29" s="3231">
        <f>+VLOOKUP(C29,'Đội 1'!$C$18:$S$99,16,0)</f>
        <v>500000</v>
      </c>
      <c r="S29" s="3231">
        <f>+VLOOKUP(C29,'Đội 1'!C29:S110,17,0)</f>
        <v>1314081.6200000001</v>
      </c>
      <c r="T29" s="3231">
        <f t="shared" si="5"/>
        <v>1448506.62</v>
      </c>
      <c r="U29" s="3816"/>
      <c r="V29" s="3231">
        <f t="shared" si="6"/>
        <v>1448506.62</v>
      </c>
      <c r="W29" s="1499"/>
      <c r="X29" s="1499"/>
      <c r="Y29" s="1500"/>
      <c r="Z29" s="1501"/>
    </row>
    <row r="30" spans="1:26" s="1502" customFormat="1" ht="34.5" customHeight="1">
      <c r="A30" s="3231">
        <v>13</v>
      </c>
      <c r="B30" s="3816"/>
      <c r="C30" s="3715" t="s">
        <v>2179</v>
      </c>
      <c r="D30" s="3816"/>
      <c r="E30" s="3231" t="s">
        <v>167</v>
      </c>
      <c r="F30" s="3009"/>
      <c r="G30" s="3717"/>
      <c r="H30" s="3231">
        <f t="shared" si="3"/>
        <v>0</v>
      </c>
      <c r="I30" s="3231">
        <f>+VLOOKUP(C30,'Đội 1'!C30:H111,6,0)</f>
        <v>40</v>
      </c>
      <c r="J30" s="3231"/>
      <c r="K30" s="3231">
        <f>+VLOOKUP(C30,'Đội 1'!C30:K111,8,0)</f>
        <v>22.734769421231817</v>
      </c>
      <c r="L30" s="3231" t="str">
        <f>+VLOOKUP(C30,'Đội 1'!C30:L111,10,0)</f>
        <v>A</v>
      </c>
      <c r="M30" s="3231">
        <f>+VLOOKUP(C30,'Đội 1'!C30:M111,11,0)</f>
        <v>89616</v>
      </c>
      <c r="N30" s="3231">
        <f>+VLOOKUP(C30,'Đội 1'!$C$18:$S$99,12,0)</f>
        <v>11</v>
      </c>
      <c r="O30" s="3231">
        <f>+VLOOKUP(C30,'Đội 1'!$C$18:$S$99,13,0)</f>
        <v>3</v>
      </c>
      <c r="P30" s="3231">
        <f t="shared" si="7"/>
        <v>14</v>
      </c>
      <c r="Q30" s="3231">
        <f>+VLOOKUP(C30,'Đội 1'!$C$18:$S$99,15,0)</f>
        <v>0</v>
      </c>
      <c r="R30" s="3231">
        <f>+VLOOKUP(C30,'Đội 1'!$C$18:$S$99,16,0)</f>
        <v>500000</v>
      </c>
      <c r="S30" s="3231">
        <f>+VLOOKUP(C30,'Đội 1'!C30:S111,17,0)</f>
        <v>1263849.24</v>
      </c>
      <c r="T30" s="3231">
        <f t="shared" si="5"/>
        <v>1353465.24</v>
      </c>
      <c r="U30" s="3816"/>
      <c r="V30" s="3231">
        <f t="shared" si="6"/>
        <v>1353465.24</v>
      </c>
      <c r="W30" s="1499"/>
      <c r="X30" s="1499"/>
      <c r="Y30" s="1500"/>
      <c r="Z30" s="1501"/>
    </row>
    <row r="31" spans="1:26" s="1502" customFormat="1" ht="34.5" customHeight="1">
      <c r="A31" s="3231">
        <v>14</v>
      </c>
      <c r="B31" s="3816"/>
      <c r="C31" s="3715" t="s">
        <v>1301</v>
      </c>
      <c r="D31" s="3816"/>
      <c r="E31" s="3231" t="s">
        <v>167</v>
      </c>
      <c r="F31" s="3009"/>
      <c r="G31" s="3717"/>
      <c r="H31" s="3231">
        <f t="shared" si="3"/>
        <v>0</v>
      </c>
      <c r="I31" s="3231">
        <f>+VLOOKUP(C31,'Đội 1'!C31:H112,6,0)</f>
        <v>0</v>
      </c>
      <c r="J31" s="3231"/>
      <c r="K31" s="3231">
        <f>+VLOOKUP(C31,'Đội 1'!C31:K112,8,0)</f>
        <v>0</v>
      </c>
      <c r="L31" s="3231" t="str">
        <f>+VLOOKUP(C31,'Đội 1'!C31:L112,10,0)</f>
        <v>A</v>
      </c>
      <c r="M31" s="3231">
        <f>+VLOOKUP(C31,'Đội 1'!C31:M112,11,0)</f>
        <v>0</v>
      </c>
      <c r="N31" s="3231">
        <f>+VLOOKUP(C31,'Đội 1'!$C$18:$S$99,12,0)</f>
        <v>12</v>
      </c>
      <c r="O31" s="3231">
        <f>+VLOOKUP(C31,'Đội 1'!$C$18:$S$99,13,0)</f>
        <v>3</v>
      </c>
      <c r="P31" s="3231">
        <f t="shared" si="7"/>
        <v>15</v>
      </c>
      <c r="Q31" s="3231">
        <f>+VLOOKUP(C31,'Đội 1'!$C$18:$S$99,15,0)</f>
        <v>0</v>
      </c>
      <c r="R31" s="3231">
        <f>+VLOOKUP(C31,'Đội 1'!$C$18:$S$99,16,0)</f>
        <v>500000</v>
      </c>
      <c r="S31" s="3231">
        <f>+VLOOKUP(C31,'Đội 1'!C31:S112,17,0)</f>
        <v>1314081.6200000001</v>
      </c>
      <c r="T31" s="3231">
        <f t="shared" si="5"/>
        <v>1314081.6200000001</v>
      </c>
      <c r="U31" s="3816"/>
      <c r="V31" s="3231">
        <f t="shared" si="6"/>
        <v>1314081.6200000001</v>
      </c>
      <c r="W31" s="1499"/>
      <c r="X31" s="1499"/>
      <c r="Y31" s="1500"/>
      <c r="Z31" s="1501"/>
    </row>
    <row r="32" spans="1:26" s="1502" customFormat="1" ht="34.5" customHeight="1">
      <c r="A32" s="3231">
        <v>15</v>
      </c>
      <c r="B32" s="3816"/>
      <c r="C32" s="3715" t="s">
        <v>2180</v>
      </c>
      <c r="D32" s="3816"/>
      <c r="E32" s="3231" t="s">
        <v>167</v>
      </c>
      <c r="F32" s="3009"/>
      <c r="G32" s="3717"/>
      <c r="H32" s="3231">
        <f t="shared" si="3"/>
        <v>0</v>
      </c>
      <c r="I32" s="3231">
        <f>+VLOOKUP(C32,'Đội 1'!C32:H113,6,0)</f>
        <v>35</v>
      </c>
      <c r="J32" s="3231"/>
      <c r="K32" s="3231">
        <f>+VLOOKUP(C32,'Đội 1'!C32:K113,8,0)</f>
        <v>19.89292324357784</v>
      </c>
      <c r="L32" s="3231" t="str">
        <f>+VLOOKUP(C32,'Đội 1'!C32:L113,10,0)</f>
        <v>A</v>
      </c>
      <c r="M32" s="3231">
        <f>+VLOOKUP(C32,'Đội 1'!C32:M113,11,0)</f>
        <v>78414</v>
      </c>
      <c r="N32" s="3231">
        <f>+VLOOKUP(C32,'Đội 1'!$C$18:$S$99,12,0)</f>
        <v>12</v>
      </c>
      <c r="O32" s="3231">
        <f>+VLOOKUP(C32,'Đội 1'!$C$18:$S$99,13,0)</f>
        <v>3</v>
      </c>
      <c r="P32" s="3231">
        <f t="shared" si="7"/>
        <v>15</v>
      </c>
      <c r="Q32" s="3231">
        <f>+VLOOKUP(C32,'Đội 1'!$C$18:$S$99,15,0)</f>
        <v>0</v>
      </c>
      <c r="R32" s="3231">
        <f>+VLOOKUP(C32,'Đội 1'!$C$18:$S$99,16,0)</f>
        <v>500000</v>
      </c>
      <c r="S32" s="3231">
        <f>+VLOOKUP(C32,'Đội 1'!C32:S113,17,0)</f>
        <v>1314081.6200000001</v>
      </c>
      <c r="T32" s="3231">
        <f t="shared" si="5"/>
        <v>1392495.62</v>
      </c>
      <c r="U32" s="3816"/>
      <c r="V32" s="3231">
        <f t="shared" si="6"/>
        <v>1392495.62</v>
      </c>
      <c r="W32" s="1499"/>
      <c r="X32" s="1499"/>
      <c r="Y32" s="1500"/>
      <c r="Z32" s="1501"/>
    </row>
    <row r="33" spans="1:26" s="1502" customFormat="1" ht="34.5" customHeight="1">
      <c r="A33" s="3231">
        <v>16</v>
      </c>
      <c r="B33" s="3816"/>
      <c r="C33" s="3715" t="s">
        <v>1677</v>
      </c>
      <c r="D33" s="3816"/>
      <c r="E33" s="3231" t="s">
        <v>167</v>
      </c>
      <c r="F33" s="3009"/>
      <c r="G33" s="3717"/>
      <c r="H33" s="3231">
        <f t="shared" si="3"/>
        <v>0</v>
      </c>
      <c r="I33" s="3231">
        <f>+VLOOKUP(C33,'Đội 1'!C33:H114,6,0)</f>
        <v>97</v>
      </c>
      <c r="J33" s="3231"/>
      <c r="K33" s="3231">
        <f>+VLOOKUP(C33,'Đội 1'!C33:K114,8,0)</f>
        <v>55.131815846487164</v>
      </c>
      <c r="L33" s="3231" t="str">
        <f>+VLOOKUP(C33,'Đội 1'!C33:L114,10,0)</f>
        <v>A</v>
      </c>
      <c r="M33" s="3231">
        <f>+VLOOKUP(C33,'Đội 1'!C33:M114,11,0)</f>
        <v>217320</v>
      </c>
      <c r="N33" s="3231">
        <f>+VLOOKUP(C33,'Đội 1'!$C$18:$S$99,12,0)</f>
        <v>12</v>
      </c>
      <c r="O33" s="3231">
        <f>+VLOOKUP(C33,'Đội 1'!$C$18:$S$99,13,0)</f>
        <v>3</v>
      </c>
      <c r="P33" s="3231">
        <f t="shared" si="7"/>
        <v>15</v>
      </c>
      <c r="Q33" s="3231">
        <f>+VLOOKUP(C33,'Đội 1'!$C$18:$S$99,15,0)</f>
        <v>0</v>
      </c>
      <c r="R33" s="3231">
        <f>+VLOOKUP(C33,'Đội 1'!$C$18:$S$99,16,0)</f>
        <v>500000</v>
      </c>
      <c r="S33" s="3231">
        <f>+VLOOKUP(C33,'Đội 1'!C33:S114,17,0)</f>
        <v>1314081.6200000001</v>
      </c>
      <c r="T33" s="3231">
        <f t="shared" si="5"/>
        <v>1531401.62</v>
      </c>
      <c r="U33" s="3816"/>
      <c r="V33" s="3231">
        <f t="shared" si="6"/>
        <v>1531401.62</v>
      </c>
      <c r="W33" s="1499"/>
      <c r="X33" s="1499"/>
      <c r="Y33" s="1500"/>
      <c r="Z33" s="1501"/>
    </row>
    <row r="34" spans="1:26" s="1502" customFormat="1" ht="34.5" customHeight="1">
      <c r="A34" s="3231">
        <v>17</v>
      </c>
      <c r="B34" s="3816"/>
      <c r="C34" s="3715" t="s">
        <v>289</v>
      </c>
      <c r="D34" s="3816"/>
      <c r="E34" s="3231" t="s">
        <v>167</v>
      </c>
      <c r="F34" s="3009"/>
      <c r="G34" s="3717"/>
      <c r="H34" s="3231">
        <f t="shared" si="3"/>
        <v>0</v>
      </c>
      <c r="I34" s="3231">
        <f>+VLOOKUP(C34,'Đội 1'!C34:H115,6,0)</f>
        <v>7</v>
      </c>
      <c r="J34" s="3231"/>
      <c r="K34" s="3231">
        <f>+VLOOKUP(C34,'Đội 1'!C34:K115,8,0)</f>
        <v>3.9785846487155681</v>
      </c>
      <c r="L34" s="3231" t="str">
        <f>+VLOOKUP(C34,'Đội 1'!C34:L115,10,0)</f>
        <v>A</v>
      </c>
      <c r="M34" s="3231">
        <f>+VLOOKUP(C34,'Đội 1'!C34:M115,11,0)</f>
        <v>15683</v>
      </c>
      <c r="N34" s="3231">
        <f>+VLOOKUP(C34,'Đội 1'!$C$18:$S$99,12,0)</f>
        <v>12</v>
      </c>
      <c r="O34" s="3231">
        <f>+VLOOKUP(C34,'Đội 1'!$C$18:$S$99,13,0)</f>
        <v>3</v>
      </c>
      <c r="P34" s="3231">
        <f t="shared" si="7"/>
        <v>15</v>
      </c>
      <c r="Q34" s="3231">
        <f>+VLOOKUP(C34,'Đội 1'!$C$18:$S$99,15,0)</f>
        <v>0</v>
      </c>
      <c r="R34" s="3231">
        <f>+VLOOKUP(C34,'Đội 1'!$C$18:$S$99,16,0)</f>
        <v>500000</v>
      </c>
      <c r="S34" s="3231">
        <f>+VLOOKUP(C34,'Đội 1'!C34:S115,17,0)</f>
        <v>1314081.6200000001</v>
      </c>
      <c r="T34" s="3231">
        <f t="shared" si="5"/>
        <v>1329764.6200000001</v>
      </c>
      <c r="U34" s="3816"/>
      <c r="V34" s="3231">
        <f t="shared" si="6"/>
        <v>1329764.6200000001</v>
      </c>
      <c r="W34" s="1499"/>
      <c r="X34" s="1499"/>
      <c r="Y34" s="1500"/>
      <c r="Z34" s="1501"/>
    </row>
    <row r="35" spans="1:26" s="1502" customFormat="1" ht="34.5" customHeight="1">
      <c r="A35" s="3231">
        <v>18</v>
      </c>
      <c r="B35" s="3816"/>
      <c r="C35" s="3715" t="s">
        <v>2181</v>
      </c>
      <c r="D35" s="3816"/>
      <c r="E35" s="3231" t="s">
        <v>167</v>
      </c>
      <c r="F35" s="3009"/>
      <c r="G35" s="3717"/>
      <c r="H35" s="3231">
        <f t="shared" si="3"/>
        <v>0</v>
      </c>
      <c r="I35" s="3231">
        <f>+VLOOKUP(C35,'Đội 1'!C35:H116,6,0)</f>
        <v>44</v>
      </c>
      <c r="J35" s="3231"/>
      <c r="K35" s="3231">
        <f>+VLOOKUP(C35,'Đội 1'!C35:K116,8,0)</f>
        <v>25.008246363355003</v>
      </c>
      <c r="L35" s="3231" t="str">
        <f>+VLOOKUP(C35,'Đội 1'!C35:L116,10,0)</f>
        <v>A</v>
      </c>
      <c r="M35" s="3231">
        <f>+VLOOKUP(C35,'Đội 1'!C35:M116,11,0)</f>
        <v>98578</v>
      </c>
      <c r="N35" s="3231">
        <f>+VLOOKUP(C35,'Đội 1'!$C$18:$S$99,12,0)</f>
        <v>12</v>
      </c>
      <c r="O35" s="3231">
        <f>+VLOOKUP(C35,'Đội 1'!$C$18:$S$99,13,0)</f>
        <v>3</v>
      </c>
      <c r="P35" s="3231">
        <f t="shared" si="7"/>
        <v>15</v>
      </c>
      <c r="Q35" s="3231">
        <f>+VLOOKUP(C35,'Đội 1'!$C$18:$S$99,15,0)</f>
        <v>0</v>
      </c>
      <c r="R35" s="3231">
        <f>+VLOOKUP(C35,'Đội 1'!$C$18:$S$99,16,0)</f>
        <v>500000</v>
      </c>
      <c r="S35" s="3231">
        <f>+VLOOKUP(C35,'Đội 1'!C35:S116,17,0)</f>
        <v>1314081.6200000001</v>
      </c>
      <c r="T35" s="3231">
        <f t="shared" si="5"/>
        <v>1412659.62</v>
      </c>
      <c r="U35" s="3816"/>
      <c r="V35" s="3231">
        <f t="shared" si="6"/>
        <v>1412659.62</v>
      </c>
      <c r="W35" s="1499"/>
      <c r="X35" s="1499"/>
      <c r="Y35" s="1500"/>
      <c r="Z35" s="1501"/>
    </row>
    <row r="36" spans="1:26" s="1502" customFormat="1" ht="34.5" customHeight="1">
      <c r="A36" s="3231">
        <v>19</v>
      </c>
      <c r="B36" s="3816"/>
      <c r="C36" s="3715" t="s">
        <v>2182</v>
      </c>
      <c r="D36" s="3816"/>
      <c r="E36" s="3231" t="s">
        <v>167</v>
      </c>
      <c r="F36" s="3009"/>
      <c r="G36" s="3717"/>
      <c r="H36" s="3231">
        <f t="shared" si="3"/>
        <v>0</v>
      </c>
      <c r="I36" s="3231">
        <f>+VLOOKUP(C36,'Đội 1'!C36:H117,6,0)</f>
        <v>36</v>
      </c>
      <c r="J36" s="3231"/>
      <c r="K36" s="3231">
        <f>+VLOOKUP(C36,'Đội 1'!C36:K117,8,0)</f>
        <v>20.461292479108636</v>
      </c>
      <c r="L36" s="3231" t="str">
        <f>+VLOOKUP(C36,'Đội 1'!C36:L117,10,0)</f>
        <v>A</v>
      </c>
      <c r="M36" s="3231">
        <f>+VLOOKUP(C36,'Đội 1'!C36:M117,11,0)</f>
        <v>80655</v>
      </c>
      <c r="N36" s="3231">
        <f>+VLOOKUP(C36,'Đội 1'!$C$18:$S$99,12,0)</f>
        <v>12</v>
      </c>
      <c r="O36" s="3231">
        <f>+VLOOKUP(C36,'Đội 1'!$C$18:$S$99,13,0)</f>
        <v>3</v>
      </c>
      <c r="P36" s="3231">
        <f t="shared" si="7"/>
        <v>15</v>
      </c>
      <c r="Q36" s="3231">
        <f>+VLOOKUP(C36,'Đội 1'!$C$18:$S$99,15,0)</f>
        <v>0</v>
      </c>
      <c r="R36" s="3231">
        <f>+VLOOKUP(C36,'Đội 1'!$C$18:$S$99,16,0)</f>
        <v>500000</v>
      </c>
      <c r="S36" s="3231">
        <f>+VLOOKUP(C36,'Đội 1'!C36:S117,17,0)</f>
        <v>1314081.6200000001</v>
      </c>
      <c r="T36" s="3231">
        <f t="shared" si="5"/>
        <v>1394736.62</v>
      </c>
      <c r="U36" s="3816"/>
      <c r="V36" s="3231">
        <f t="shared" si="6"/>
        <v>1394736.62</v>
      </c>
      <c r="W36" s="1499"/>
      <c r="X36" s="1499"/>
      <c r="Y36" s="1500"/>
      <c r="Z36" s="1501"/>
    </row>
    <row r="37" spans="1:26" s="1502" customFormat="1" ht="34.5" customHeight="1">
      <c r="A37" s="3231">
        <v>20</v>
      </c>
      <c r="B37" s="3816"/>
      <c r="C37" s="3715" t="s">
        <v>2183</v>
      </c>
      <c r="D37" s="3816"/>
      <c r="E37" s="3231" t="s">
        <v>167</v>
      </c>
      <c r="F37" s="3009"/>
      <c r="G37" s="3717"/>
      <c r="H37" s="3231">
        <f t="shared" si="3"/>
        <v>0</v>
      </c>
      <c r="I37" s="3231">
        <f>+VLOOKUP(C37,'Đội 1'!C37:H118,6,0)</f>
        <v>57</v>
      </c>
      <c r="J37" s="3231"/>
      <c r="K37" s="3231">
        <f>+VLOOKUP(C37,'Đội 1'!C37:K118,8,0)</f>
        <v>32.39704642525534</v>
      </c>
      <c r="L37" s="3231" t="str">
        <f>+VLOOKUP(C37,'Đội 1'!C37:L118,10,0)</f>
        <v>A</v>
      </c>
      <c r="M37" s="3231">
        <f>+VLOOKUP(C37,'Đội 1'!C37:M118,11,0)</f>
        <v>127703</v>
      </c>
      <c r="N37" s="3231">
        <f>+VLOOKUP(C37,'Đội 1'!$C$18:$S$99,12,0)</f>
        <v>12</v>
      </c>
      <c r="O37" s="3231">
        <f>+VLOOKUP(C37,'Đội 1'!$C$18:$S$99,13,0)</f>
        <v>2</v>
      </c>
      <c r="P37" s="3231">
        <f t="shared" si="7"/>
        <v>14</v>
      </c>
      <c r="Q37" s="3231">
        <f>+VLOOKUP(C37,'Đội 1'!$C$18:$S$99,15,0)</f>
        <v>0</v>
      </c>
      <c r="R37" s="3231">
        <f>+VLOOKUP(C37,'Đội 1'!$C$18:$S$99,16,0)</f>
        <v>500000</v>
      </c>
      <c r="S37" s="3231">
        <f>+VLOOKUP(C37,'Đội 1'!C37:S118,17,0)</f>
        <v>1243650.6000000001</v>
      </c>
      <c r="T37" s="3231">
        <f t="shared" si="5"/>
        <v>1371353.6</v>
      </c>
      <c r="U37" s="3816"/>
      <c r="V37" s="3231">
        <f t="shared" si="6"/>
        <v>1371353.6</v>
      </c>
      <c r="W37" s="1499"/>
      <c r="X37" s="1499"/>
      <c r="Y37" s="1500"/>
      <c r="Z37" s="1501"/>
    </row>
    <row r="38" spans="1:26" s="1502" customFormat="1" ht="34.5" customHeight="1">
      <c r="A38" s="3231">
        <v>21</v>
      </c>
      <c r="B38" s="3816"/>
      <c r="C38" s="3715" t="s">
        <v>1236</v>
      </c>
      <c r="D38" s="3816"/>
      <c r="E38" s="3231" t="s">
        <v>167</v>
      </c>
      <c r="F38" s="3009"/>
      <c r="G38" s="3717"/>
      <c r="H38" s="3231">
        <f t="shared" si="3"/>
        <v>0</v>
      </c>
      <c r="I38" s="3231">
        <f>+VLOOKUP(C38,'Đội 1'!C38:H119,6,0)</f>
        <v>0</v>
      </c>
      <c r="J38" s="3231"/>
      <c r="K38" s="3231">
        <f>+VLOOKUP(C38,'Đội 1'!C38:K119,8,0)</f>
        <v>0</v>
      </c>
      <c r="L38" s="3231" t="str">
        <f>+VLOOKUP(C38,'Đội 1'!C38:L119,10,0)</f>
        <v>A</v>
      </c>
      <c r="M38" s="3231">
        <f>+VLOOKUP(C38,'Đội 1'!C38:M119,11,0)</f>
        <v>0</v>
      </c>
      <c r="N38" s="3231">
        <f>+VLOOKUP(C38,'Đội 1'!$C$18:$S$99,12,0)</f>
        <v>8</v>
      </c>
      <c r="O38" s="3231">
        <f>+VLOOKUP(C38,'Đội 1'!$C$18:$S$99,13,0)</f>
        <v>3</v>
      </c>
      <c r="P38" s="3231">
        <f t="shared" si="7"/>
        <v>11</v>
      </c>
      <c r="Q38" s="3231">
        <f>+VLOOKUP(C38,'Đội 1'!$C$18:$S$99,15,0)</f>
        <v>0</v>
      </c>
      <c r="R38" s="3231">
        <f>+VLOOKUP(C38,'Đội 1'!$C$18:$S$99,16,0)</f>
        <v>500000</v>
      </c>
      <c r="S38" s="3231">
        <f>+VLOOKUP(C38,'Đội 1'!C38:S119,17,0)</f>
        <v>1113152.1000000001</v>
      </c>
      <c r="T38" s="3231">
        <f t="shared" si="5"/>
        <v>1113152.1000000001</v>
      </c>
      <c r="U38" s="3816"/>
      <c r="V38" s="3231">
        <f t="shared" si="6"/>
        <v>1113152.1000000001</v>
      </c>
      <c r="W38" s="1499"/>
      <c r="X38" s="1499"/>
      <c r="Y38" s="1500"/>
      <c r="Z38" s="1501"/>
    </row>
    <row r="39" spans="1:26" s="1502" customFormat="1" ht="34.5" customHeight="1">
      <c r="A39" s="3231">
        <v>22</v>
      </c>
      <c r="B39" s="3816"/>
      <c r="C39" s="3715" t="s">
        <v>2184</v>
      </c>
      <c r="D39" s="3816"/>
      <c r="E39" s="3231" t="s">
        <v>167</v>
      </c>
      <c r="F39" s="3009"/>
      <c r="G39" s="3717"/>
      <c r="H39" s="3231">
        <f t="shared" si="3"/>
        <v>0</v>
      </c>
      <c r="I39" s="3231">
        <f>+VLOOKUP(C39,'Đội 1'!C39:H120,6,0)</f>
        <v>28</v>
      </c>
      <c r="J39" s="3231"/>
      <c r="K39" s="3231">
        <f>+VLOOKUP(C39,'Đội 1'!C39:K120,8,0)</f>
        <v>15.914338594862272</v>
      </c>
      <c r="L39" s="3231" t="str">
        <f>+VLOOKUP(C39,'Đội 1'!C39:L120,10,0)</f>
        <v>A</v>
      </c>
      <c r="M39" s="3231">
        <f>+VLOOKUP(C39,'Đội 1'!C39:M120,11,0)</f>
        <v>62731</v>
      </c>
      <c r="N39" s="3231">
        <f>+VLOOKUP(C39,'Đội 1'!$C$18:$S$99,12,0)</f>
        <v>12</v>
      </c>
      <c r="O39" s="3231">
        <f>+VLOOKUP(C39,'Đội 1'!$C$18:$S$99,13,0)</f>
        <v>3</v>
      </c>
      <c r="P39" s="3231">
        <f t="shared" si="7"/>
        <v>15</v>
      </c>
      <c r="Q39" s="3231">
        <f>+VLOOKUP(C39,'Đội 1'!$C$18:$S$99,15,0)</f>
        <v>0</v>
      </c>
      <c r="R39" s="3231">
        <f>+VLOOKUP(C39,'Đội 1'!$C$18:$S$99,16,0)</f>
        <v>500000</v>
      </c>
      <c r="S39" s="3231">
        <f>+VLOOKUP(C39,'Đội 1'!C39:S120,17,0)</f>
        <v>1314081.6200000001</v>
      </c>
      <c r="T39" s="3231">
        <f t="shared" si="5"/>
        <v>1376812.62</v>
      </c>
      <c r="U39" s="3816"/>
      <c r="V39" s="3231">
        <f t="shared" si="6"/>
        <v>1376812.62</v>
      </c>
      <c r="W39" s="1499"/>
      <c r="X39" s="1499"/>
      <c r="Y39" s="1500"/>
      <c r="Z39" s="1501"/>
    </row>
    <row r="40" spans="1:26" s="1502" customFormat="1" ht="34.5" customHeight="1">
      <c r="A40" s="3231">
        <v>23</v>
      </c>
      <c r="B40" s="3816"/>
      <c r="C40" s="3715" t="s">
        <v>2185</v>
      </c>
      <c r="D40" s="3816"/>
      <c r="E40" s="3231" t="s">
        <v>167</v>
      </c>
      <c r="F40" s="3009"/>
      <c r="G40" s="3717"/>
      <c r="H40" s="3231">
        <f t="shared" si="3"/>
        <v>0</v>
      </c>
      <c r="I40" s="3231">
        <f>+VLOOKUP(C40,'Đội 1'!C40:H121,6,0)</f>
        <v>34</v>
      </c>
      <c r="J40" s="3231"/>
      <c r="K40" s="3231">
        <f>+VLOOKUP(C40,'Đội 1'!C40:K121,8,0)</f>
        <v>19.324554008047045</v>
      </c>
      <c r="L40" s="3231" t="str">
        <f>+VLOOKUP(C40,'Đội 1'!C40:L121,10,0)</f>
        <v>A</v>
      </c>
      <c r="M40" s="3231">
        <f>+VLOOKUP(C40,'Đội 1'!C40:M121,11,0)</f>
        <v>76174</v>
      </c>
      <c r="N40" s="3231">
        <f>+VLOOKUP(C40,'Đội 1'!$C$18:$S$99,12,0)</f>
        <v>12</v>
      </c>
      <c r="O40" s="3231">
        <f>+VLOOKUP(C40,'Đội 1'!$C$18:$S$99,13,0)</f>
        <v>3</v>
      </c>
      <c r="P40" s="3231">
        <f t="shared" si="7"/>
        <v>15</v>
      </c>
      <c r="Q40" s="3231">
        <f>+VLOOKUP(C40,'Đội 1'!$C$18:$S$99,15,0)</f>
        <v>0</v>
      </c>
      <c r="R40" s="3231">
        <f>+VLOOKUP(C40,'Đội 1'!$C$18:$S$99,16,0)</f>
        <v>500000</v>
      </c>
      <c r="S40" s="3231">
        <f>+VLOOKUP(C40,'Đội 1'!C40:S121,17,0)</f>
        <v>1314081.6200000001</v>
      </c>
      <c r="T40" s="3231">
        <f t="shared" si="5"/>
        <v>1390255.62</v>
      </c>
      <c r="U40" s="3816"/>
      <c r="V40" s="3231">
        <f t="shared" si="6"/>
        <v>1390255.62</v>
      </c>
      <c r="W40" s="1499"/>
      <c r="X40" s="1499"/>
      <c r="Y40" s="1500"/>
      <c r="Z40" s="1501"/>
    </row>
    <row r="41" spans="1:26" s="1502" customFormat="1" ht="34.5" customHeight="1">
      <c r="A41" s="3231">
        <v>24</v>
      </c>
      <c r="B41" s="3816"/>
      <c r="C41" s="3715" t="s">
        <v>2186</v>
      </c>
      <c r="D41" s="3816"/>
      <c r="E41" s="3231" t="s">
        <v>167</v>
      </c>
      <c r="F41" s="3009"/>
      <c r="G41" s="3717"/>
      <c r="H41" s="3231">
        <f t="shared" si="3"/>
        <v>0</v>
      </c>
      <c r="I41" s="3231">
        <f>+VLOOKUP(C41,'Đội 1'!C41:H122,6,0)</f>
        <v>26</v>
      </c>
      <c r="J41" s="3231"/>
      <c r="K41" s="3231">
        <f>+VLOOKUP(C41,'Đội 1'!C41:K122,8,0)</f>
        <v>14.77760012380068</v>
      </c>
      <c r="L41" s="3231" t="str">
        <f>+VLOOKUP(C41,'Đội 1'!C41:L122,10,0)</f>
        <v>A</v>
      </c>
      <c r="M41" s="3231">
        <f>+VLOOKUP(C41,'Đội 1'!C41:M122,11,0)</f>
        <v>58251</v>
      </c>
      <c r="N41" s="3231">
        <f>+VLOOKUP(C41,'Đội 1'!$C$18:$S$99,12,0)</f>
        <v>12</v>
      </c>
      <c r="O41" s="3231">
        <f>+VLOOKUP(C41,'Đội 1'!$C$18:$S$99,13,0)</f>
        <v>3</v>
      </c>
      <c r="P41" s="3231">
        <f t="shared" si="7"/>
        <v>15</v>
      </c>
      <c r="Q41" s="3231">
        <f>+VLOOKUP(C41,'Đội 1'!$C$18:$S$99,15,0)</f>
        <v>0</v>
      </c>
      <c r="R41" s="3231">
        <f>+VLOOKUP(C41,'Đội 1'!$C$18:$S$99,16,0)</f>
        <v>500000</v>
      </c>
      <c r="S41" s="3231">
        <f>+VLOOKUP(C41,'Đội 1'!C41:S122,17,0)</f>
        <v>1314081.6200000001</v>
      </c>
      <c r="T41" s="3231">
        <f t="shared" si="5"/>
        <v>1372332.62</v>
      </c>
      <c r="U41" s="3816"/>
      <c r="V41" s="3231">
        <f t="shared" si="6"/>
        <v>1372332.62</v>
      </c>
      <c r="W41" s="1499"/>
      <c r="X41" s="1499"/>
      <c r="Y41" s="1500"/>
      <c r="Z41" s="1501"/>
    </row>
    <row r="42" spans="1:26" s="1502" customFormat="1" ht="34.5" customHeight="1">
      <c r="A42" s="3231">
        <v>25</v>
      </c>
      <c r="B42" s="3816"/>
      <c r="C42" s="3715" t="s">
        <v>2187</v>
      </c>
      <c r="D42" s="3816"/>
      <c r="E42" s="3231" t="s">
        <v>167</v>
      </c>
      <c r="F42" s="3009"/>
      <c r="G42" s="3717"/>
      <c r="H42" s="3231">
        <f t="shared" si="3"/>
        <v>0</v>
      </c>
      <c r="I42" s="3231">
        <f>+VLOOKUP(C42,'Đội 1'!C42:H123,6,0)</f>
        <v>19</v>
      </c>
      <c r="J42" s="3231"/>
      <c r="K42" s="3231">
        <f>+VLOOKUP(C42,'Đội 1'!C42:K123,8,0)</f>
        <v>10.799015475085113</v>
      </c>
      <c r="L42" s="3231" t="str">
        <f>+VLOOKUP(C42,'Đội 1'!C42:L123,10,0)</f>
        <v>A</v>
      </c>
      <c r="M42" s="3231">
        <f>+VLOOKUP(C42,'Đội 1'!C42:M123,11,0)</f>
        <v>42568</v>
      </c>
      <c r="N42" s="3231">
        <f>+VLOOKUP(C42,'Đội 1'!$C$18:$S$99,12,0)</f>
        <v>12</v>
      </c>
      <c r="O42" s="3231">
        <f>+VLOOKUP(C42,'Đội 1'!$C$18:$S$99,13,0)</f>
        <v>3</v>
      </c>
      <c r="P42" s="3231">
        <f t="shared" si="7"/>
        <v>15</v>
      </c>
      <c r="Q42" s="3231">
        <f>+VLOOKUP(C42,'Đội 1'!$C$18:$S$99,15,0)</f>
        <v>0</v>
      </c>
      <c r="R42" s="3231">
        <f>+VLOOKUP(C42,'Đội 1'!$C$18:$S$99,16,0)</f>
        <v>500000</v>
      </c>
      <c r="S42" s="3231">
        <f>+VLOOKUP(C42,'Đội 1'!C42:S123,17,0)</f>
        <v>1314081.6200000001</v>
      </c>
      <c r="T42" s="3231">
        <f t="shared" si="5"/>
        <v>1356649.62</v>
      </c>
      <c r="U42" s="3816"/>
      <c r="V42" s="3231">
        <f t="shared" si="6"/>
        <v>1356649.62</v>
      </c>
      <c r="W42" s="1499"/>
      <c r="X42" s="1499"/>
      <c r="Y42" s="1500"/>
      <c r="Z42" s="1501"/>
    </row>
    <row r="43" spans="1:26" s="1502" customFormat="1" ht="34.5" customHeight="1">
      <c r="A43" s="3231">
        <v>26</v>
      </c>
      <c r="B43" s="3816"/>
      <c r="C43" s="3715" t="s">
        <v>1525</v>
      </c>
      <c r="D43" s="3816"/>
      <c r="E43" s="3231" t="s">
        <v>167</v>
      </c>
      <c r="F43" s="3009"/>
      <c r="G43" s="3717"/>
      <c r="H43" s="3231">
        <f t="shared" si="3"/>
        <v>0</v>
      </c>
      <c r="I43" s="3231">
        <f>+VLOOKUP(C43,'Đội 1'!C43:H124,6,0)</f>
        <v>0</v>
      </c>
      <c r="J43" s="3231"/>
      <c r="K43" s="3231">
        <f>+VLOOKUP(C43,'Đội 1'!C43:K124,8,0)</f>
        <v>0</v>
      </c>
      <c r="L43" s="3231" t="str">
        <f>+VLOOKUP(C43,'Đội 1'!C43:L124,10,0)</f>
        <v>A</v>
      </c>
      <c r="M43" s="3231">
        <f>+VLOOKUP(C43,'Đội 1'!C43:M124,11,0)</f>
        <v>0</v>
      </c>
      <c r="N43" s="3231">
        <f>+VLOOKUP(C43,'Đội 1'!$C$18:$S$99,12,0)</f>
        <v>12</v>
      </c>
      <c r="O43" s="3231">
        <f>+VLOOKUP(C43,'Đội 1'!$C$18:$S$99,13,0)</f>
        <v>3</v>
      </c>
      <c r="P43" s="3231">
        <f t="shared" si="7"/>
        <v>15</v>
      </c>
      <c r="Q43" s="3231">
        <f>+VLOOKUP(C43,'Đội 1'!$C$18:$S$99,15,0)</f>
        <v>0</v>
      </c>
      <c r="R43" s="3231">
        <f>+VLOOKUP(C43,'Đội 1'!$C$18:$S$99,16,0)</f>
        <v>500000</v>
      </c>
      <c r="S43" s="3231">
        <f>+VLOOKUP(C43,'Đội 1'!C43:S124,17,0)</f>
        <v>1314081.6200000001</v>
      </c>
      <c r="T43" s="3231">
        <f t="shared" si="5"/>
        <v>1314081.6200000001</v>
      </c>
      <c r="U43" s="3816"/>
      <c r="V43" s="3231">
        <f t="shared" si="6"/>
        <v>1314081.6200000001</v>
      </c>
      <c r="W43" s="1499"/>
      <c r="X43" s="1499"/>
      <c r="Y43" s="1500"/>
      <c r="Z43" s="1501"/>
    </row>
    <row r="44" spans="1:26" s="1502" customFormat="1" ht="34.5" customHeight="1">
      <c r="A44" s="3231">
        <v>27</v>
      </c>
      <c r="B44" s="3816"/>
      <c r="C44" s="3715" t="s">
        <v>2188</v>
      </c>
      <c r="D44" s="3816"/>
      <c r="E44" s="3231" t="s">
        <v>167</v>
      </c>
      <c r="F44" s="3009"/>
      <c r="G44" s="3717"/>
      <c r="H44" s="3231">
        <f t="shared" si="3"/>
        <v>0</v>
      </c>
      <c r="I44" s="3231">
        <f>+VLOOKUP(C44,'Đội 1'!C44:H125,6,0)</f>
        <v>0</v>
      </c>
      <c r="J44" s="3231"/>
      <c r="K44" s="3231">
        <f>+VLOOKUP(C44,'Đội 1'!C44:K125,8,0)</f>
        <v>0</v>
      </c>
      <c r="L44" s="3231" t="str">
        <f>+VLOOKUP(C44,'Đội 1'!C44:L125,10,0)</f>
        <v>A</v>
      </c>
      <c r="M44" s="3231">
        <f>+VLOOKUP(C44,'Đội 1'!C44:M125,11,0)</f>
        <v>0</v>
      </c>
      <c r="N44" s="3231">
        <f>+VLOOKUP(C44,'Đội 1'!$C$18:$S$99,12,0)</f>
        <v>11</v>
      </c>
      <c r="O44" s="3231">
        <f>+VLOOKUP(C44,'Đội 1'!$C$18:$S$99,13,0)</f>
        <v>3</v>
      </c>
      <c r="P44" s="3231">
        <f t="shared" si="7"/>
        <v>14</v>
      </c>
      <c r="Q44" s="3231">
        <f>+VLOOKUP(C44,'Đội 1'!$C$18:$S$99,15,0)</f>
        <v>0</v>
      </c>
      <c r="R44" s="3231">
        <f>+VLOOKUP(C44,'Đội 1'!$C$18:$S$99,16,0)</f>
        <v>500000</v>
      </c>
      <c r="S44" s="3231">
        <f>+VLOOKUP(C44,'Đội 1'!C44:S125,17,0)</f>
        <v>1263849.24</v>
      </c>
      <c r="T44" s="3231">
        <f t="shared" si="5"/>
        <v>1263849.24</v>
      </c>
      <c r="U44" s="3816"/>
      <c r="V44" s="3231">
        <f t="shared" si="6"/>
        <v>1263849.24</v>
      </c>
      <c r="W44" s="1499"/>
      <c r="X44" s="1499"/>
      <c r="Y44" s="1500"/>
      <c r="Z44" s="1501"/>
    </row>
    <row r="45" spans="1:26" s="1502" customFormat="1" ht="34.5" customHeight="1">
      <c r="A45" s="3231">
        <v>28</v>
      </c>
      <c r="B45" s="3816"/>
      <c r="C45" s="3715" t="s">
        <v>2189</v>
      </c>
      <c r="D45" s="3816"/>
      <c r="E45" s="3231" t="s">
        <v>167</v>
      </c>
      <c r="F45" s="3009"/>
      <c r="G45" s="3717"/>
      <c r="H45" s="3231">
        <f t="shared" si="3"/>
        <v>0</v>
      </c>
      <c r="I45" s="3231">
        <f>+VLOOKUP(C45,'Đội 1'!C45:H126,6,0)</f>
        <v>34</v>
      </c>
      <c r="J45" s="3231"/>
      <c r="K45" s="3231">
        <f>+VLOOKUP(C45,'Đội 1'!C45:K126,8,0)</f>
        <v>19.324554008047045</v>
      </c>
      <c r="L45" s="3231" t="str">
        <f>+VLOOKUP(C45,'Đội 1'!C45:L126,10,0)</f>
        <v>A</v>
      </c>
      <c r="M45" s="3231">
        <f>+VLOOKUP(C45,'Đội 1'!C45:M126,11,0)</f>
        <v>76174</v>
      </c>
      <c r="N45" s="3231">
        <f>+VLOOKUP(C45,'Đội 1'!$C$18:$S$99,12,0)</f>
        <v>12</v>
      </c>
      <c r="O45" s="3231">
        <f>+VLOOKUP(C45,'Đội 1'!$C$18:$S$99,13,0)</f>
        <v>3</v>
      </c>
      <c r="P45" s="3231">
        <f t="shared" si="7"/>
        <v>15</v>
      </c>
      <c r="Q45" s="3231">
        <f>+VLOOKUP(C45,'Đội 1'!$C$18:$S$99,15,0)</f>
        <v>0</v>
      </c>
      <c r="R45" s="3231">
        <f>+VLOOKUP(C45,'Đội 1'!$C$18:$S$99,16,0)</f>
        <v>500000</v>
      </c>
      <c r="S45" s="3231">
        <f>+VLOOKUP(C45,'Đội 1'!C45:S126,17,0)</f>
        <v>1314081.6200000001</v>
      </c>
      <c r="T45" s="3231">
        <f t="shared" si="5"/>
        <v>1390255.62</v>
      </c>
      <c r="U45" s="3816"/>
      <c r="V45" s="3231">
        <f t="shared" si="6"/>
        <v>1390255.62</v>
      </c>
      <c r="W45" s="1499"/>
      <c r="X45" s="1499"/>
      <c r="Y45" s="1500"/>
      <c r="Z45" s="1501"/>
    </row>
    <row r="46" spans="1:26" s="1502" customFormat="1" ht="34.5" customHeight="1">
      <c r="A46" s="3231">
        <v>29</v>
      </c>
      <c r="B46" s="3816"/>
      <c r="C46" s="3715" t="s">
        <v>1507</v>
      </c>
      <c r="D46" s="3816"/>
      <c r="E46" s="3231" t="s">
        <v>167</v>
      </c>
      <c r="F46" s="3009"/>
      <c r="G46" s="3717"/>
      <c r="H46" s="3231">
        <f t="shared" si="3"/>
        <v>0</v>
      </c>
      <c r="I46" s="3231">
        <f>+VLOOKUP(C46,'Đội 1'!C46:H127,6,0)</f>
        <v>42</v>
      </c>
      <c r="J46" s="3231"/>
      <c r="K46" s="3231">
        <f>+VLOOKUP(C46,'Đội 1'!C46:K127,8,0)</f>
        <v>23.871507892293408</v>
      </c>
      <c r="L46" s="3231" t="str">
        <f>+VLOOKUP(C46,'Đội 1'!C46:L127,10,0)</f>
        <v>A</v>
      </c>
      <c r="M46" s="3231">
        <f>+VLOOKUP(C46,'Đội 1'!C46:M127,11,0)</f>
        <v>94097</v>
      </c>
      <c r="N46" s="3231">
        <f>+VLOOKUP(C46,'Đội 1'!$C$18:$S$99,12,0)</f>
        <v>12</v>
      </c>
      <c r="O46" s="3231">
        <f>+VLOOKUP(C46,'Đội 1'!$C$18:$S$99,13,0)</f>
        <v>3</v>
      </c>
      <c r="P46" s="3231">
        <f t="shared" si="7"/>
        <v>15</v>
      </c>
      <c r="Q46" s="3231">
        <f>+VLOOKUP(C46,'Đội 1'!$C$18:$S$99,15,0)</f>
        <v>0</v>
      </c>
      <c r="R46" s="3231">
        <f>+VLOOKUP(C46,'Đội 1'!$C$18:$S$99,16,0)</f>
        <v>500000</v>
      </c>
      <c r="S46" s="3231">
        <f>+VLOOKUP(C46,'Đội 1'!C46:S127,17,0)</f>
        <v>1314081.6200000001</v>
      </c>
      <c r="T46" s="3231">
        <f t="shared" si="5"/>
        <v>1408178.62</v>
      </c>
      <c r="U46" s="3816"/>
      <c r="V46" s="3231">
        <f t="shared" si="6"/>
        <v>1408178.62</v>
      </c>
      <c r="W46" s="1499"/>
      <c r="X46" s="1499"/>
      <c r="Y46" s="1500"/>
      <c r="Z46" s="1501"/>
    </row>
    <row r="47" spans="1:26" s="1502" customFormat="1" ht="34.5" customHeight="1">
      <c r="A47" s="3231">
        <v>30</v>
      </c>
      <c r="B47" s="3816"/>
      <c r="C47" s="3715" t="s">
        <v>2190</v>
      </c>
      <c r="D47" s="3816"/>
      <c r="E47" s="3231" t="s">
        <v>167</v>
      </c>
      <c r="F47" s="3009"/>
      <c r="G47" s="3717"/>
      <c r="H47" s="3231">
        <f t="shared" si="3"/>
        <v>0</v>
      </c>
      <c r="I47" s="3231">
        <f>+VLOOKUP(C47,'Đội 1'!C47:H128,6,0)</f>
        <v>41</v>
      </c>
      <c r="J47" s="3231"/>
      <c r="K47" s="3231">
        <f>+VLOOKUP(C47,'Đội 1'!C47:K128,8,0)</f>
        <v>23.303138656762613</v>
      </c>
      <c r="L47" s="3231" t="str">
        <f>+VLOOKUP(C47,'Đội 1'!C47:L128,10,0)</f>
        <v>A</v>
      </c>
      <c r="M47" s="3231">
        <f>+VLOOKUP(C47,'Đội 1'!C47:M128,11,0)</f>
        <v>91857</v>
      </c>
      <c r="N47" s="3231">
        <f>+VLOOKUP(C47,'Đội 1'!$C$18:$S$99,12,0)</f>
        <v>12</v>
      </c>
      <c r="O47" s="3231">
        <f>+VLOOKUP(C47,'Đội 1'!$C$18:$S$99,13,0)</f>
        <v>3</v>
      </c>
      <c r="P47" s="3231">
        <f t="shared" si="7"/>
        <v>15</v>
      </c>
      <c r="Q47" s="3231">
        <f>+VLOOKUP(C47,'Đội 1'!$C$18:$S$99,15,0)</f>
        <v>0</v>
      </c>
      <c r="R47" s="3231">
        <f>+VLOOKUP(C47,'Đội 1'!$C$18:$S$99,16,0)</f>
        <v>500000</v>
      </c>
      <c r="S47" s="3231">
        <f>+VLOOKUP(C47,'Đội 1'!C47:S128,17,0)</f>
        <v>1314081.6200000001</v>
      </c>
      <c r="T47" s="3231">
        <f t="shared" si="5"/>
        <v>1405938.62</v>
      </c>
      <c r="U47" s="3816"/>
      <c r="V47" s="3231">
        <f t="shared" si="6"/>
        <v>1405938.62</v>
      </c>
      <c r="W47" s="1499"/>
      <c r="X47" s="1499"/>
      <c r="Y47" s="1500"/>
      <c r="Z47" s="1501"/>
    </row>
    <row r="48" spans="1:26" s="1502" customFormat="1" ht="34.5" customHeight="1">
      <c r="A48" s="3231">
        <v>31</v>
      </c>
      <c r="B48" s="3816"/>
      <c r="C48" s="3715" t="s">
        <v>2191</v>
      </c>
      <c r="D48" s="3816"/>
      <c r="E48" s="3231" t="s">
        <v>167</v>
      </c>
      <c r="F48" s="3009"/>
      <c r="G48" s="3717"/>
      <c r="H48" s="3231">
        <f t="shared" si="3"/>
        <v>0</v>
      </c>
      <c r="I48" s="3231">
        <f>+VLOOKUP(C48,'Đội 1'!C48:H129,6,0)</f>
        <v>41</v>
      </c>
      <c r="J48" s="3231"/>
      <c r="K48" s="3231">
        <f>+VLOOKUP(C48,'Đội 1'!C48:K129,8,0)</f>
        <v>23.303138656762613</v>
      </c>
      <c r="L48" s="3231" t="str">
        <f>+VLOOKUP(C48,'Đội 1'!C48:L129,10,0)</f>
        <v>A</v>
      </c>
      <c r="M48" s="3231">
        <f>+VLOOKUP(C48,'Đội 1'!C48:M129,11,0)</f>
        <v>91857</v>
      </c>
      <c r="N48" s="3231">
        <f>+VLOOKUP(C48,'Đội 1'!$C$18:$S$99,12,0)</f>
        <v>12</v>
      </c>
      <c r="O48" s="3231">
        <f>+VLOOKUP(C48,'Đội 1'!$C$18:$S$99,13,0)</f>
        <v>3</v>
      </c>
      <c r="P48" s="3231">
        <f t="shared" si="7"/>
        <v>15</v>
      </c>
      <c r="Q48" s="3231">
        <f>+VLOOKUP(C48,'Đội 1'!$C$18:$S$99,15,0)</f>
        <v>0</v>
      </c>
      <c r="R48" s="3231">
        <f>+VLOOKUP(C48,'Đội 1'!$C$18:$S$99,16,0)</f>
        <v>500000</v>
      </c>
      <c r="S48" s="3231">
        <f>+VLOOKUP(C48,'Đội 1'!C48:S129,17,0)</f>
        <v>1314081.6200000001</v>
      </c>
      <c r="T48" s="3231">
        <f t="shared" si="5"/>
        <v>1405938.62</v>
      </c>
      <c r="U48" s="3816"/>
      <c r="V48" s="3231">
        <f t="shared" si="6"/>
        <v>1405938.62</v>
      </c>
      <c r="W48" s="1499"/>
      <c r="X48" s="1499"/>
      <c r="Y48" s="1500"/>
      <c r="Z48" s="1501"/>
    </row>
    <row r="49" spans="1:26" s="1502" customFormat="1" ht="34.5" customHeight="1">
      <c r="A49" s="3231">
        <v>32</v>
      </c>
      <c r="B49" s="3816"/>
      <c r="C49" s="3715" t="s">
        <v>1923</v>
      </c>
      <c r="D49" s="3816"/>
      <c r="E49" s="3231" t="s">
        <v>167</v>
      </c>
      <c r="F49" s="3009"/>
      <c r="G49" s="3717"/>
      <c r="H49" s="3231">
        <f t="shared" si="3"/>
        <v>0</v>
      </c>
      <c r="I49" s="3231">
        <f>+VLOOKUP(C49,'Đội 1'!C49:H130,6,0)</f>
        <v>0</v>
      </c>
      <c r="J49" s="3231"/>
      <c r="K49" s="3231">
        <f>+VLOOKUP(C49,'Đội 1'!C49:K130,8,0)</f>
        <v>0</v>
      </c>
      <c r="L49" s="3231" t="str">
        <f>+VLOOKUP(C49,'Đội 1'!C49:L130,10,0)</f>
        <v>A</v>
      </c>
      <c r="M49" s="3231">
        <f>+VLOOKUP(C49,'Đội 1'!C49:M130,11,0)</f>
        <v>0</v>
      </c>
      <c r="N49" s="3231">
        <f>+VLOOKUP(C49,'Đội 1'!$C$18:$S$99,12,0)</f>
        <v>6</v>
      </c>
      <c r="O49" s="3231">
        <f>+VLOOKUP(C49,'Đội 1'!$C$18:$S$99,13,0)</f>
        <v>2</v>
      </c>
      <c r="P49" s="3231">
        <f t="shared" si="7"/>
        <v>8</v>
      </c>
      <c r="Q49" s="3231">
        <f>+VLOOKUP(C49,'Đội 1'!$C$18:$S$99,15,0)</f>
        <v>0</v>
      </c>
      <c r="R49" s="3231">
        <f>+VLOOKUP(C49,'Đội 1'!$C$18:$S$99,16,0)</f>
        <v>500000</v>
      </c>
      <c r="S49" s="3231">
        <f>+VLOOKUP(C49,'Đội 1'!C49:S130,17,0)</f>
        <v>942256.32</v>
      </c>
      <c r="T49" s="3231">
        <f t="shared" si="5"/>
        <v>942256.32</v>
      </c>
      <c r="U49" s="3816"/>
      <c r="V49" s="3231">
        <f t="shared" si="6"/>
        <v>942256.32</v>
      </c>
      <c r="W49" s="1499"/>
      <c r="X49" s="1499"/>
      <c r="Y49" s="1500"/>
      <c r="Z49" s="1501"/>
    </row>
    <row r="50" spans="1:26" s="1502" customFormat="1" ht="34.5" customHeight="1">
      <c r="A50" s="3231">
        <v>33</v>
      </c>
      <c r="B50" s="3816"/>
      <c r="C50" s="3715" t="s">
        <v>2192</v>
      </c>
      <c r="D50" s="3816"/>
      <c r="E50" s="3231" t="s">
        <v>167</v>
      </c>
      <c r="F50" s="3009"/>
      <c r="G50" s="3717"/>
      <c r="H50" s="3231">
        <f t="shared" si="3"/>
        <v>0</v>
      </c>
      <c r="I50" s="3231">
        <f>+VLOOKUP(C50,'Đội 1'!C50:H131,6,0)</f>
        <v>0</v>
      </c>
      <c r="J50" s="3231"/>
      <c r="K50" s="3231">
        <f>+VLOOKUP(C50,'Đội 1'!C50:K131,8,0)</f>
        <v>0</v>
      </c>
      <c r="L50" s="3231" t="str">
        <f>+VLOOKUP(C50,'Đội 1'!C50:L131,10,0)</f>
        <v>A</v>
      </c>
      <c r="M50" s="3231">
        <f>+VLOOKUP(C50,'Đội 1'!C50:M131,11,0)</f>
        <v>0</v>
      </c>
      <c r="N50" s="3231">
        <f>+VLOOKUP(C50,'Đội 1'!$C$18:$S$99,12,0)</f>
        <v>11</v>
      </c>
      <c r="O50" s="3231">
        <f>+VLOOKUP(C50,'Đội 1'!$C$18:$S$99,13,0)</f>
        <v>2</v>
      </c>
      <c r="P50" s="3231">
        <f t="shared" si="7"/>
        <v>13</v>
      </c>
      <c r="Q50" s="3231">
        <f>+VLOOKUP(C50,'Đội 1'!$C$18:$S$99,15,0)</f>
        <v>0</v>
      </c>
      <c r="R50" s="3231">
        <f>+VLOOKUP(C50,'Đội 1'!$C$18:$S$99,16,0)</f>
        <v>500000</v>
      </c>
      <c r="S50" s="3231">
        <f>+VLOOKUP(C50,'Đội 1'!C50:S131,17,0)</f>
        <v>1193418.22</v>
      </c>
      <c r="T50" s="3231">
        <f t="shared" si="5"/>
        <v>1193418.22</v>
      </c>
      <c r="U50" s="3816"/>
      <c r="V50" s="3231">
        <f t="shared" si="6"/>
        <v>1193418.22</v>
      </c>
      <c r="W50" s="1499"/>
      <c r="X50" s="1499"/>
      <c r="Y50" s="1500"/>
      <c r="Z50" s="1501"/>
    </row>
    <row r="51" spans="1:26" s="1502" customFormat="1" ht="34.5" customHeight="1">
      <c r="A51" s="3231">
        <v>34</v>
      </c>
      <c r="B51" s="3816"/>
      <c r="C51" s="3715" t="s">
        <v>2193</v>
      </c>
      <c r="D51" s="3816"/>
      <c r="E51" s="3231" t="s">
        <v>167</v>
      </c>
      <c r="F51" s="3009"/>
      <c r="G51" s="3717"/>
      <c r="H51" s="3231">
        <f t="shared" si="3"/>
        <v>0</v>
      </c>
      <c r="I51" s="3231">
        <f>+VLOOKUP(C51,'Đội 1'!C51:H132,6,0)</f>
        <v>45</v>
      </c>
      <c r="J51" s="3231"/>
      <c r="K51" s="3231">
        <f>+VLOOKUP(C51,'Đội 1'!C51:K132,8,0)</f>
        <v>25.576615598885795</v>
      </c>
      <c r="L51" s="3231" t="str">
        <f>+VLOOKUP(C51,'Đội 1'!C51:L132,10,0)</f>
        <v>A</v>
      </c>
      <c r="M51" s="3231">
        <f>+VLOOKUP(C51,'Đội 1'!C51:M132,11,0)</f>
        <v>100818</v>
      </c>
      <c r="N51" s="3231">
        <f>+VLOOKUP(C51,'Đội 1'!$C$18:$S$99,12,0)</f>
        <v>12</v>
      </c>
      <c r="O51" s="3231">
        <f>+VLOOKUP(C51,'Đội 1'!$C$18:$S$99,13,0)</f>
        <v>3</v>
      </c>
      <c r="P51" s="3231">
        <f t="shared" si="7"/>
        <v>15</v>
      </c>
      <c r="Q51" s="3231">
        <f>+VLOOKUP(C51,'Đội 1'!$C$18:$S$99,15,0)</f>
        <v>0</v>
      </c>
      <c r="R51" s="3231">
        <f>+VLOOKUP(C51,'Đội 1'!$C$18:$S$99,16,0)</f>
        <v>500000</v>
      </c>
      <c r="S51" s="3231">
        <f>+VLOOKUP(C51,'Đội 1'!C51:S132,17,0)</f>
        <v>1314081.6200000001</v>
      </c>
      <c r="T51" s="3231">
        <f t="shared" si="5"/>
        <v>1414899.62</v>
      </c>
      <c r="U51" s="3816"/>
      <c r="V51" s="3231">
        <f t="shared" si="6"/>
        <v>1414899.62</v>
      </c>
      <c r="W51" s="1499"/>
      <c r="X51" s="1499"/>
      <c r="Y51" s="1500"/>
      <c r="Z51" s="1501"/>
    </row>
    <row r="52" spans="1:26" s="1502" customFormat="1" ht="34.5" customHeight="1">
      <c r="A52" s="3231">
        <v>35</v>
      </c>
      <c r="B52" s="3816"/>
      <c r="C52" s="3715" t="s">
        <v>2195</v>
      </c>
      <c r="D52" s="3816"/>
      <c r="E52" s="3231" t="s">
        <v>167</v>
      </c>
      <c r="F52" s="3009"/>
      <c r="G52" s="3717"/>
      <c r="H52" s="3231">
        <f t="shared" si="3"/>
        <v>0</v>
      </c>
      <c r="I52" s="3231">
        <f>+VLOOKUP(C52,'Đội 1'!C52:H133,6,0)</f>
        <v>243</v>
      </c>
      <c r="J52" s="3231"/>
      <c r="K52" s="3231">
        <f>+VLOOKUP(C52,'Đội 1'!C52:K133,8,0)</f>
        <v>139.88046935094698</v>
      </c>
      <c r="L52" s="3231" t="str">
        <f>+VLOOKUP(C52,'Đội 1'!C52:L133,10,0)</f>
        <v>A</v>
      </c>
      <c r="M52" s="3231">
        <f>+VLOOKUP(C52,'Đội 1'!C52:M133,11,0)</f>
        <v>551384</v>
      </c>
      <c r="N52" s="3231">
        <f>+VLOOKUP(C52,'Đội 1'!$C$18:$S$99,12,0)</f>
        <v>15</v>
      </c>
      <c r="O52" s="3231">
        <f>+VLOOKUP(C52,'Đội 1'!$C$18:$S$99,13,0)</f>
        <v>3</v>
      </c>
      <c r="P52" s="3231">
        <f t="shared" si="7"/>
        <v>18</v>
      </c>
      <c r="Q52" s="3231">
        <f>+VLOOKUP(C52,'Đội 1'!$C$18:$S$99,15,0)</f>
        <v>0</v>
      </c>
      <c r="R52" s="3231">
        <f>+VLOOKUP(C52,'Đội 1'!$C$18:$S$99,16,0)</f>
        <v>500000</v>
      </c>
      <c r="S52" s="3231">
        <f>+VLOOKUP(C52,'Đội 1'!C52:S133,17,0)</f>
        <v>1464778.76</v>
      </c>
      <c r="T52" s="3231">
        <f t="shared" si="5"/>
        <v>2016162.76</v>
      </c>
      <c r="U52" s="3816"/>
      <c r="V52" s="3231">
        <f t="shared" si="6"/>
        <v>2016162.76</v>
      </c>
      <c r="W52" s="1499"/>
      <c r="X52" s="1499"/>
      <c r="Y52" s="1500"/>
      <c r="Z52" s="1501"/>
    </row>
    <row r="53" spans="1:26" s="1502" customFormat="1" ht="34.5" customHeight="1">
      <c r="A53" s="3231">
        <v>36</v>
      </c>
      <c r="B53" s="3816"/>
      <c r="C53" s="3715" t="s">
        <v>2196</v>
      </c>
      <c r="D53" s="3816"/>
      <c r="E53" s="3231" t="s">
        <v>167</v>
      </c>
      <c r="F53" s="3009"/>
      <c r="G53" s="3717"/>
      <c r="H53" s="3231">
        <f t="shared" si="3"/>
        <v>0</v>
      </c>
      <c r="I53" s="3231">
        <f>+VLOOKUP(C53,'Đội 1'!C53:H134,6,0)</f>
        <v>263</v>
      </c>
      <c r="J53" s="3231"/>
      <c r="K53" s="3231">
        <f>+VLOOKUP(C53,'Đội 1'!C53:K134,8,0)</f>
        <v>151.39326518230064</v>
      </c>
      <c r="L53" s="3231" t="str">
        <f>+VLOOKUP(C53,'Đội 1'!C53:L134,10,0)</f>
        <v>A</v>
      </c>
      <c r="M53" s="3231">
        <f>+VLOOKUP(C53,'Đội 1'!C53:M134,11,0)</f>
        <v>596765</v>
      </c>
      <c r="N53" s="3231">
        <f>+VLOOKUP(C53,'Đội 1'!$C$18:$S$99,12,0)</f>
        <v>15</v>
      </c>
      <c r="O53" s="3231">
        <f>+VLOOKUP(C53,'Đội 1'!$C$18:$S$99,13,0)</f>
        <v>3</v>
      </c>
      <c r="P53" s="3231">
        <f t="shared" si="7"/>
        <v>18</v>
      </c>
      <c r="Q53" s="3231">
        <f>+VLOOKUP(C53,'Đội 1'!$C$18:$S$99,15,0)</f>
        <v>0</v>
      </c>
      <c r="R53" s="3231">
        <f>+VLOOKUP(C53,'Đội 1'!$C$18:$S$99,16,0)</f>
        <v>500000</v>
      </c>
      <c r="S53" s="3231">
        <f>+VLOOKUP(C53,'Đội 1'!C53:S134,17,0)</f>
        <v>1464778.76</v>
      </c>
      <c r="T53" s="3231">
        <f t="shared" si="5"/>
        <v>2061543.76</v>
      </c>
      <c r="U53" s="3816"/>
      <c r="V53" s="3231">
        <f t="shared" si="6"/>
        <v>2061543.76</v>
      </c>
      <c r="W53" s="1499"/>
      <c r="X53" s="1499"/>
      <c r="Y53" s="1500"/>
      <c r="Z53" s="1501"/>
    </row>
    <row r="54" spans="1:26" s="1502" customFormat="1" ht="34.5" customHeight="1">
      <c r="A54" s="3231">
        <v>37</v>
      </c>
      <c r="B54" s="3816"/>
      <c r="C54" s="3715" t="s">
        <v>2197</v>
      </c>
      <c r="D54" s="3816"/>
      <c r="E54" s="3231" t="s">
        <v>167</v>
      </c>
      <c r="F54" s="3009"/>
      <c r="G54" s="3717"/>
      <c r="H54" s="3231">
        <f t="shared" si="3"/>
        <v>0</v>
      </c>
      <c r="I54" s="3231">
        <f>+VLOOKUP(C54,'Đội 1'!C54:H135,6,0)</f>
        <v>248</v>
      </c>
      <c r="J54" s="3231"/>
      <c r="K54" s="3231">
        <f>+VLOOKUP(C54,'Đội 1'!C54:K135,8,0)</f>
        <v>142.75866830878542</v>
      </c>
      <c r="L54" s="3231" t="str">
        <f>+VLOOKUP(C54,'Đội 1'!C54:L135,10,0)</f>
        <v>A</v>
      </c>
      <c r="M54" s="3231">
        <f>+VLOOKUP(C54,'Đội 1'!C54:M135,11,0)</f>
        <v>562729</v>
      </c>
      <c r="N54" s="3231">
        <f>+VLOOKUP(C54,'Đội 1'!$C$18:$S$99,12,0)</f>
        <v>15</v>
      </c>
      <c r="O54" s="3231">
        <f>+VLOOKUP(C54,'Đội 1'!$C$18:$S$99,13,0)</f>
        <v>3</v>
      </c>
      <c r="P54" s="3231">
        <f t="shared" si="7"/>
        <v>18</v>
      </c>
      <c r="Q54" s="3231">
        <f>+VLOOKUP(C54,'Đội 1'!$C$18:$S$99,15,0)</f>
        <v>0</v>
      </c>
      <c r="R54" s="3231">
        <f>+VLOOKUP(C54,'Đội 1'!$C$18:$S$99,16,0)</f>
        <v>500000</v>
      </c>
      <c r="S54" s="3231">
        <f>+VLOOKUP(C54,'Đội 1'!C54:S135,17,0)</f>
        <v>1464778.76</v>
      </c>
      <c r="T54" s="3231">
        <f t="shared" si="5"/>
        <v>2027507.76</v>
      </c>
      <c r="U54" s="3816"/>
      <c r="V54" s="3231">
        <f t="shared" si="6"/>
        <v>2027507.76</v>
      </c>
      <c r="W54" s="1499"/>
      <c r="X54" s="1499"/>
      <c r="Y54" s="1500"/>
      <c r="Z54" s="1501"/>
    </row>
    <row r="55" spans="1:26" s="1502" customFormat="1" ht="34.5" customHeight="1">
      <c r="A55" s="3231">
        <v>38</v>
      </c>
      <c r="B55" s="3816"/>
      <c r="C55" s="3715" t="s">
        <v>2198</v>
      </c>
      <c r="D55" s="3816"/>
      <c r="E55" s="3231" t="s">
        <v>167</v>
      </c>
      <c r="F55" s="3009"/>
      <c r="G55" s="3717"/>
      <c r="H55" s="3231">
        <f t="shared" si="3"/>
        <v>0</v>
      </c>
      <c r="I55" s="3231">
        <f>+VLOOKUP(C55,'Đội 1'!C55:H136,6,0)</f>
        <v>246</v>
      </c>
      <c r="J55" s="3231"/>
      <c r="K55" s="3231">
        <f>+VLOOKUP(C55,'Đội 1'!C55:K136,8,0)</f>
        <v>141.60738872565003</v>
      </c>
      <c r="L55" s="3231" t="str">
        <f>+VLOOKUP(C55,'Đội 1'!C55:L136,10,0)</f>
        <v>A</v>
      </c>
      <c r="M55" s="3231">
        <f>+VLOOKUP(C55,'Đội 1'!C55:M136,11,0)</f>
        <v>558191</v>
      </c>
      <c r="N55" s="3231">
        <f>+VLOOKUP(C55,'Đội 1'!$C$18:$S$99,12,0)</f>
        <v>15</v>
      </c>
      <c r="O55" s="3231">
        <f>+VLOOKUP(C55,'Đội 1'!$C$18:$S$99,13,0)</f>
        <v>3</v>
      </c>
      <c r="P55" s="3231">
        <f t="shared" si="7"/>
        <v>18</v>
      </c>
      <c r="Q55" s="3231">
        <f>+VLOOKUP(C55,'Đội 1'!$C$18:$S$99,15,0)</f>
        <v>0</v>
      </c>
      <c r="R55" s="3231">
        <f>+VLOOKUP(C55,'Đội 1'!$C$18:$S$99,16,0)</f>
        <v>500000</v>
      </c>
      <c r="S55" s="3231">
        <f>+VLOOKUP(C55,'Đội 1'!C55:S136,17,0)</f>
        <v>1464778.76</v>
      </c>
      <c r="T55" s="3231">
        <f t="shared" si="5"/>
        <v>2022969.76</v>
      </c>
      <c r="U55" s="3816"/>
      <c r="V55" s="3231">
        <f t="shared" si="6"/>
        <v>2022969.76</v>
      </c>
      <c r="W55" s="1499"/>
      <c r="X55" s="1499"/>
      <c r="Y55" s="1500"/>
      <c r="Z55" s="1501"/>
    </row>
    <row r="56" spans="1:26" s="1502" customFormat="1" ht="34.5" customHeight="1">
      <c r="A56" s="3231">
        <v>39</v>
      </c>
      <c r="B56" s="3816"/>
      <c r="C56" s="3715" t="s">
        <v>2199</v>
      </c>
      <c r="D56" s="3816"/>
      <c r="E56" s="3231" t="s">
        <v>167</v>
      </c>
      <c r="F56" s="3009"/>
      <c r="G56" s="3717"/>
      <c r="H56" s="3231">
        <f t="shared" si="3"/>
        <v>0</v>
      </c>
      <c r="I56" s="3231">
        <f>+VLOOKUP(C56,'Đội 1'!C56:H137,6,0)</f>
        <v>226</v>
      </c>
      <c r="J56" s="3231"/>
      <c r="K56" s="3231">
        <f>+VLOOKUP(C56,'Đội 1'!C56:K137,8,0)</f>
        <v>130.09459289429637</v>
      </c>
      <c r="L56" s="3231" t="str">
        <f>+VLOOKUP(C56,'Đội 1'!C56:L137,10,0)</f>
        <v>A</v>
      </c>
      <c r="M56" s="3231">
        <f>+VLOOKUP(C56,'Đội 1'!C56:M137,11,0)</f>
        <v>512809</v>
      </c>
      <c r="N56" s="3231">
        <f>+VLOOKUP(C56,'Đội 1'!$C$18:$S$99,12,0)</f>
        <v>15</v>
      </c>
      <c r="O56" s="3231">
        <f>+VLOOKUP(C56,'Đội 1'!$C$18:$S$99,13,0)</f>
        <v>3</v>
      </c>
      <c r="P56" s="3231">
        <f t="shared" si="7"/>
        <v>18</v>
      </c>
      <c r="Q56" s="3231">
        <f>+VLOOKUP(C56,'Đội 1'!$C$18:$S$99,15,0)</f>
        <v>0</v>
      </c>
      <c r="R56" s="3231">
        <f>+VLOOKUP(C56,'Đội 1'!$C$18:$S$99,16,0)</f>
        <v>500000</v>
      </c>
      <c r="S56" s="3231">
        <f>+VLOOKUP(C56,'Đội 1'!C56:S137,17,0)</f>
        <v>1464778.76</v>
      </c>
      <c r="T56" s="3231">
        <f t="shared" si="5"/>
        <v>1977587.76</v>
      </c>
      <c r="U56" s="3816"/>
      <c r="V56" s="3231">
        <f t="shared" si="6"/>
        <v>1977587.76</v>
      </c>
      <c r="W56" s="1499"/>
      <c r="X56" s="1499"/>
      <c r="Y56" s="1500"/>
      <c r="Z56" s="1501"/>
    </row>
    <row r="57" spans="1:26" s="1502" customFormat="1" ht="34.5" customHeight="1">
      <c r="A57" s="3231">
        <v>40</v>
      </c>
      <c r="B57" s="3816"/>
      <c r="C57" s="3715" t="s">
        <v>2200</v>
      </c>
      <c r="D57" s="3816"/>
      <c r="E57" s="3231" t="s">
        <v>167</v>
      </c>
      <c r="F57" s="3009"/>
      <c r="G57" s="3717"/>
      <c r="H57" s="3231">
        <f t="shared" si="3"/>
        <v>0</v>
      </c>
      <c r="I57" s="3231">
        <f>+VLOOKUP(C57,'Đội 1'!C57:H138,6,0)</f>
        <v>230</v>
      </c>
      <c r="J57" s="3231"/>
      <c r="K57" s="3231">
        <f>+VLOOKUP(C57,'Đội 1'!C57:K138,8,0)</f>
        <v>132.39715206056709</v>
      </c>
      <c r="L57" s="3231" t="str">
        <f>+VLOOKUP(C57,'Đội 1'!C57:L138,10,0)</f>
        <v>A</v>
      </c>
      <c r="M57" s="3231">
        <f>+VLOOKUP(C57,'Đội 1'!C57:M138,11,0)</f>
        <v>521886</v>
      </c>
      <c r="N57" s="3231">
        <f>+VLOOKUP(C57,'Đội 1'!$C$18:$S$99,12,0)</f>
        <v>15</v>
      </c>
      <c r="O57" s="3231">
        <f>+VLOOKUP(C57,'Đội 1'!$C$18:$S$99,13,0)</f>
        <v>3</v>
      </c>
      <c r="P57" s="3231">
        <f t="shared" si="7"/>
        <v>18</v>
      </c>
      <c r="Q57" s="3231">
        <f>+VLOOKUP(C57,'Đội 1'!$C$18:$S$99,15,0)</f>
        <v>0</v>
      </c>
      <c r="R57" s="3231">
        <f>+VLOOKUP(C57,'Đội 1'!$C$18:$S$99,16,0)</f>
        <v>500000</v>
      </c>
      <c r="S57" s="3231">
        <f>+VLOOKUP(C57,'Đội 1'!C57:S138,17,0)</f>
        <v>1464778.76</v>
      </c>
      <c r="T57" s="3231">
        <f t="shared" si="5"/>
        <v>1986664.76</v>
      </c>
      <c r="U57" s="3816"/>
      <c r="V57" s="3231">
        <f t="shared" si="6"/>
        <v>1986664.76</v>
      </c>
      <c r="W57" s="1499"/>
      <c r="X57" s="1499"/>
      <c r="Y57" s="1500"/>
      <c r="Z57" s="1501"/>
    </row>
    <row r="58" spans="1:26" s="1502" customFormat="1" ht="34.5" customHeight="1">
      <c r="A58" s="3231">
        <v>41</v>
      </c>
      <c r="B58" s="3816"/>
      <c r="C58" s="3715" t="s">
        <v>2201</v>
      </c>
      <c r="D58" s="3816"/>
      <c r="E58" s="3231" t="s">
        <v>167</v>
      </c>
      <c r="F58" s="3009"/>
      <c r="G58" s="3717"/>
      <c r="H58" s="3231">
        <f t="shared" si="3"/>
        <v>0</v>
      </c>
      <c r="I58" s="3231">
        <f>+VLOOKUP(C58,'Đội 1'!C58:H139,6,0)</f>
        <v>337</v>
      </c>
      <c r="J58" s="3231"/>
      <c r="K58" s="3231">
        <f>+VLOOKUP(C58,'Đội 1'!C58:K139,8,0)</f>
        <v>193.9906097583092</v>
      </c>
      <c r="L58" s="3231" t="str">
        <f>+VLOOKUP(C58,'Đội 1'!C58:L139,10,0)</f>
        <v>A</v>
      </c>
      <c r="M58" s="3231">
        <f>+VLOOKUP(C58,'Đội 1'!C58:M139,11,0)</f>
        <v>764676</v>
      </c>
      <c r="N58" s="3231">
        <f>+VLOOKUP(C58,'Đội 1'!$C$18:$S$99,12,0)</f>
        <v>15</v>
      </c>
      <c r="O58" s="3231">
        <f>+VLOOKUP(C58,'Đội 1'!$C$18:$S$99,13,0)</f>
        <v>3</v>
      </c>
      <c r="P58" s="3231">
        <f t="shared" si="7"/>
        <v>18</v>
      </c>
      <c r="Q58" s="3231">
        <f>+VLOOKUP(C58,'Đội 1'!$C$18:$S$99,15,0)</f>
        <v>0</v>
      </c>
      <c r="R58" s="3231">
        <f>+VLOOKUP(C58,'Đội 1'!$C$18:$S$99,16,0)</f>
        <v>500000</v>
      </c>
      <c r="S58" s="3231">
        <f>+VLOOKUP(C58,'Đội 1'!C58:S139,17,0)</f>
        <v>1464778.76</v>
      </c>
      <c r="T58" s="3231">
        <f t="shared" si="5"/>
        <v>2229454.7599999998</v>
      </c>
      <c r="U58" s="3816"/>
      <c r="V58" s="3231">
        <f t="shared" si="6"/>
        <v>2229454.7599999998</v>
      </c>
      <c r="W58" s="1499"/>
      <c r="X58" s="1499"/>
      <c r="Y58" s="1500"/>
      <c r="Z58" s="1501"/>
    </row>
    <row r="59" spans="1:26" s="1502" customFormat="1" ht="34.5" customHeight="1">
      <c r="A59" s="3231">
        <v>42</v>
      </c>
      <c r="B59" s="3816"/>
      <c r="C59" s="3715" t="s">
        <v>2202</v>
      </c>
      <c r="D59" s="3816"/>
      <c r="E59" s="3231" t="s">
        <v>167</v>
      </c>
      <c r="F59" s="3009"/>
      <c r="G59" s="3717"/>
      <c r="H59" s="3231">
        <f t="shared" si="3"/>
        <v>0</v>
      </c>
      <c r="I59" s="3231">
        <f>+VLOOKUP(C59,'Đội 1'!C59:H140,6,0)</f>
        <v>221</v>
      </c>
      <c r="J59" s="3231"/>
      <c r="K59" s="3231">
        <f>+VLOOKUP(C59,'Đội 1'!C59:K140,8,0)</f>
        <v>127.21639393645796</v>
      </c>
      <c r="L59" s="3231" t="str">
        <f>+VLOOKUP(C59,'Đội 1'!C59:L140,10,0)</f>
        <v>A</v>
      </c>
      <c r="M59" s="3231">
        <f>+VLOOKUP(C59,'Đội 1'!C59:M140,11,0)</f>
        <v>501464</v>
      </c>
      <c r="N59" s="3231">
        <f>+VLOOKUP(C59,'Đội 1'!$C$18:$S$99,12,0)</f>
        <v>15</v>
      </c>
      <c r="O59" s="3231">
        <f>+VLOOKUP(C59,'Đội 1'!$C$18:$S$99,13,0)</f>
        <v>3</v>
      </c>
      <c r="P59" s="3231">
        <f t="shared" si="7"/>
        <v>18</v>
      </c>
      <c r="Q59" s="3231">
        <f>+VLOOKUP(C59,'Đội 1'!$C$18:$S$99,15,0)</f>
        <v>0</v>
      </c>
      <c r="R59" s="3231">
        <f>+VLOOKUP(C59,'Đội 1'!$C$18:$S$99,16,0)</f>
        <v>500000</v>
      </c>
      <c r="S59" s="3231">
        <f>+VLOOKUP(C59,'Đội 1'!C59:S140,17,0)</f>
        <v>1464778.76</v>
      </c>
      <c r="T59" s="3231">
        <f t="shared" si="5"/>
        <v>1966242.76</v>
      </c>
      <c r="U59" s="3816"/>
      <c r="V59" s="3231">
        <f t="shared" si="6"/>
        <v>1966242.76</v>
      </c>
      <c r="W59" s="1499"/>
      <c r="X59" s="1499"/>
      <c r="Y59" s="1500"/>
      <c r="Z59" s="1501"/>
    </row>
    <row r="60" spans="1:26" s="1502" customFormat="1" ht="34.5" customHeight="1">
      <c r="A60" s="3231">
        <v>43</v>
      </c>
      <c r="B60" s="3816"/>
      <c r="C60" s="3715" t="s">
        <v>2203</v>
      </c>
      <c r="D60" s="3816"/>
      <c r="E60" s="3231" t="s">
        <v>167</v>
      </c>
      <c r="F60" s="3009"/>
      <c r="G60" s="3717"/>
      <c r="H60" s="3231">
        <f t="shared" si="3"/>
        <v>0</v>
      </c>
      <c r="I60" s="3231">
        <f>+VLOOKUP(C60,'Đội 1'!C60:H141,6,0)</f>
        <v>223</v>
      </c>
      <c r="J60" s="3231"/>
      <c r="K60" s="3231">
        <f>+VLOOKUP(C60,'Đội 1'!C60:K141,8,0)</f>
        <v>128.36767351959332</v>
      </c>
      <c r="L60" s="3231" t="str">
        <f>+VLOOKUP(C60,'Đội 1'!C60:L141,10,0)</f>
        <v>A</v>
      </c>
      <c r="M60" s="3231">
        <f>+VLOOKUP(C60,'Đội 1'!C60:M141,11,0)</f>
        <v>506002</v>
      </c>
      <c r="N60" s="3231">
        <f>+VLOOKUP(C60,'Đội 1'!$C$18:$S$99,12,0)</f>
        <v>15</v>
      </c>
      <c r="O60" s="3231">
        <f>+VLOOKUP(C60,'Đội 1'!$C$18:$S$99,13,0)</f>
        <v>3</v>
      </c>
      <c r="P60" s="3231">
        <f t="shared" si="7"/>
        <v>18</v>
      </c>
      <c r="Q60" s="3231">
        <f>+VLOOKUP(C60,'Đội 1'!$C$18:$S$99,15,0)</f>
        <v>0</v>
      </c>
      <c r="R60" s="3231">
        <f>+VLOOKUP(C60,'Đội 1'!$C$18:$S$99,16,0)</f>
        <v>500000</v>
      </c>
      <c r="S60" s="3231">
        <f>+VLOOKUP(C60,'Đội 1'!C60:S141,17,0)</f>
        <v>1464778.76</v>
      </c>
      <c r="T60" s="3231">
        <f t="shared" si="5"/>
        <v>1970780.76</v>
      </c>
      <c r="U60" s="3816"/>
      <c r="V60" s="3231">
        <f t="shared" si="6"/>
        <v>1970780.76</v>
      </c>
      <c r="W60" s="1499"/>
      <c r="X60" s="1499"/>
      <c r="Y60" s="1500"/>
      <c r="Z60" s="1501"/>
    </row>
    <row r="61" spans="1:26" s="1502" customFormat="1" ht="34.5" customHeight="1">
      <c r="A61" s="3231">
        <v>44</v>
      </c>
      <c r="B61" s="3816"/>
      <c r="C61" s="3715" t="s">
        <v>2204</v>
      </c>
      <c r="D61" s="3816"/>
      <c r="E61" s="3231" t="s">
        <v>167</v>
      </c>
      <c r="F61" s="3009"/>
      <c r="G61" s="3717"/>
      <c r="H61" s="3231">
        <f t="shared" si="3"/>
        <v>0</v>
      </c>
      <c r="I61" s="3231">
        <f>+VLOOKUP(C61,'Đội 1'!C61:H142,6,0)</f>
        <v>245</v>
      </c>
      <c r="J61" s="3231"/>
      <c r="K61" s="3231">
        <f>+VLOOKUP(C61,'Đội 1'!C61:K142,8,0)</f>
        <v>141.03174893408234</v>
      </c>
      <c r="L61" s="3231" t="str">
        <f>+VLOOKUP(C61,'Đội 1'!C61:L142,10,0)</f>
        <v>A</v>
      </c>
      <c r="M61" s="3231">
        <f>+VLOOKUP(C61,'Đội 1'!C61:M142,11,0)</f>
        <v>555922</v>
      </c>
      <c r="N61" s="3231">
        <f>+VLOOKUP(C61,'Đội 1'!$C$18:$S$99,12,0)</f>
        <v>15</v>
      </c>
      <c r="O61" s="3231">
        <f>+VLOOKUP(C61,'Đội 1'!$C$18:$S$99,13,0)</f>
        <v>3</v>
      </c>
      <c r="P61" s="3231">
        <f t="shared" si="7"/>
        <v>18</v>
      </c>
      <c r="Q61" s="3231">
        <f>+VLOOKUP(C61,'Đội 1'!$C$18:$S$99,15,0)</f>
        <v>0</v>
      </c>
      <c r="R61" s="3231">
        <f>+VLOOKUP(C61,'Đội 1'!$C$18:$S$99,16,0)</f>
        <v>500000</v>
      </c>
      <c r="S61" s="3231">
        <f>+VLOOKUP(C61,'Đội 1'!C61:S142,17,0)</f>
        <v>1464778.76</v>
      </c>
      <c r="T61" s="3231">
        <f t="shared" si="5"/>
        <v>2020700.76</v>
      </c>
      <c r="U61" s="3816"/>
      <c r="V61" s="3231">
        <f t="shared" si="6"/>
        <v>2020700.76</v>
      </c>
      <c r="W61" s="1499"/>
      <c r="X61" s="1499"/>
      <c r="Y61" s="1500"/>
      <c r="Z61" s="1501"/>
    </row>
    <row r="62" spans="1:26" s="1502" customFormat="1" ht="34.5" customHeight="1">
      <c r="A62" s="3231">
        <v>45</v>
      </c>
      <c r="B62" s="3816"/>
      <c r="C62" s="3715" t="s">
        <v>2205</v>
      </c>
      <c r="D62" s="3816"/>
      <c r="E62" s="3231" t="s">
        <v>167</v>
      </c>
      <c r="F62" s="3009"/>
      <c r="G62" s="3717"/>
      <c r="H62" s="3231">
        <f t="shared" si="3"/>
        <v>0</v>
      </c>
      <c r="I62" s="3231">
        <f>+VLOOKUP(C62,'Đội 1'!C62:H143,6,0)</f>
        <v>335</v>
      </c>
      <c r="J62" s="3231"/>
      <c r="K62" s="3231">
        <f>+VLOOKUP(C62,'Đội 1'!C62:K143,8,0)</f>
        <v>192.83933017517384</v>
      </c>
      <c r="L62" s="3231" t="str">
        <f>+VLOOKUP(C62,'Đội 1'!C62:L143,10,0)</f>
        <v>A</v>
      </c>
      <c r="M62" s="3231">
        <f>+VLOOKUP(C62,'Đội 1'!C62:M143,11,0)</f>
        <v>760138</v>
      </c>
      <c r="N62" s="3231">
        <f>+VLOOKUP(C62,'Đội 1'!$C$18:$S$99,12,0)</f>
        <v>15</v>
      </c>
      <c r="O62" s="3231">
        <f>+VLOOKUP(C62,'Đội 1'!$C$18:$S$99,13,0)</f>
        <v>3</v>
      </c>
      <c r="P62" s="3231">
        <f t="shared" si="7"/>
        <v>18</v>
      </c>
      <c r="Q62" s="3231">
        <f>+VLOOKUP(C62,'Đội 1'!$C$18:$S$99,15,0)</f>
        <v>0</v>
      </c>
      <c r="R62" s="3231">
        <f>+VLOOKUP(C62,'Đội 1'!$C$18:$S$99,16,0)</f>
        <v>500000</v>
      </c>
      <c r="S62" s="3231">
        <f>+VLOOKUP(C62,'Đội 1'!C62:S143,17,0)</f>
        <v>1464778.76</v>
      </c>
      <c r="T62" s="3231">
        <f t="shared" si="5"/>
        <v>2224916.7599999998</v>
      </c>
      <c r="U62" s="3816"/>
      <c r="V62" s="3231">
        <f t="shared" si="6"/>
        <v>2224916.7599999998</v>
      </c>
      <c r="W62" s="1499"/>
      <c r="X62" s="1499"/>
      <c r="Y62" s="1500"/>
      <c r="Z62" s="1501"/>
    </row>
    <row r="63" spans="1:26" s="1502" customFormat="1" ht="34.5" customHeight="1">
      <c r="A63" s="3231">
        <v>46</v>
      </c>
      <c r="B63" s="3816"/>
      <c r="C63" s="3715" t="s">
        <v>2206</v>
      </c>
      <c r="D63" s="3816"/>
      <c r="E63" s="3231" t="s">
        <v>167</v>
      </c>
      <c r="F63" s="3009"/>
      <c r="G63" s="3717"/>
      <c r="H63" s="3231">
        <f t="shared" si="3"/>
        <v>0</v>
      </c>
      <c r="I63" s="3231">
        <f>+VLOOKUP(C63,'Đội 1'!C63:H144,6,0)</f>
        <v>225</v>
      </c>
      <c r="J63" s="3231"/>
      <c r="K63" s="3231">
        <f>+VLOOKUP(C63,'Đội 1'!C63:K144,8,0)</f>
        <v>129.51895310272869</v>
      </c>
      <c r="L63" s="3231" t="str">
        <f>+VLOOKUP(C63,'Đội 1'!C63:L144,10,0)</f>
        <v>A</v>
      </c>
      <c r="M63" s="3231">
        <f>+VLOOKUP(C63,'Đội 1'!C63:M144,11,0)</f>
        <v>510540</v>
      </c>
      <c r="N63" s="3231">
        <f>+VLOOKUP(C63,'Đội 1'!$C$18:$S$99,12,0)</f>
        <v>15</v>
      </c>
      <c r="O63" s="3231">
        <f>+VLOOKUP(C63,'Đội 1'!$C$18:$S$99,13,0)</f>
        <v>3</v>
      </c>
      <c r="P63" s="3231">
        <f t="shared" si="7"/>
        <v>18</v>
      </c>
      <c r="Q63" s="3231">
        <f>+VLOOKUP(C63,'Đội 1'!$C$18:$S$99,15,0)</f>
        <v>0</v>
      </c>
      <c r="R63" s="3231">
        <f>+VLOOKUP(C63,'Đội 1'!$C$18:$S$99,16,0)</f>
        <v>500000</v>
      </c>
      <c r="S63" s="3231">
        <f>+VLOOKUP(C63,'Đội 1'!C63:S144,17,0)</f>
        <v>1464778.76</v>
      </c>
      <c r="T63" s="3231">
        <f t="shared" si="5"/>
        <v>1975318.76</v>
      </c>
      <c r="U63" s="3816"/>
      <c r="V63" s="3231">
        <f t="shared" si="6"/>
        <v>1975318.76</v>
      </c>
      <c r="W63" s="1499"/>
      <c r="X63" s="1499"/>
      <c r="Y63" s="1500"/>
      <c r="Z63" s="1501"/>
    </row>
    <row r="64" spans="1:26" s="1502" customFormat="1" ht="34.5" customHeight="1">
      <c r="A64" s="3231">
        <v>47</v>
      </c>
      <c r="B64" s="3816"/>
      <c r="C64" s="3715" t="s">
        <v>2207</v>
      </c>
      <c r="D64" s="3816"/>
      <c r="E64" s="3231" t="s">
        <v>167</v>
      </c>
      <c r="F64" s="3009"/>
      <c r="G64" s="3717"/>
      <c r="H64" s="3231">
        <f t="shared" si="3"/>
        <v>0</v>
      </c>
      <c r="I64" s="3231">
        <f>+VLOOKUP(C64,'Đội 1'!C64:H145,6,0)</f>
        <v>243</v>
      </c>
      <c r="J64" s="3231"/>
      <c r="K64" s="3231">
        <f>+VLOOKUP(C64,'Đội 1'!C64:K145,8,0)</f>
        <v>139.88046935094698</v>
      </c>
      <c r="L64" s="3231" t="str">
        <f>+VLOOKUP(C64,'Đội 1'!C64:L145,10,0)</f>
        <v>A</v>
      </c>
      <c r="M64" s="3231">
        <f>+VLOOKUP(C64,'Đội 1'!C64:M145,11,0)</f>
        <v>551384</v>
      </c>
      <c r="N64" s="3231">
        <f>+VLOOKUP(C64,'Đội 1'!$C$18:$S$99,12,0)</f>
        <v>15</v>
      </c>
      <c r="O64" s="3231">
        <f>+VLOOKUP(C64,'Đội 1'!$C$18:$S$99,13,0)</f>
        <v>3</v>
      </c>
      <c r="P64" s="3231">
        <f t="shared" si="7"/>
        <v>18</v>
      </c>
      <c r="Q64" s="3231">
        <f>+VLOOKUP(C64,'Đội 1'!$C$18:$S$99,15,0)</f>
        <v>0</v>
      </c>
      <c r="R64" s="3231">
        <f>+VLOOKUP(C64,'Đội 1'!$C$18:$S$99,16,0)</f>
        <v>500000</v>
      </c>
      <c r="S64" s="3231">
        <f>+VLOOKUP(C64,'Đội 1'!C64:S145,17,0)</f>
        <v>1464778.76</v>
      </c>
      <c r="T64" s="3231">
        <f t="shared" si="5"/>
        <v>2016162.76</v>
      </c>
      <c r="U64" s="3816"/>
      <c r="V64" s="3231">
        <f t="shared" si="6"/>
        <v>2016162.76</v>
      </c>
      <c r="W64" s="1499"/>
      <c r="X64" s="1499"/>
      <c r="Y64" s="1500"/>
      <c r="Z64" s="1501"/>
    </row>
    <row r="65" spans="1:26" s="1502" customFormat="1" ht="34.5" customHeight="1">
      <c r="A65" s="3231">
        <v>48</v>
      </c>
      <c r="B65" s="3816"/>
      <c r="C65" s="3715" t="s">
        <v>2208</v>
      </c>
      <c r="D65" s="3816"/>
      <c r="E65" s="3231" t="s">
        <v>167</v>
      </c>
      <c r="F65" s="3009"/>
      <c r="G65" s="3717"/>
      <c r="H65" s="3231">
        <f t="shared" si="3"/>
        <v>0</v>
      </c>
      <c r="I65" s="3231">
        <f>+VLOOKUP(C65,'Đội 1'!C65:H146,6,0)</f>
        <v>173</v>
      </c>
      <c r="J65" s="3231"/>
      <c r="K65" s="3231">
        <f>+VLOOKUP(C65,'Đội 1'!C65:K146,8,0)</f>
        <v>99.585683941209169</v>
      </c>
      <c r="L65" s="3231" t="str">
        <f>+VLOOKUP(C65,'Đội 1'!C65:L146,10,0)</f>
        <v>A</v>
      </c>
      <c r="M65" s="3231">
        <f>+VLOOKUP(C65,'Đội 1'!C65:M146,11,0)</f>
        <v>392549</v>
      </c>
      <c r="N65" s="3231">
        <f>+VLOOKUP(C65,'Đội 1'!$C$18:$S$99,12,0)</f>
        <v>15</v>
      </c>
      <c r="O65" s="3231">
        <f>+VLOOKUP(C65,'Đội 1'!$C$18:$S$99,13,0)</f>
        <v>3</v>
      </c>
      <c r="P65" s="3231">
        <f t="shared" si="7"/>
        <v>18</v>
      </c>
      <c r="Q65" s="3231">
        <f>+VLOOKUP(C65,'Đội 1'!$C$18:$S$99,15,0)</f>
        <v>0</v>
      </c>
      <c r="R65" s="3231">
        <f>+VLOOKUP(C65,'Đội 1'!$C$18:$S$99,16,0)</f>
        <v>500000</v>
      </c>
      <c r="S65" s="3231">
        <f>+VLOOKUP(C65,'Đội 1'!C65:S146,17,0)</f>
        <v>1464778.76</v>
      </c>
      <c r="T65" s="3231">
        <f t="shared" si="5"/>
        <v>1857327.76</v>
      </c>
      <c r="U65" s="3816"/>
      <c r="V65" s="3231">
        <f t="shared" si="6"/>
        <v>1857327.76</v>
      </c>
      <c r="W65" s="1499"/>
      <c r="X65" s="1499"/>
      <c r="Y65" s="1500"/>
      <c r="Z65" s="1501"/>
    </row>
    <row r="66" spans="1:26" s="1502" customFormat="1" ht="34.5" customHeight="1">
      <c r="A66" s="3231">
        <v>49</v>
      </c>
      <c r="B66" s="3816"/>
      <c r="C66" s="3715" t="s">
        <v>2209</v>
      </c>
      <c r="D66" s="3816"/>
      <c r="E66" s="3231" t="s">
        <v>167</v>
      </c>
      <c r="F66" s="3009"/>
      <c r="G66" s="3717"/>
      <c r="H66" s="3231">
        <f t="shared" si="3"/>
        <v>0</v>
      </c>
      <c r="I66" s="3231">
        <f>+VLOOKUP(C66,'Đội 1'!C66:H147,6,0)</f>
        <v>175</v>
      </c>
      <c r="J66" s="3231"/>
      <c r="K66" s="3231">
        <f>+VLOOKUP(C66,'Đội 1'!C66:K147,8,0)</f>
        <v>100.73696352434455</v>
      </c>
      <c r="L66" s="3231" t="str">
        <f>+VLOOKUP(C66,'Đội 1'!C66:L147,10,0)</f>
        <v>A</v>
      </c>
      <c r="M66" s="3231">
        <f>+VLOOKUP(C66,'Đội 1'!C66:M147,11,0)</f>
        <v>397087</v>
      </c>
      <c r="N66" s="3231">
        <f>+VLOOKUP(C66,'Đội 1'!$C$18:$S$99,12,0)</f>
        <v>15</v>
      </c>
      <c r="O66" s="3231">
        <f>+VLOOKUP(C66,'Đội 1'!$C$18:$S$99,13,0)</f>
        <v>3</v>
      </c>
      <c r="P66" s="3231">
        <f t="shared" si="7"/>
        <v>18</v>
      </c>
      <c r="Q66" s="3231">
        <f>+VLOOKUP(C66,'Đội 1'!$C$18:$S$99,15,0)</f>
        <v>0</v>
      </c>
      <c r="R66" s="3231">
        <f>+VLOOKUP(C66,'Đội 1'!$C$18:$S$99,16,0)</f>
        <v>500000</v>
      </c>
      <c r="S66" s="3231">
        <f>+VLOOKUP(C66,'Đội 1'!C66:S147,17,0)</f>
        <v>1464778.76</v>
      </c>
      <c r="T66" s="3231">
        <f t="shared" si="5"/>
        <v>1861865.76</v>
      </c>
      <c r="U66" s="3816"/>
      <c r="V66" s="3231">
        <f t="shared" si="6"/>
        <v>1861865.76</v>
      </c>
      <c r="W66" s="1499"/>
      <c r="X66" s="1499"/>
      <c r="Y66" s="1500"/>
      <c r="Z66" s="1501"/>
    </row>
    <row r="67" spans="1:26" s="1502" customFormat="1" ht="34.5" customHeight="1">
      <c r="A67" s="3231">
        <v>50</v>
      </c>
      <c r="B67" s="3816"/>
      <c r="C67" s="3715" t="s">
        <v>2210</v>
      </c>
      <c r="D67" s="3816"/>
      <c r="E67" s="3231" t="s">
        <v>167</v>
      </c>
      <c r="F67" s="3009"/>
      <c r="G67" s="3717"/>
      <c r="H67" s="3231">
        <f t="shared" si="3"/>
        <v>0</v>
      </c>
      <c r="I67" s="3231">
        <f>+VLOOKUP(C67,'Đội 1'!C67:H148,6,0)</f>
        <v>166</v>
      </c>
      <c r="J67" s="3231"/>
      <c r="K67" s="3231">
        <f>+VLOOKUP(C67,'Đội 1'!C67:K148,8,0)</f>
        <v>95.556205400235385</v>
      </c>
      <c r="L67" s="3231" t="str">
        <f>+VLOOKUP(C67,'Đội 1'!C67:L148,10,0)</f>
        <v>A</v>
      </c>
      <c r="M67" s="3231">
        <f>+VLOOKUP(C67,'Đội 1'!C67:M148,11,0)</f>
        <v>376665</v>
      </c>
      <c r="N67" s="3231">
        <f>+VLOOKUP(C67,'Đội 1'!$C$18:$S$99,12,0)</f>
        <v>15</v>
      </c>
      <c r="O67" s="3231">
        <f>+VLOOKUP(C67,'Đội 1'!$C$18:$S$99,13,0)</f>
        <v>3</v>
      </c>
      <c r="P67" s="3231">
        <f t="shared" si="7"/>
        <v>18</v>
      </c>
      <c r="Q67" s="3231">
        <f>+VLOOKUP(C67,'Đội 1'!$C$18:$S$99,15,0)</f>
        <v>0</v>
      </c>
      <c r="R67" s="3231">
        <f>+VLOOKUP(C67,'Đội 1'!$C$18:$S$99,16,0)</f>
        <v>500000</v>
      </c>
      <c r="S67" s="3231">
        <f>+VLOOKUP(C67,'Đội 1'!C67:S148,17,0)</f>
        <v>1464778.76</v>
      </c>
      <c r="T67" s="3231">
        <f t="shared" si="5"/>
        <v>1841443.76</v>
      </c>
      <c r="U67" s="3816"/>
      <c r="V67" s="3231">
        <f t="shared" si="6"/>
        <v>1841443.76</v>
      </c>
      <c r="W67" s="1499"/>
      <c r="X67" s="1499"/>
      <c r="Y67" s="1500"/>
      <c r="Z67" s="1501"/>
    </row>
    <row r="68" spans="1:26" s="1502" customFormat="1" ht="34.5" customHeight="1">
      <c r="A68" s="3231">
        <v>51</v>
      </c>
      <c r="B68" s="3816"/>
      <c r="C68" s="3715" t="s">
        <v>2211</v>
      </c>
      <c r="D68" s="3816"/>
      <c r="E68" s="3231" t="s">
        <v>167</v>
      </c>
      <c r="F68" s="3009"/>
      <c r="G68" s="3717"/>
      <c r="H68" s="3231">
        <f t="shared" si="3"/>
        <v>0</v>
      </c>
      <c r="I68" s="3231">
        <f>+VLOOKUP(C68,'Đội 1'!C68:H149,6,0)</f>
        <v>164</v>
      </c>
      <c r="J68" s="3231"/>
      <c r="K68" s="3231">
        <f>+VLOOKUP(C68,'Đội 1'!C68:K149,8,0)</f>
        <v>94.404925817100022</v>
      </c>
      <c r="L68" s="3231" t="str">
        <f>+VLOOKUP(C68,'Đội 1'!C68:L149,10,0)</f>
        <v>A</v>
      </c>
      <c r="M68" s="3231">
        <f>+VLOOKUP(C68,'Đội 1'!C68:M149,11,0)</f>
        <v>372127</v>
      </c>
      <c r="N68" s="3231">
        <f>+VLOOKUP(C68,'Đội 1'!$C$18:$S$99,12,0)</f>
        <v>15</v>
      </c>
      <c r="O68" s="3231">
        <f>+VLOOKUP(C68,'Đội 1'!$C$18:$S$99,13,0)</f>
        <v>3</v>
      </c>
      <c r="P68" s="3231">
        <f t="shared" si="7"/>
        <v>18</v>
      </c>
      <c r="Q68" s="3231">
        <f>+VLOOKUP(C68,'Đội 1'!$C$18:$S$99,15,0)</f>
        <v>0</v>
      </c>
      <c r="R68" s="3231">
        <f>+VLOOKUP(C68,'Đội 1'!$C$18:$S$99,16,0)</f>
        <v>500000</v>
      </c>
      <c r="S68" s="3231">
        <f>+VLOOKUP(C68,'Đội 1'!C68:S149,17,0)</f>
        <v>1464778.76</v>
      </c>
      <c r="T68" s="3231">
        <f t="shared" si="5"/>
        <v>1836905.76</v>
      </c>
      <c r="U68" s="3816"/>
      <c r="V68" s="3231">
        <f t="shared" si="6"/>
        <v>1836905.76</v>
      </c>
      <c r="W68" s="1499"/>
      <c r="X68" s="1499"/>
      <c r="Y68" s="1500"/>
      <c r="Z68" s="1501"/>
    </row>
    <row r="69" spans="1:26" s="1502" customFormat="1" ht="34.5" customHeight="1">
      <c r="A69" s="3231">
        <v>52</v>
      </c>
      <c r="B69" s="3816"/>
      <c r="C69" s="3715" t="s">
        <v>2212</v>
      </c>
      <c r="D69" s="3816"/>
      <c r="E69" s="3231" t="s">
        <v>167</v>
      </c>
      <c r="F69" s="3009"/>
      <c r="G69" s="3717"/>
      <c r="H69" s="3231">
        <f t="shared" si="3"/>
        <v>0</v>
      </c>
      <c r="I69" s="3231">
        <f>+VLOOKUP(C69,'Đội 1'!C69:H150,6,0)</f>
        <v>80</v>
      </c>
      <c r="J69" s="3231"/>
      <c r="K69" s="3231">
        <f>+VLOOKUP(C69,'Đội 1'!C69:K150,8,0)</f>
        <v>46.051183325414648</v>
      </c>
      <c r="L69" s="3231" t="str">
        <f>+VLOOKUP(C69,'Đội 1'!C69:L150,10,0)</f>
        <v>A</v>
      </c>
      <c r="M69" s="3231">
        <f>+VLOOKUP(C69,'Đội 1'!C69:M150,11,0)</f>
        <v>181525</v>
      </c>
      <c r="N69" s="3231">
        <f>+VLOOKUP(C69,'Đội 1'!$C$18:$S$99,12,0)</f>
        <v>15</v>
      </c>
      <c r="O69" s="3231">
        <f>+VLOOKUP(C69,'Đội 1'!$C$18:$S$99,13,0)</f>
        <v>3</v>
      </c>
      <c r="P69" s="3231">
        <f t="shared" si="7"/>
        <v>18</v>
      </c>
      <c r="Q69" s="3231">
        <f>+VLOOKUP(C69,'Đội 1'!$C$18:$S$99,15,0)</f>
        <v>0</v>
      </c>
      <c r="R69" s="3231">
        <f>+VLOOKUP(C69,'Đội 1'!$C$18:$S$99,16,0)</f>
        <v>500000</v>
      </c>
      <c r="S69" s="3231">
        <f>+VLOOKUP(C69,'Đội 1'!C69:S150,17,0)</f>
        <v>1464778.76</v>
      </c>
      <c r="T69" s="3231">
        <f t="shared" si="5"/>
        <v>1646303.76</v>
      </c>
      <c r="U69" s="3816"/>
      <c r="V69" s="3231">
        <f t="shared" si="6"/>
        <v>1646303.76</v>
      </c>
      <c r="W69" s="1499"/>
      <c r="X69" s="1499"/>
      <c r="Y69" s="1500"/>
      <c r="Z69" s="1501"/>
    </row>
    <row r="70" spans="1:26" s="1502" customFormat="1" ht="34.5" customHeight="1">
      <c r="A70" s="3231">
        <v>53</v>
      </c>
      <c r="B70" s="3816"/>
      <c r="C70" s="3715" t="s">
        <v>2213</v>
      </c>
      <c r="D70" s="3816"/>
      <c r="E70" s="3231" t="s">
        <v>167</v>
      </c>
      <c r="F70" s="3009"/>
      <c r="G70" s="3717"/>
      <c r="H70" s="3231">
        <f t="shared" si="3"/>
        <v>0</v>
      </c>
      <c r="I70" s="3231">
        <f>+VLOOKUP(C70,'Đội 1'!C70:H151,6,0)</f>
        <v>79</v>
      </c>
      <c r="J70" s="3231"/>
      <c r="K70" s="3231">
        <f>+VLOOKUP(C70,'Đội 1'!C70:K151,8,0)</f>
        <v>45.475543533846967</v>
      </c>
      <c r="L70" s="3231" t="str">
        <f>+VLOOKUP(C70,'Đội 1'!C70:L151,10,0)</f>
        <v>A</v>
      </c>
      <c r="M70" s="3231">
        <f>+VLOOKUP(C70,'Đội 1'!C70:M151,11,0)</f>
        <v>179256</v>
      </c>
      <c r="N70" s="3231">
        <f>+VLOOKUP(C70,'Đội 1'!$C$18:$S$99,12,0)</f>
        <v>13</v>
      </c>
      <c r="O70" s="3231">
        <f>+VLOOKUP(C70,'Đội 1'!$C$18:$S$99,13,0)</f>
        <v>2</v>
      </c>
      <c r="P70" s="3231">
        <f t="shared" si="7"/>
        <v>15</v>
      </c>
      <c r="Q70" s="3231">
        <f>+VLOOKUP(C70,'Đội 1'!$C$18:$S$99,15,0)</f>
        <v>0</v>
      </c>
      <c r="R70" s="3231">
        <f>+VLOOKUP(C70,'Đội 1'!$C$18:$S$99,16,0)</f>
        <v>500000</v>
      </c>
      <c r="S70" s="3231">
        <f>+VLOOKUP(C70,'Đội 1'!C70:S151,17,0)</f>
        <v>1293882.98</v>
      </c>
      <c r="T70" s="3231">
        <f t="shared" si="5"/>
        <v>1473138.98</v>
      </c>
      <c r="U70" s="3816"/>
      <c r="V70" s="3231">
        <f t="shared" si="6"/>
        <v>1473138.98</v>
      </c>
      <c r="W70" s="1499"/>
      <c r="X70" s="1499"/>
      <c r="Y70" s="1500"/>
      <c r="Z70" s="1501"/>
    </row>
    <row r="71" spans="1:26" s="1502" customFormat="1" ht="34.5" customHeight="1">
      <c r="A71" s="3231">
        <v>54</v>
      </c>
      <c r="B71" s="3816"/>
      <c r="C71" s="3715" t="s">
        <v>2214</v>
      </c>
      <c r="D71" s="3816"/>
      <c r="E71" s="3231" t="s">
        <v>167</v>
      </c>
      <c r="F71" s="3009"/>
      <c r="G71" s="3717"/>
      <c r="H71" s="3231">
        <f t="shared" si="3"/>
        <v>0</v>
      </c>
      <c r="I71" s="3231">
        <f>+VLOOKUP(C71,'Đội 1'!C71:H152,6,0)</f>
        <v>118</v>
      </c>
      <c r="J71" s="3231"/>
      <c r="K71" s="3231">
        <f>+VLOOKUP(C71,'Đội 1'!C71:K152,8,0)</f>
        <v>67.925495404986606</v>
      </c>
      <c r="L71" s="3231" t="str">
        <f>+VLOOKUP(C71,'Đội 1'!C71:L152,10,0)</f>
        <v>A</v>
      </c>
      <c r="M71" s="3231">
        <f>+VLOOKUP(C71,'Đội 1'!C71:M152,11,0)</f>
        <v>267750</v>
      </c>
      <c r="N71" s="3231">
        <f>+VLOOKUP(C71,'Đội 1'!$C$18:$S$99,12,0)</f>
        <v>12</v>
      </c>
      <c r="O71" s="3231">
        <f>+VLOOKUP(C71,'Đội 1'!$C$18:$S$99,13,0)</f>
        <v>2</v>
      </c>
      <c r="P71" s="3231">
        <f t="shared" si="7"/>
        <v>14</v>
      </c>
      <c r="Q71" s="3231">
        <f>+VLOOKUP(C71,'Đội 1'!$C$18:$S$99,15,0)</f>
        <v>0</v>
      </c>
      <c r="R71" s="3231">
        <f>+VLOOKUP(C71,'Đội 1'!$C$18:$S$99,16,0)</f>
        <v>500000</v>
      </c>
      <c r="S71" s="3231">
        <f>+VLOOKUP(C71,'Đội 1'!C71:S152,17,0)</f>
        <v>1243650.6000000001</v>
      </c>
      <c r="T71" s="3231">
        <f t="shared" si="5"/>
        <v>1511400.6</v>
      </c>
      <c r="U71" s="3816"/>
      <c r="V71" s="3231">
        <f t="shared" si="6"/>
        <v>1511400.6</v>
      </c>
      <c r="W71" s="1499"/>
      <c r="X71" s="1499"/>
      <c r="Y71" s="1500"/>
      <c r="Z71" s="1501"/>
    </row>
    <row r="72" spans="1:26" s="1502" customFormat="1" ht="34.5" customHeight="1">
      <c r="A72" s="3231">
        <v>55</v>
      </c>
      <c r="B72" s="3816"/>
      <c r="C72" s="3715" t="s">
        <v>2215</v>
      </c>
      <c r="D72" s="3816"/>
      <c r="E72" s="3231" t="s">
        <v>167</v>
      </c>
      <c r="F72" s="3009"/>
      <c r="G72" s="3717"/>
      <c r="H72" s="3231">
        <f t="shared" si="3"/>
        <v>0</v>
      </c>
      <c r="I72" s="3231">
        <f>+VLOOKUP(C72,'Đội 1'!C72:H153,6,0)</f>
        <v>124</v>
      </c>
      <c r="J72" s="3231"/>
      <c r="K72" s="3231">
        <f>+VLOOKUP(C72,'Đội 1'!C72:K153,8,0)</f>
        <v>71.379334154392708</v>
      </c>
      <c r="L72" s="3231" t="str">
        <f>+VLOOKUP(C72,'Đội 1'!C72:L153,10,0)</f>
        <v>A</v>
      </c>
      <c r="M72" s="3231">
        <f>+VLOOKUP(C72,'Đội 1'!C72:M153,11,0)</f>
        <v>281364</v>
      </c>
      <c r="N72" s="3231">
        <f>+VLOOKUP(C72,'Đội 1'!$C$18:$S$99,12,0)</f>
        <v>12</v>
      </c>
      <c r="O72" s="3231">
        <f>+VLOOKUP(C72,'Đội 1'!$C$18:$S$99,13,0)</f>
        <v>2</v>
      </c>
      <c r="P72" s="3231">
        <f t="shared" si="7"/>
        <v>14</v>
      </c>
      <c r="Q72" s="3231">
        <f>+VLOOKUP(C72,'Đội 1'!$C$18:$S$99,15,0)</f>
        <v>0</v>
      </c>
      <c r="R72" s="3231">
        <f>+VLOOKUP(C72,'Đội 1'!$C$18:$S$99,16,0)</f>
        <v>500000</v>
      </c>
      <c r="S72" s="3231">
        <f>+VLOOKUP(C72,'Đội 1'!C72:S153,17,0)</f>
        <v>1243650.6000000001</v>
      </c>
      <c r="T72" s="3231">
        <f t="shared" si="5"/>
        <v>1525014.6</v>
      </c>
      <c r="U72" s="3816"/>
      <c r="V72" s="3231">
        <f t="shared" si="6"/>
        <v>1525014.6</v>
      </c>
      <c r="W72" s="1499"/>
      <c r="X72" s="1499"/>
      <c r="Y72" s="1500"/>
      <c r="Z72" s="1501"/>
    </row>
    <row r="73" spans="1:26" s="1502" customFormat="1" ht="34.5" customHeight="1">
      <c r="A73" s="3231">
        <v>56</v>
      </c>
      <c r="B73" s="3816"/>
      <c r="C73" s="3715" t="s">
        <v>307</v>
      </c>
      <c r="D73" s="3816"/>
      <c r="E73" s="3231" t="s">
        <v>167</v>
      </c>
      <c r="F73" s="3009"/>
      <c r="G73" s="3717"/>
      <c r="H73" s="3231">
        <f t="shared" si="3"/>
        <v>0</v>
      </c>
      <c r="I73" s="3231">
        <f>+VLOOKUP(C73,'Đội 1'!C73:H154,6,0)</f>
        <v>89</v>
      </c>
      <c r="J73" s="3231"/>
      <c r="K73" s="3231">
        <f>+VLOOKUP(C73,'Đội 1'!C73:K154,8,0)</f>
        <v>51.231941449523795</v>
      </c>
      <c r="L73" s="3231" t="str">
        <f>+VLOOKUP(C73,'Đội 1'!C73:L154,10,0)</f>
        <v>A</v>
      </c>
      <c r="M73" s="3231">
        <f>+VLOOKUP(C73,'Đội 1'!C73:M154,11,0)</f>
        <v>201947</v>
      </c>
      <c r="N73" s="3231">
        <f>+VLOOKUP(C73,'Đội 1'!$C$18:$S$99,12,0)</f>
        <v>12</v>
      </c>
      <c r="O73" s="3231">
        <f>+VLOOKUP(C73,'Đội 1'!$C$18:$S$99,13,0)</f>
        <v>2</v>
      </c>
      <c r="P73" s="3231">
        <f t="shared" si="7"/>
        <v>14</v>
      </c>
      <c r="Q73" s="3231">
        <f>+VLOOKUP(C73,'Đội 1'!$C$18:$S$99,15,0)</f>
        <v>0</v>
      </c>
      <c r="R73" s="3231">
        <f>+VLOOKUP(C73,'Đội 1'!$C$18:$S$99,16,0)</f>
        <v>500000</v>
      </c>
      <c r="S73" s="3231">
        <f>+VLOOKUP(C73,'Đội 1'!C73:S154,17,0)</f>
        <v>1243650.6000000001</v>
      </c>
      <c r="T73" s="3231">
        <f t="shared" si="5"/>
        <v>1445597.6</v>
      </c>
      <c r="U73" s="3816"/>
      <c r="V73" s="3231">
        <f t="shared" si="6"/>
        <v>1445597.6</v>
      </c>
      <c r="W73" s="1499"/>
      <c r="X73" s="1499"/>
      <c r="Y73" s="1500"/>
      <c r="Z73" s="1501"/>
    </row>
    <row r="74" spans="1:26" s="1502" customFormat="1" ht="34.5" customHeight="1">
      <c r="A74" s="3231">
        <v>57</v>
      </c>
      <c r="B74" s="3816"/>
      <c r="C74" s="3715" t="s">
        <v>2216</v>
      </c>
      <c r="D74" s="3816"/>
      <c r="E74" s="3231" t="s">
        <v>167</v>
      </c>
      <c r="F74" s="3009"/>
      <c r="G74" s="3717"/>
      <c r="H74" s="3231">
        <f t="shared" si="3"/>
        <v>0</v>
      </c>
      <c r="I74" s="3231">
        <f>+VLOOKUP(C74,'Đội 1'!C74:H155,6,0)</f>
        <v>100</v>
      </c>
      <c r="J74" s="3231"/>
      <c r="K74" s="3231">
        <f>+VLOOKUP(C74,'Đội 1'!C74:K155,8,0)</f>
        <v>57.563979156768305</v>
      </c>
      <c r="L74" s="3231" t="str">
        <f>+VLOOKUP(C74,'Đội 1'!C74:L155,10,0)</f>
        <v>A</v>
      </c>
      <c r="M74" s="3231">
        <f>+VLOOKUP(C74,'Đội 1'!C74:M155,11,0)</f>
        <v>226907</v>
      </c>
      <c r="N74" s="3231">
        <f>+VLOOKUP(C74,'Đội 1'!$C$18:$S$99,12,0)</f>
        <v>12</v>
      </c>
      <c r="O74" s="3231">
        <f>+VLOOKUP(C74,'Đội 1'!$C$18:$S$99,13,0)</f>
        <v>2</v>
      </c>
      <c r="P74" s="3231">
        <f t="shared" si="7"/>
        <v>14</v>
      </c>
      <c r="Q74" s="3231">
        <f>+VLOOKUP(C74,'Đội 1'!$C$18:$S$99,15,0)</f>
        <v>0</v>
      </c>
      <c r="R74" s="3231">
        <f>+VLOOKUP(C74,'Đội 1'!$C$18:$S$99,16,0)</f>
        <v>500000</v>
      </c>
      <c r="S74" s="3231">
        <f>+VLOOKUP(C74,'Đội 1'!C74:S155,17,0)</f>
        <v>1243650.6000000001</v>
      </c>
      <c r="T74" s="3231">
        <f t="shared" si="5"/>
        <v>1470557.6</v>
      </c>
      <c r="U74" s="3816"/>
      <c r="V74" s="3231">
        <f t="shared" si="6"/>
        <v>1470557.6</v>
      </c>
      <c r="W74" s="1499"/>
      <c r="X74" s="1499"/>
      <c r="Y74" s="1500"/>
      <c r="Z74" s="1501"/>
    </row>
    <row r="75" spans="1:26" s="1502" customFormat="1" ht="34.5" customHeight="1">
      <c r="A75" s="3231">
        <v>58</v>
      </c>
      <c r="B75" s="3816"/>
      <c r="C75" s="3715" t="s">
        <v>2217</v>
      </c>
      <c r="D75" s="3816"/>
      <c r="E75" s="3231" t="s">
        <v>167</v>
      </c>
      <c r="F75" s="3009"/>
      <c r="G75" s="3717"/>
      <c r="H75" s="3231">
        <f t="shared" si="3"/>
        <v>0</v>
      </c>
      <c r="I75" s="3231">
        <f>+VLOOKUP(C75,'Đội 1'!C75:H156,6,0)</f>
        <v>200</v>
      </c>
      <c r="J75" s="3231"/>
      <c r="K75" s="3231">
        <f>+VLOOKUP(C75,'Đội 1'!C75:K156,8,0)</f>
        <v>115.12795831353661</v>
      </c>
      <c r="L75" s="3231" t="str">
        <f>+VLOOKUP(C75,'Đội 1'!C75:L156,10,0)</f>
        <v>A</v>
      </c>
      <c r="M75" s="3231">
        <f>+VLOOKUP(C75,'Đội 1'!C75:M156,11,0)</f>
        <v>453814</v>
      </c>
      <c r="N75" s="3231">
        <f>+VLOOKUP(C75,'Đội 1'!$C$18:$S$99,12,0)</f>
        <v>14</v>
      </c>
      <c r="O75" s="3231">
        <f>+VLOOKUP(C75,'Đội 1'!$C$18:$S$99,13,0)</f>
        <v>3</v>
      </c>
      <c r="P75" s="3231">
        <f t="shared" si="7"/>
        <v>17</v>
      </c>
      <c r="Q75" s="3231">
        <f>+VLOOKUP(C75,'Đội 1'!$C$18:$S$99,15,0)</f>
        <v>0</v>
      </c>
      <c r="R75" s="3231">
        <f>+VLOOKUP(C75,'Đội 1'!$C$18:$S$99,16,0)</f>
        <v>500000</v>
      </c>
      <c r="S75" s="3231">
        <f>+VLOOKUP(C75,'Đội 1'!C75:S156,17,0)</f>
        <v>1414546.38</v>
      </c>
      <c r="T75" s="3231">
        <f t="shared" si="5"/>
        <v>1868360.38</v>
      </c>
      <c r="U75" s="3816"/>
      <c r="V75" s="3231">
        <f t="shared" si="6"/>
        <v>1868360.38</v>
      </c>
      <c r="W75" s="1499"/>
      <c r="X75" s="1499"/>
      <c r="Y75" s="1500"/>
      <c r="Z75" s="1501"/>
    </row>
    <row r="76" spans="1:26" s="1502" customFormat="1" ht="34.5" customHeight="1">
      <c r="A76" s="3231">
        <v>59</v>
      </c>
      <c r="B76" s="3816"/>
      <c r="C76" s="3715" t="s">
        <v>2218</v>
      </c>
      <c r="D76" s="3816"/>
      <c r="E76" s="3231" t="s">
        <v>167</v>
      </c>
      <c r="F76" s="3009"/>
      <c r="G76" s="3717"/>
      <c r="H76" s="3231">
        <f t="shared" si="3"/>
        <v>0</v>
      </c>
      <c r="I76" s="3231">
        <f>+VLOOKUP(C76,'Đội 1'!C76:H157,6,0)</f>
        <v>208</v>
      </c>
      <c r="J76" s="3231"/>
      <c r="K76" s="3231">
        <f>+VLOOKUP(C76,'Đội 1'!C76:K157,8,0)</f>
        <v>119.73307664607808</v>
      </c>
      <c r="L76" s="3231" t="str">
        <f>+VLOOKUP(C76,'Đội 1'!C76:L157,10,0)</f>
        <v>A</v>
      </c>
      <c r="M76" s="3231">
        <f>+VLOOKUP(C76,'Đội 1'!C76:M157,11,0)</f>
        <v>471966</v>
      </c>
      <c r="N76" s="3231">
        <f>+VLOOKUP(C76,'Đội 1'!$C$18:$S$99,12,0)</f>
        <v>15</v>
      </c>
      <c r="O76" s="3231">
        <f>+VLOOKUP(C76,'Đội 1'!$C$18:$S$99,13,0)</f>
        <v>3</v>
      </c>
      <c r="P76" s="3231">
        <f t="shared" si="7"/>
        <v>18</v>
      </c>
      <c r="Q76" s="3231">
        <f>+VLOOKUP(C76,'Đội 1'!$C$18:$S$99,15,0)</f>
        <v>0</v>
      </c>
      <c r="R76" s="3231">
        <f>+VLOOKUP(C76,'Đội 1'!$C$18:$S$99,16,0)</f>
        <v>500000</v>
      </c>
      <c r="S76" s="3231">
        <f>+VLOOKUP(C76,'Đội 1'!C76:S157,17,0)</f>
        <v>1464778.76</v>
      </c>
      <c r="T76" s="3231">
        <f t="shared" si="5"/>
        <v>1936744.76</v>
      </c>
      <c r="U76" s="3816"/>
      <c r="V76" s="3231">
        <f t="shared" si="6"/>
        <v>1936744.76</v>
      </c>
      <c r="W76" s="1499"/>
      <c r="X76" s="1499"/>
      <c r="Y76" s="1500"/>
      <c r="Z76" s="1501"/>
    </row>
    <row r="77" spans="1:26" s="1502" customFormat="1" ht="34.5" customHeight="1">
      <c r="A77" s="3231">
        <v>60</v>
      </c>
      <c r="B77" s="3816"/>
      <c r="C77" s="3715" t="s">
        <v>2219</v>
      </c>
      <c r="D77" s="3816"/>
      <c r="E77" s="3231" t="s">
        <v>167</v>
      </c>
      <c r="F77" s="3009"/>
      <c r="G77" s="3717"/>
      <c r="H77" s="3231">
        <f t="shared" si="3"/>
        <v>0</v>
      </c>
      <c r="I77" s="3231">
        <f>+VLOOKUP(C77,'Đội 1'!C77:H158,6,0)</f>
        <v>118</v>
      </c>
      <c r="J77" s="3231"/>
      <c r="K77" s="3231">
        <f>+VLOOKUP(C77,'Đội 1'!C77:K158,8,0)</f>
        <v>67.925495404986606</v>
      </c>
      <c r="L77" s="3231" t="str">
        <f>+VLOOKUP(C77,'Đội 1'!C77:L158,10,0)</f>
        <v>A</v>
      </c>
      <c r="M77" s="3231">
        <f>+VLOOKUP(C77,'Đội 1'!C77:M158,11,0)</f>
        <v>267750</v>
      </c>
      <c r="N77" s="3231">
        <f>+VLOOKUP(C77,'Đội 1'!$C$18:$S$99,12,0)</f>
        <v>15</v>
      </c>
      <c r="O77" s="3231">
        <f>+VLOOKUP(C77,'Đội 1'!$C$18:$S$99,13,0)</f>
        <v>3</v>
      </c>
      <c r="P77" s="3231">
        <f t="shared" si="7"/>
        <v>18</v>
      </c>
      <c r="Q77" s="3231">
        <f>+VLOOKUP(C77,'Đội 1'!$C$18:$S$99,15,0)</f>
        <v>0</v>
      </c>
      <c r="R77" s="3231">
        <f>+VLOOKUP(C77,'Đội 1'!$C$18:$S$99,16,0)</f>
        <v>500000</v>
      </c>
      <c r="S77" s="3231">
        <f>+VLOOKUP(C77,'Đội 1'!C77:S158,17,0)</f>
        <v>1464778.76</v>
      </c>
      <c r="T77" s="3231">
        <f t="shared" si="5"/>
        <v>1732528.76</v>
      </c>
      <c r="U77" s="3816"/>
      <c r="V77" s="3231">
        <f t="shared" si="6"/>
        <v>1732528.76</v>
      </c>
      <c r="W77" s="1499"/>
      <c r="X77" s="1499"/>
      <c r="Y77" s="1500"/>
      <c r="Z77" s="1501"/>
    </row>
    <row r="78" spans="1:26" s="1502" customFormat="1" ht="34.5" customHeight="1">
      <c r="A78" s="3231">
        <v>61</v>
      </c>
      <c r="B78" s="3816"/>
      <c r="C78" s="3715" t="s">
        <v>2220</v>
      </c>
      <c r="D78" s="3816"/>
      <c r="E78" s="3231" t="s">
        <v>167</v>
      </c>
      <c r="F78" s="3009"/>
      <c r="G78" s="3717"/>
      <c r="H78" s="3231">
        <f t="shared" si="3"/>
        <v>0</v>
      </c>
      <c r="I78" s="3231">
        <f>+VLOOKUP(C78,'Đội 1'!C78:H159,6,0)</f>
        <v>124</v>
      </c>
      <c r="J78" s="3231"/>
      <c r="K78" s="3231">
        <f>+VLOOKUP(C78,'Đội 1'!C78:K159,8,0)</f>
        <v>71.379334154392708</v>
      </c>
      <c r="L78" s="3231" t="str">
        <f>+VLOOKUP(C78,'Đội 1'!C78:L159,10,0)</f>
        <v>A</v>
      </c>
      <c r="M78" s="3231">
        <f>+VLOOKUP(C78,'Đội 1'!C78:M159,11,0)</f>
        <v>281364</v>
      </c>
      <c r="N78" s="3231">
        <f>+VLOOKUP(C78,'Đội 1'!$C$18:$S$99,12,0)</f>
        <v>14</v>
      </c>
      <c r="O78" s="3231">
        <f>+VLOOKUP(C78,'Đội 1'!$C$18:$S$99,13,0)</f>
        <v>3</v>
      </c>
      <c r="P78" s="3231">
        <f t="shared" si="7"/>
        <v>17</v>
      </c>
      <c r="Q78" s="3231">
        <f>+VLOOKUP(C78,'Đội 1'!$C$18:$S$99,15,0)</f>
        <v>0</v>
      </c>
      <c r="R78" s="3231">
        <f>+VLOOKUP(C78,'Đội 1'!$C$18:$S$99,16,0)</f>
        <v>500000</v>
      </c>
      <c r="S78" s="3231">
        <f>+VLOOKUP(C78,'Đội 1'!C78:S159,17,0)</f>
        <v>1414546.38</v>
      </c>
      <c r="T78" s="3231">
        <f t="shared" si="5"/>
        <v>1695910.38</v>
      </c>
      <c r="U78" s="3816"/>
      <c r="V78" s="3231">
        <f t="shared" si="6"/>
        <v>1695910.38</v>
      </c>
      <c r="W78" s="1499"/>
      <c r="X78" s="1499"/>
      <c r="Y78" s="1500"/>
      <c r="Z78" s="1501"/>
    </row>
    <row r="79" spans="1:26" s="1502" customFormat="1" ht="34.5" customHeight="1">
      <c r="A79" s="3231">
        <v>62</v>
      </c>
      <c r="B79" s="3816"/>
      <c r="C79" s="3715" t="s">
        <v>1189</v>
      </c>
      <c r="D79" s="3816"/>
      <c r="E79" s="3231" t="s">
        <v>167</v>
      </c>
      <c r="F79" s="3009"/>
      <c r="G79" s="3717"/>
      <c r="H79" s="3231">
        <f t="shared" si="3"/>
        <v>0</v>
      </c>
      <c r="I79" s="3231">
        <f>+VLOOKUP(C79,'Đội 1'!C79:H160,6,0)</f>
        <v>162</v>
      </c>
      <c r="J79" s="3231"/>
      <c r="K79" s="3231">
        <f>+VLOOKUP(C79,'Đội 1'!C79:K160,8,0)</f>
        <v>93.253646233964659</v>
      </c>
      <c r="L79" s="3231" t="str">
        <f>+VLOOKUP(C79,'Đội 1'!C79:L160,10,0)</f>
        <v>A</v>
      </c>
      <c r="M79" s="3231">
        <f>+VLOOKUP(C79,'Đội 1'!C79:M160,11,0)</f>
        <v>367589</v>
      </c>
      <c r="N79" s="3231">
        <f>+VLOOKUP(C79,'Đội 1'!$C$18:$S$99,12,0)</f>
        <v>15</v>
      </c>
      <c r="O79" s="3231">
        <f>+VLOOKUP(C79,'Đội 1'!$C$18:$S$99,13,0)</f>
        <v>3</v>
      </c>
      <c r="P79" s="3231">
        <f t="shared" si="7"/>
        <v>18</v>
      </c>
      <c r="Q79" s="3231">
        <f>+VLOOKUP(C79,'Đội 1'!$C$18:$S$99,15,0)</f>
        <v>0</v>
      </c>
      <c r="R79" s="3231">
        <f>+VLOOKUP(C79,'Đội 1'!$C$18:$S$99,16,0)</f>
        <v>500000</v>
      </c>
      <c r="S79" s="3231">
        <f>+VLOOKUP(C79,'Đội 1'!C79:S160,17,0)</f>
        <v>1464778.76</v>
      </c>
      <c r="T79" s="3231">
        <f t="shared" si="5"/>
        <v>1832367.76</v>
      </c>
      <c r="U79" s="3816"/>
      <c r="V79" s="3231">
        <f t="shared" si="6"/>
        <v>1832367.76</v>
      </c>
      <c r="W79" s="1499"/>
      <c r="X79" s="1499"/>
      <c r="Y79" s="1500"/>
      <c r="Z79" s="1501"/>
    </row>
    <row r="80" spans="1:26" s="1502" customFormat="1" ht="34.5" customHeight="1">
      <c r="A80" s="3231">
        <v>63</v>
      </c>
      <c r="B80" s="3816"/>
      <c r="C80" s="3715" t="s">
        <v>1908</v>
      </c>
      <c r="D80" s="3816"/>
      <c r="E80" s="3231" t="s">
        <v>167</v>
      </c>
      <c r="F80" s="3009"/>
      <c r="G80" s="3717"/>
      <c r="H80" s="3231">
        <f t="shared" si="3"/>
        <v>0</v>
      </c>
      <c r="I80" s="3231">
        <f>+VLOOKUP(C80,'Đội 1'!C80:H161,6,0)</f>
        <v>156</v>
      </c>
      <c r="J80" s="3231"/>
      <c r="K80" s="3231">
        <f>+VLOOKUP(C80,'Đội 1'!C80:K161,8,0)</f>
        <v>89.799807484558556</v>
      </c>
      <c r="L80" s="3231" t="str">
        <f>+VLOOKUP(C80,'Đội 1'!C80:L161,10,0)</f>
        <v>A</v>
      </c>
      <c r="M80" s="3231">
        <f>+VLOOKUP(C80,'Đội 1'!C80:M161,11,0)</f>
        <v>353975</v>
      </c>
      <c r="N80" s="3231">
        <f>+VLOOKUP(C80,'Đội 1'!$C$18:$S$99,12,0)</f>
        <v>15</v>
      </c>
      <c r="O80" s="3231">
        <f>+VLOOKUP(C80,'Đội 1'!$C$18:$S$99,13,0)</f>
        <v>3</v>
      </c>
      <c r="P80" s="3231">
        <f t="shared" si="7"/>
        <v>18</v>
      </c>
      <c r="Q80" s="3231">
        <f>+VLOOKUP(C80,'Đội 1'!$C$18:$S$99,15,0)</f>
        <v>0</v>
      </c>
      <c r="R80" s="3231">
        <f>+VLOOKUP(C80,'Đội 1'!$C$18:$S$99,16,0)</f>
        <v>500000</v>
      </c>
      <c r="S80" s="3231">
        <f>+VLOOKUP(C80,'Đội 1'!C80:S161,17,0)</f>
        <v>1464778.76</v>
      </c>
      <c r="T80" s="3231">
        <f t="shared" si="5"/>
        <v>1818753.76</v>
      </c>
      <c r="U80" s="3816"/>
      <c r="V80" s="3231">
        <f t="shared" si="6"/>
        <v>1818753.76</v>
      </c>
      <c r="W80" s="1499"/>
      <c r="X80" s="1499"/>
      <c r="Y80" s="1500"/>
      <c r="Z80" s="1501"/>
    </row>
    <row r="81" spans="1:26" s="1502" customFormat="1" ht="34.5" customHeight="1">
      <c r="A81" s="3231">
        <v>64</v>
      </c>
      <c r="B81" s="3816"/>
      <c r="C81" s="3715" t="s">
        <v>1914</v>
      </c>
      <c r="D81" s="3816"/>
      <c r="E81" s="3231" t="s">
        <v>167</v>
      </c>
      <c r="F81" s="3009"/>
      <c r="G81" s="3717"/>
      <c r="H81" s="3231">
        <f t="shared" si="3"/>
        <v>0</v>
      </c>
      <c r="I81" s="3231">
        <f>+VLOOKUP(C81,'Đội 1'!C81:H162,6,0)</f>
        <v>223</v>
      </c>
      <c r="J81" s="3231"/>
      <c r="K81" s="3231">
        <f>+VLOOKUP(C81,'Đội 1'!C81:K162,8,0)</f>
        <v>128.36767351959332</v>
      </c>
      <c r="L81" s="3231" t="str">
        <f>+VLOOKUP(C81,'Đội 1'!C81:L162,10,0)</f>
        <v>A</v>
      </c>
      <c r="M81" s="3231">
        <f>+VLOOKUP(C81,'Đội 1'!C81:M162,11,0)</f>
        <v>506002</v>
      </c>
      <c r="N81" s="3231">
        <f>+VLOOKUP(C81,'Đội 1'!$C$18:$S$99,12,0)</f>
        <v>15</v>
      </c>
      <c r="O81" s="3231">
        <f>+VLOOKUP(C81,'Đội 1'!$C$18:$S$99,13,0)</f>
        <v>3</v>
      </c>
      <c r="P81" s="3231">
        <f t="shared" si="7"/>
        <v>18</v>
      </c>
      <c r="Q81" s="3231">
        <f>+VLOOKUP(C81,'Đội 1'!$C$18:$S$99,15,0)</f>
        <v>0</v>
      </c>
      <c r="R81" s="3231">
        <f>+VLOOKUP(C81,'Đội 1'!$C$18:$S$99,16,0)</f>
        <v>500000</v>
      </c>
      <c r="S81" s="3231">
        <f>+VLOOKUP(C81,'Đội 1'!C81:S162,17,0)</f>
        <v>1464778.76</v>
      </c>
      <c r="T81" s="3231">
        <f t="shared" si="5"/>
        <v>1970780.76</v>
      </c>
      <c r="U81" s="3816"/>
      <c r="V81" s="3231">
        <f t="shared" si="6"/>
        <v>1970780.76</v>
      </c>
      <c r="W81" s="1499"/>
      <c r="X81" s="1499"/>
      <c r="Y81" s="1500"/>
      <c r="Z81" s="1501"/>
    </row>
    <row r="82" spans="1:26" s="1502" customFormat="1" ht="34.5" customHeight="1">
      <c r="A82" s="3231">
        <v>65</v>
      </c>
      <c r="B82" s="3816"/>
      <c r="C82" s="3715" t="s">
        <v>2221</v>
      </c>
      <c r="D82" s="3816"/>
      <c r="E82" s="3231" t="s">
        <v>167</v>
      </c>
      <c r="F82" s="3009"/>
      <c r="G82" s="3717"/>
      <c r="H82" s="3231">
        <f t="shared" si="3"/>
        <v>0</v>
      </c>
      <c r="I82" s="3231">
        <f>+VLOOKUP(C82,'Đội 1'!C82:H163,6,0)</f>
        <v>167</v>
      </c>
      <c r="J82" s="3231"/>
      <c r="K82" s="3231">
        <f>+VLOOKUP(C82,'Đội 1'!C82:K163,8,0)</f>
        <v>96.13184519180308</v>
      </c>
      <c r="L82" s="3231" t="str">
        <f>+VLOOKUP(C82,'Đội 1'!C82:L163,10,0)</f>
        <v>A</v>
      </c>
      <c r="M82" s="3231">
        <f>+VLOOKUP(C82,'Đội 1'!C82:M163,11,0)</f>
        <v>378934</v>
      </c>
      <c r="N82" s="3231">
        <f>+VLOOKUP(C82,'Đội 1'!$C$18:$S$99,12,0)</f>
        <v>15</v>
      </c>
      <c r="O82" s="3231">
        <f>+VLOOKUP(C82,'Đội 1'!$C$18:$S$99,13,0)</f>
        <v>3</v>
      </c>
      <c r="P82" s="3231">
        <f t="shared" si="7"/>
        <v>18</v>
      </c>
      <c r="Q82" s="3231">
        <f>+VLOOKUP(C82,'Đội 1'!$C$18:$S$99,15,0)</f>
        <v>0</v>
      </c>
      <c r="R82" s="3231">
        <f>+VLOOKUP(C82,'Đội 1'!$C$18:$S$99,16,0)</f>
        <v>500000</v>
      </c>
      <c r="S82" s="3231">
        <f>+VLOOKUP(C82,'Đội 1'!C82:S163,17,0)</f>
        <v>1464778.76</v>
      </c>
      <c r="T82" s="3231">
        <f t="shared" si="5"/>
        <v>1843712.76</v>
      </c>
      <c r="U82" s="3816"/>
      <c r="V82" s="3231">
        <f t="shared" si="6"/>
        <v>1843712.76</v>
      </c>
      <c r="W82" s="1499"/>
      <c r="X82" s="1499"/>
      <c r="Y82" s="1500"/>
      <c r="Z82" s="1501"/>
    </row>
    <row r="83" spans="1:26" s="1502" customFormat="1" ht="34.5" customHeight="1">
      <c r="A83" s="3231">
        <v>66</v>
      </c>
      <c r="B83" s="3816"/>
      <c r="C83" s="3715" t="s">
        <v>1903</v>
      </c>
      <c r="D83" s="3816"/>
      <c r="E83" s="3231" t="s">
        <v>167</v>
      </c>
      <c r="F83" s="3009"/>
      <c r="G83" s="3717"/>
      <c r="H83" s="3231">
        <f t="shared" ref="H83:H99" si="8">+G83*25000</f>
        <v>0</v>
      </c>
      <c r="I83" s="3231">
        <f>+VLOOKUP(C83,'Đội 1'!C83:H164,6,0)</f>
        <v>153</v>
      </c>
      <c r="J83" s="3231"/>
      <c r="K83" s="3231">
        <f>+VLOOKUP(C83,'Đội 1'!C83:K164,8,0)</f>
        <v>88.072888109855512</v>
      </c>
      <c r="L83" s="3231" t="str">
        <f>+VLOOKUP(C83,'Đội 1'!C83:L164,10,0)</f>
        <v>A</v>
      </c>
      <c r="M83" s="3231">
        <f>+VLOOKUP(C83,'Đội 1'!C83:M164,11,0)</f>
        <v>347167</v>
      </c>
      <c r="N83" s="3231">
        <f>+VLOOKUP(C83,'Đội 1'!$C$18:$S$99,12,0)</f>
        <v>15</v>
      </c>
      <c r="O83" s="3231">
        <f>+VLOOKUP(C83,'Đội 1'!$C$18:$S$99,13,0)</f>
        <v>3</v>
      </c>
      <c r="P83" s="3231">
        <f t="shared" si="7"/>
        <v>18</v>
      </c>
      <c r="Q83" s="3231">
        <f>+VLOOKUP(C83,'Đội 1'!$C$18:$S$99,15,0)</f>
        <v>0</v>
      </c>
      <c r="R83" s="3231">
        <f>+VLOOKUP(C83,'Đội 1'!$C$18:$S$99,16,0)</f>
        <v>500000</v>
      </c>
      <c r="S83" s="3231">
        <f>+VLOOKUP(C83,'Đội 1'!C83:S164,17,0)</f>
        <v>1464778.76</v>
      </c>
      <c r="T83" s="3231">
        <f t="shared" ref="T83:T99" si="9">+H83+M83+S83</f>
        <v>1811945.76</v>
      </c>
      <c r="U83" s="3816"/>
      <c r="V83" s="3231">
        <f t="shared" ref="V83:V99" si="10">T83-U83</f>
        <v>1811945.76</v>
      </c>
      <c r="W83" s="1499"/>
      <c r="X83" s="1499"/>
      <c r="Y83" s="1500"/>
      <c r="Z83" s="1501"/>
    </row>
    <row r="84" spans="1:26" s="1502" customFormat="1" ht="34.5" customHeight="1">
      <c r="A84" s="3231">
        <v>67</v>
      </c>
      <c r="B84" s="3816"/>
      <c r="C84" s="3715" t="s">
        <v>2222</v>
      </c>
      <c r="D84" s="3816"/>
      <c r="E84" s="3231" t="s">
        <v>167</v>
      </c>
      <c r="F84" s="3009"/>
      <c r="G84" s="3717"/>
      <c r="H84" s="3231">
        <f t="shared" si="8"/>
        <v>0</v>
      </c>
      <c r="I84" s="3231">
        <f>+VLOOKUP(C84,'Đội 1'!C84:H165,6,0)</f>
        <v>162</v>
      </c>
      <c r="J84" s="3231"/>
      <c r="K84" s="3231">
        <f>+VLOOKUP(C84,'Đội 1'!C84:K165,8,0)</f>
        <v>93.253646233964659</v>
      </c>
      <c r="L84" s="3231" t="str">
        <f>+VLOOKUP(C84,'Đội 1'!C84:L165,10,0)</f>
        <v>A</v>
      </c>
      <c r="M84" s="3231">
        <f>+VLOOKUP(C84,'Đội 1'!C84:M165,11,0)</f>
        <v>367589</v>
      </c>
      <c r="N84" s="3231">
        <f>+VLOOKUP(C84,'Đội 1'!$C$18:$S$99,12,0)</f>
        <v>15</v>
      </c>
      <c r="O84" s="3231">
        <f>+VLOOKUP(C84,'Đội 1'!$C$18:$S$99,13,0)</f>
        <v>3</v>
      </c>
      <c r="P84" s="3231">
        <f t="shared" si="7"/>
        <v>18</v>
      </c>
      <c r="Q84" s="3231">
        <f>+VLOOKUP(C84,'Đội 1'!$C$18:$S$99,15,0)</f>
        <v>0</v>
      </c>
      <c r="R84" s="3231">
        <f>+VLOOKUP(C84,'Đội 1'!$C$18:$S$99,16,0)</f>
        <v>500000</v>
      </c>
      <c r="S84" s="3231">
        <f>+VLOOKUP(C84,'Đội 1'!C84:S165,17,0)</f>
        <v>1464778.76</v>
      </c>
      <c r="T84" s="3231">
        <f t="shared" si="9"/>
        <v>1832367.76</v>
      </c>
      <c r="U84" s="3816"/>
      <c r="V84" s="3231">
        <f t="shared" si="10"/>
        <v>1832367.76</v>
      </c>
      <c r="W84" s="1499"/>
      <c r="X84" s="1499"/>
      <c r="Y84" s="1500"/>
      <c r="Z84" s="1501"/>
    </row>
    <row r="85" spans="1:26" s="1502" customFormat="1" ht="34.5" customHeight="1">
      <c r="A85" s="3231">
        <v>68</v>
      </c>
      <c r="B85" s="3816"/>
      <c r="C85" s="3715" t="s">
        <v>1910</v>
      </c>
      <c r="D85" s="3816"/>
      <c r="E85" s="3231" t="s">
        <v>167</v>
      </c>
      <c r="F85" s="3009"/>
      <c r="G85" s="3717"/>
      <c r="H85" s="3231">
        <f t="shared" si="8"/>
        <v>0</v>
      </c>
      <c r="I85" s="3231">
        <f>+VLOOKUP(C85,'Đội 1'!C85:H166,6,0)</f>
        <v>147</v>
      </c>
      <c r="J85" s="3231"/>
      <c r="K85" s="3231">
        <f>+VLOOKUP(C85,'Đội 1'!C85:K166,8,0)</f>
        <v>84.619049360449409</v>
      </c>
      <c r="L85" s="3231" t="str">
        <f>+VLOOKUP(C85,'Đội 1'!C85:L166,10,0)</f>
        <v>A</v>
      </c>
      <c r="M85" s="3231">
        <f>+VLOOKUP(C85,'Đội 1'!C85:M166,11,0)</f>
        <v>333553</v>
      </c>
      <c r="N85" s="3231">
        <f>+VLOOKUP(C85,'Đội 1'!$C$18:$S$99,12,0)</f>
        <v>15</v>
      </c>
      <c r="O85" s="3231">
        <f>+VLOOKUP(C85,'Đội 1'!$C$18:$S$99,13,0)</f>
        <v>3</v>
      </c>
      <c r="P85" s="3231">
        <f t="shared" si="7"/>
        <v>18</v>
      </c>
      <c r="Q85" s="3231">
        <f>+VLOOKUP(C85,'Đội 1'!$C$18:$S$99,15,0)</f>
        <v>0</v>
      </c>
      <c r="R85" s="3231">
        <f>+VLOOKUP(C85,'Đội 1'!$C$18:$S$99,16,0)</f>
        <v>500000</v>
      </c>
      <c r="S85" s="3231">
        <f>+VLOOKUP(C85,'Đội 1'!C85:S166,17,0)</f>
        <v>1464778.76</v>
      </c>
      <c r="T85" s="3231">
        <f t="shared" si="9"/>
        <v>1798331.76</v>
      </c>
      <c r="U85" s="3816"/>
      <c r="V85" s="3231">
        <f t="shared" si="10"/>
        <v>1798331.76</v>
      </c>
      <c r="W85" s="1499"/>
      <c r="X85" s="1499"/>
      <c r="Y85" s="1500"/>
      <c r="Z85" s="1501"/>
    </row>
    <row r="86" spans="1:26" s="1502" customFormat="1" ht="34.5" customHeight="1">
      <c r="A86" s="3231">
        <v>69</v>
      </c>
      <c r="B86" s="3816"/>
      <c r="C86" s="3715" t="s">
        <v>2223</v>
      </c>
      <c r="D86" s="3816"/>
      <c r="E86" s="3231" t="s">
        <v>167</v>
      </c>
      <c r="F86" s="3009"/>
      <c r="G86" s="3717"/>
      <c r="H86" s="3231">
        <f t="shared" si="8"/>
        <v>0</v>
      </c>
      <c r="I86" s="3231">
        <f>+VLOOKUP(C86,'Đội 1'!C86:H167,6,0)</f>
        <v>152</v>
      </c>
      <c r="J86" s="3231"/>
      <c r="K86" s="3231">
        <f>+VLOOKUP(C86,'Đội 1'!C86:K167,8,0)</f>
        <v>87.497248318287831</v>
      </c>
      <c r="L86" s="3231" t="str">
        <f>+VLOOKUP(C86,'Đội 1'!C86:L167,10,0)</f>
        <v>A</v>
      </c>
      <c r="M86" s="3231">
        <f>+VLOOKUP(C86,'Đội 1'!C86:M167,11,0)</f>
        <v>344898</v>
      </c>
      <c r="N86" s="3231">
        <f>+VLOOKUP(C86,'Đội 1'!$C$18:$S$99,12,0)</f>
        <v>15</v>
      </c>
      <c r="O86" s="3231">
        <f>+VLOOKUP(C86,'Đội 1'!$C$18:$S$99,13,0)</f>
        <v>3</v>
      </c>
      <c r="P86" s="3231">
        <f t="shared" si="7"/>
        <v>18</v>
      </c>
      <c r="Q86" s="3231">
        <f>+VLOOKUP(C86,'Đội 1'!$C$18:$S$99,15,0)</f>
        <v>0</v>
      </c>
      <c r="R86" s="3231">
        <f>+VLOOKUP(C86,'Đội 1'!$C$18:$S$99,16,0)</f>
        <v>500000</v>
      </c>
      <c r="S86" s="3231">
        <f>+VLOOKUP(C86,'Đội 1'!C86:S167,17,0)</f>
        <v>1464778.76</v>
      </c>
      <c r="T86" s="3231">
        <f t="shared" si="9"/>
        <v>1809676.76</v>
      </c>
      <c r="U86" s="3816"/>
      <c r="V86" s="3231">
        <f t="shared" si="10"/>
        <v>1809676.76</v>
      </c>
      <c r="W86" s="1499"/>
      <c r="X86" s="1499"/>
      <c r="Y86" s="1500"/>
      <c r="Z86" s="1501"/>
    </row>
    <row r="87" spans="1:26" s="1502" customFormat="1" ht="34.5" customHeight="1">
      <c r="A87" s="3231">
        <v>70</v>
      </c>
      <c r="B87" s="3816"/>
      <c r="C87" s="3715" t="s">
        <v>2224</v>
      </c>
      <c r="D87" s="3816"/>
      <c r="E87" s="3231" t="s">
        <v>167</v>
      </c>
      <c r="F87" s="3009"/>
      <c r="G87" s="3717"/>
      <c r="H87" s="3231">
        <f t="shared" si="8"/>
        <v>0</v>
      </c>
      <c r="I87" s="3231">
        <f>+VLOOKUP(C87,'Đội 1'!C87:H168,6,0)</f>
        <v>189</v>
      </c>
      <c r="J87" s="3231"/>
      <c r="K87" s="3231">
        <f>+VLOOKUP(C87,'Đội 1'!C87:K168,8,0)</f>
        <v>108.7959206062921</v>
      </c>
      <c r="L87" s="3231" t="str">
        <f>+VLOOKUP(C87,'Đội 1'!C87:L168,10,0)</f>
        <v>A</v>
      </c>
      <c r="M87" s="3231">
        <f>+VLOOKUP(C87,'Đội 1'!C87:M168,11,0)</f>
        <v>428854</v>
      </c>
      <c r="N87" s="3231">
        <f>+VLOOKUP(C87,'Đội 1'!$C$18:$S$99,12,0)</f>
        <v>15</v>
      </c>
      <c r="O87" s="3231">
        <f>+VLOOKUP(C87,'Đội 1'!$C$18:$S$99,13,0)</f>
        <v>3</v>
      </c>
      <c r="P87" s="3231">
        <f t="shared" ref="P87:P99" si="11">+N87+O87</f>
        <v>18</v>
      </c>
      <c r="Q87" s="3231">
        <f>+VLOOKUP(C87,'Đội 1'!$C$18:$S$99,15,0)</f>
        <v>0</v>
      </c>
      <c r="R87" s="3231">
        <f>+VLOOKUP(C87,'Đội 1'!$C$18:$S$99,16,0)</f>
        <v>500000</v>
      </c>
      <c r="S87" s="3231">
        <f>+VLOOKUP(C87,'Đội 1'!C87:S168,17,0)</f>
        <v>1464778.76</v>
      </c>
      <c r="T87" s="3231">
        <f t="shared" si="9"/>
        <v>1893632.76</v>
      </c>
      <c r="U87" s="3816"/>
      <c r="V87" s="3231">
        <f t="shared" si="10"/>
        <v>1893632.76</v>
      </c>
      <c r="W87" s="1499"/>
      <c r="X87" s="1499"/>
      <c r="Y87" s="1500"/>
      <c r="Z87" s="1501"/>
    </row>
    <row r="88" spans="1:26" s="1502" customFormat="1" ht="34.5" customHeight="1">
      <c r="A88" s="3231">
        <v>71</v>
      </c>
      <c r="B88" s="3816"/>
      <c r="C88" s="3715" t="s">
        <v>2225</v>
      </c>
      <c r="D88" s="3816"/>
      <c r="E88" s="3231" t="s">
        <v>167</v>
      </c>
      <c r="F88" s="3009"/>
      <c r="G88" s="3717"/>
      <c r="H88" s="3231">
        <f t="shared" si="8"/>
        <v>0</v>
      </c>
      <c r="I88" s="3231">
        <f>+VLOOKUP(C88,'Đội 1'!C88:H169,6,0)</f>
        <v>200</v>
      </c>
      <c r="J88" s="3231"/>
      <c r="K88" s="3231">
        <f>+VLOOKUP(C88,'Đội 1'!C88:K169,8,0)</f>
        <v>115.12795831353661</v>
      </c>
      <c r="L88" s="3231" t="str">
        <f>+VLOOKUP(C88,'Đội 1'!C88:L169,10,0)</f>
        <v>A</v>
      </c>
      <c r="M88" s="3231">
        <f>+VLOOKUP(C88,'Đội 1'!C88:M169,11,0)</f>
        <v>453814</v>
      </c>
      <c r="N88" s="3231">
        <f>+VLOOKUP(C88,'Đội 1'!$C$18:$S$99,12,0)</f>
        <v>13</v>
      </c>
      <c r="O88" s="3231">
        <f>+VLOOKUP(C88,'Đội 1'!$C$18:$S$99,13,0)</f>
        <v>3</v>
      </c>
      <c r="P88" s="3231">
        <f t="shared" si="11"/>
        <v>16</v>
      </c>
      <c r="Q88" s="3231">
        <f>+VLOOKUP(C88,'Đội 1'!$C$18:$S$99,15,0)</f>
        <v>0</v>
      </c>
      <c r="R88" s="3231">
        <f>+VLOOKUP(C88,'Đội 1'!$C$18:$S$99,16,0)</f>
        <v>500000</v>
      </c>
      <c r="S88" s="3231">
        <f>+VLOOKUP(C88,'Đội 1'!C88:S169,17,0)</f>
        <v>1364314</v>
      </c>
      <c r="T88" s="3231">
        <f t="shared" si="9"/>
        <v>1818128</v>
      </c>
      <c r="U88" s="3816"/>
      <c r="V88" s="3231">
        <f t="shared" si="10"/>
        <v>1818128</v>
      </c>
      <c r="W88" s="1499"/>
      <c r="X88" s="1499"/>
      <c r="Y88" s="1500"/>
      <c r="Z88" s="1501"/>
    </row>
    <row r="89" spans="1:26" s="1502" customFormat="1" ht="34.5" customHeight="1">
      <c r="A89" s="3231">
        <v>72</v>
      </c>
      <c r="B89" s="3816"/>
      <c r="C89" s="3715" t="s">
        <v>2226</v>
      </c>
      <c r="D89" s="3816"/>
      <c r="E89" s="3231" t="s">
        <v>167</v>
      </c>
      <c r="F89" s="3009"/>
      <c r="G89" s="3717"/>
      <c r="H89" s="3231">
        <f t="shared" si="8"/>
        <v>0</v>
      </c>
      <c r="I89" s="3231">
        <f>+VLOOKUP(C89,'Đội 1'!C89:H170,6,0)</f>
        <v>165</v>
      </c>
      <c r="J89" s="3231"/>
      <c r="K89" s="3231">
        <f>+VLOOKUP(C89,'Đội 1'!C89:K170,8,0)</f>
        <v>94.980565608667703</v>
      </c>
      <c r="L89" s="3231" t="str">
        <f>+VLOOKUP(C89,'Đội 1'!C89:L170,10,0)</f>
        <v>A</v>
      </c>
      <c r="M89" s="3231">
        <f>+VLOOKUP(C89,'Đội 1'!C89:M170,11,0)</f>
        <v>374396</v>
      </c>
      <c r="N89" s="3231">
        <f>+VLOOKUP(C89,'Đội 1'!$C$18:$S$99,12,0)</f>
        <v>12</v>
      </c>
      <c r="O89" s="3231">
        <f>+VLOOKUP(C89,'Đội 1'!$C$18:$S$99,13,0)</f>
        <v>2</v>
      </c>
      <c r="P89" s="3231">
        <f t="shared" si="11"/>
        <v>14</v>
      </c>
      <c r="Q89" s="3231">
        <f>+VLOOKUP(C89,'Đội 1'!$C$18:$S$99,15,0)</f>
        <v>14</v>
      </c>
      <c r="R89" s="3231">
        <f>+VLOOKUP(C89,'Đội 1'!$C$18:$S$99,16,0)</f>
        <v>500000</v>
      </c>
      <c r="S89" s="3231">
        <f>+VLOOKUP(C89,'Đội 1'!C89:S170,17,0)</f>
        <v>1525513.44</v>
      </c>
      <c r="T89" s="3231">
        <f t="shared" si="9"/>
        <v>1899909.44</v>
      </c>
      <c r="U89" s="3816"/>
      <c r="V89" s="3231">
        <f t="shared" si="10"/>
        <v>1899909.44</v>
      </c>
      <c r="W89" s="1499"/>
      <c r="X89" s="1499"/>
      <c r="Y89" s="1500"/>
      <c r="Z89" s="1501"/>
    </row>
    <row r="90" spans="1:26" s="1502" customFormat="1" ht="34.5" customHeight="1">
      <c r="A90" s="3231">
        <v>73</v>
      </c>
      <c r="B90" s="3816"/>
      <c r="C90" s="3715" t="s">
        <v>2227</v>
      </c>
      <c r="D90" s="3816"/>
      <c r="E90" s="3231" t="s">
        <v>167</v>
      </c>
      <c r="F90" s="3009"/>
      <c r="G90" s="3717"/>
      <c r="H90" s="3231">
        <f t="shared" si="8"/>
        <v>0</v>
      </c>
      <c r="I90" s="3231">
        <f>+VLOOKUP(C90,'Đội 1'!C90:H171,6,0)</f>
        <v>169</v>
      </c>
      <c r="J90" s="3231"/>
      <c r="K90" s="3231">
        <f>+VLOOKUP(C90,'Đội 1'!C90:K171,8,0)</f>
        <v>97.283124774938443</v>
      </c>
      <c r="L90" s="3231" t="str">
        <f>+VLOOKUP(C90,'Đội 1'!C90:L171,10,0)</f>
        <v>A</v>
      </c>
      <c r="M90" s="3231">
        <f>+VLOOKUP(C90,'Đội 1'!C90:M171,11,0)</f>
        <v>383473</v>
      </c>
      <c r="N90" s="3231">
        <f>+VLOOKUP(C90,'Đội 1'!$C$18:$S$99,12,0)</f>
        <v>12</v>
      </c>
      <c r="O90" s="3231">
        <f>+VLOOKUP(C90,'Đội 1'!$C$18:$S$99,13,0)</f>
        <v>2</v>
      </c>
      <c r="P90" s="3231">
        <f t="shared" si="11"/>
        <v>14</v>
      </c>
      <c r="Q90" s="3231">
        <f>+VLOOKUP(C90,'Đội 1'!$C$18:$S$99,15,0)</f>
        <v>14</v>
      </c>
      <c r="R90" s="3231">
        <f>+VLOOKUP(C90,'Đội 1'!$C$18:$S$99,16,0)</f>
        <v>500000</v>
      </c>
      <c r="S90" s="3231">
        <f>+VLOOKUP(C90,'Đội 1'!C90:S171,17,0)</f>
        <v>1525513.44</v>
      </c>
      <c r="T90" s="3231">
        <f t="shared" si="9"/>
        <v>1908986.44</v>
      </c>
      <c r="U90" s="3816"/>
      <c r="V90" s="3231">
        <f t="shared" si="10"/>
        <v>1908986.44</v>
      </c>
      <c r="W90" s="1499"/>
      <c r="X90" s="1499"/>
      <c r="Y90" s="1500"/>
      <c r="Z90" s="1501"/>
    </row>
    <row r="91" spans="1:26" s="1502" customFormat="1" ht="34.5" customHeight="1">
      <c r="A91" s="3231">
        <v>74</v>
      </c>
      <c r="B91" s="3816"/>
      <c r="C91" s="3715" t="s">
        <v>2228</v>
      </c>
      <c r="D91" s="3816"/>
      <c r="E91" s="3231" t="s">
        <v>167</v>
      </c>
      <c r="F91" s="3009"/>
      <c r="G91" s="3717"/>
      <c r="H91" s="3231">
        <f t="shared" si="8"/>
        <v>0</v>
      </c>
      <c r="I91" s="3231">
        <f>+VLOOKUP(C91,'Đội 1'!C91:H172,6,0)</f>
        <v>117</v>
      </c>
      <c r="J91" s="3231"/>
      <c r="K91" s="3231">
        <f>+VLOOKUP(C91,'Đội 1'!C91:K172,8,0)</f>
        <v>67.349855613418924</v>
      </c>
      <c r="L91" s="3231" t="str">
        <f>+VLOOKUP(C91,'Đội 1'!C91:L172,10,0)</f>
        <v>A</v>
      </c>
      <c r="M91" s="3231">
        <f>+VLOOKUP(C91,'Đội 1'!C91:M172,11,0)</f>
        <v>265481</v>
      </c>
      <c r="N91" s="3231">
        <f>+VLOOKUP(C91,'Đội 1'!$C$18:$S$99,12,0)</f>
        <v>12</v>
      </c>
      <c r="O91" s="3231">
        <f>+VLOOKUP(C91,'Đội 1'!$C$18:$S$99,13,0)</f>
        <v>2</v>
      </c>
      <c r="P91" s="3231">
        <f t="shared" si="11"/>
        <v>14</v>
      </c>
      <c r="Q91" s="3231">
        <f>+VLOOKUP(C91,'Đội 1'!$C$18:$S$99,15,0)</f>
        <v>14</v>
      </c>
      <c r="R91" s="3231">
        <f>+VLOOKUP(C91,'Đội 1'!$C$18:$S$99,16,0)</f>
        <v>500000</v>
      </c>
      <c r="S91" s="3231">
        <f>+VLOOKUP(C91,'Đội 1'!C91:S172,17,0)</f>
        <v>1525513.44</v>
      </c>
      <c r="T91" s="3231">
        <f t="shared" si="9"/>
        <v>1790994.44</v>
      </c>
      <c r="U91" s="3816"/>
      <c r="V91" s="3231">
        <f t="shared" si="10"/>
        <v>1790994.44</v>
      </c>
      <c r="W91" s="1499"/>
      <c r="X91" s="1499"/>
      <c r="Y91" s="1500"/>
      <c r="Z91" s="1501"/>
    </row>
    <row r="92" spans="1:26" s="1502" customFormat="1" ht="34.5" customHeight="1">
      <c r="A92" s="3231">
        <v>75</v>
      </c>
      <c r="B92" s="3816"/>
      <c r="C92" s="3715" t="s">
        <v>2229</v>
      </c>
      <c r="D92" s="3816"/>
      <c r="E92" s="3231" t="s">
        <v>167</v>
      </c>
      <c r="F92" s="3009"/>
      <c r="G92" s="3717"/>
      <c r="H92" s="3231">
        <f t="shared" si="8"/>
        <v>0</v>
      </c>
      <c r="I92" s="3231">
        <f>+VLOOKUP(C92,'Đội 1'!C92:H173,6,0)</f>
        <v>110</v>
      </c>
      <c r="J92" s="3231"/>
      <c r="K92" s="3231">
        <f>+VLOOKUP(C92,'Đội 1'!C92:K173,8,0)</f>
        <v>63.32037707244514</v>
      </c>
      <c r="L92" s="3231" t="str">
        <f>+VLOOKUP(C92,'Đội 1'!C92:L173,10,0)</f>
        <v>A</v>
      </c>
      <c r="M92" s="3231">
        <f>+VLOOKUP(C92,'Đội 1'!C92:M173,11,0)</f>
        <v>249598</v>
      </c>
      <c r="N92" s="3231">
        <f>+VLOOKUP(C92,'Đội 1'!$C$18:$S$99,12,0)</f>
        <v>12</v>
      </c>
      <c r="O92" s="3231">
        <f>+VLOOKUP(C92,'Đội 1'!$C$18:$S$99,13,0)</f>
        <v>2</v>
      </c>
      <c r="P92" s="3231">
        <f t="shared" si="11"/>
        <v>14</v>
      </c>
      <c r="Q92" s="3231">
        <f>+VLOOKUP(C92,'Đội 1'!$C$18:$S$99,15,0)</f>
        <v>14</v>
      </c>
      <c r="R92" s="3231">
        <f>+VLOOKUP(C92,'Đội 1'!$C$18:$S$99,16,0)</f>
        <v>500000</v>
      </c>
      <c r="S92" s="3231">
        <f>+VLOOKUP(C92,'Đội 1'!C92:S173,17,0)</f>
        <v>1525513.44</v>
      </c>
      <c r="T92" s="3231">
        <f t="shared" si="9"/>
        <v>1775111.44</v>
      </c>
      <c r="U92" s="3816"/>
      <c r="V92" s="3231">
        <f t="shared" si="10"/>
        <v>1775111.44</v>
      </c>
      <c r="W92" s="1499"/>
      <c r="X92" s="1499"/>
      <c r="Y92" s="1500"/>
      <c r="Z92" s="1501"/>
    </row>
    <row r="93" spans="1:26" s="1502" customFormat="1" ht="34.5" customHeight="1">
      <c r="A93" s="3231">
        <v>76</v>
      </c>
      <c r="B93" s="3816"/>
      <c r="C93" s="3715" t="s">
        <v>2230</v>
      </c>
      <c r="D93" s="3816"/>
      <c r="E93" s="3231" t="s">
        <v>167</v>
      </c>
      <c r="F93" s="3009"/>
      <c r="G93" s="3717"/>
      <c r="H93" s="3231">
        <f t="shared" si="8"/>
        <v>0</v>
      </c>
      <c r="I93" s="3231">
        <f>+VLOOKUP(C93,'Đội 1'!C93:H174,6,0)</f>
        <v>0</v>
      </c>
      <c r="J93" s="3231"/>
      <c r="K93" s="3231">
        <f>+VLOOKUP(C93,'Đội 1'!C93:K174,8,0)</f>
        <v>0</v>
      </c>
      <c r="L93" s="3231" t="str">
        <f>+VLOOKUP(C93,'Đội 1'!C93:L174,10,0)</f>
        <v>A</v>
      </c>
      <c r="M93" s="3231">
        <f>+VLOOKUP(C93,'Đội 1'!C93:M174,11,0)</f>
        <v>0</v>
      </c>
      <c r="N93" s="3231">
        <f>+VLOOKUP(C93,'Đội 1'!$C$18:$S$99,12,0)</f>
        <v>5</v>
      </c>
      <c r="O93" s="3231">
        <f>+VLOOKUP(C93,'Đội 1'!$C$18:$S$99,13,0)</f>
        <v>1</v>
      </c>
      <c r="P93" s="3231">
        <f t="shared" si="11"/>
        <v>6</v>
      </c>
      <c r="Q93" s="3231">
        <f>+VLOOKUP(C93,'Đội 1'!$C$18:$S$99,15,0)</f>
        <v>6</v>
      </c>
      <c r="R93" s="3231">
        <f>+VLOOKUP(C93,'Đội 1'!$C$18:$S$99,16,0)</f>
        <v>500000</v>
      </c>
      <c r="S93" s="3231">
        <f>+VLOOKUP(C93,'Đội 1'!C93:S174,17,0)</f>
        <v>942391.28</v>
      </c>
      <c r="T93" s="3231">
        <f t="shared" si="9"/>
        <v>942391.28</v>
      </c>
      <c r="U93" s="3231">
        <v>500000</v>
      </c>
      <c r="V93" s="3231">
        <f t="shared" si="10"/>
        <v>442391.28</v>
      </c>
      <c r="W93" s="1499"/>
      <c r="X93" s="1499"/>
      <c r="Y93" s="1500"/>
      <c r="Z93" s="1501"/>
    </row>
    <row r="94" spans="1:26" s="1502" customFormat="1" ht="34.5" customHeight="1">
      <c r="A94" s="3231">
        <v>77</v>
      </c>
      <c r="B94" s="3816"/>
      <c r="C94" s="3715" t="s">
        <v>2231</v>
      </c>
      <c r="D94" s="3816"/>
      <c r="E94" s="3231" t="s">
        <v>167</v>
      </c>
      <c r="F94" s="3009"/>
      <c r="G94" s="3717"/>
      <c r="H94" s="3231">
        <f t="shared" si="8"/>
        <v>0</v>
      </c>
      <c r="I94" s="3231">
        <f>+VLOOKUP(C94,'Đội 1'!C94:H175,6,0)</f>
        <v>0</v>
      </c>
      <c r="J94" s="3231"/>
      <c r="K94" s="3231">
        <f>+VLOOKUP(C94,'Đội 1'!C94:K175,8,0)</f>
        <v>0</v>
      </c>
      <c r="L94" s="3231" t="str">
        <f>+VLOOKUP(C94,'Đội 1'!C94:L175,10,0)</f>
        <v>A</v>
      </c>
      <c r="M94" s="3231">
        <f>+VLOOKUP(C94,'Đội 1'!C94:M175,11,0)</f>
        <v>0</v>
      </c>
      <c r="N94" s="3231">
        <f>+VLOOKUP(C94,'Đội 1'!$C$18:$S$99,12,0)</f>
        <v>5</v>
      </c>
      <c r="O94" s="3231">
        <f>+VLOOKUP(C94,'Đội 1'!$C$18:$S$99,13,0)</f>
        <v>1</v>
      </c>
      <c r="P94" s="3231">
        <f t="shared" si="11"/>
        <v>6</v>
      </c>
      <c r="Q94" s="3231">
        <f>+VLOOKUP(C94,'Đội 1'!$C$18:$S$99,15,0)</f>
        <v>6</v>
      </c>
      <c r="R94" s="3231">
        <f>+VLOOKUP(C94,'Đội 1'!$C$18:$S$99,16,0)</f>
        <v>500000</v>
      </c>
      <c r="S94" s="3231">
        <f>+VLOOKUP(C94,'Đội 1'!C94:S175,17,0)</f>
        <v>942391.28</v>
      </c>
      <c r="T94" s="3231">
        <f t="shared" si="9"/>
        <v>942391.28</v>
      </c>
      <c r="U94" s="3231">
        <v>500000</v>
      </c>
      <c r="V94" s="3231">
        <f t="shared" si="10"/>
        <v>442391.28</v>
      </c>
      <c r="W94" s="1499"/>
      <c r="X94" s="1499"/>
      <c r="Y94" s="1500"/>
      <c r="Z94" s="1501"/>
    </row>
    <row r="95" spans="1:26" s="1502" customFormat="1" ht="34.5" customHeight="1">
      <c r="A95" s="3231">
        <v>78</v>
      </c>
      <c r="B95" s="3816"/>
      <c r="C95" s="3715" t="s">
        <v>1461</v>
      </c>
      <c r="D95" s="3816"/>
      <c r="E95" s="3231" t="s">
        <v>2003</v>
      </c>
      <c r="F95" s="3009"/>
      <c r="G95" s="3717"/>
      <c r="H95" s="3231">
        <f t="shared" si="8"/>
        <v>0</v>
      </c>
      <c r="I95" s="3231">
        <f>+VLOOKUP(C95,'Đội 1'!C95:H176,6,0)</f>
        <v>0</v>
      </c>
      <c r="J95" s="3231"/>
      <c r="K95" s="3231">
        <f>+VLOOKUP(C95,'Đội 1'!C95:K176,8,0)</f>
        <v>0</v>
      </c>
      <c r="L95" s="3231">
        <f>+VLOOKUP(C95,'Đội 1'!C95:L176,10,0)</f>
        <v>0</v>
      </c>
      <c r="M95" s="3231">
        <f>+VLOOKUP(C95,'Đội 1'!C95:M176,11,0)</f>
        <v>0</v>
      </c>
      <c r="N95" s="3231">
        <f>+VLOOKUP(C95,'Đội 1'!$C$18:$S$99,13,0)</f>
        <v>0</v>
      </c>
      <c r="O95" s="3231">
        <f>+VLOOKUP(C95,'Đội 1'!$C$18:$S$99,14,0)</f>
        <v>0</v>
      </c>
      <c r="P95" s="3231">
        <f t="shared" si="11"/>
        <v>0</v>
      </c>
      <c r="Q95" s="3231">
        <f>+VLOOKUP(C95,'Đội 1'!$C$18:$S$99,15,0)</f>
        <v>0</v>
      </c>
      <c r="R95" s="3231">
        <f>+VLOOKUP(C95,'Đội 1'!$C$18:$S$99,16,0)</f>
        <v>0</v>
      </c>
      <c r="S95" s="3231">
        <f>+VLOOKUP(C95,'Đội 1'!C95:S176,17,0)</f>
        <v>0</v>
      </c>
      <c r="T95" s="3231">
        <f t="shared" si="9"/>
        <v>0</v>
      </c>
      <c r="U95" s="3816"/>
      <c r="V95" s="3231">
        <f t="shared" si="10"/>
        <v>0</v>
      </c>
      <c r="W95" s="1499"/>
      <c r="X95" s="1499"/>
      <c r="Y95" s="1500"/>
      <c r="Z95" s="1501"/>
    </row>
    <row r="96" spans="1:26" s="1502" customFormat="1" ht="34.5" customHeight="1">
      <c r="A96" s="3231">
        <v>79</v>
      </c>
      <c r="B96" s="3816"/>
      <c r="C96" s="3715" t="s">
        <v>1462</v>
      </c>
      <c r="D96" s="3816"/>
      <c r="E96" s="3231" t="s">
        <v>2003</v>
      </c>
      <c r="F96" s="3009"/>
      <c r="G96" s="3717"/>
      <c r="H96" s="3231">
        <f t="shared" si="8"/>
        <v>0</v>
      </c>
      <c r="I96" s="3231">
        <f>+VLOOKUP(C96,'Đội 1'!C96:H177,6,0)</f>
        <v>0</v>
      </c>
      <c r="J96" s="3231"/>
      <c r="K96" s="3231">
        <f>+VLOOKUP(C96,'Đội 1'!C96:K177,8,0)</f>
        <v>0</v>
      </c>
      <c r="L96" s="3231">
        <f>+VLOOKUP(C96,'Đội 1'!C96:L177,10,0)</f>
        <v>0</v>
      </c>
      <c r="M96" s="3231">
        <f>+VLOOKUP(C96,'Đội 1'!C96:M177,11,0)</f>
        <v>0</v>
      </c>
      <c r="N96" s="3231">
        <f>+VLOOKUP(C96,'Đội 1'!$C$18:$S$99,13,0)</f>
        <v>0</v>
      </c>
      <c r="O96" s="3231">
        <f>+VLOOKUP(C96,'Đội 1'!$C$18:$S$99,14,0)</f>
        <v>0</v>
      </c>
      <c r="P96" s="3231">
        <f t="shared" si="11"/>
        <v>0</v>
      </c>
      <c r="Q96" s="3231">
        <f>+VLOOKUP(C96,'Đội 1'!$C$18:$S$99,15,0)</f>
        <v>0</v>
      </c>
      <c r="R96" s="3231">
        <f>+VLOOKUP(C96,'Đội 1'!$C$18:$S$99,16,0)</f>
        <v>0</v>
      </c>
      <c r="S96" s="3231">
        <f>+VLOOKUP(C96,'Đội 1'!C96:S177,17,0)</f>
        <v>0</v>
      </c>
      <c r="T96" s="3231">
        <f t="shared" si="9"/>
        <v>0</v>
      </c>
      <c r="U96" s="3816"/>
      <c r="V96" s="3231">
        <f t="shared" si="10"/>
        <v>0</v>
      </c>
      <c r="W96" s="1499"/>
      <c r="X96" s="1499"/>
      <c r="Y96" s="1500"/>
      <c r="Z96" s="1501"/>
    </row>
    <row r="97" spans="1:26" s="1502" customFormat="1" ht="34.5" customHeight="1">
      <c r="A97" s="3231">
        <v>80</v>
      </c>
      <c r="B97" s="3816"/>
      <c r="C97" s="3715" t="s">
        <v>1095</v>
      </c>
      <c r="D97" s="3816"/>
      <c r="E97" s="3231" t="s">
        <v>2003</v>
      </c>
      <c r="F97" s="3009"/>
      <c r="G97" s="3717"/>
      <c r="H97" s="3231">
        <f t="shared" si="8"/>
        <v>0</v>
      </c>
      <c r="I97" s="3231">
        <f>+VLOOKUP(C97,'Đội 1'!C97:H178,6,0)</f>
        <v>0</v>
      </c>
      <c r="J97" s="3231"/>
      <c r="K97" s="3231">
        <f>+VLOOKUP(C97,'Đội 1'!C97:K178,8,0)</f>
        <v>0</v>
      </c>
      <c r="L97" s="3231">
        <f>+VLOOKUP(C97,'Đội 1'!C97:L178,10,0)</f>
        <v>0</v>
      </c>
      <c r="M97" s="3231">
        <f>+VLOOKUP(C97,'Đội 1'!C97:M178,11,0)</f>
        <v>0</v>
      </c>
      <c r="N97" s="3231">
        <f>+VLOOKUP(C97,'Đội 1'!$C$18:$S$99,13,0)</f>
        <v>0</v>
      </c>
      <c r="O97" s="3231">
        <f>+VLOOKUP(C97,'Đội 1'!$C$18:$S$99,14,0)</f>
        <v>0</v>
      </c>
      <c r="P97" s="3231">
        <f t="shared" si="11"/>
        <v>0</v>
      </c>
      <c r="Q97" s="3231">
        <f>+VLOOKUP(C97,'Đội 1'!$C$18:$S$99,15,0)</f>
        <v>0</v>
      </c>
      <c r="R97" s="3231">
        <f>+VLOOKUP(C97,'Đội 1'!$C$18:$S$99,16,0)</f>
        <v>0</v>
      </c>
      <c r="S97" s="3231">
        <f>+VLOOKUP(C97,'Đội 1'!C97:S178,17,0)</f>
        <v>0</v>
      </c>
      <c r="T97" s="3231">
        <f t="shared" si="9"/>
        <v>0</v>
      </c>
      <c r="U97" s="3816"/>
      <c r="V97" s="3231">
        <f t="shared" si="10"/>
        <v>0</v>
      </c>
      <c r="W97" s="1499"/>
      <c r="X97" s="1499"/>
      <c r="Y97" s="1500"/>
      <c r="Z97" s="1501"/>
    </row>
    <row r="98" spans="1:26" s="1502" customFormat="1" ht="34.5" customHeight="1">
      <c r="A98" s="3231">
        <v>81</v>
      </c>
      <c r="B98" s="3816"/>
      <c r="C98" s="3715" t="s">
        <v>994</v>
      </c>
      <c r="D98" s="3816"/>
      <c r="E98" s="3231" t="s">
        <v>2003</v>
      </c>
      <c r="F98" s="3009"/>
      <c r="G98" s="3717"/>
      <c r="H98" s="3231">
        <f t="shared" si="8"/>
        <v>0</v>
      </c>
      <c r="I98" s="3231">
        <f>+VLOOKUP(C98,'Đội 1'!C98:H179,6,0)</f>
        <v>0</v>
      </c>
      <c r="J98" s="3231"/>
      <c r="K98" s="3231">
        <f>+VLOOKUP(C98,'Đội 1'!C98:K179,8,0)</f>
        <v>0</v>
      </c>
      <c r="L98" s="3231">
        <f>+VLOOKUP(C98,'Đội 1'!C98:L179,10,0)</f>
        <v>0</v>
      </c>
      <c r="M98" s="3231">
        <f>+VLOOKUP(C98,'Đội 1'!C98:M179,11,0)</f>
        <v>0</v>
      </c>
      <c r="N98" s="3231">
        <f>+VLOOKUP(C98,'Đội 1'!$C$18:$S$99,13,0)</f>
        <v>0</v>
      </c>
      <c r="O98" s="3231">
        <f>+VLOOKUP(C98,'Đội 1'!$C$18:$S$99,14,0)</f>
        <v>0</v>
      </c>
      <c r="P98" s="3231">
        <f t="shared" si="11"/>
        <v>0</v>
      </c>
      <c r="Q98" s="3231">
        <f>+VLOOKUP(C98,'Đội 1'!$C$18:$S$99,15,0)</f>
        <v>0</v>
      </c>
      <c r="R98" s="3231">
        <f>+VLOOKUP(C98,'Đội 1'!$C$18:$S$99,16,0)</f>
        <v>0</v>
      </c>
      <c r="S98" s="3231">
        <f>+VLOOKUP(C98,'Đội 1'!C98:S179,17,0)</f>
        <v>0</v>
      </c>
      <c r="T98" s="3231">
        <f t="shared" si="9"/>
        <v>0</v>
      </c>
      <c r="U98" s="3816"/>
      <c r="V98" s="3231">
        <f t="shared" si="10"/>
        <v>0</v>
      </c>
      <c r="W98" s="1499"/>
      <c r="X98" s="1499"/>
      <c r="Y98" s="1500"/>
      <c r="Z98" s="1501"/>
    </row>
    <row r="99" spans="1:26" s="1502" customFormat="1" ht="34.5" customHeight="1">
      <c r="A99" s="3231">
        <v>82</v>
      </c>
      <c r="B99" s="3816"/>
      <c r="C99" s="3715" t="s">
        <v>993</v>
      </c>
      <c r="D99" s="3816"/>
      <c r="E99" s="3231" t="s">
        <v>2003</v>
      </c>
      <c r="F99" s="3009"/>
      <c r="G99" s="3717"/>
      <c r="H99" s="3231">
        <f t="shared" si="8"/>
        <v>0</v>
      </c>
      <c r="I99" s="3231">
        <f>+VLOOKUP(C99,'Đội 1'!C99:H180,6,0)</f>
        <v>0</v>
      </c>
      <c r="J99" s="3231"/>
      <c r="K99" s="3231">
        <f>+VLOOKUP(C99,'Đội 1'!C99:K180,8,0)</f>
        <v>0</v>
      </c>
      <c r="L99" s="3231">
        <f>+VLOOKUP(C99,'Đội 1'!C99:L180,10,0)</f>
        <v>0</v>
      </c>
      <c r="M99" s="3231">
        <f>+VLOOKUP(C99,'Đội 1'!C99:M180,11,0)</f>
        <v>0</v>
      </c>
      <c r="N99" s="3231">
        <f>+VLOOKUP(C99,'Đội 1'!$C$18:$S$99,13,0)</f>
        <v>0</v>
      </c>
      <c r="O99" s="3231">
        <f>+VLOOKUP(C99,'Đội 1'!$C$18:$S$99,14,0)</f>
        <v>0</v>
      </c>
      <c r="P99" s="3231">
        <f t="shared" si="11"/>
        <v>0</v>
      </c>
      <c r="Q99" s="3231">
        <f>+VLOOKUP(C99,'Đội 1'!$C$18:$S$99,15,0)</f>
        <v>0</v>
      </c>
      <c r="R99" s="3231">
        <f>+VLOOKUP(C99,'Đội 1'!$C$18:$S$99,16,0)</f>
        <v>0</v>
      </c>
      <c r="S99" s="3231">
        <f>+VLOOKUP(C99,'Đội 1'!C99:S180,17,0)</f>
        <v>0</v>
      </c>
      <c r="T99" s="3231">
        <f t="shared" si="9"/>
        <v>0</v>
      </c>
      <c r="U99" s="3816"/>
      <c r="V99" s="3231">
        <f t="shared" si="10"/>
        <v>0</v>
      </c>
      <c r="W99" s="1499"/>
      <c r="X99" s="1499"/>
      <c r="Y99" s="1500"/>
      <c r="Z99" s="1501"/>
    </row>
    <row r="100" spans="1:26" s="1502" customFormat="1" ht="34.5" customHeight="1">
      <c r="A100" s="3231"/>
      <c r="B100" s="3816"/>
      <c r="C100" s="3816" t="s">
        <v>1393</v>
      </c>
      <c r="D100" s="3816"/>
      <c r="E100" s="3816"/>
      <c r="F100" s="3009"/>
      <c r="G100" s="2371"/>
      <c r="H100" s="2371">
        <f t="shared" ref="H100:V100" si="12">+SUBTOTAL(9,H101:H186)</f>
        <v>0</v>
      </c>
      <c r="I100" s="3816">
        <f t="shared" si="12"/>
        <v>5918</v>
      </c>
      <c r="J100" s="2371">
        <f t="shared" si="12"/>
        <v>0</v>
      </c>
      <c r="K100" s="2371">
        <f t="shared" si="12"/>
        <v>3439.3830306569325</v>
      </c>
      <c r="L100" s="2371">
        <f t="shared" si="12"/>
        <v>0</v>
      </c>
      <c r="M100" s="2371">
        <f t="shared" si="12"/>
        <v>13554016</v>
      </c>
      <c r="N100" s="3816">
        <f t="shared" si="12"/>
        <v>981</v>
      </c>
      <c r="O100" s="3816">
        <f t="shared" si="12"/>
        <v>186</v>
      </c>
      <c r="P100" s="3816">
        <f t="shared" si="12"/>
        <v>1167</v>
      </c>
      <c r="Q100" s="2371">
        <f t="shared" si="12"/>
        <v>0</v>
      </c>
      <c r="R100" s="3816">
        <f t="shared" si="12"/>
        <v>43000000</v>
      </c>
      <c r="S100" s="3816">
        <f t="shared" si="12"/>
        <v>105378134.39999998</v>
      </c>
      <c r="T100" s="3816">
        <f t="shared" si="12"/>
        <v>118932150.39999998</v>
      </c>
      <c r="U100" s="2371">
        <f t="shared" si="12"/>
        <v>0</v>
      </c>
      <c r="V100" s="3816">
        <f t="shared" si="12"/>
        <v>118932150.39999998</v>
      </c>
      <c r="W100" s="1499"/>
      <c r="X100" s="1499"/>
      <c r="Y100" s="1500"/>
      <c r="Z100" s="1501">
        <f>+'Đội 2'!S104</f>
        <v>118932150.39999998</v>
      </c>
    </row>
    <row r="101" spans="1:26" s="1502" customFormat="1" ht="34.5" customHeight="1">
      <c r="A101" s="3231">
        <v>83</v>
      </c>
      <c r="B101" s="3816"/>
      <c r="C101" s="3715" t="s">
        <v>2232</v>
      </c>
      <c r="D101" s="3816"/>
      <c r="E101" s="3231" t="s">
        <v>167</v>
      </c>
      <c r="F101" s="3009"/>
      <c r="G101" s="3717"/>
      <c r="H101" s="3231">
        <f>+G101*25000</f>
        <v>0</v>
      </c>
      <c r="I101" s="3231">
        <f>+VLOOKUP(C101,'Đội 2'!C18:H103,6,0)</f>
        <v>59</v>
      </c>
      <c r="J101" s="3816"/>
      <c r="K101" s="3231">
        <f>+VLOOKUP(C101,'Đội 2'!C18:K103,8,0)</f>
        <v>34.225140594059397</v>
      </c>
      <c r="L101" s="3231" t="str">
        <f>+VLOOKUP(C101,'Đội 2'!C18:L103,10,0)</f>
        <v>A</v>
      </c>
      <c r="M101" s="3231">
        <f>+VLOOKUP(C101,'Đội 2'!C18:M103,11,0)</f>
        <v>134909</v>
      </c>
      <c r="N101" s="3231">
        <f>+VLOOKUP(C101,'Đội 2'!$C$18:$R$103,12,0)</f>
        <v>10</v>
      </c>
      <c r="O101" s="3231">
        <f>+VLOOKUP(C101,'Đội 2'!$C$18:$R$103,13,0)</f>
        <v>2</v>
      </c>
      <c r="P101" s="3231">
        <f>+N101+O101</f>
        <v>12</v>
      </c>
      <c r="Q101" s="3816"/>
      <c r="R101" s="3231">
        <f>+VLOOKUP(C101,'Đội 2'!$C$18:$R$103,15,0)</f>
        <v>500000</v>
      </c>
      <c r="S101" s="3231">
        <f>+VLOOKUP(C101,'Đội 2'!$C$18:$R$103,16,0)</f>
        <v>1143185.8400000001</v>
      </c>
      <c r="T101" s="3231">
        <f>+H101+M101+S101</f>
        <v>1278094.8400000001</v>
      </c>
      <c r="U101" s="3816"/>
      <c r="V101" s="3231">
        <f>+T101-U101</f>
        <v>1278094.8400000001</v>
      </c>
      <c r="W101" s="1499"/>
      <c r="X101" s="1499"/>
      <c r="Y101" s="1500"/>
      <c r="Z101" s="1501"/>
    </row>
    <row r="102" spans="1:26" s="1502" customFormat="1" ht="34.5" customHeight="1">
      <c r="A102" s="3231">
        <v>84</v>
      </c>
      <c r="B102" s="3816"/>
      <c r="C102" s="3715" t="s">
        <v>2233</v>
      </c>
      <c r="D102" s="3816"/>
      <c r="E102" s="3231" t="s">
        <v>167</v>
      </c>
      <c r="F102" s="3009"/>
      <c r="G102" s="3717"/>
      <c r="H102" s="3231">
        <f t="shared" ref="H102:H165" si="13">+G102*25000</f>
        <v>0</v>
      </c>
      <c r="I102" s="3231">
        <f>+VLOOKUP(C102,'Đội 2'!C19:H104,6,0)</f>
        <v>65</v>
      </c>
      <c r="J102" s="3816"/>
      <c r="K102" s="3231">
        <f>+VLOOKUP(C102,'Đội 2'!C19:K104,8,0)</f>
        <v>37.705663366336623</v>
      </c>
      <c r="L102" s="3231" t="str">
        <f>+VLOOKUP(C102,'Đội 2'!C19:L104,10,0)</f>
        <v>A</v>
      </c>
      <c r="M102" s="3231">
        <f>+VLOOKUP(C102,'Đội 2'!C19:M104,11,0)</f>
        <v>148629</v>
      </c>
      <c r="N102" s="3231">
        <f>+VLOOKUP(C102,'Đội 2'!$C$18:$R$103,12,0)</f>
        <v>10</v>
      </c>
      <c r="O102" s="3231">
        <f>+VLOOKUP(C102,'Đội 2'!$C$18:$R$103,13,0)</f>
        <v>2</v>
      </c>
      <c r="P102" s="3231">
        <f t="shared" ref="P102:P165" si="14">+N102+O102</f>
        <v>12</v>
      </c>
      <c r="Q102" s="3816"/>
      <c r="R102" s="3231">
        <f>+VLOOKUP(C102,'Đội 2'!$C$18:$R$103,15,0)</f>
        <v>500000</v>
      </c>
      <c r="S102" s="3231">
        <f>+VLOOKUP(C102,'Đội 2'!$C$18:$R$103,16,0)</f>
        <v>1143185.8400000001</v>
      </c>
      <c r="T102" s="3231">
        <f t="shared" ref="T102:T165" si="15">+H102+M102+S102</f>
        <v>1291814.8400000001</v>
      </c>
      <c r="U102" s="3816"/>
      <c r="V102" s="3231">
        <f t="shared" ref="V102:V165" si="16">+T102-U102</f>
        <v>1291814.8400000001</v>
      </c>
      <c r="W102" s="1499"/>
      <c r="X102" s="1499"/>
      <c r="Y102" s="1500"/>
      <c r="Z102" s="1501"/>
    </row>
    <row r="103" spans="1:26" s="1502" customFormat="1" ht="34.5" customHeight="1">
      <c r="A103" s="3231">
        <v>85</v>
      </c>
      <c r="B103" s="3816"/>
      <c r="C103" s="3715" t="s">
        <v>2234</v>
      </c>
      <c r="D103" s="3816"/>
      <c r="E103" s="3231" t="s">
        <v>167</v>
      </c>
      <c r="F103" s="3009"/>
      <c r="G103" s="3717"/>
      <c r="H103" s="3231">
        <f t="shared" si="13"/>
        <v>0</v>
      </c>
      <c r="I103" s="3231">
        <f>+VLOOKUP(C103,'Đội 2'!C20:H105,6,0)</f>
        <v>61</v>
      </c>
      <c r="J103" s="3816"/>
      <c r="K103" s="3231">
        <f>+VLOOKUP(C103,'Đội 2'!C20:K105,8,0)</f>
        <v>35.385314851485141</v>
      </c>
      <c r="L103" s="3231" t="str">
        <f>+VLOOKUP(C103,'Đội 2'!C20:L105,10,0)</f>
        <v>A</v>
      </c>
      <c r="M103" s="3231">
        <f>+VLOOKUP(C103,'Đội 2'!C20:M105,11,0)</f>
        <v>139483</v>
      </c>
      <c r="N103" s="3231">
        <f>+VLOOKUP(C103,'Đội 2'!$C$18:$R$103,12,0)</f>
        <v>14</v>
      </c>
      <c r="O103" s="3231">
        <f>+VLOOKUP(C103,'Đội 2'!$C$18:$R$103,13,0)</f>
        <v>3</v>
      </c>
      <c r="P103" s="3231">
        <f t="shared" si="14"/>
        <v>17</v>
      </c>
      <c r="Q103" s="3816"/>
      <c r="R103" s="3231">
        <f>+VLOOKUP(C103,'Đội 2'!$C$18:$R$103,15,0)</f>
        <v>500000</v>
      </c>
      <c r="S103" s="3231">
        <f>+VLOOKUP(C103,'Đội 2'!$C$18:$R$103,16,0)</f>
        <v>1414546.38</v>
      </c>
      <c r="T103" s="3231">
        <f t="shared" si="15"/>
        <v>1554029.38</v>
      </c>
      <c r="U103" s="3816"/>
      <c r="V103" s="3231">
        <f t="shared" si="16"/>
        <v>1554029.38</v>
      </c>
      <c r="W103" s="1499"/>
      <c r="X103" s="1499"/>
      <c r="Y103" s="1500"/>
      <c r="Z103" s="1501"/>
    </row>
    <row r="104" spans="1:26" s="1502" customFormat="1" ht="34.5" customHeight="1">
      <c r="A104" s="3231">
        <v>86</v>
      </c>
      <c r="B104" s="3816"/>
      <c r="C104" s="3715" t="s">
        <v>2235</v>
      </c>
      <c r="D104" s="3816"/>
      <c r="E104" s="3231" t="s">
        <v>167</v>
      </c>
      <c r="F104" s="3009"/>
      <c r="G104" s="3717"/>
      <c r="H104" s="3231">
        <f t="shared" si="13"/>
        <v>0</v>
      </c>
      <c r="I104" s="3231">
        <f>+VLOOKUP(C104,'Đội 2'!C21:H106,6,0)</f>
        <v>61</v>
      </c>
      <c r="J104" s="3816"/>
      <c r="K104" s="3231">
        <f>+VLOOKUP(C104,'Đội 2'!C21:K106,8,0)</f>
        <v>35.385314851485141</v>
      </c>
      <c r="L104" s="3231" t="str">
        <f>+VLOOKUP(C104,'Đội 2'!C21:L106,10,0)</f>
        <v>A</v>
      </c>
      <c r="M104" s="3231">
        <f>+VLOOKUP(C104,'Đội 2'!C21:M106,11,0)</f>
        <v>139483</v>
      </c>
      <c r="N104" s="3231">
        <f>+VLOOKUP(C104,'Đội 2'!$C$18:$R$103,12,0)</f>
        <v>14</v>
      </c>
      <c r="O104" s="3231">
        <f>+VLOOKUP(C104,'Đội 2'!$C$18:$R$103,13,0)</f>
        <v>3</v>
      </c>
      <c r="P104" s="3231">
        <f t="shared" si="14"/>
        <v>17</v>
      </c>
      <c r="Q104" s="3816"/>
      <c r="R104" s="3231">
        <f>+VLOOKUP(C104,'Đội 2'!$C$18:$R$103,15,0)</f>
        <v>500000</v>
      </c>
      <c r="S104" s="3231">
        <f>+VLOOKUP(C104,'Đội 2'!$C$18:$R$103,16,0)</f>
        <v>1414546.38</v>
      </c>
      <c r="T104" s="3231">
        <f t="shared" si="15"/>
        <v>1554029.38</v>
      </c>
      <c r="U104" s="3816"/>
      <c r="V104" s="3231">
        <f t="shared" si="16"/>
        <v>1554029.38</v>
      </c>
      <c r="W104" s="1499"/>
      <c r="X104" s="1499"/>
      <c r="Y104" s="1500"/>
      <c r="Z104" s="1501"/>
    </row>
    <row r="105" spans="1:26" s="1502" customFormat="1" ht="34.5" customHeight="1">
      <c r="A105" s="3231">
        <v>87</v>
      </c>
      <c r="B105" s="3816"/>
      <c r="C105" s="3715" t="s">
        <v>2236</v>
      </c>
      <c r="D105" s="3816"/>
      <c r="E105" s="3231" t="s">
        <v>167</v>
      </c>
      <c r="F105" s="3009"/>
      <c r="G105" s="3717"/>
      <c r="H105" s="3231">
        <f t="shared" si="13"/>
        <v>0</v>
      </c>
      <c r="I105" s="3231">
        <f>+VLOOKUP(C105,'Đội 2'!C22:H107,6,0)</f>
        <v>28</v>
      </c>
      <c r="J105" s="3816"/>
      <c r="K105" s="3231">
        <f>+VLOOKUP(C105,'Đội 2'!C22:K107,8,0)</f>
        <v>16.242439603960392</v>
      </c>
      <c r="L105" s="3231" t="str">
        <f>+VLOOKUP(C105,'Đội 2'!C22:L107,10,0)</f>
        <v>A</v>
      </c>
      <c r="M105" s="3231">
        <f>+VLOOKUP(C105,'Đội 2'!C22:M107,11,0)</f>
        <v>64025</v>
      </c>
      <c r="N105" s="3231">
        <f>+VLOOKUP(C105,'Đội 2'!$C$18:$R$103,12,0)</f>
        <v>14</v>
      </c>
      <c r="O105" s="3231">
        <f>+VLOOKUP(C105,'Đội 2'!$C$18:$R$103,13,0)</f>
        <v>3</v>
      </c>
      <c r="P105" s="3231">
        <f t="shared" si="14"/>
        <v>17</v>
      </c>
      <c r="Q105" s="3816"/>
      <c r="R105" s="3231">
        <f>+VLOOKUP(C105,'Đội 2'!$C$18:$R$103,15,0)</f>
        <v>500000</v>
      </c>
      <c r="S105" s="3231">
        <f>+VLOOKUP(C105,'Đội 2'!$C$18:$R$103,16,0)</f>
        <v>1414546.38</v>
      </c>
      <c r="T105" s="3231">
        <f t="shared" si="15"/>
        <v>1478571.38</v>
      </c>
      <c r="U105" s="3816"/>
      <c r="V105" s="3231">
        <f t="shared" si="16"/>
        <v>1478571.38</v>
      </c>
      <c r="W105" s="1499"/>
      <c r="X105" s="1499"/>
      <c r="Y105" s="1500"/>
      <c r="Z105" s="1501"/>
    </row>
    <row r="106" spans="1:26" s="1502" customFormat="1" ht="34.5" customHeight="1">
      <c r="A106" s="3231">
        <v>88</v>
      </c>
      <c r="B106" s="3816"/>
      <c r="C106" s="3715" t="s">
        <v>2237</v>
      </c>
      <c r="D106" s="3816"/>
      <c r="E106" s="3231" t="s">
        <v>167</v>
      </c>
      <c r="F106" s="3009"/>
      <c r="G106" s="3717"/>
      <c r="H106" s="3231">
        <f t="shared" si="13"/>
        <v>0</v>
      </c>
      <c r="I106" s="3231">
        <f>+VLOOKUP(C106,'Đội 2'!C23:H108,6,0)</f>
        <v>28</v>
      </c>
      <c r="J106" s="3816"/>
      <c r="K106" s="3231">
        <f>+VLOOKUP(C106,'Đội 2'!C23:K108,8,0)</f>
        <v>16.242439603960392</v>
      </c>
      <c r="L106" s="3231" t="str">
        <f>+VLOOKUP(C106,'Đội 2'!C23:L108,10,0)</f>
        <v>A</v>
      </c>
      <c r="M106" s="3231">
        <f>+VLOOKUP(C106,'Đội 2'!C23:M108,11,0)</f>
        <v>64025</v>
      </c>
      <c r="N106" s="3231">
        <f>+VLOOKUP(C106,'Đội 2'!$C$18:$R$103,12,0)</f>
        <v>14</v>
      </c>
      <c r="O106" s="3231">
        <f>+VLOOKUP(C106,'Đội 2'!$C$18:$R$103,13,0)</f>
        <v>3</v>
      </c>
      <c r="P106" s="3231">
        <f t="shared" si="14"/>
        <v>17</v>
      </c>
      <c r="Q106" s="3816"/>
      <c r="R106" s="3231">
        <f>+VLOOKUP(C106,'Đội 2'!$C$18:$R$103,15,0)</f>
        <v>500000</v>
      </c>
      <c r="S106" s="3231">
        <f>+VLOOKUP(C106,'Đội 2'!$C$18:$R$103,16,0)</f>
        <v>1414546.38</v>
      </c>
      <c r="T106" s="3231">
        <f t="shared" si="15"/>
        <v>1478571.38</v>
      </c>
      <c r="U106" s="3816"/>
      <c r="V106" s="3231">
        <f t="shared" si="16"/>
        <v>1478571.38</v>
      </c>
      <c r="W106" s="1499"/>
      <c r="X106" s="1499"/>
      <c r="Y106" s="1500"/>
      <c r="Z106" s="1501"/>
    </row>
    <row r="107" spans="1:26" s="1502" customFormat="1" ht="34.5" customHeight="1">
      <c r="A107" s="3231">
        <v>89</v>
      </c>
      <c r="B107" s="3816"/>
      <c r="C107" s="3715" t="s">
        <v>2238</v>
      </c>
      <c r="D107" s="3816"/>
      <c r="E107" s="3231" t="s">
        <v>167</v>
      </c>
      <c r="F107" s="3009"/>
      <c r="G107" s="3717"/>
      <c r="H107" s="3231">
        <f t="shared" si="13"/>
        <v>0</v>
      </c>
      <c r="I107" s="3231">
        <f>+VLOOKUP(C107,'Đội 2'!C24:H109,6,0)</f>
        <v>90</v>
      </c>
      <c r="J107" s="3816"/>
      <c r="K107" s="3231">
        <f>+VLOOKUP(C107,'Đội 2'!C24:K109,8,0)</f>
        <v>52.207841584158402</v>
      </c>
      <c r="L107" s="3231" t="str">
        <f>+VLOOKUP(C107,'Đội 2'!C24:L109,10,0)</f>
        <v>A</v>
      </c>
      <c r="M107" s="3231">
        <f>+VLOOKUP(C107,'Đội 2'!C24:M109,11,0)</f>
        <v>205794</v>
      </c>
      <c r="N107" s="3231">
        <f>+VLOOKUP(C107,'Đội 2'!$C$18:$R$103,12,0)</f>
        <v>14</v>
      </c>
      <c r="O107" s="3231">
        <f>+VLOOKUP(C107,'Đội 2'!$C$18:$R$103,13,0)</f>
        <v>3</v>
      </c>
      <c r="P107" s="3231">
        <f t="shared" si="14"/>
        <v>17</v>
      </c>
      <c r="Q107" s="3816"/>
      <c r="R107" s="3231">
        <f>+VLOOKUP(C107,'Đội 2'!$C$18:$R$103,15,0)</f>
        <v>500000</v>
      </c>
      <c r="S107" s="3231">
        <f>+VLOOKUP(C107,'Đội 2'!$C$18:$R$103,16,0)</f>
        <v>1414546.38</v>
      </c>
      <c r="T107" s="3231">
        <f t="shared" si="15"/>
        <v>1620340.38</v>
      </c>
      <c r="U107" s="3816"/>
      <c r="V107" s="3231">
        <f t="shared" si="16"/>
        <v>1620340.38</v>
      </c>
      <c r="W107" s="1499"/>
      <c r="X107" s="1499"/>
      <c r="Y107" s="1500"/>
      <c r="Z107" s="1501"/>
    </row>
    <row r="108" spans="1:26" s="1502" customFormat="1" ht="34.5" customHeight="1">
      <c r="A108" s="3231">
        <v>90</v>
      </c>
      <c r="B108" s="3816"/>
      <c r="C108" s="3715" t="s">
        <v>2239</v>
      </c>
      <c r="D108" s="3816"/>
      <c r="E108" s="3231" t="s">
        <v>167</v>
      </c>
      <c r="F108" s="3009"/>
      <c r="G108" s="3717"/>
      <c r="H108" s="3231">
        <f t="shared" si="13"/>
        <v>0</v>
      </c>
      <c r="I108" s="3231">
        <f>+VLOOKUP(C108,'Đội 2'!C25:H110,6,0)</f>
        <v>85</v>
      </c>
      <c r="J108" s="3816"/>
      <c r="K108" s="3231">
        <f>+VLOOKUP(C108,'Đội 2'!C25:K110,8,0)</f>
        <v>49.307405940594052</v>
      </c>
      <c r="L108" s="3231" t="str">
        <f>+VLOOKUP(C108,'Đội 2'!C25:L110,10,0)</f>
        <v>A</v>
      </c>
      <c r="M108" s="3231">
        <f>+VLOOKUP(C108,'Đội 2'!C25:M110,11,0)</f>
        <v>194361</v>
      </c>
      <c r="N108" s="3231">
        <f>+VLOOKUP(C108,'Đội 2'!$C$18:$R$103,12,0)</f>
        <v>14</v>
      </c>
      <c r="O108" s="3231">
        <f>+VLOOKUP(C108,'Đội 2'!$C$18:$R$103,13,0)</f>
        <v>3</v>
      </c>
      <c r="P108" s="3231">
        <f t="shared" si="14"/>
        <v>17</v>
      </c>
      <c r="Q108" s="3816"/>
      <c r="R108" s="3231">
        <f>+VLOOKUP(C108,'Đội 2'!$C$18:$R$103,15,0)</f>
        <v>500000</v>
      </c>
      <c r="S108" s="3231">
        <f>+VLOOKUP(C108,'Đội 2'!$C$18:$R$103,16,0)</f>
        <v>1414546.38</v>
      </c>
      <c r="T108" s="3231">
        <f t="shared" si="15"/>
        <v>1608907.38</v>
      </c>
      <c r="U108" s="3816"/>
      <c r="V108" s="3231">
        <f t="shared" si="16"/>
        <v>1608907.38</v>
      </c>
      <c r="W108" s="1499"/>
      <c r="X108" s="1499"/>
      <c r="Y108" s="1500"/>
      <c r="Z108" s="1501"/>
    </row>
    <row r="109" spans="1:26" s="1502" customFormat="1" ht="34.5" customHeight="1">
      <c r="A109" s="3231">
        <v>91</v>
      </c>
      <c r="B109" s="3816"/>
      <c r="C109" s="3715" t="s">
        <v>2240</v>
      </c>
      <c r="D109" s="3816"/>
      <c r="E109" s="3231" t="s">
        <v>167</v>
      </c>
      <c r="F109" s="3009"/>
      <c r="G109" s="3717"/>
      <c r="H109" s="3231">
        <f t="shared" si="13"/>
        <v>0</v>
      </c>
      <c r="I109" s="3231">
        <f>+VLOOKUP(C109,'Đội 2'!C26:H111,6,0)</f>
        <v>0</v>
      </c>
      <c r="J109" s="3816"/>
      <c r="K109" s="3231">
        <f>+VLOOKUP(C109,'Đội 2'!C26:K111,8,0)</f>
        <v>0</v>
      </c>
      <c r="L109" s="3231" t="str">
        <f>+VLOOKUP(C109,'Đội 2'!C26:L111,10,0)</f>
        <v>A</v>
      </c>
      <c r="M109" s="3231">
        <f>+VLOOKUP(C109,'Đội 2'!C26:M111,11,0)</f>
        <v>0</v>
      </c>
      <c r="N109" s="3231">
        <f>+VLOOKUP(C109,'Đội 2'!$C$18:$R$103,12,0)</f>
        <v>12</v>
      </c>
      <c r="O109" s="3231">
        <f>+VLOOKUP(C109,'Đội 2'!$C$18:$R$103,13,0)</f>
        <v>1</v>
      </c>
      <c r="P109" s="3231">
        <f t="shared" si="14"/>
        <v>13</v>
      </c>
      <c r="Q109" s="3816"/>
      <c r="R109" s="3231">
        <f>+VLOOKUP(C109,'Đội 2'!$C$18:$R$103,15,0)</f>
        <v>500000</v>
      </c>
      <c r="S109" s="3231">
        <f>+VLOOKUP(C109,'Đội 2'!$C$18:$R$103,16,0)</f>
        <v>1173219.58</v>
      </c>
      <c r="T109" s="3231">
        <f t="shared" si="15"/>
        <v>1173219.58</v>
      </c>
      <c r="U109" s="3816"/>
      <c r="V109" s="3231">
        <f t="shared" si="16"/>
        <v>1173219.58</v>
      </c>
      <c r="W109" s="1499"/>
      <c r="X109" s="1499"/>
      <c r="Y109" s="1500"/>
      <c r="Z109" s="1501"/>
    </row>
    <row r="110" spans="1:26" s="1502" customFormat="1" ht="34.5" customHeight="1">
      <c r="A110" s="3231">
        <v>92</v>
      </c>
      <c r="B110" s="3816"/>
      <c r="C110" s="3715" t="s">
        <v>2241</v>
      </c>
      <c r="D110" s="3816"/>
      <c r="E110" s="3231" t="s">
        <v>167</v>
      </c>
      <c r="F110" s="3009"/>
      <c r="G110" s="3717"/>
      <c r="H110" s="3231">
        <f t="shared" si="13"/>
        <v>0</v>
      </c>
      <c r="I110" s="3231">
        <f>+VLOOKUP(C110,'Đội 2'!C27:H112,6,0)</f>
        <v>0</v>
      </c>
      <c r="J110" s="3816"/>
      <c r="K110" s="3231">
        <f>+VLOOKUP(C110,'Đội 2'!C27:K112,8,0)</f>
        <v>0</v>
      </c>
      <c r="L110" s="3231" t="str">
        <f>+VLOOKUP(C110,'Đội 2'!C27:L112,10,0)</f>
        <v>A</v>
      </c>
      <c r="M110" s="3231">
        <f>+VLOOKUP(C110,'Đội 2'!C27:M112,11,0)</f>
        <v>0</v>
      </c>
      <c r="N110" s="3231">
        <f>+VLOOKUP(C110,'Đội 2'!$C$18:$R$103,12,0)</f>
        <v>12</v>
      </c>
      <c r="O110" s="3231">
        <f>+VLOOKUP(C110,'Đội 2'!$C$18:$R$103,13,0)</f>
        <v>2</v>
      </c>
      <c r="P110" s="3231">
        <f t="shared" si="14"/>
        <v>14</v>
      </c>
      <c r="Q110" s="3816"/>
      <c r="R110" s="3231">
        <f>+VLOOKUP(C110,'Đội 2'!$C$18:$R$103,15,0)</f>
        <v>500000</v>
      </c>
      <c r="S110" s="3231">
        <f>+VLOOKUP(C110,'Đội 2'!$C$18:$R$103,16,0)</f>
        <v>1243650.6000000001</v>
      </c>
      <c r="T110" s="3231">
        <f t="shared" si="15"/>
        <v>1243650.6000000001</v>
      </c>
      <c r="U110" s="3816"/>
      <c r="V110" s="3231">
        <f t="shared" si="16"/>
        <v>1243650.6000000001</v>
      </c>
      <c r="W110" s="1499"/>
      <c r="X110" s="1499"/>
      <c r="Y110" s="1500"/>
      <c r="Z110" s="1501"/>
    </row>
    <row r="111" spans="1:26" s="1502" customFormat="1" ht="34.5" customHeight="1">
      <c r="A111" s="3231">
        <v>93</v>
      </c>
      <c r="B111" s="3816"/>
      <c r="C111" s="3715" t="s">
        <v>2242</v>
      </c>
      <c r="D111" s="3816"/>
      <c r="E111" s="3231" t="s">
        <v>167</v>
      </c>
      <c r="F111" s="3009"/>
      <c r="G111" s="3717"/>
      <c r="H111" s="3231">
        <f t="shared" si="13"/>
        <v>0</v>
      </c>
      <c r="I111" s="3231">
        <f>+VLOOKUP(C111,'Đội 2'!C28:H113,6,0)</f>
        <v>97</v>
      </c>
      <c r="J111" s="3816"/>
      <c r="K111" s="3231">
        <f>+VLOOKUP(C111,'Đội 2'!C28:K113,8,0)</f>
        <v>56.268451485148503</v>
      </c>
      <c r="L111" s="3231" t="str">
        <f>+VLOOKUP(C111,'Đội 2'!C28:L113,10,0)</f>
        <v>A</v>
      </c>
      <c r="M111" s="3231">
        <f>+VLOOKUP(C111,'Đội 2'!C28:M113,11,0)</f>
        <v>221800</v>
      </c>
      <c r="N111" s="3231">
        <f>+VLOOKUP(C111,'Đội 2'!$C$18:$R$103,12,0)</f>
        <v>15</v>
      </c>
      <c r="O111" s="3231">
        <f>+VLOOKUP(C111,'Đội 2'!$C$18:$R$103,13,0)</f>
        <v>3</v>
      </c>
      <c r="P111" s="3231">
        <f t="shared" si="14"/>
        <v>18</v>
      </c>
      <c r="Q111" s="3816"/>
      <c r="R111" s="3231">
        <f>+VLOOKUP(C111,'Đội 2'!$C$18:$R$103,15,0)</f>
        <v>500000</v>
      </c>
      <c r="S111" s="3231">
        <f>+VLOOKUP(C111,'Đội 2'!$C$18:$R$103,16,0)</f>
        <v>1464778.76</v>
      </c>
      <c r="T111" s="3231">
        <f t="shared" si="15"/>
        <v>1686578.76</v>
      </c>
      <c r="U111" s="3816"/>
      <c r="V111" s="3231">
        <f t="shared" si="16"/>
        <v>1686578.76</v>
      </c>
      <c r="W111" s="1499"/>
      <c r="X111" s="1499"/>
      <c r="Y111" s="1500"/>
      <c r="Z111" s="1501"/>
    </row>
    <row r="112" spans="1:26" s="1502" customFormat="1" ht="34.5" customHeight="1">
      <c r="A112" s="3231">
        <v>94</v>
      </c>
      <c r="B112" s="3816"/>
      <c r="C112" s="3715" t="s">
        <v>488</v>
      </c>
      <c r="D112" s="3816"/>
      <c r="E112" s="3231" t="s">
        <v>167</v>
      </c>
      <c r="F112" s="3009"/>
      <c r="G112" s="3717"/>
      <c r="H112" s="3231">
        <f t="shared" si="13"/>
        <v>0</v>
      </c>
      <c r="I112" s="3231">
        <f>+VLOOKUP(C112,'Đội 2'!C29:H114,6,0)</f>
        <v>98</v>
      </c>
      <c r="J112" s="3816"/>
      <c r="K112" s="3231">
        <f>+VLOOKUP(C112,'Đội 2'!C29:K114,8,0)</f>
        <v>56.848538613861372</v>
      </c>
      <c r="L112" s="3231" t="str">
        <f>+VLOOKUP(C112,'Đội 2'!C29:L114,10,0)</f>
        <v>A</v>
      </c>
      <c r="M112" s="3231">
        <f>+VLOOKUP(C112,'Đội 2'!C29:M114,11,0)</f>
        <v>224087</v>
      </c>
      <c r="N112" s="3231">
        <f>+VLOOKUP(C112,'Đội 2'!$C$18:$R$103,12,0)</f>
        <v>15</v>
      </c>
      <c r="O112" s="3231">
        <f>+VLOOKUP(C112,'Đội 2'!$C$18:$R$103,13,0)</f>
        <v>3</v>
      </c>
      <c r="P112" s="3231">
        <f t="shared" si="14"/>
        <v>18</v>
      </c>
      <c r="Q112" s="3816"/>
      <c r="R112" s="3231">
        <f>+VLOOKUP(C112,'Đội 2'!$C$18:$R$103,15,0)</f>
        <v>500000</v>
      </c>
      <c r="S112" s="3231">
        <f>+VLOOKUP(C112,'Đội 2'!$C$18:$R$103,16,0)</f>
        <v>1464778.76</v>
      </c>
      <c r="T112" s="3231">
        <f t="shared" si="15"/>
        <v>1688865.76</v>
      </c>
      <c r="U112" s="3816"/>
      <c r="V112" s="3231">
        <f t="shared" si="16"/>
        <v>1688865.76</v>
      </c>
      <c r="W112" s="1499"/>
      <c r="X112" s="1499"/>
      <c r="Y112" s="1500"/>
      <c r="Z112" s="1501"/>
    </row>
    <row r="113" spans="1:26" s="1502" customFormat="1" ht="34.5" customHeight="1">
      <c r="A113" s="3231">
        <v>95</v>
      </c>
      <c r="B113" s="3816"/>
      <c r="C113" s="3715" t="s">
        <v>2243</v>
      </c>
      <c r="D113" s="3816"/>
      <c r="E113" s="3231" t="s">
        <v>167</v>
      </c>
      <c r="F113" s="3009"/>
      <c r="G113" s="3717"/>
      <c r="H113" s="3231">
        <f t="shared" si="13"/>
        <v>0</v>
      </c>
      <c r="I113" s="3231">
        <f>+VLOOKUP(C113,'Đội 2'!C30:H115,6,0)</f>
        <v>68</v>
      </c>
      <c r="J113" s="3816"/>
      <c r="K113" s="3231">
        <f>+VLOOKUP(C113,'Đội 2'!C30:K115,8,0)</f>
        <v>39.445924752475236</v>
      </c>
      <c r="L113" s="3231" t="str">
        <f>+VLOOKUP(C113,'Đội 2'!C30:L115,10,0)</f>
        <v>A</v>
      </c>
      <c r="M113" s="3231">
        <f>+VLOOKUP(C113,'Đội 2'!C30:M115,11,0)</f>
        <v>155489</v>
      </c>
      <c r="N113" s="3231">
        <f>+VLOOKUP(C113,'Đội 2'!$C$18:$R$103,12,0)</f>
        <v>13</v>
      </c>
      <c r="O113" s="3231">
        <f>+VLOOKUP(C113,'Đội 2'!$C$18:$R$103,13,0)</f>
        <v>3</v>
      </c>
      <c r="P113" s="3231">
        <f t="shared" si="14"/>
        <v>16</v>
      </c>
      <c r="Q113" s="3816"/>
      <c r="R113" s="3231">
        <f>+VLOOKUP(C113,'Đội 2'!$C$18:$R$103,15,0)</f>
        <v>500000</v>
      </c>
      <c r="S113" s="3231">
        <f>+VLOOKUP(C113,'Đội 2'!$C$18:$R$103,16,0)</f>
        <v>1364314</v>
      </c>
      <c r="T113" s="3231">
        <f t="shared" si="15"/>
        <v>1519803</v>
      </c>
      <c r="U113" s="3816"/>
      <c r="V113" s="3231">
        <f t="shared" si="16"/>
        <v>1519803</v>
      </c>
      <c r="W113" s="1499"/>
      <c r="X113" s="1499"/>
      <c r="Y113" s="1500"/>
      <c r="Z113" s="1501"/>
    </row>
    <row r="114" spans="1:26" s="1502" customFormat="1" ht="34.5" customHeight="1">
      <c r="A114" s="3231">
        <v>96</v>
      </c>
      <c r="B114" s="3816"/>
      <c r="C114" s="3715" t="s">
        <v>2244</v>
      </c>
      <c r="D114" s="3816"/>
      <c r="E114" s="3231" t="s">
        <v>167</v>
      </c>
      <c r="F114" s="3009"/>
      <c r="G114" s="3717"/>
      <c r="H114" s="3231">
        <f t="shared" si="13"/>
        <v>0</v>
      </c>
      <c r="I114" s="3231">
        <f>+VLOOKUP(C114,'Đội 2'!C31:H116,6,0)</f>
        <v>56</v>
      </c>
      <c r="J114" s="3816"/>
      <c r="K114" s="3231">
        <f>+VLOOKUP(C114,'Đội 2'!C31:K116,8,0)</f>
        <v>32.484879207920784</v>
      </c>
      <c r="L114" s="3231" t="str">
        <f>+VLOOKUP(C114,'Đội 2'!C31:L116,10,0)</f>
        <v>A</v>
      </c>
      <c r="M114" s="3231">
        <f>+VLOOKUP(C114,'Đội 2'!C31:M116,11,0)</f>
        <v>128050</v>
      </c>
      <c r="N114" s="3231">
        <f>+VLOOKUP(C114,'Đội 2'!$C$18:$R$103,12,0)</f>
        <v>14</v>
      </c>
      <c r="O114" s="3231">
        <f>+VLOOKUP(C114,'Đội 2'!$C$18:$R$103,13,0)</f>
        <v>3</v>
      </c>
      <c r="P114" s="3231">
        <f t="shared" si="14"/>
        <v>17</v>
      </c>
      <c r="Q114" s="3816"/>
      <c r="R114" s="3231">
        <f>+VLOOKUP(C114,'Đội 2'!$C$18:$R$103,15,0)</f>
        <v>500000</v>
      </c>
      <c r="S114" s="3231">
        <f>+VLOOKUP(C114,'Đội 2'!$C$18:$R$103,16,0)</f>
        <v>1414546.38</v>
      </c>
      <c r="T114" s="3231">
        <f t="shared" si="15"/>
        <v>1542596.38</v>
      </c>
      <c r="U114" s="3816"/>
      <c r="V114" s="3231">
        <f t="shared" si="16"/>
        <v>1542596.38</v>
      </c>
      <c r="W114" s="1499"/>
      <c r="X114" s="1499"/>
      <c r="Y114" s="1500"/>
      <c r="Z114" s="1501"/>
    </row>
    <row r="115" spans="1:26" s="1502" customFormat="1" ht="34.5" customHeight="1">
      <c r="A115" s="3231">
        <v>97</v>
      </c>
      <c r="B115" s="3816"/>
      <c r="C115" s="3715" t="s">
        <v>2245</v>
      </c>
      <c r="D115" s="3816"/>
      <c r="E115" s="3231" t="s">
        <v>167</v>
      </c>
      <c r="F115" s="3009"/>
      <c r="G115" s="3717"/>
      <c r="H115" s="3231">
        <f t="shared" si="13"/>
        <v>0</v>
      </c>
      <c r="I115" s="3231">
        <f>+VLOOKUP(C115,'Đội 2'!C32:H117,6,0)</f>
        <v>38</v>
      </c>
      <c r="J115" s="3816"/>
      <c r="K115" s="3231">
        <f>+VLOOKUP(C115,'Đội 2'!C32:K117,8,0)</f>
        <v>22.043310891089103</v>
      </c>
      <c r="L115" s="3231" t="str">
        <f>+VLOOKUP(C115,'Đội 2'!C32:L117,10,0)</f>
        <v>A</v>
      </c>
      <c r="M115" s="3231">
        <f>+VLOOKUP(C115,'Đội 2'!C32:M117,11,0)</f>
        <v>86891</v>
      </c>
      <c r="N115" s="3231">
        <f>+VLOOKUP(C115,'Đội 2'!$C$18:$R$103,12,0)</f>
        <v>13</v>
      </c>
      <c r="O115" s="3231">
        <f>+VLOOKUP(C115,'Đội 2'!$C$18:$R$103,13,0)</f>
        <v>3</v>
      </c>
      <c r="P115" s="3231">
        <f t="shared" si="14"/>
        <v>16</v>
      </c>
      <c r="Q115" s="3816"/>
      <c r="R115" s="3231">
        <f>+VLOOKUP(C115,'Đội 2'!$C$18:$R$103,15,0)</f>
        <v>500000</v>
      </c>
      <c r="S115" s="3231">
        <f>+VLOOKUP(C115,'Đội 2'!$C$18:$R$103,16,0)</f>
        <v>1364314</v>
      </c>
      <c r="T115" s="3231">
        <f t="shared" si="15"/>
        <v>1451205</v>
      </c>
      <c r="U115" s="3816"/>
      <c r="V115" s="3231">
        <f t="shared" si="16"/>
        <v>1451205</v>
      </c>
      <c r="W115" s="1499"/>
      <c r="X115" s="1499"/>
      <c r="Y115" s="1500"/>
      <c r="Z115" s="1501"/>
    </row>
    <row r="116" spans="1:26" s="1502" customFormat="1" ht="34.5" customHeight="1">
      <c r="A116" s="3231">
        <v>98</v>
      </c>
      <c r="B116" s="3816"/>
      <c r="C116" s="3715" t="s">
        <v>2246</v>
      </c>
      <c r="D116" s="3816"/>
      <c r="E116" s="3231" t="s">
        <v>167</v>
      </c>
      <c r="F116" s="3009"/>
      <c r="G116" s="3717"/>
      <c r="H116" s="3231">
        <f t="shared" si="13"/>
        <v>0</v>
      </c>
      <c r="I116" s="3231">
        <f>+VLOOKUP(C116,'Đội 2'!C33:H118,6,0)</f>
        <v>39</v>
      </c>
      <c r="J116" s="3816"/>
      <c r="K116" s="3231">
        <f>+VLOOKUP(C116,'Đội 2'!C33:K118,8,0)</f>
        <v>22.623398019801975</v>
      </c>
      <c r="L116" s="3231" t="str">
        <f>+VLOOKUP(C116,'Đội 2'!C33:L118,10,0)</f>
        <v>A</v>
      </c>
      <c r="M116" s="3231">
        <f>+VLOOKUP(C116,'Đội 2'!C33:M118,11,0)</f>
        <v>89177</v>
      </c>
      <c r="N116" s="3231">
        <f>+VLOOKUP(C116,'Đội 2'!$C$18:$R$103,12,0)</f>
        <v>13</v>
      </c>
      <c r="O116" s="3231">
        <f>+VLOOKUP(C116,'Đội 2'!$C$18:$R$103,13,0)</f>
        <v>3</v>
      </c>
      <c r="P116" s="3231">
        <f t="shared" si="14"/>
        <v>16</v>
      </c>
      <c r="Q116" s="3816"/>
      <c r="R116" s="3231">
        <f>+VLOOKUP(C116,'Đội 2'!$C$18:$R$103,15,0)</f>
        <v>500000</v>
      </c>
      <c r="S116" s="3231">
        <f>+VLOOKUP(C116,'Đội 2'!$C$18:$R$103,16,0)</f>
        <v>1364314</v>
      </c>
      <c r="T116" s="3231">
        <f t="shared" si="15"/>
        <v>1453491</v>
      </c>
      <c r="U116" s="3816"/>
      <c r="V116" s="3231">
        <f t="shared" si="16"/>
        <v>1453491</v>
      </c>
      <c r="W116" s="1499"/>
      <c r="X116" s="1499"/>
      <c r="Y116" s="1500"/>
      <c r="Z116" s="1501"/>
    </row>
    <row r="117" spans="1:26" s="1502" customFormat="1" ht="34.5" customHeight="1">
      <c r="A117" s="3231">
        <v>99</v>
      </c>
      <c r="B117" s="3816"/>
      <c r="C117" s="3715" t="s">
        <v>2247</v>
      </c>
      <c r="D117" s="3816"/>
      <c r="E117" s="3231" t="s">
        <v>167</v>
      </c>
      <c r="F117" s="3009"/>
      <c r="G117" s="3717"/>
      <c r="H117" s="3231">
        <f t="shared" si="13"/>
        <v>0</v>
      </c>
      <c r="I117" s="3231">
        <f>+VLOOKUP(C117,'Đội 2'!C34:H119,6,0)</f>
        <v>53</v>
      </c>
      <c r="J117" s="3816"/>
      <c r="K117" s="3231">
        <f>+VLOOKUP(C117,'Đội 2'!C34:K119,8,0)</f>
        <v>30.744617821782171</v>
      </c>
      <c r="L117" s="3231" t="str">
        <f>+VLOOKUP(C117,'Đội 2'!C34:L119,10,0)</f>
        <v>A</v>
      </c>
      <c r="M117" s="3231">
        <f>+VLOOKUP(C117,'Đội 2'!C34:M119,11,0)</f>
        <v>121190</v>
      </c>
      <c r="N117" s="3231">
        <f>+VLOOKUP(C117,'Đội 2'!$C$18:$R$103,12,0)</f>
        <v>12</v>
      </c>
      <c r="O117" s="3231">
        <f>+VLOOKUP(C117,'Đội 2'!$C$18:$R$103,13,0)</f>
        <v>3</v>
      </c>
      <c r="P117" s="3231">
        <f t="shared" si="14"/>
        <v>15</v>
      </c>
      <c r="Q117" s="3816"/>
      <c r="R117" s="3231">
        <f>+VLOOKUP(C117,'Đội 2'!$C$18:$R$103,15,0)</f>
        <v>500000</v>
      </c>
      <c r="S117" s="3231">
        <f>+VLOOKUP(C117,'Đội 2'!$C$18:$R$103,16,0)</f>
        <v>1314081.6200000001</v>
      </c>
      <c r="T117" s="3231">
        <f t="shared" si="15"/>
        <v>1435271.62</v>
      </c>
      <c r="U117" s="3816"/>
      <c r="V117" s="3231">
        <f t="shared" si="16"/>
        <v>1435271.62</v>
      </c>
      <c r="W117" s="1499"/>
      <c r="X117" s="1499"/>
      <c r="Y117" s="1500"/>
      <c r="Z117" s="1501"/>
    </row>
    <row r="118" spans="1:26" s="1502" customFormat="1" ht="34.5" customHeight="1">
      <c r="A118" s="3231">
        <v>100</v>
      </c>
      <c r="B118" s="3816"/>
      <c r="C118" s="3715" t="s">
        <v>2248</v>
      </c>
      <c r="D118" s="3816"/>
      <c r="E118" s="3231" t="s">
        <v>167</v>
      </c>
      <c r="F118" s="3009"/>
      <c r="G118" s="3717"/>
      <c r="H118" s="3231">
        <f t="shared" si="13"/>
        <v>0</v>
      </c>
      <c r="I118" s="3231">
        <f>+VLOOKUP(C118,'Đội 2'!C35:H120,6,0)</f>
        <v>54</v>
      </c>
      <c r="J118" s="3816"/>
      <c r="K118" s="3231">
        <f>+VLOOKUP(C118,'Đội 2'!C35:K120,8,0)</f>
        <v>31.324704950495043</v>
      </c>
      <c r="L118" s="3231" t="str">
        <f>+VLOOKUP(C118,'Đội 2'!C35:L120,10,0)</f>
        <v>A</v>
      </c>
      <c r="M118" s="3231">
        <f>+VLOOKUP(C118,'Đội 2'!C35:M120,11,0)</f>
        <v>123476</v>
      </c>
      <c r="N118" s="3231">
        <f>+VLOOKUP(C118,'Đội 2'!$C$18:$R$103,12,0)</f>
        <v>12</v>
      </c>
      <c r="O118" s="3231">
        <f>+VLOOKUP(C118,'Đội 2'!$C$18:$R$103,13,0)</f>
        <v>3</v>
      </c>
      <c r="P118" s="3231">
        <f t="shared" si="14"/>
        <v>15</v>
      </c>
      <c r="Q118" s="3816"/>
      <c r="R118" s="3231">
        <f>+VLOOKUP(C118,'Đội 2'!$C$18:$R$103,15,0)</f>
        <v>500000</v>
      </c>
      <c r="S118" s="3231">
        <f>+VLOOKUP(C118,'Đội 2'!$C$18:$R$103,16,0)</f>
        <v>1314081.6200000001</v>
      </c>
      <c r="T118" s="3231">
        <f t="shared" si="15"/>
        <v>1437557.62</v>
      </c>
      <c r="U118" s="3816"/>
      <c r="V118" s="3231">
        <f t="shared" si="16"/>
        <v>1437557.62</v>
      </c>
      <c r="W118" s="1499"/>
      <c r="X118" s="1499"/>
      <c r="Y118" s="1500"/>
      <c r="Z118" s="1501"/>
    </row>
    <row r="119" spans="1:26" s="1502" customFormat="1" ht="34.5" customHeight="1">
      <c r="A119" s="3231">
        <v>101</v>
      </c>
      <c r="B119" s="3816"/>
      <c r="C119" s="3715" t="s">
        <v>2249</v>
      </c>
      <c r="D119" s="3816"/>
      <c r="E119" s="3231" t="s">
        <v>167</v>
      </c>
      <c r="F119" s="3009"/>
      <c r="G119" s="3717"/>
      <c r="H119" s="3231">
        <f t="shared" si="13"/>
        <v>0</v>
      </c>
      <c r="I119" s="3231">
        <f>+VLOOKUP(C119,'Đội 2'!C36:H121,6,0)</f>
        <v>56</v>
      </c>
      <c r="J119" s="3816"/>
      <c r="K119" s="3231">
        <f>+VLOOKUP(C119,'Đội 2'!C36:K121,8,0)</f>
        <v>32.484879207920784</v>
      </c>
      <c r="L119" s="3231" t="str">
        <f>+VLOOKUP(C119,'Đội 2'!C36:L121,10,0)</f>
        <v>A</v>
      </c>
      <c r="M119" s="3231">
        <f>+VLOOKUP(C119,'Đội 2'!C36:M121,11,0)</f>
        <v>128050</v>
      </c>
      <c r="N119" s="3231">
        <f>+VLOOKUP(C119,'Đội 2'!$C$18:$R$103,12,0)</f>
        <v>12</v>
      </c>
      <c r="O119" s="3231">
        <f>+VLOOKUP(C119,'Đội 2'!$C$18:$R$103,13,0)</f>
        <v>3</v>
      </c>
      <c r="P119" s="3231">
        <f t="shared" si="14"/>
        <v>15</v>
      </c>
      <c r="Q119" s="3816"/>
      <c r="R119" s="3231">
        <f>+VLOOKUP(C119,'Đội 2'!$C$18:$R$103,15,0)</f>
        <v>500000</v>
      </c>
      <c r="S119" s="3231">
        <f>+VLOOKUP(C119,'Đội 2'!$C$18:$R$103,16,0)</f>
        <v>1314081.6200000001</v>
      </c>
      <c r="T119" s="3231">
        <f t="shared" si="15"/>
        <v>1442131.62</v>
      </c>
      <c r="U119" s="3816"/>
      <c r="V119" s="3231">
        <f t="shared" si="16"/>
        <v>1442131.62</v>
      </c>
      <c r="W119" s="1499"/>
      <c r="X119" s="1499"/>
      <c r="Y119" s="1500"/>
      <c r="Z119" s="1501"/>
    </row>
    <row r="120" spans="1:26" s="1502" customFormat="1" ht="34.5" customHeight="1">
      <c r="A120" s="3231">
        <v>102</v>
      </c>
      <c r="B120" s="3816"/>
      <c r="C120" s="3715" t="s">
        <v>2250</v>
      </c>
      <c r="D120" s="3816"/>
      <c r="E120" s="3231" t="s">
        <v>167</v>
      </c>
      <c r="F120" s="3009"/>
      <c r="G120" s="3717"/>
      <c r="H120" s="3231">
        <f t="shared" si="13"/>
        <v>0</v>
      </c>
      <c r="I120" s="3231">
        <f>+VLOOKUP(C120,'Đội 2'!C37:H122,6,0)</f>
        <v>40</v>
      </c>
      <c r="J120" s="3816"/>
      <c r="K120" s="3231">
        <f>+VLOOKUP(C120,'Đội 2'!C37:K122,8,0)</f>
        <v>23.203485148514847</v>
      </c>
      <c r="L120" s="3231" t="str">
        <f>+VLOOKUP(C120,'Đội 2'!C37:L122,10,0)</f>
        <v>A</v>
      </c>
      <c r="M120" s="3231">
        <f>+VLOOKUP(C120,'Đội 2'!C37:M122,11,0)</f>
        <v>91464</v>
      </c>
      <c r="N120" s="3231">
        <f>+VLOOKUP(C120,'Đội 2'!$C$18:$R$103,12,0)</f>
        <v>10</v>
      </c>
      <c r="O120" s="3231">
        <f>+VLOOKUP(C120,'Đội 2'!$C$18:$R$103,13,0)</f>
        <v>2</v>
      </c>
      <c r="P120" s="3231">
        <f t="shared" si="14"/>
        <v>12</v>
      </c>
      <c r="Q120" s="3816"/>
      <c r="R120" s="3231">
        <f>+VLOOKUP(C120,'Đội 2'!$C$18:$R$103,15,0)</f>
        <v>500000</v>
      </c>
      <c r="S120" s="3231">
        <f>+VLOOKUP(C120,'Đội 2'!$C$18:$R$103,16,0)</f>
        <v>1143185.8400000001</v>
      </c>
      <c r="T120" s="3231">
        <f t="shared" si="15"/>
        <v>1234649.8400000001</v>
      </c>
      <c r="U120" s="3816"/>
      <c r="V120" s="3231">
        <f t="shared" si="16"/>
        <v>1234649.8400000001</v>
      </c>
      <c r="W120" s="1499"/>
      <c r="X120" s="1499"/>
      <c r="Y120" s="1500"/>
      <c r="Z120" s="1501"/>
    </row>
    <row r="121" spans="1:26" s="1502" customFormat="1" ht="34.5" customHeight="1">
      <c r="A121" s="3231">
        <v>103</v>
      </c>
      <c r="B121" s="3816"/>
      <c r="C121" s="3715" t="s">
        <v>2251</v>
      </c>
      <c r="D121" s="3816"/>
      <c r="E121" s="3231" t="s">
        <v>167</v>
      </c>
      <c r="F121" s="3009"/>
      <c r="G121" s="3717"/>
      <c r="H121" s="3231">
        <f t="shared" si="13"/>
        <v>0</v>
      </c>
      <c r="I121" s="3231">
        <f>+VLOOKUP(C121,'Đội 2'!C38:H123,6,0)</f>
        <v>40</v>
      </c>
      <c r="J121" s="3816"/>
      <c r="K121" s="3231">
        <f>+VLOOKUP(C121,'Đội 2'!C38:K123,8,0)</f>
        <v>23.203485148514847</v>
      </c>
      <c r="L121" s="3231" t="str">
        <f>+VLOOKUP(C121,'Đội 2'!C38:L123,10,0)</f>
        <v>A</v>
      </c>
      <c r="M121" s="3231">
        <f>+VLOOKUP(C121,'Đội 2'!C38:M123,11,0)</f>
        <v>91464</v>
      </c>
      <c r="N121" s="3231">
        <f>+VLOOKUP(C121,'Đội 2'!$C$18:$R$103,12,0)</f>
        <v>10</v>
      </c>
      <c r="O121" s="3231">
        <f>+VLOOKUP(C121,'Đội 2'!$C$18:$R$103,13,0)</f>
        <v>2</v>
      </c>
      <c r="P121" s="3231">
        <f t="shared" si="14"/>
        <v>12</v>
      </c>
      <c r="Q121" s="3816"/>
      <c r="R121" s="3231">
        <f>+VLOOKUP(C121,'Đội 2'!$C$18:$R$103,15,0)</f>
        <v>500000</v>
      </c>
      <c r="S121" s="3231">
        <f>+VLOOKUP(C121,'Đội 2'!$C$18:$R$103,16,0)</f>
        <v>1143185.8400000001</v>
      </c>
      <c r="T121" s="3231">
        <f t="shared" si="15"/>
        <v>1234649.8400000001</v>
      </c>
      <c r="U121" s="3816"/>
      <c r="V121" s="3231">
        <f t="shared" si="16"/>
        <v>1234649.8400000001</v>
      </c>
      <c r="W121" s="1499"/>
      <c r="X121" s="1499"/>
      <c r="Y121" s="1500"/>
      <c r="Z121" s="1501"/>
    </row>
    <row r="122" spans="1:26" s="1502" customFormat="1" ht="34.5" customHeight="1">
      <c r="A122" s="3231">
        <v>104</v>
      </c>
      <c r="B122" s="3816"/>
      <c r="C122" s="3715" t="s">
        <v>2252</v>
      </c>
      <c r="D122" s="3816"/>
      <c r="E122" s="3231" t="s">
        <v>167</v>
      </c>
      <c r="F122" s="3009"/>
      <c r="G122" s="3717"/>
      <c r="H122" s="3231">
        <f t="shared" si="13"/>
        <v>0</v>
      </c>
      <c r="I122" s="3231">
        <f>+VLOOKUP(C122,'Đội 2'!C39:H124,6,0)</f>
        <v>33</v>
      </c>
      <c r="J122" s="3816"/>
      <c r="K122" s="3231">
        <f>+VLOOKUP(C122,'Đội 2'!C39:K124,8,0)</f>
        <v>19.142875247524749</v>
      </c>
      <c r="L122" s="3231" t="str">
        <f>+VLOOKUP(C122,'Đội 2'!C39:L124,10,0)</f>
        <v>A</v>
      </c>
      <c r="M122" s="3231">
        <f>+VLOOKUP(C122,'Đội 2'!C39:M124,11,0)</f>
        <v>75458</v>
      </c>
      <c r="N122" s="3231">
        <f>+VLOOKUP(C122,'Đội 2'!$C$18:$R$103,12,0)</f>
        <v>10</v>
      </c>
      <c r="O122" s="3231">
        <f>+VLOOKUP(C122,'Đội 2'!$C$18:$R$103,13,0)</f>
        <v>2</v>
      </c>
      <c r="P122" s="3231">
        <f t="shared" si="14"/>
        <v>12</v>
      </c>
      <c r="Q122" s="3816"/>
      <c r="R122" s="3231">
        <f>+VLOOKUP(C122,'Đội 2'!$C$18:$R$103,15,0)</f>
        <v>500000</v>
      </c>
      <c r="S122" s="3231">
        <f>+VLOOKUP(C122,'Đội 2'!$C$18:$R$103,16,0)</f>
        <v>1143185.8400000001</v>
      </c>
      <c r="T122" s="3231">
        <f t="shared" si="15"/>
        <v>1218643.8400000001</v>
      </c>
      <c r="U122" s="3816"/>
      <c r="V122" s="3231">
        <f t="shared" si="16"/>
        <v>1218643.8400000001</v>
      </c>
      <c r="W122" s="1499"/>
      <c r="X122" s="1499"/>
      <c r="Y122" s="1500"/>
      <c r="Z122" s="1501"/>
    </row>
    <row r="123" spans="1:26" s="1502" customFormat="1" ht="34.5" customHeight="1">
      <c r="A123" s="3231">
        <v>105</v>
      </c>
      <c r="B123" s="3816"/>
      <c r="C123" s="3715" t="s">
        <v>2253</v>
      </c>
      <c r="D123" s="3816"/>
      <c r="E123" s="3231" t="s">
        <v>167</v>
      </c>
      <c r="F123" s="3009"/>
      <c r="G123" s="3717"/>
      <c r="H123" s="3231">
        <f t="shared" si="13"/>
        <v>0</v>
      </c>
      <c r="I123" s="3231">
        <f>+VLOOKUP(C123,'Đội 2'!C40:H125,6,0)</f>
        <v>40</v>
      </c>
      <c r="J123" s="3816"/>
      <c r="K123" s="3231">
        <f>+VLOOKUP(C123,'Đội 2'!C40:K125,8,0)</f>
        <v>23.203485148514847</v>
      </c>
      <c r="L123" s="3231" t="str">
        <f>+VLOOKUP(C123,'Đội 2'!C40:L125,10,0)</f>
        <v>A</v>
      </c>
      <c r="M123" s="3231">
        <f>+VLOOKUP(C123,'Đội 2'!C40:M125,11,0)</f>
        <v>91464</v>
      </c>
      <c r="N123" s="3231">
        <f>+VLOOKUP(C123,'Đội 2'!$C$18:$R$103,12,0)</f>
        <v>14</v>
      </c>
      <c r="O123" s="3231">
        <f>+VLOOKUP(C123,'Đội 2'!$C$18:$R$103,13,0)</f>
        <v>3</v>
      </c>
      <c r="P123" s="3231">
        <f t="shared" si="14"/>
        <v>17</v>
      </c>
      <c r="Q123" s="3816"/>
      <c r="R123" s="3231">
        <f>+VLOOKUP(C123,'Đội 2'!$C$18:$R$103,15,0)</f>
        <v>500000</v>
      </c>
      <c r="S123" s="3231">
        <f>+VLOOKUP(C123,'Đội 2'!$C$18:$R$103,16,0)</f>
        <v>1414546.38</v>
      </c>
      <c r="T123" s="3231">
        <f t="shared" si="15"/>
        <v>1506010.38</v>
      </c>
      <c r="U123" s="3816"/>
      <c r="V123" s="3231">
        <f t="shared" si="16"/>
        <v>1506010.38</v>
      </c>
      <c r="W123" s="1499"/>
      <c r="X123" s="1499"/>
      <c r="Y123" s="1500"/>
      <c r="Z123" s="1501"/>
    </row>
    <row r="124" spans="1:26" s="1502" customFormat="1" ht="34.5" customHeight="1">
      <c r="A124" s="3231">
        <v>106</v>
      </c>
      <c r="B124" s="3816"/>
      <c r="C124" s="3715" t="s">
        <v>2254</v>
      </c>
      <c r="D124" s="3816"/>
      <c r="E124" s="3231" t="s">
        <v>167</v>
      </c>
      <c r="F124" s="3009"/>
      <c r="G124" s="3717"/>
      <c r="H124" s="3231">
        <f t="shared" si="13"/>
        <v>0</v>
      </c>
      <c r="I124" s="3231">
        <f>+VLOOKUP(C124,'Đội 2'!C41:H126,6,0)</f>
        <v>40</v>
      </c>
      <c r="J124" s="3816"/>
      <c r="K124" s="3231">
        <f>+VLOOKUP(C124,'Đội 2'!C41:K126,8,0)</f>
        <v>23.203485148514847</v>
      </c>
      <c r="L124" s="3231" t="str">
        <f>+VLOOKUP(C124,'Đội 2'!C41:L126,10,0)</f>
        <v>A</v>
      </c>
      <c r="M124" s="3231">
        <f>+VLOOKUP(C124,'Đội 2'!C41:M126,11,0)</f>
        <v>91464</v>
      </c>
      <c r="N124" s="3231">
        <f>+VLOOKUP(C124,'Đội 2'!$C$18:$R$103,12,0)</f>
        <v>14</v>
      </c>
      <c r="O124" s="3231">
        <f>+VLOOKUP(C124,'Đội 2'!$C$18:$R$103,13,0)</f>
        <v>3</v>
      </c>
      <c r="P124" s="3231">
        <f t="shared" si="14"/>
        <v>17</v>
      </c>
      <c r="Q124" s="3816"/>
      <c r="R124" s="3231">
        <f>+VLOOKUP(C124,'Đội 2'!$C$18:$R$103,15,0)</f>
        <v>500000</v>
      </c>
      <c r="S124" s="3231">
        <f>+VLOOKUP(C124,'Đội 2'!$C$18:$R$103,16,0)</f>
        <v>1414546.38</v>
      </c>
      <c r="T124" s="3231">
        <f t="shared" si="15"/>
        <v>1506010.38</v>
      </c>
      <c r="U124" s="3816"/>
      <c r="V124" s="3231">
        <f t="shared" si="16"/>
        <v>1506010.38</v>
      </c>
      <c r="W124" s="1499"/>
      <c r="X124" s="1499"/>
      <c r="Y124" s="1500"/>
      <c r="Z124" s="1501"/>
    </row>
    <row r="125" spans="1:26" s="1502" customFormat="1" ht="34.5" customHeight="1">
      <c r="A125" s="3231">
        <v>107</v>
      </c>
      <c r="B125" s="3816"/>
      <c r="C125" s="3715" t="s">
        <v>2255</v>
      </c>
      <c r="D125" s="3816"/>
      <c r="E125" s="3231" t="s">
        <v>167</v>
      </c>
      <c r="F125" s="3009"/>
      <c r="G125" s="3717"/>
      <c r="H125" s="3231">
        <f t="shared" si="13"/>
        <v>0</v>
      </c>
      <c r="I125" s="3231">
        <f>+VLOOKUP(C125,'Đội 2'!C42:H127,6,0)</f>
        <v>65</v>
      </c>
      <c r="J125" s="3816"/>
      <c r="K125" s="3231">
        <f>+VLOOKUP(C125,'Đội 2'!C42:K127,8,0)</f>
        <v>37.705663366336623</v>
      </c>
      <c r="L125" s="3231" t="str">
        <f>+VLOOKUP(C125,'Đội 2'!C42:L127,10,0)</f>
        <v>A</v>
      </c>
      <c r="M125" s="3231">
        <f>+VLOOKUP(C125,'Đội 2'!C42:M127,11,0)</f>
        <v>148629</v>
      </c>
      <c r="N125" s="3231">
        <f>+VLOOKUP(C125,'Đội 2'!$C$18:$R$103,12,0)</f>
        <v>13</v>
      </c>
      <c r="O125" s="3231">
        <f>+VLOOKUP(C125,'Đội 2'!$C$18:$R$103,13,0)</f>
        <v>2</v>
      </c>
      <c r="P125" s="3231">
        <f t="shared" si="14"/>
        <v>15</v>
      </c>
      <c r="Q125" s="3816"/>
      <c r="R125" s="3231">
        <f>+VLOOKUP(C125,'Đội 2'!$C$18:$R$103,15,0)</f>
        <v>500000</v>
      </c>
      <c r="S125" s="3231">
        <f>+VLOOKUP(C125,'Đội 2'!$C$18:$R$103,16,0)</f>
        <v>1293882.98</v>
      </c>
      <c r="T125" s="3231">
        <f t="shared" si="15"/>
        <v>1442511.98</v>
      </c>
      <c r="U125" s="3816"/>
      <c r="V125" s="3231">
        <f t="shared" si="16"/>
        <v>1442511.98</v>
      </c>
      <c r="W125" s="1499"/>
      <c r="X125" s="1499"/>
      <c r="Y125" s="1500"/>
      <c r="Z125" s="1501"/>
    </row>
    <row r="126" spans="1:26" s="1502" customFormat="1" ht="34.5" customHeight="1">
      <c r="A126" s="3231">
        <v>108</v>
      </c>
      <c r="B126" s="3816"/>
      <c r="C126" s="3715" t="s">
        <v>2256</v>
      </c>
      <c r="D126" s="3816"/>
      <c r="E126" s="3231" t="s">
        <v>167</v>
      </c>
      <c r="F126" s="3009"/>
      <c r="G126" s="3717"/>
      <c r="H126" s="3231">
        <f t="shared" si="13"/>
        <v>0</v>
      </c>
      <c r="I126" s="3231">
        <f>+VLOOKUP(C126,'Đội 2'!C43:H128,6,0)</f>
        <v>65</v>
      </c>
      <c r="J126" s="3816"/>
      <c r="K126" s="3231">
        <f>+VLOOKUP(C126,'Đội 2'!C43:K128,8,0)</f>
        <v>37.705663366336623</v>
      </c>
      <c r="L126" s="3231" t="str">
        <f>+VLOOKUP(C126,'Đội 2'!C43:L128,10,0)</f>
        <v>A</v>
      </c>
      <c r="M126" s="3231">
        <f>+VLOOKUP(C126,'Đội 2'!C43:M128,11,0)</f>
        <v>148629</v>
      </c>
      <c r="N126" s="3231">
        <f>+VLOOKUP(C126,'Đội 2'!$C$18:$R$103,12,0)</f>
        <v>13</v>
      </c>
      <c r="O126" s="3231">
        <f>+VLOOKUP(C126,'Đội 2'!$C$18:$R$103,13,0)</f>
        <v>2</v>
      </c>
      <c r="P126" s="3231">
        <f t="shared" si="14"/>
        <v>15</v>
      </c>
      <c r="Q126" s="3816"/>
      <c r="R126" s="3231">
        <f>+VLOOKUP(C126,'Đội 2'!$C$18:$R$103,15,0)</f>
        <v>500000</v>
      </c>
      <c r="S126" s="3231">
        <f>+VLOOKUP(C126,'Đội 2'!$C$18:$R$103,16,0)</f>
        <v>1293882.98</v>
      </c>
      <c r="T126" s="3231">
        <f t="shared" si="15"/>
        <v>1442511.98</v>
      </c>
      <c r="U126" s="3816"/>
      <c r="V126" s="3231">
        <f t="shared" si="16"/>
        <v>1442511.98</v>
      </c>
      <c r="W126" s="1499"/>
      <c r="X126" s="1499"/>
      <c r="Y126" s="1500"/>
      <c r="Z126" s="1501"/>
    </row>
    <row r="127" spans="1:26" s="1502" customFormat="1" ht="34.5" customHeight="1">
      <c r="A127" s="3231">
        <v>109</v>
      </c>
      <c r="B127" s="3816"/>
      <c r="C127" s="3715" t="s">
        <v>2257</v>
      </c>
      <c r="D127" s="3816"/>
      <c r="E127" s="3231" t="s">
        <v>167</v>
      </c>
      <c r="F127" s="3009"/>
      <c r="G127" s="3717"/>
      <c r="H127" s="3231">
        <f t="shared" si="13"/>
        <v>0</v>
      </c>
      <c r="I127" s="3231">
        <f>+VLOOKUP(C127,'Đội 2'!C44:H129,6,0)</f>
        <v>197</v>
      </c>
      <c r="J127" s="3816"/>
      <c r="K127" s="3231">
        <f>+VLOOKUP(C127,'Đội 2'!C44:K129,8,0)</f>
        <v>114.27716435643562</v>
      </c>
      <c r="L127" s="3231" t="str">
        <f>+VLOOKUP(C127,'Đội 2'!C44:L129,10,0)</f>
        <v>A</v>
      </c>
      <c r="M127" s="3231">
        <f>+VLOOKUP(C127,'Đội 2'!C44:M129,11,0)</f>
        <v>450460</v>
      </c>
      <c r="N127" s="3231">
        <f>+VLOOKUP(C127,'Đội 2'!$C$18:$R$103,12,0)</f>
        <v>15</v>
      </c>
      <c r="O127" s="3231">
        <f>+VLOOKUP(C127,'Đội 2'!$C$18:$R$103,13,0)</f>
        <v>3</v>
      </c>
      <c r="P127" s="3231">
        <f t="shared" si="14"/>
        <v>18</v>
      </c>
      <c r="Q127" s="3816"/>
      <c r="R127" s="3231">
        <f>+VLOOKUP(C127,'Đội 2'!$C$18:$R$103,15,0)</f>
        <v>500000</v>
      </c>
      <c r="S127" s="3231">
        <f>+VLOOKUP(C127,'Đội 2'!$C$18:$R$103,16,0)</f>
        <v>1464778.76</v>
      </c>
      <c r="T127" s="3231">
        <f t="shared" si="15"/>
        <v>1915238.76</v>
      </c>
      <c r="U127" s="3816"/>
      <c r="V127" s="3231">
        <f t="shared" si="16"/>
        <v>1915238.76</v>
      </c>
      <c r="W127" s="1499"/>
      <c r="X127" s="1499"/>
      <c r="Y127" s="1500"/>
      <c r="Z127" s="1501"/>
    </row>
    <row r="128" spans="1:26" s="1502" customFormat="1" ht="34.5" customHeight="1">
      <c r="A128" s="3231">
        <v>110</v>
      </c>
      <c r="B128" s="3816"/>
      <c r="C128" s="3715" t="s">
        <v>488</v>
      </c>
      <c r="D128" s="3816"/>
      <c r="E128" s="3231" t="s">
        <v>167</v>
      </c>
      <c r="F128" s="3009"/>
      <c r="G128" s="3717"/>
      <c r="H128" s="3231">
        <f t="shared" si="13"/>
        <v>0</v>
      </c>
      <c r="I128" s="3231">
        <f>+VLOOKUP(C128,'Đội 2'!C45:H130,6,0)</f>
        <v>194</v>
      </c>
      <c r="J128" s="3816"/>
      <c r="K128" s="3231">
        <f>+VLOOKUP(C128,'Đội 2'!C45:K130,8,0)</f>
        <v>112.53690297029701</v>
      </c>
      <c r="L128" s="3231" t="str">
        <f>+VLOOKUP(C128,'Đội 2'!C45:L130,10,0)</f>
        <v>A</v>
      </c>
      <c r="M128" s="3231">
        <f>+VLOOKUP(C128,'Đội 2'!C45:M130,11,0)</f>
        <v>443600</v>
      </c>
      <c r="N128" s="3231">
        <f>+VLOOKUP(C128,'Đội 2'!$C$18:$R$103,12,0)</f>
        <v>15</v>
      </c>
      <c r="O128" s="3231">
        <f>+VLOOKUP(C128,'Đội 2'!$C$18:$R$103,13,0)</f>
        <v>3</v>
      </c>
      <c r="P128" s="3231">
        <f t="shared" si="14"/>
        <v>18</v>
      </c>
      <c r="Q128" s="3816"/>
      <c r="R128" s="3231">
        <f>+VLOOKUP(C128,'Đội 2'!$C$18:$R$103,15,0)</f>
        <v>500000</v>
      </c>
      <c r="S128" s="3231">
        <f>+VLOOKUP(C128,'Đội 2'!$C$18:$R$103,16,0)</f>
        <v>1464778.76</v>
      </c>
      <c r="T128" s="3231">
        <f t="shared" si="15"/>
        <v>1908378.76</v>
      </c>
      <c r="U128" s="3816"/>
      <c r="V128" s="3231">
        <f t="shared" si="16"/>
        <v>1908378.76</v>
      </c>
      <c r="W128" s="1499"/>
      <c r="X128" s="1499"/>
      <c r="Y128" s="1500"/>
      <c r="Z128" s="1501"/>
    </row>
    <row r="129" spans="1:26" s="1502" customFormat="1" ht="34.5" customHeight="1">
      <c r="A129" s="3231">
        <v>111</v>
      </c>
      <c r="B129" s="3816"/>
      <c r="C129" s="3715" t="s">
        <v>2258</v>
      </c>
      <c r="D129" s="3816"/>
      <c r="E129" s="3231" t="s">
        <v>167</v>
      </c>
      <c r="F129" s="3009"/>
      <c r="G129" s="3717"/>
      <c r="H129" s="3231">
        <f t="shared" si="13"/>
        <v>0</v>
      </c>
      <c r="I129" s="3231">
        <f>+VLOOKUP(C129,'Đội 2'!C46:H131,6,0)</f>
        <v>86</v>
      </c>
      <c r="J129" s="3816"/>
      <c r="K129" s="3231">
        <f>+VLOOKUP(C129,'Đội 2'!C46:K131,8,0)</f>
        <v>49.88749306930692</v>
      </c>
      <c r="L129" s="3231" t="str">
        <f>+VLOOKUP(C129,'Đội 2'!C46:L131,10,0)</f>
        <v>A</v>
      </c>
      <c r="M129" s="3231">
        <f>+VLOOKUP(C129,'Đội 2'!C46:M131,11,0)</f>
        <v>196648</v>
      </c>
      <c r="N129" s="3231">
        <f>+VLOOKUP(C129,'Đội 2'!$C$18:$R$103,12,0)</f>
        <v>15</v>
      </c>
      <c r="O129" s="3231">
        <f>+VLOOKUP(C129,'Đội 2'!$C$18:$R$103,13,0)</f>
        <v>3</v>
      </c>
      <c r="P129" s="3231">
        <f t="shared" si="14"/>
        <v>18</v>
      </c>
      <c r="Q129" s="3816"/>
      <c r="R129" s="3231">
        <f>+VLOOKUP(C129,'Đội 2'!$C$18:$R$103,15,0)</f>
        <v>500000</v>
      </c>
      <c r="S129" s="3231">
        <f>+VLOOKUP(C129,'Đội 2'!$C$18:$R$103,16,0)</f>
        <v>1464778.76</v>
      </c>
      <c r="T129" s="3231">
        <f t="shared" si="15"/>
        <v>1661426.76</v>
      </c>
      <c r="U129" s="3816"/>
      <c r="V129" s="3231">
        <f t="shared" si="16"/>
        <v>1661426.76</v>
      </c>
      <c r="W129" s="1499"/>
      <c r="X129" s="1499"/>
      <c r="Y129" s="1500"/>
      <c r="Z129" s="1501"/>
    </row>
    <row r="130" spans="1:26" s="1502" customFormat="1" ht="34.5" customHeight="1">
      <c r="A130" s="3231">
        <v>112</v>
      </c>
      <c r="B130" s="3816"/>
      <c r="C130" s="3715" t="s">
        <v>2259</v>
      </c>
      <c r="D130" s="3816"/>
      <c r="E130" s="3231" t="s">
        <v>167</v>
      </c>
      <c r="F130" s="3009"/>
      <c r="G130" s="3717"/>
      <c r="H130" s="3231">
        <f t="shared" si="13"/>
        <v>0</v>
      </c>
      <c r="I130" s="3231">
        <f>+VLOOKUP(C130,'Đội 2'!C47:H132,6,0)</f>
        <v>86</v>
      </c>
      <c r="J130" s="3816"/>
      <c r="K130" s="3231">
        <f>+VLOOKUP(C130,'Đội 2'!C47:K132,8,0)</f>
        <v>49.88749306930692</v>
      </c>
      <c r="L130" s="3231" t="str">
        <f>+VLOOKUP(C130,'Đội 2'!C47:L132,10,0)</f>
        <v>A</v>
      </c>
      <c r="M130" s="3231">
        <f>+VLOOKUP(C130,'Đội 2'!C47:M132,11,0)</f>
        <v>196648</v>
      </c>
      <c r="N130" s="3231">
        <f>+VLOOKUP(C130,'Đội 2'!$C$18:$R$103,12,0)</f>
        <v>15</v>
      </c>
      <c r="O130" s="3231">
        <f>+VLOOKUP(C130,'Đội 2'!$C$18:$R$103,13,0)</f>
        <v>3</v>
      </c>
      <c r="P130" s="3231">
        <f t="shared" si="14"/>
        <v>18</v>
      </c>
      <c r="Q130" s="3816"/>
      <c r="R130" s="3231">
        <f>+VLOOKUP(C130,'Đội 2'!$C$18:$R$103,15,0)</f>
        <v>500000</v>
      </c>
      <c r="S130" s="3231">
        <f>+VLOOKUP(C130,'Đội 2'!$C$18:$R$103,16,0)</f>
        <v>1464778.76</v>
      </c>
      <c r="T130" s="3231">
        <f t="shared" si="15"/>
        <v>1661426.76</v>
      </c>
      <c r="U130" s="3816"/>
      <c r="V130" s="3231">
        <f t="shared" si="16"/>
        <v>1661426.76</v>
      </c>
      <c r="W130" s="1499"/>
      <c r="X130" s="1499"/>
      <c r="Y130" s="1500"/>
      <c r="Z130" s="1501"/>
    </row>
    <row r="131" spans="1:26" s="1502" customFormat="1" ht="34.5" customHeight="1">
      <c r="A131" s="3231">
        <v>113</v>
      </c>
      <c r="B131" s="3816"/>
      <c r="C131" s="3715" t="s">
        <v>2260</v>
      </c>
      <c r="D131" s="3816"/>
      <c r="E131" s="3231" t="s">
        <v>167</v>
      </c>
      <c r="F131" s="3009"/>
      <c r="G131" s="3717"/>
      <c r="H131" s="3231">
        <f t="shared" si="13"/>
        <v>0</v>
      </c>
      <c r="I131" s="3231">
        <f>+VLOOKUP(C131,'Đội 2'!C48:H133,6,0)</f>
        <v>85</v>
      </c>
      <c r="J131" s="3816"/>
      <c r="K131" s="3231">
        <f>+VLOOKUP(C131,'Đội 2'!C48:K133,8,0)</f>
        <v>49.307405940594052</v>
      </c>
      <c r="L131" s="3231" t="str">
        <f>+VLOOKUP(C131,'Đội 2'!C48:L133,10,0)</f>
        <v>A</v>
      </c>
      <c r="M131" s="3231">
        <f>+VLOOKUP(C131,'Đội 2'!C48:M133,11,0)</f>
        <v>194361</v>
      </c>
      <c r="N131" s="3231">
        <f>+VLOOKUP(C131,'Đội 2'!$C$18:$R$103,12,0)</f>
        <v>15</v>
      </c>
      <c r="O131" s="3231">
        <f>+VLOOKUP(C131,'Đội 2'!$C$18:$R$103,13,0)</f>
        <v>3</v>
      </c>
      <c r="P131" s="3231">
        <f t="shared" si="14"/>
        <v>18</v>
      </c>
      <c r="Q131" s="3816"/>
      <c r="R131" s="3231">
        <f>+VLOOKUP(C131,'Đội 2'!$C$18:$R$103,15,0)</f>
        <v>500000</v>
      </c>
      <c r="S131" s="3231">
        <f>+VLOOKUP(C131,'Đội 2'!$C$18:$R$103,16,0)</f>
        <v>1464778.76</v>
      </c>
      <c r="T131" s="3231">
        <f t="shared" si="15"/>
        <v>1659139.76</v>
      </c>
      <c r="U131" s="3816"/>
      <c r="V131" s="3231">
        <f t="shared" si="16"/>
        <v>1659139.76</v>
      </c>
      <c r="W131" s="1499"/>
      <c r="X131" s="1499"/>
      <c r="Y131" s="1500"/>
      <c r="Z131" s="1501"/>
    </row>
    <row r="132" spans="1:26" s="1502" customFormat="1" ht="34.5" customHeight="1">
      <c r="A132" s="3231">
        <v>114</v>
      </c>
      <c r="B132" s="3816"/>
      <c r="C132" s="3715" t="s">
        <v>2261</v>
      </c>
      <c r="D132" s="3816"/>
      <c r="E132" s="3231" t="s">
        <v>167</v>
      </c>
      <c r="F132" s="3009"/>
      <c r="G132" s="3717"/>
      <c r="H132" s="3231">
        <f t="shared" si="13"/>
        <v>0</v>
      </c>
      <c r="I132" s="3231">
        <f>+VLOOKUP(C132,'Đội 2'!C49:H134,6,0)</f>
        <v>0</v>
      </c>
      <c r="J132" s="3816"/>
      <c r="K132" s="3231">
        <f>+VLOOKUP(C132,'Đội 2'!C49:K134,8,0)</f>
        <v>0</v>
      </c>
      <c r="L132" s="3231" t="str">
        <f>+VLOOKUP(C132,'Đội 2'!C49:L134,10,0)</f>
        <v>A</v>
      </c>
      <c r="M132" s="3231">
        <f>+VLOOKUP(C132,'Đội 2'!C49:M134,11,0)</f>
        <v>0</v>
      </c>
      <c r="N132" s="3231">
        <f>+VLOOKUP(C132,'Đội 2'!$C$18:$R$103,12,0)</f>
        <v>13</v>
      </c>
      <c r="O132" s="3231">
        <f>+VLOOKUP(C132,'Đội 2'!$C$18:$R$103,13,0)</f>
        <v>3</v>
      </c>
      <c r="P132" s="3231">
        <f t="shared" si="14"/>
        <v>16</v>
      </c>
      <c r="Q132" s="3816"/>
      <c r="R132" s="3231">
        <f>+VLOOKUP(C132,'Đội 2'!$C$18:$R$103,15,0)</f>
        <v>500000</v>
      </c>
      <c r="S132" s="3231">
        <f>+VLOOKUP(C132,'Đội 2'!$C$18:$R$103,16,0)</f>
        <v>1364314</v>
      </c>
      <c r="T132" s="3231">
        <f t="shared" si="15"/>
        <v>1364314</v>
      </c>
      <c r="U132" s="3816"/>
      <c r="V132" s="3231">
        <f t="shared" si="16"/>
        <v>1364314</v>
      </c>
      <c r="W132" s="1499"/>
      <c r="X132" s="1499"/>
      <c r="Y132" s="1500"/>
      <c r="Z132" s="1501"/>
    </row>
    <row r="133" spans="1:26" s="1502" customFormat="1" ht="34.5" customHeight="1">
      <c r="A133" s="3231">
        <v>115</v>
      </c>
      <c r="B133" s="3816"/>
      <c r="C133" s="3715" t="s">
        <v>1504</v>
      </c>
      <c r="D133" s="3816"/>
      <c r="E133" s="3231" t="s">
        <v>167</v>
      </c>
      <c r="F133" s="3009"/>
      <c r="G133" s="3717"/>
      <c r="H133" s="3231">
        <f t="shared" si="13"/>
        <v>0</v>
      </c>
      <c r="I133" s="3231">
        <f>+VLOOKUP(C133,'Đội 2'!C50:H135,6,0)</f>
        <v>209</v>
      </c>
      <c r="J133" s="3816"/>
      <c r="K133" s="3231">
        <f>+VLOOKUP(C133,'Đội 2'!C50:K135,8,0)</f>
        <v>121.23820990099007</v>
      </c>
      <c r="L133" s="3231" t="str">
        <f>+VLOOKUP(C133,'Đội 2'!C50:L135,10,0)</f>
        <v>A</v>
      </c>
      <c r="M133" s="3231">
        <f>+VLOOKUP(C133,'Đội 2'!C50:M135,11,0)</f>
        <v>477899</v>
      </c>
      <c r="N133" s="3231">
        <f>+VLOOKUP(C133,'Đội 2'!$C$18:$R$103,12,0)</f>
        <v>14</v>
      </c>
      <c r="O133" s="3231">
        <f>+VLOOKUP(C133,'Đội 2'!$C$18:$R$103,13,0)</f>
        <v>3</v>
      </c>
      <c r="P133" s="3231">
        <f t="shared" si="14"/>
        <v>17</v>
      </c>
      <c r="Q133" s="3816"/>
      <c r="R133" s="3231">
        <f>+VLOOKUP(C133,'Đội 2'!$C$18:$R$103,15,0)</f>
        <v>500000</v>
      </c>
      <c r="S133" s="3231">
        <f>+VLOOKUP(C133,'Đội 2'!$C$18:$R$103,16,0)</f>
        <v>1414546.38</v>
      </c>
      <c r="T133" s="3231">
        <f t="shared" si="15"/>
        <v>1892445.38</v>
      </c>
      <c r="U133" s="3816"/>
      <c r="V133" s="3231">
        <f t="shared" si="16"/>
        <v>1892445.38</v>
      </c>
      <c r="W133" s="1499"/>
      <c r="X133" s="1499"/>
      <c r="Y133" s="1500"/>
      <c r="Z133" s="1501"/>
    </row>
    <row r="134" spans="1:26" s="1502" customFormat="1" ht="34.5" customHeight="1">
      <c r="A134" s="3231">
        <v>116</v>
      </c>
      <c r="B134" s="3816"/>
      <c r="C134" s="3715" t="s">
        <v>2262</v>
      </c>
      <c r="D134" s="3816"/>
      <c r="E134" s="3231" t="s">
        <v>167</v>
      </c>
      <c r="F134" s="3009"/>
      <c r="G134" s="3717"/>
      <c r="H134" s="3231">
        <f t="shared" si="13"/>
        <v>0</v>
      </c>
      <c r="I134" s="3231">
        <f>+VLOOKUP(C134,'Đội 2'!C51:H136,6,0)</f>
        <v>83</v>
      </c>
      <c r="J134" s="3816"/>
      <c r="K134" s="3231">
        <f>+VLOOKUP(C134,'Đội 2'!C51:K136,8,0)</f>
        <v>48.147231683168307</v>
      </c>
      <c r="L134" s="3231" t="str">
        <f>+VLOOKUP(C134,'Đội 2'!C51:L136,10,0)</f>
        <v>A</v>
      </c>
      <c r="M134" s="3231">
        <f>+VLOOKUP(C134,'Đội 2'!C51:M136,11,0)</f>
        <v>189788</v>
      </c>
      <c r="N134" s="3231">
        <f>+VLOOKUP(C134,'Đội 2'!$C$18:$R$103,12,0)</f>
        <v>10</v>
      </c>
      <c r="O134" s="3231">
        <f>+VLOOKUP(C134,'Đội 2'!$C$18:$R$103,13,0)</f>
        <v>2</v>
      </c>
      <c r="P134" s="3231">
        <f t="shared" si="14"/>
        <v>12</v>
      </c>
      <c r="Q134" s="3816"/>
      <c r="R134" s="3231">
        <f>+VLOOKUP(C134,'Đội 2'!$C$18:$R$103,15,0)</f>
        <v>500000</v>
      </c>
      <c r="S134" s="3231">
        <f>+VLOOKUP(C134,'Đội 2'!$C$18:$R$103,16,0)</f>
        <v>1143185.8400000001</v>
      </c>
      <c r="T134" s="3231">
        <f t="shared" si="15"/>
        <v>1332973.8400000001</v>
      </c>
      <c r="U134" s="3816"/>
      <c r="V134" s="3231">
        <f t="shared" si="16"/>
        <v>1332973.8400000001</v>
      </c>
      <c r="W134" s="1499"/>
      <c r="X134" s="1499"/>
      <c r="Y134" s="1500"/>
      <c r="Z134" s="1501"/>
    </row>
    <row r="135" spans="1:26" s="1502" customFormat="1" ht="34.5" customHeight="1">
      <c r="A135" s="3231">
        <v>117</v>
      </c>
      <c r="B135" s="3816"/>
      <c r="C135" s="3715" t="s">
        <v>2263</v>
      </c>
      <c r="D135" s="3816"/>
      <c r="E135" s="3231" t="s">
        <v>167</v>
      </c>
      <c r="F135" s="3009"/>
      <c r="G135" s="3717"/>
      <c r="H135" s="3231">
        <f t="shared" si="13"/>
        <v>0</v>
      </c>
      <c r="I135" s="3231">
        <f>+VLOOKUP(C135,'Đội 2'!C52:H137,6,0)</f>
        <v>83</v>
      </c>
      <c r="J135" s="3816"/>
      <c r="K135" s="3231">
        <f>+VLOOKUP(C135,'Đội 2'!C52:K137,8,0)</f>
        <v>48.147231683168307</v>
      </c>
      <c r="L135" s="3231" t="str">
        <f>+VLOOKUP(C135,'Đội 2'!C52:L137,10,0)</f>
        <v>A</v>
      </c>
      <c r="M135" s="3231">
        <f>+VLOOKUP(C135,'Đội 2'!C52:M137,11,0)</f>
        <v>189788</v>
      </c>
      <c r="N135" s="3231">
        <f>+VLOOKUP(C135,'Đội 2'!$C$18:$R$103,12,0)</f>
        <v>10</v>
      </c>
      <c r="O135" s="3231">
        <f>+VLOOKUP(C135,'Đội 2'!$C$18:$R$103,13,0)</f>
        <v>2</v>
      </c>
      <c r="P135" s="3231">
        <f t="shared" si="14"/>
        <v>12</v>
      </c>
      <c r="Q135" s="3816"/>
      <c r="R135" s="3231">
        <f>+VLOOKUP(C135,'Đội 2'!$C$18:$R$103,15,0)</f>
        <v>500000</v>
      </c>
      <c r="S135" s="3231">
        <f>+VLOOKUP(C135,'Đội 2'!$C$18:$R$103,16,0)</f>
        <v>1143185.8400000001</v>
      </c>
      <c r="T135" s="3231">
        <f t="shared" si="15"/>
        <v>1332973.8400000001</v>
      </c>
      <c r="U135" s="3816"/>
      <c r="V135" s="3231">
        <f t="shared" si="16"/>
        <v>1332973.8400000001</v>
      </c>
      <c r="W135" s="1499"/>
      <c r="X135" s="1499"/>
      <c r="Y135" s="1500"/>
      <c r="Z135" s="1501"/>
    </row>
    <row r="136" spans="1:26" s="1502" customFormat="1" ht="34.5" customHeight="1">
      <c r="A136" s="3231">
        <v>118</v>
      </c>
      <c r="B136" s="3816"/>
      <c r="C136" s="3715" t="s">
        <v>1491</v>
      </c>
      <c r="D136" s="3816"/>
      <c r="E136" s="3231" t="s">
        <v>167</v>
      </c>
      <c r="F136" s="3009"/>
      <c r="G136" s="3717"/>
      <c r="H136" s="3231">
        <f t="shared" si="13"/>
        <v>0</v>
      </c>
      <c r="I136" s="3231">
        <f>+VLOOKUP(C136,'Đội 2'!C53:H138,6,0)</f>
        <v>237</v>
      </c>
      <c r="J136" s="3816"/>
      <c r="K136" s="3231">
        <f>+VLOOKUP(C136,'Đội 2'!C53:K138,8,0)</f>
        <v>137.48064950495046</v>
      </c>
      <c r="L136" s="3231" t="str">
        <f>+VLOOKUP(C136,'Đội 2'!C53:L138,10,0)</f>
        <v>A</v>
      </c>
      <c r="M136" s="3231">
        <f>+VLOOKUP(C136,'Đội 2'!C53:M138,11,0)</f>
        <v>541924</v>
      </c>
      <c r="N136" s="3231">
        <f>+VLOOKUP(C136,'Đội 2'!$C$18:$R$103,12,0)</f>
        <v>13</v>
      </c>
      <c r="O136" s="3231">
        <f>+VLOOKUP(C136,'Đội 2'!$C$18:$R$103,13,0)</f>
        <v>3</v>
      </c>
      <c r="P136" s="3231">
        <f t="shared" si="14"/>
        <v>16</v>
      </c>
      <c r="Q136" s="3816"/>
      <c r="R136" s="3231">
        <f>+VLOOKUP(C136,'Đội 2'!$C$18:$R$103,15,0)</f>
        <v>500000</v>
      </c>
      <c r="S136" s="3231">
        <f>+VLOOKUP(C136,'Đội 2'!$C$18:$R$103,16,0)</f>
        <v>1364314</v>
      </c>
      <c r="T136" s="3231">
        <f t="shared" si="15"/>
        <v>1906238</v>
      </c>
      <c r="U136" s="3816"/>
      <c r="V136" s="3231">
        <f t="shared" si="16"/>
        <v>1906238</v>
      </c>
      <c r="W136" s="1499"/>
      <c r="X136" s="1499"/>
      <c r="Y136" s="1500"/>
      <c r="Z136" s="1501"/>
    </row>
    <row r="137" spans="1:26" s="1502" customFormat="1" ht="34.5" customHeight="1">
      <c r="A137" s="3231">
        <v>119</v>
      </c>
      <c r="B137" s="3816"/>
      <c r="C137" s="3715" t="s">
        <v>1492</v>
      </c>
      <c r="D137" s="3816"/>
      <c r="E137" s="3231" t="s">
        <v>167</v>
      </c>
      <c r="F137" s="3009"/>
      <c r="G137" s="3717"/>
      <c r="H137" s="3231">
        <f t="shared" si="13"/>
        <v>0</v>
      </c>
      <c r="I137" s="3231">
        <f>+VLOOKUP(C137,'Đội 2'!C54:H139,6,0)</f>
        <v>280</v>
      </c>
      <c r="J137" s="3816"/>
      <c r="K137" s="3231">
        <f>+VLOOKUP(C137,'Đội 2'!C54:K139,8,0)</f>
        <v>162.42439603960392</v>
      </c>
      <c r="L137" s="3231" t="str">
        <f>+VLOOKUP(C137,'Đội 2'!C54:L139,10,0)</f>
        <v>A</v>
      </c>
      <c r="M137" s="3231">
        <f>+VLOOKUP(C137,'Đội 2'!C54:M139,11,0)</f>
        <v>640248</v>
      </c>
      <c r="N137" s="3231">
        <f>+VLOOKUP(C137,'Đội 2'!$C$18:$R$103,12,0)</f>
        <v>13</v>
      </c>
      <c r="O137" s="3231">
        <f>+VLOOKUP(C137,'Đội 2'!$C$18:$R$103,13,0)</f>
        <v>3</v>
      </c>
      <c r="P137" s="3231">
        <f t="shared" si="14"/>
        <v>16</v>
      </c>
      <c r="Q137" s="3816"/>
      <c r="R137" s="3231">
        <f>+VLOOKUP(C137,'Đội 2'!$C$18:$R$103,15,0)</f>
        <v>500000</v>
      </c>
      <c r="S137" s="3231">
        <f>+VLOOKUP(C137,'Đội 2'!$C$18:$R$103,16,0)</f>
        <v>1364314</v>
      </c>
      <c r="T137" s="3231">
        <f t="shared" si="15"/>
        <v>2004562</v>
      </c>
      <c r="U137" s="3816"/>
      <c r="V137" s="3231">
        <f t="shared" si="16"/>
        <v>2004562</v>
      </c>
      <c r="W137" s="1499"/>
      <c r="X137" s="1499"/>
      <c r="Y137" s="1500"/>
      <c r="Z137" s="1501"/>
    </row>
    <row r="138" spans="1:26" s="1502" customFormat="1" ht="34.5" customHeight="1">
      <c r="A138" s="3231">
        <v>120</v>
      </c>
      <c r="B138" s="3816"/>
      <c r="C138" s="3715" t="s">
        <v>1712</v>
      </c>
      <c r="D138" s="3816"/>
      <c r="E138" s="3231" t="s">
        <v>167</v>
      </c>
      <c r="F138" s="3009"/>
      <c r="G138" s="3717"/>
      <c r="H138" s="3231">
        <f t="shared" si="13"/>
        <v>0</v>
      </c>
      <c r="I138" s="3231">
        <f>+VLOOKUP(C138,'Đội 2'!C55:H140,6,0)</f>
        <v>25</v>
      </c>
      <c r="J138" s="3816"/>
      <c r="K138" s="3231">
        <f>+VLOOKUP(C138,'Đội 2'!C55:K140,8,0)</f>
        <v>14.502178217821779</v>
      </c>
      <c r="L138" s="3231" t="str">
        <f>+VLOOKUP(C138,'Đội 2'!C55:L140,10,0)</f>
        <v>A</v>
      </c>
      <c r="M138" s="3231">
        <f>+VLOOKUP(C138,'Đội 2'!C55:M140,11,0)</f>
        <v>57165</v>
      </c>
      <c r="N138" s="3231">
        <f>+VLOOKUP(C138,'Đội 2'!$C$18:$R$103,12,0)</f>
        <v>14</v>
      </c>
      <c r="O138" s="3231">
        <f>+VLOOKUP(C138,'Đội 2'!$C$18:$R$103,13,0)</f>
        <v>2</v>
      </c>
      <c r="P138" s="3231">
        <f t="shared" si="14"/>
        <v>16</v>
      </c>
      <c r="Q138" s="3816"/>
      <c r="R138" s="3231">
        <f>+VLOOKUP(C138,'Đội 2'!$C$18:$R$103,15,0)</f>
        <v>500000</v>
      </c>
      <c r="S138" s="3231">
        <f>+VLOOKUP(C138,'Đội 2'!$C$18:$R$103,16,0)</f>
        <v>1344115.36</v>
      </c>
      <c r="T138" s="3231">
        <f t="shared" si="15"/>
        <v>1401280.36</v>
      </c>
      <c r="U138" s="3816"/>
      <c r="V138" s="3231">
        <f t="shared" si="16"/>
        <v>1401280.36</v>
      </c>
      <c r="W138" s="1499"/>
      <c r="X138" s="1499"/>
      <c r="Y138" s="1500"/>
      <c r="Z138" s="1501"/>
    </row>
    <row r="139" spans="1:26" s="1502" customFormat="1" ht="34.5" customHeight="1">
      <c r="A139" s="3231">
        <v>121</v>
      </c>
      <c r="B139" s="3816"/>
      <c r="C139" s="3715" t="s">
        <v>1538</v>
      </c>
      <c r="D139" s="3816"/>
      <c r="E139" s="3231" t="s">
        <v>167</v>
      </c>
      <c r="F139" s="3009"/>
      <c r="G139" s="3717"/>
      <c r="H139" s="3231">
        <f t="shared" si="13"/>
        <v>0</v>
      </c>
      <c r="I139" s="3231">
        <f>+VLOOKUP(C139,'Đội 2'!C56:H141,6,0)</f>
        <v>168</v>
      </c>
      <c r="J139" s="3816"/>
      <c r="K139" s="3231">
        <f>+VLOOKUP(C139,'Đội 2'!C56:K141,8,0)</f>
        <v>97.454637623762352</v>
      </c>
      <c r="L139" s="3231" t="str">
        <f>+VLOOKUP(C139,'Đội 2'!C56:L141,10,0)</f>
        <v>A</v>
      </c>
      <c r="M139" s="3231">
        <f>+VLOOKUP(C139,'Đội 2'!C56:M141,11,0)</f>
        <v>384149</v>
      </c>
      <c r="N139" s="3231">
        <f>+VLOOKUP(C139,'Đội 2'!$C$18:$R$103,12,0)</f>
        <v>15</v>
      </c>
      <c r="O139" s="3231">
        <f>+VLOOKUP(C139,'Đội 2'!$C$18:$R$103,13,0)</f>
        <v>3</v>
      </c>
      <c r="P139" s="3231">
        <f t="shared" si="14"/>
        <v>18</v>
      </c>
      <c r="Q139" s="3816"/>
      <c r="R139" s="3231">
        <f>+VLOOKUP(C139,'Đội 2'!$C$18:$R$103,15,0)</f>
        <v>500000</v>
      </c>
      <c r="S139" s="3231">
        <f>+VLOOKUP(C139,'Đội 2'!$C$18:$R$103,16,0)</f>
        <v>1464778.76</v>
      </c>
      <c r="T139" s="3231">
        <f t="shared" si="15"/>
        <v>1848927.76</v>
      </c>
      <c r="U139" s="3816"/>
      <c r="V139" s="3231">
        <f t="shared" si="16"/>
        <v>1848927.76</v>
      </c>
      <c r="W139" s="1499"/>
      <c r="X139" s="1499"/>
      <c r="Y139" s="1500"/>
      <c r="Z139" s="1501"/>
    </row>
    <row r="140" spans="1:26" s="1502" customFormat="1" ht="34.5" customHeight="1">
      <c r="A140" s="3231">
        <v>122</v>
      </c>
      <c r="B140" s="3816"/>
      <c r="C140" s="3715" t="s">
        <v>2264</v>
      </c>
      <c r="D140" s="3816"/>
      <c r="E140" s="3231" t="s">
        <v>167</v>
      </c>
      <c r="F140" s="3009"/>
      <c r="G140" s="3717"/>
      <c r="H140" s="3231">
        <f t="shared" si="13"/>
        <v>0</v>
      </c>
      <c r="I140" s="3231">
        <f>+VLOOKUP(C140,'Đội 2'!C57:H142,6,0)</f>
        <v>185</v>
      </c>
      <c r="J140" s="3816"/>
      <c r="K140" s="3231">
        <f>+VLOOKUP(C140,'Đội 2'!C57:K142,8,0)</f>
        <v>107.31611881188117</v>
      </c>
      <c r="L140" s="3231" t="str">
        <f>+VLOOKUP(C140,'Đội 2'!C57:L142,10,0)</f>
        <v>A</v>
      </c>
      <c r="M140" s="3231">
        <f>+VLOOKUP(C140,'Đội 2'!C57:M142,11,0)</f>
        <v>423021</v>
      </c>
      <c r="N140" s="3231">
        <f>+VLOOKUP(C140,'Đội 2'!$C$18:$R$103,12,0)</f>
        <v>15</v>
      </c>
      <c r="O140" s="3231">
        <f>+VLOOKUP(C140,'Đội 2'!$C$18:$R$103,13,0)</f>
        <v>3</v>
      </c>
      <c r="P140" s="3231">
        <f t="shared" si="14"/>
        <v>18</v>
      </c>
      <c r="Q140" s="3816"/>
      <c r="R140" s="3231">
        <f>+VLOOKUP(C140,'Đội 2'!$C$18:$R$103,15,0)</f>
        <v>500000</v>
      </c>
      <c r="S140" s="3231">
        <f>+VLOOKUP(C140,'Đội 2'!$C$18:$R$103,16,0)</f>
        <v>1464778.76</v>
      </c>
      <c r="T140" s="3231">
        <f t="shared" si="15"/>
        <v>1887799.76</v>
      </c>
      <c r="U140" s="3816"/>
      <c r="V140" s="3231">
        <f t="shared" si="16"/>
        <v>1887799.76</v>
      </c>
      <c r="W140" s="1499"/>
      <c r="X140" s="1499"/>
      <c r="Y140" s="1500"/>
      <c r="Z140" s="1501"/>
    </row>
    <row r="141" spans="1:26" s="1502" customFormat="1" ht="34.5" customHeight="1">
      <c r="A141" s="3231">
        <v>123</v>
      </c>
      <c r="B141" s="3816"/>
      <c r="C141" s="3715" t="s">
        <v>2265</v>
      </c>
      <c r="D141" s="3816"/>
      <c r="E141" s="3231" t="s">
        <v>167</v>
      </c>
      <c r="F141" s="3009"/>
      <c r="G141" s="3717"/>
      <c r="H141" s="3231">
        <f t="shared" si="13"/>
        <v>0</v>
      </c>
      <c r="I141" s="3231">
        <f>+VLOOKUP(C141,'Đội 2'!C58:H143,6,0)</f>
        <v>148</v>
      </c>
      <c r="J141" s="3816"/>
      <c r="K141" s="3231">
        <f>+VLOOKUP(C141,'Đội 2'!C58:K143,8,0)</f>
        <v>85.852895049504937</v>
      </c>
      <c r="L141" s="3231" t="str">
        <f>+VLOOKUP(C141,'Đội 2'!C58:L143,10,0)</f>
        <v>A</v>
      </c>
      <c r="M141" s="3231">
        <f>+VLOOKUP(C141,'Đội 2'!C58:M143,11,0)</f>
        <v>338417</v>
      </c>
      <c r="N141" s="3231">
        <f>+VLOOKUP(C141,'Đội 2'!$C$18:$R$103,12,0)</f>
        <v>15</v>
      </c>
      <c r="O141" s="3231">
        <f>+VLOOKUP(C141,'Đội 2'!$C$18:$R$103,13,0)</f>
        <v>3</v>
      </c>
      <c r="P141" s="3231">
        <f t="shared" si="14"/>
        <v>18</v>
      </c>
      <c r="Q141" s="3816"/>
      <c r="R141" s="3231">
        <f>+VLOOKUP(C141,'Đội 2'!$C$18:$R$103,15,0)</f>
        <v>500000</v>
      </c>
      <c r="S141" s="3231">
        <f>+VLOOKUP(C141,'Đội 2'!$C$18:$R$103,16,0)</f>
        <v>1464778.76</v>
      </c>
      <c r="T141" s="3231">
        <f t="shared" si="15"/>
        <v>1803195.76</v>
      </c>
      <c r="U141" s="3816"/>
      <c r="V141" s="3231">
        <f t="shared" si="16"/>
        <v>1803195.76</v>
      </c>
      <c r="W141" s="1499"/>
      <c r="X141" s="1499"/>
      <c r="Y141" s="1500"/>
      <c r="Z141" s="1501"/>
    </row>
    <row r="142" spans="1:26" s="1502" customFormat="1" ht="34.5" customHeight="1">
      <c r="A142" s="3231">
        <v>124</v>
      </c>
      <c r="B142" s="3816"/>
      <c r="C142" s="3715" t="s">
        <v>2266</v>
      </c>
      <c r="D142" s="3816"/>
      <c r="E142" s="3231" t="s">
        <v>167</v>
      </c>
      <c r="F142" s="3009"/>
      <c r="G142" s="3717"/>
      <c r="H142" s="3231">
        <f t="shared" si="13"/>
        <v>0</v>
      </c>
      <c r="I142" s="3231">
        <f>+VLOOKUP(C142,'Đội 2'!C59:H144,6,0)</f>
        <v>149</v>
      </c>
      <c r="J142" s="3816"/>
      <c r="K142" s="3231">
        <f>+VLOOKUP(C142,'Đội 2'!C59:K144,8,0)</f>
        <v>86.432982178217799</v>
      </c>
      <c r="L142" s="3231" t="str">
        <f>+VLOOKUP(C142,'Đội 2'!C59:L144,10,0)</f>
        <v>A</v>
      </c>
      <c r="M142" s="3231">
        <f>+VLOOKUP(C142,'Đội 2'!C59:M144,11,0)</f>
        <v>340703</v>
      </c>
      <c r="N142" s="3231">
        <f>+VLOOKUP(C142,'Đội 2'!$C$18:$R$103,12,0)</f>
        <v>15</v>
      </c>
      <c r="O142" s="3231">
        <f>+VLOOKUP(C142,'Đội 2'!$C$18:$R$103,13,0)</f>
        <v>3</v>
      </c>
      <c r="P142" s="3231">
        <f t="shared" si="14"/>
        <v>18</v>
      </c>
      <c r="Q142" s="3816"/>
      <c r="R142" s="3231">
        <f>+VLOOKUP(C142,'Đội 2'!$C$18:$R$103,15,0)</f>
        <v>500000</v>
      </c>
      <c r="S142" s="3231">
        <f>+VLOOKUP(C142,'Đội 2'!$C$18:$R$103,16,0)</f>
        <v>1464778.76</v>
      </c>
      <c r="T142" s="3231">
        <f t="shared" si="15"/>
        <v>1805481.76</v>
      </c>
      <c r="U142" s="3816"/>
      <c r="V142" s="3231">
        <f t="shared" si="16"/>
        <v>1805481.76</v>
      </c>
      <c r="W142" s="1499"/>
      <c r="X142" s="1499"/>
      <c r="Y142" s="1500"/>
      <c r="Z142" s="1501"/>
    </row>
    <row r="143" spans="1:26" s="1502" customFormat="1" ht="34.5" customHeight="1">
      <c r="A143" s="3231">
        <v>125</v>
      </c>
      <c r="B143" s="3816"/>
      <c r="C143" s="3715" t="s">
        <v>2267</v>
      </c>
      <c r="D143" s="3816"/>
      <c r="E143" s="3231" t="s">
        <v>167</v>
      </c>
      <c r="F143" s="3009"/>
      <c r="G143" s="3717"/>
      <c r="H143" s="3231">
        <f t="shared" si="13"/>
        <v>0</v>
      </c>
      <c r="I143" s="3231">
        <f>+VLOOKUP(C143,'Đội 2'!C60:H145,6,0)</f>
        <v>0</v>
      </c>
      <c r="J143" s="3816"/>
      <c r="K143" s="3231">
        <f>+VLOOKUP(C143,'Đội 2'!C60:K145,8,0)</f>
        <v>0</v>
      </c>
      <c r="L143" s="3231" t="str">
        <f>+VLOOKUP(C143,'Đội 2'!C60:L145,10,0)</f>
        <v>B</v>
      </c>
      <c r="M143" s="3231">
        <f>+VLOOKUP(C143,'Đội 2'!C60:M145,11,0)</f>
        <v>0</v>
      </c>
      <c r="N143" s="3231">
        <f>+VLOOKUP(C143,'Đội 2'!$C$18:$R$103,12,0)</f>
        <v>7</v>
      </c>
      <c r="O143" s="3231">
        <f>+VLOOKUP(C143,'Đội 2'!$C$18:$R$103,13,0)</f>
        <v>2</v>
      </c>
      <c r="P143" s="3231">
        <f t="shared" si="14"/>
        <v>9</v>
      </c>
      <c r="Q143" s="3816"/>
      <c r="R143" s="3231">
        <f>+VLOOKUP(C143,'Đội 2'!$C$18:$R$103,15,0)</f>
        <v>500000</v>
      </c>
      <c r="S143" s="3231">
        <f>+VLOOKUP(C143,'Đội 2'!$C$18:$R$103,16,0)</f>
        <v>992488.7</v>
      </c>
      <c r="T143" s="3231">
        <f t="shared" si="15"/>
        <v>992488.7</v>
      </c>
      <c r="U143" s="3816"/>
      <c r="V143" s="3231">
        <f t="shared" si="16"/>
        <v>992488.7</v>
      </c>
      <c r="W143" s="1499"/>
      <c r="X143" s="1499"/>
      <c r="Y143" s="1500"/>
      <c r="Z143" s="1501"/>
    </row>
    <row r="144" spans="1:26" s="1502" customFormat="1" ht="34.5" customHeight="1">
      <c r="A144" s="3231">
        <v>126</v>
      </c>
      <c r="B144" s="3816"/>
      <c r="C144" s="3715" t="s">
        <v>2268</v>
      </c>
      <c r="D144" s="3816"/>
      <c r="E144" s="3231" t="s">
        <v>167</v>
      </c>
      <c r="F144" s="3009"/>
      <c r="G144" s="3717"/>
      <c r="H144" s="3231">
        <f t="shared" si="13"/>
        <v>0</v>
      </c>
      <c r="I144" s="3231">
        <f>+VLOOKUP(C144,'Đội 2'!C61:H146,6,0)</f>
        <v>109</v>
      </c>
      <c r="J144" s="3816"/>
      <c r="K144" s="3231">
        <f>+VLOOKUP(C144,'Đội 2'!C61:K146,8,0)</f>
        <v>63.229497029702955</v>
      </c>
      <c r="L144" s="3231" t="str">
        <f>+VLOOKUP(C144,'Đội 2'!C61:L146,10,0)</f>
        <v>A</v>
      </c>
      <c r="M144" s="3231">
        <f>+VLOOKUP(C144,'Đội 2'!C61:M146,11,0)</f>
        <v>249239</v>
      </c>
      <c r="N144" s="3231">
        <f>+VLOOKUP(C144,'Đội 2'!$C$18:$R$103,12,0)</f>
        <v>13</v>
      </c>
      <c r="O144" s="3231">
        <f>+VLOOKUP(C144,'Đội 2'!$C$18:$R$103,13,0)</f>
        <v>3</v>
      </c>
      <c r="P144" s="3231">
        <f t="shared" si="14"/>
        <v>16</v>
      </c>
      <c r="Q144" s="3816"/>
      <c r="R144" s="3231">
        <f>+VLOOKUP(C144,'Đội 2'!$C$18:$R$103,15,0)</f>
        <v>500000</v>
      </c>
      <c r="S144" s="3231">
        <f>+VLOOKUP(C144,'Đội 2'!$C$18:$R$103,16,0)</f>
        <v>1364314</v>
      </c>
      <c r="T144" s="3231">
        <f t="shared" si="15"/>
        <v>1613553</v>
      </c>
      <c r="U144" s="3816"/>
      <c r="V144" s="3231">
        <f t="shared" si="16"/>
        <v>1613553</v>
      </c>
      <c r="W144" s="1499"/>
      <c r="X144" s="1499"/>
      <c r="Y144" s="1500"/>
      <c r="Z144" s="1501"/>
    </row>
    <row r="145" spans="1:28" s="1502" customFormat="1" ht="34.5" customHeight="1">
      <c r="A145" s="3231">
        <v>127</v>
      </c>
      <c r="B145" s="3816"/>
      <c r="C145" s="3715" t="s">
        <v>2269</v>
      </c>
      <c r="D145" s="3816"/>
      <c r="E145" s="3231" t="s">
        <v>167</v>
      </c>
      <c r="F145" s="3009"/>
      <c r="G145" s="3717"/>
      <c r="H145" s="3231">
        <f t="shared" si="13"/>
        <v>0</v>
      </c>
      <c r="I145" s="3231">
        <f>+VLOOKUP(C145,'Đội 2'!C62:H147,6,0)</f>
        <v>45</v>
      </c>
      <c r="J145" s="3816"/>
      <c r="K145" s="3231">
        <f>+VLOOKUP(C145,'Đội 2'!C62:K147,8,0)</f>
        <v>26.103920792079201</v>
      </c>
      <c r="L145" s="3231" t="str">
        <f>+VLOOKUP(C145,'Đội 2'!C62:L147,10,0)</f>
        <v>A</v>
      </c>
      <c r="M145" s="3231">
        <f>+VLOOKUP(C145,'Đội 2'!C62:M147,11,0)</f>
        <v>102897</v>
      </c>
      <c r="N145" s="3231">
        <f>+VLOOKUP(C145,'Đội 2'!$C$18:$R$103,12,0)</f>
        <v>14</v>
      </c>
      <c r="O145" s="3231">
        <f>+VLOOKUP(C145,'Đội 2'!$C$18:$R$103,13,0)</f>
        <v>3</v>
      </c>
      <c r="P145" s="3231">
        <f t="shared" si="14"/>
        <v>17</v>
      </c>
      <c r="Q145" s="3816"/>
      <c r="R145" s="3231">
        <f>+VLOOKUP(C145,'Đội 2'!$C$18:$R$103,15,0)</f>
        <v>500000</v>
      </c>
      <c r="S145" s="3231">
        <f>+VLOOKUP(C145,'Đội 2'!$C$18:$R$103,16,0)</f>
        <v>1414546</v>
      </c>
      <c r="T145" s="3231">
        <f t="shared" si="15"/>
        <v>1517443</v>
      </c>
      <c r="U145" s="3816"/>
      <c r="V145" s="3231">
        <f t="shared" si="16"/>
        <v>1517443</v>
      </c>
      <c r="W145" s="1499"/>
      <c r="X145" s="1499"/>
      <c r="Y145" s="1500"/>
      <c r="Z145" s="1501"/>
    </row>
    <row r="146" spans="1:28" s="1502" customFormat="1" ht="34.5" customHeight="1">
      <c r="A146" s="3231">
        <v>128</v>
      </c>
      <c r="B146" s="3816"/>
      <c r="C146" s="3715" t="s">
        <v>2270</v>
      </c>
      <c r="D146" s="3816"/>
      <c r="E146" s="3231" t="s">
        <v>167</v>
      </c>
      <c r="F146" s="3009"/>
      <c r="G146" s="3717"/>
      <c r="H146" s="3231">
        <f t="shared" si="13"/>
        <v>0</v>
      </c>
      <c r="I146" s="3231">
        <f>+VLOOKUP(C146,'Đội 2'!C63:H148,6,0)</f>
        <v>135</v>
      </c>
      <c r="J146" s="3816"/>
      <c r="K146" s="3231">
        <f>+VLOOKUP(C146,'Đội 2'!C63:K148,8,0)</f>
        <v>78.31176237623761</v>
      </c>
      <c r="L146" s="3231" t="str">
        <f>+VLOOKUP(C146,'Đội 2'!C63:L148,10,0)</f>
        <v>A</v>
      </c>
      <c r="M146" s="3231">
        <f>+VLOOKUP(C146,'Đội 2'!C63:M148,11,0)</f>
        <v>308691</v>
      </c>
      <c r="N146" s="3231">
        <f>+VLOOKUP(C146,'Đội 2'!$C$18:$R$103,12,0)</f>
        <v>14</v>
      </c>
      <c r="O146" s="3231">
        <f>+VLOOKUP(C146,'Đội 2'!$C$18:$R$103,13,0)</f>
        <v>3</v>
      </c>
      <c r="P146" s="3231">
        <f t="shared" si="14"/>
        <v>17</v>
      </c>
      <c r="Q146" s="3816"/>
      <c r="R146" s="3231">
        <f>+VLOOKUP(C146,'Đội 2'!$C$18:$R$103,15,0)</f>
        <v>500000</v>
      </c>
      <c r="S146" s="3231">
        <f>+VLOOKUP(C146,'Đội 2'!$C$18:$R$103,16,0)</f>
        <v>1414546</v>
      </c>
      <c r="T146" s="3231">
        <f t="shared" si="15"/>
        <v>1723237</v>
      </c>
      <c r="U146" s="3816"/>
      <c r="V146" s="3231">
        <f t="shared" si="16"/>
        <v>1723237</v>
      </c>
      <c r="W146" s="1499"/>
      <c r="X146" s="1499"/>
      <c r="Y146" s="1500"/>
      <c r="Z146" s="1501"/>
    </row>
    <row r="147" spans="1:28" s="3824" customFormat="1" ht="34.5" customHeight="1">
      <c r="A147" s="3820">
        <v>129</v>
      </c>
      <c r="B147" s="3816"/>
      <c r="C147" s="3821" t="s">
        <v>486</v>
      </c>
      <c r="D147" s="3816"/>
      <c r="E147" s="3820" t="s">
        <v>167</v>
      </c>
      <c r="F147" s="3009"/>
      <c r="G147" s="3822"/>
      <c r="H147" s="3820">
        <f t="shared" si="13"/>
        <v>0</v>
      </c>
      <c r="I147" s="3820">
        <f>+VLOOKUP(C147,'Đội 2'!C64:H149,6,0)</f>
        <v>85</v>
      </c>
      <c r="J147" s="3816"/>
      <c r="K147" s="3820">
        <f>+VLOOKUP(C147,'Đội 2'!C64:K149,8,0)</f>
        <v>49.307405940594052</v>
      </c>
      <c r="L147" s="3820" t="str">
        <f>+VLOOKUP(C147,'Đội 2'!C64:L149,10,0)</f>
        <v>A</v>
      </c>
      <c r="M147" s="3820">
        <f>+VLOOKUP(C147,'Đội 2'!C64:M149,11,0)</f>
        <v>194361</v>
      </c>
      <c r="N147" s="3820">
        <f>+VLOOKUP(C147,'Đội 2'!$C$18:$R$103,12,0)</f>
        <v>11</v>
      </c>
      <c r="O147" s="3820">
        <f>+VLOOKUP(C147,'Đội 2'!$C$18:$R$103,13,0)</f>
        <v>2</v>
      </c>
      <c r="P147" s="3820">
        <f t="shared" si="14"/>
        <v>13</v>
      </c>
      <c r="Q147" s="3823"/>
      <c r="R147" s="3820">
        <f>+VLOOKUP(C147,'Đội 2'!$C$18:$R$103,15,0)</f>
        <v>500000</v>
      </c>
      <c r="S147" s="3820">
        <f>+VLOOKUP(C147,'Đội 2'!$C$18:$R$103,16,0)</f>
        <v>1193418</v>
      </c>
      <c r="T147" s="3820">
        <f t="shared" si="15"/>
        <v>1387779</v>
      </c>
      <c r="U147" s="3823"/>
      <c r="V147" s="3820">
        <f t="shared" si="16"/>
        <v>1387779</v>
      </c>
      <c r="W147" s="1499"/>
      <c r="X147" s="1499"/>
      <c r="Y147" s="1500"/>
      <c r="Z147" s="1501"/>
      <c r="AA147" s="1502"/>
      <c r="AB147" s="1502"/>
    </row>
    <row r="148" spans="1:28" s="1502" customFormat="1" ht="34.5" customHeight="1">
      <c r="A148" s="3231">
        <v>130</v>
      </c>
      <c r="B148" s="3816"/>
      <c r="C148" s="3715" t="s">
        <v>2271</v>
      </c>
      <c r="D148" s="3816"/>
      <c r="E148" s="3231" t="s">
        <v>167</v>
      </c>
      <c r="F148" s="3009"/>
      <c r="G148" s="3717"/>
      <c r="H148" s="3231">
        <f t="shared" si="13"/>
        <v>0</v>
      </c>
      <c r="I148" s="3231">
        <f>+VLOOKUP(C148,'Đội 2'!C65:H150,6,0)</f>
        <v>0</v>
      </c>
      <c r="J148" s="3816"/>
      <c r="K148" s="3231">
        <f>+VLOOKUP(C148,'Đội 2'!C65:K150,8,0)</f>
        <v>0</v>
      </c>
      <c r="L148" s="3231" t="str">
        <f>+VLOOKUP(C148,'Đội 2'!C65:L150,10,0)</f>
        <v>B</v>
      </c>
      <c r="M148" s="3231">
        <f>+VLOOKUP(C148,'Đội 2'!C65:M150,11,0)</f>
        <v>0</v>
      </c>
      <c r="N148" s="3231">
        <f>+VLOOKUP(C148,'Đội 2'!$C$18:$R$103,12,0)</f>
        <v>12</v>
      </c>
      <c r="O148" s="3231">
        <f>+VLOOKUP(C148,'Đội 2'!$C$18:$R$103,13,0)</f>
        <v>2</v>
      </c>
      <c r="P148" s="3231">
        <f t="shared" si="14"/>
        <v>14</v>
      </c>
      <c r="Q148" s="3816"/>
      <c r="R148" s="3231">
        <f>+VLOOKUP(C148,'Đội 2'!$C$18:$R$103,15,0)</f>
        <v>500000</v>
      </c>
      <c r="S148" s="3231">
        <f>+VLOOKUP(C148,'Đội 2'!$C$18:$R$103,16,0)</f>
        <v>1243651</v>
      </c>
      <c r="T148" s="3231">
        <f t="shared" si="15"/>
        <v>1243651</v>
      </c>
      <c r="U148" s="3816"/>
      <c r="V148" s="3231">
        <f t="shared" si="16"/>
        <v>1243651</v>
      </c>
      <c r="W148" s="1499"/>
      <c r="X148" s="1499"/>
      <c r="Y148" s="1500"/>
      <c r="Z148" s="1501"/>
    </row>
    <row r="149" spans="1:28" s="3824" customFormat="1" ht="34.5" customHeight="1">
      <c r="A149" s="3820">
        <v>131</v>
      </c>
      <c r="B149" s="3816"/>
      <c r="C149" s="3821" t="s">
        <v>1229</v>
      </c>
      <c r="D149" s="3816"/>
      <c r="E149" s="3820" t="s">
        <v>167</v>
      </c>
      <c r="F149" s="3009"/>
      <c r="G149" s="3822"/>
      <c r="H149" s="3820">
        <f t="shared" si="13"/>
        <v>0</v>
      </c>
      <c r="I149" s="3820">
        <f>+VLOOKUP(C149,'Đội 2'!C66:H151,6,0)</f>
        <v>116</v>
      </c>
      <c r="J149" s="3816"/>
      <c r="K149" s="3820">
        <f>+VLOOKUP(C149,'Đội 2'!C66:K151,8,0)</f>
        <v>67.290106930693057</v>
      </c>
      <c r="L149" s="3820" t="str">
        <f>+VLOOKUP(C149,'Đội 2'!C66:L151,10,0)</f>
        <v>A</v>
      </c>
      <c r="M149" s="3820">
        <f>+VLOOKUP(C149,'Đội 2'!C66:M151,11,0)</f>
        <v>265245</v>
      </c>
      <c r="N149" s="3820">
        <f>+VLOOKUP(C149,'Đội 2'!$C$18:$R$103,12,0)</f>
        <v>13</v>
      </c>
      <c r="O149" s="3820">
        <f>+VLOOKUP(C149,'Đội 2'!$C$18:$R$103,13,0)</f>
        <v>3</v>
      </c>
      <c r="P149" s="3820">
        <f t="shared" si="14"/>
        <v>16</v>
      </c>
      <c r="Q149" s="3823"/>
      <c r="R149" s="3820">
        <f>+VLOOKUP(C149,'Đội 2'!$C$18:$R$103,15,0)</f>
        <v>500000</v>
      </c>
      <c r="S149" s="3820">
        <f>+VLOOKUP(C149,'Đội 2'!$C$18:$R$103,16,0)</f>
        <v>1364314</v>
      </c>
      <c r="T149" s="3820">
        <f t="shared" si="15"/>
        <v>1629559</v>
      </c>
      <c r="U149" s="3823"/>
      <c r="V149" s="3820">
        <f t="shared" si="16"/>
        <v>1629559</v>
      </c>
      <c r="W149" s="1499"/>
      <c r="X149" s="1499"/>
      <c r="Y149" s="1500"/>
      <c r="Z149" s="1501"/>
      <c r="AA149" s="1502"/>
      <c r="AB149" s="1502"/>
    </row>
    <row r="150" spans="1:28" s="1502" customFormat="1" ht="34.5" customHeight="1">
      <c r="A150" s="3231">
        <v>132</v>
      </c>
      <c r="B150" s="3816"/>
      <c r="C150" s="3715" t="s">
        <v>1507</v>
      </c>
      <c r="D150" s="3816"/>
      <c r="E150" s="3231" t="s">
        <v>167</v>
      </c>
      <c r="F150" s="3009"/>
      <c r="G150" s="3717"/>
      <c r="H150" s="3231">
        <f t="shared" si="13"/>
        <v>0</v>
      </c>
      <c r="I150" s="3231">
        <f>+VLOOKUP(C150,'Đội 2'!C67:H152,6,0)</f>
        <v>87</v>
      </c>
      <c r="J150" s="3816"/>
      <c r="K150" s="3231">
        <f>+VLOOKUP(C150,'Đội 2'!C67:K152,8,0)</f>
        <v>50.467580198019789</v>
      </c>
      <c r="L150" s="3231" t="str">
        <f>+VLOOKUP(C150,'Đội 2'!C67:L152,10,0)</f>
        <v>A</v>
      </c>
      <c r="M150" s="3231">
        <f>+VLOOKUP(C150,'Đội 2'!C67:M152,11,0)</f>
        <v>198934</v>
      </c>
      <c r="N150" s="3231">
        <f>+VLOOKUP(C150,'Đội 2'!$C$18:$R$103,12,0)</f>
        <v>9</v>
      </c>
      <c r="O150" s="3231">
        <f>+VLOOKUP(C150,'Đội 2'!$C$18:$R$103,13,0)</f>
        <v>3</v>
      </c>
      <c r="P150" s="3231">
        <f t="shared" si="14"/>
        <v>12</v>
      </c>
      <c r="Q150" s="3816"/>
      <c r="R150" s="3231">
        <f>+VLOOKUP(C150,'Đội 2'!$C$18:$R$103,15,0)</f>
        <v>500000</v>
      </c>
      <c r="S150" s="3231">
        <f>+VLOOKUP(C150,'Đội 2'!$C$18:$R$103,16,0)</f>
        <v>1163384</v>
      </c>
      <c r="T150" s="3231">
        <f t="shared" si="15"/>
        <v>1362318</v>
      </c>
      <c r="U150" s="3816"/>
      <c r="V150" s="3231">
        <f t="shared" si="16"/>
        <v>1362318</v>
      </c>
      <c r="W150" s="1499"/>
      <c r="X150" s="1499"/>
      <c r="Y150" s="1500"/>
      <c r="Z150" s="1501"/>
    </row>
    <row r="151" spans="1:28" s="1502" customFormat="1" ht="34.5" customHeight="1">
      <c r="A151" s="3231">
        <v>133</v>
      </c>
      <c r="B151" s="3816"/>
      <c r="C151" s="3715" t="s">
        <v>1706</v>
      </c>
      <c r="D151" s="3816"/>
      <c r="E151" s="3231" t="s">
        <v>167</v>
      </c>
      <c r="F151" s="3009"/>
      <c r="G151" s="3717"/>
      <c r="H151" s="3231">
        <f t="shared" si="13"/>
        <v>0</v>
      </c>
      <c r="I151" s="3231">
        <f>+VLOOKUP(C151,'Đội 2'!C68:H153,6,0)</f>
        <v>0</v>
      </c>
      <c r="J151" s="3816"/>
      <c r="K151" s="3231">
        <f>+VLOOKUP(C151,'Đội 2'!C68:K153,8,0)</f>
        <v>0</v>
      </c>
      <c r="L151" s="3231" t="str">
        <f>+VLOOKUP(C151,'Đội 2'!C68:L153,10,0)</f>
        <v>A</v>
      </c>
      <c r="M151" s="3231">
        <f>+VLOOKUP(C151,'Đội 2'!C68:M153,11,0)</f>
        <v>0</v>
      </c>
      <c r="N151" s="3231">
        <f>+VLOOKUP(C151,'Đội 2'!$C$18:$R$103,12,0)</f>
        <v>13</v>
      </c>
      <c r="O151" s="3231">
        <f>+VLOOKUP(C151,'Đội 2'!$C$18:$R$103,13,0)</f>
        <v>2</v>
      </c>
      <c r="P151" s="3231">
        <f t="shared" si="14"/>
        <v>15</v>
      </c>
      <c r="Q151" s="3816"/>
      <c r="R151" s="3231">
        <f>+VLOOKUP(C151,'Đội 2'!$C$18:$R$103,15,0)</f>
        <v>500000</v>
      </c>
      <c r="S151" s="3231">
        <f>+VLOOKUP(C151,'Đội 2'!$C$18:$R$103,16,0)</f>
        <v>1293883</v>
      </c>
      <c r="T151" s="3231">
        <f t="shared" si="15"/>
        <v>1293883</v>
      </c>
      <c r="U151" s="3816"/>
      <c r="V151" s="3231">
        <f t="shared" si="16"/>
        <v>1293883</v>
      </c>
      <c r="W151" s="1499"/>
      <c r="X151" s="1499"/>
      <c r="Y151" s="1500"/>
      <c r="Z151" s="1501"/>
    </row>
    <row r="152" spans="1:28" s="1502" customFormat="1" ht="34.5" customHeight="1">
      <c r="A152" s="3231">
        <v>134</v>
      </c>
      <c r="B152" s="3816"/>
      <c r="C152" s="3715" t="s">
        <v>2272</v>
      </c>
      <c r="D152" s="3816"/>
      <c r="E152" s="3231" t="s">
        <v>167</v>
      </c>
      <c r="F152" s="3009"/>
      <c r="G152" s="3717"/>
      <c r="H152" s="3231">
        <f t="shared" si="13"/>
        <v>0</v>
      </c>
      <c r="I152" s="3231">
        <f>+VLOOKUP(C152,'Đội 2'!C69:H154,6,0)</f>
        <v>107</v>
      </c>
      <c r="J152" s="3816"/>
      <c r="K152" s="3231">
        <f>+VLOOKUP(C152,'Đội 2'!C69:K154,8,0)</f>
        <v>62.069322772277211</v>
      </c>
      <c r="L152" s="3231" t="str">
        <f>+VLOOKUP(C152,'Đội 2'!C69:L154,10,0)</f>
        <v>A</v>
      </c>
      <c r="M152" s="3231">
        <f>+VLOOKUP(C152,'Đội 2'!C69:M154,11,0)</f>
        <v>244666</v>
      </c>
      <c r="N152" s="3231">
        <f>+VLOOKUP(C152,'Đội 2'!$C$18:$R$103,12,0)</f>
        <v>13</v>
      </c>
      <c r="O152" s="3231">
        <f>+VLOOKUP(C152,'Đội 2'!$C$18:$R$103,13,0)</f>
        <v>2</v>
      </c>
      <c r="P152" s="3231">
        <f t="shared" si="14"/>
        <v>15</v>
      </c>
      <c r="Q152" s="3816"/>
      <c r="R152" s="3231">
        <f>+VLOOKUP(C152,'Đội 2'!$C$18:$R$103,15,0)</f>
        <v>500000</v>
      </c>
      <c r="S152" s="3231">
        <f>+VLOOKUP(C152,'Đội 2'!$C$18:$R$103,16,0)</f>
        <v>1293883</v>
      </c>
      <c r="T152" s="3231">
        <f t="shared" si="15"/>
        <v>1538549</v>
      </c>
      <c r="U152" s="3816"/>
      <c r="V152" s="3231">
        <f t="shared" si="16"/>
        <v>1538549</v>
      </c>
      <c r="W152" s="1499"/>
      <c r="X152" s="1499"/>
      <c r="Y152" s="1500"/>
      <c r="Z152" s="1501"/>
    </row>
    <row r="153" spans="1:28" s="1502" customFormat="1" ht="34.5" customHeight="1">
      <c r="A153" s="3231">
        <v>135</v>
      </c>
      <c r="B153" s="3816"/>
      <c r="C153" s="3715" t="s">
        <v>2273</v>
      </c>
      <c r="D153" s="3816"/>
      <c r="E153" s="3231" t="s">
        <v>167</v>
      </c>
      <c r="F153" s="3009"/>
      <c r="G153" s="3717"/>
      <c r="H153" s="3231">
        <f t="shared" si="13"/>
        <v>0</v>
      </c>
      <c r="I153" s="3231">
        <f>+VLOOKUP(C153,'Đội 2'!C70:H155,6,0)</f>
        <v>25</v>
      </c>
      <c r="J153" s="3816"/>
      <c r="K153" s="3231">
        <f>+VLOOKUP(C153,'Đội 2'!C70:K155,8,0)</f>
        <v>14.502178217821779</v>
      </c>
      <c r="L153" s="3231" t="str">
        <f>+VLOOKUP(C153,'Đội 2'!C70:L155,10,0)</f>
        <v>A</v>
      </c>
      <c r="M153" s="3231">
        <f>+VLOOKUP(C153,'Đội 2'!C70:M155,11,0)</f>
        <v>57165</v>
      </c>
      <c r="N153" s="3231">
        <f>+VLOOKUP(C153,'Đội 2'!$C$18:$R$103,12,0)</f>
        <v>12</v>
      </c>
      <c r="O153" s="3231">
        <f>+VLOOKUP(C153,'Đội 2'!$C$18:$R$103,13,0)</f>
        <v>2</v>
      </c>
      <c r="P153" s="3231">
        <f t="shared" si="14"/>
        <v>14</v>
      </c>
      <c r="Q153" s="3816"/>
      <c r="R153" s="3231">
        <f>+VLOOKUP(C153,'Đội 2'!$C$18:$R$103,15,0)</f>
        <v>500000</v>
      </c>
      <c r="S153" s="3231">
        <f>+VLOOKUP(C153,'Đội 2'!$C$18:$R$103,16,0)</f>
        <v>1243651</v>
      </c>
      <c r="T153" s="3231">
        <f t="shared" si="15"/>
        <v>1300816</v>
      </c>
      <c r="U153" s="3816"/>
      <c r="V153" s="3231">
        <f t="shared" si="16"/>
        <v>1300816</v>
      </c>
      <c r="W153" s="1499"/>
      <c r="X153" s="1499"/>
      <c r="Y153" s="1500"/>
      <c r="Z153" s="1501"/>
    </row>
    <row r="154" spans="1:28" s="1502" customFormat="1" ht="34.5" customHeight="1">
      <c r="A154" s="3231">
        <v>136</v>
      </c>
      <c r="B154" s="3816"/>
      <c r="C154" s="3715" t="s">
        <v>2274</v>
      </c>
      <c r="D154" s="3816"/>
      <c r="E154" s="3231" t="s">
        <v>167</v>
      </c>
      <c r="F154" s="3009"/>
      <c r="G154" s="3717"/>
      <c r="H154" s="3231">
        <f t="shared" si="13"/>
        <v>0</v>
      </c>
      <c r="I154" s="3231">
        <f>+VLOOKUP(C154,'Đội 2'!C71:H156,6,0)</f>
        <v>96</v>
      </c>
      <c r="J154" s="3816"/>
      <c r="K154" s="3231">
        <f>+VLOOKUP(C154,'Đội 2'!C71:K156,8,0)</f>
        <v>55.688364356435628</v>
      </c>
      <c r="L154" s="3231" t="str">
        <f>+VLOOKUP(C154,'Đội 2'!C71:L156,10,0)</f>
        <v>A</v>
      </c>
      <c r="M154" s="3231">
        <f>+VLOOKUP(C154,'Đội 2'!C71:M156,11,0)</f>
        <v>219514</v>
      </c>
      <c r="N154" s="3231">
        <f>+VLOOKUP(C154,'Đội 2'!$C$18:$R$103,12,0)</f>
        <v>12</v>
      </c>
      <c r="O154" s="3231">
        <f>+VLOOKUP(C154,'Đội 2'!$C$18:$R$103,13,0)</f>
        <v>3</v>
      </c>
      <c r="P154" s="3231">
        <f t="shared" si="14"/>
        <v>15</v>
      </c>
      <c r="Q154" s="3816"/>
      <c r="R154" s="3231">
        <f>+VLOOKUP(C154,'Đội 2'!$C$18:$R$103,15,0)</f>
        <v>500000</v>
      </c>
      <c r="S154" s="3231">
        <f>+VLOOKUP(C154,'Đội 2'!$C$18:$R$103,16,0)</f>
        <v>1314082</v>
      </c>
      <c r="T154" s="3231">
        <f t="shared" si="15"/>
        <v>1533596</v>
      </c>
      <c r="U154" s="3816"/>
      <c r="V154" s="3231">
        <f t="shared" si="16"/>
        <v>1533596</v>
      </c>
      <c r="W154" s="1499"/>
      <c r="X154" s="1499"/>
      <c r="Y154" s="1500"/>
      <c r="Z154" s="1501"/>
    </row>
    <row r="155" spans="1:28" s="1502" customFormat="1" ht="34.5" customHeight="1">
      <c r="A155" s="3231">
        <v>137</v>
      </c>
      <c r="B155" s="3816"/>
      <c r="C155" s="3715" t="s">
        <v>2275</v>
      </c>
      <c r="D155" s="3816"/>
      <c r="E155" s="3231" t="s">
        <v>167</v>
      </c>
      <c r="F155" s="3009"/>
      <c r="G155" s="3717"/>
      <c r="H155" s="3231">
        <f t="shared" si="13"/>
        <v>0</v>
      </c>
      <c r="I155" s="3231">
        <f>+VLOOKUP(C155,'Đội 2'!C72:H157,6,0)</f>
        <v>247</v>
      </c>
      <c r="J155" s="3816"/>
      <c r="K155" s="3231">
        <f>+VLOOKUP(C155,'Đội 2'!C72:K157,8,0)</f>
        <v>143.28152079207916</v>
      </c>
      <c r="L155" s="3231" t="str">
        <f>+VLOOKUP(C155,'Đội 2'!C72:L157,10,0)</f>
        <v>A</v>
      </c>
      <c r="M155" s="3231">
        <f>+VLOOKUP(C155,'Đội 2'!C72:M157,11,0)</f>
        <v>564790</v>
      </c>
      <c r="N155" s="3231">
        <f>+VLOOKUP(C155,'Đội 2'!$C$18:$R$103,12,0)</f>
        <v>15</v>
      </c>
      <c r="O155" s="3231">
        <f>+VLOOKUP(C155,'Đội 2'!$C$18:$R$103,13,0)</f>
        <v>3</v>
      </c>
      <c r="P155" s="3231">
        <f t="shared" si="14"/>
        <v>18</v>
      </c>
      <c r="Q155" s="3816"/>
      <c r="R155" s="3231">
        <f>+VLOOKUP(C155,'Đội 2'!$C$18:$R$103,15,0)</f>
        <v>500000</v>
      </c>
      <c r="S155" s="3231">
        <f>+VLOOKUP(C155,'Đội 2'!$C$18:$R$103,16,0)</f>
        <v>1464779</v>
      </c>
      <c r="T155" s="3231">
        <f t="shared" si="15"/>
        <v>2029569</v>
      </c>
      <c r="U155" s="3816"/>
      <c r="V155" s="3231">
        <f t="shared" si="16"/>
        <v>2029569</v>
      </c>
      <c r="W155" s="1499"/>
      <c r="X155" s="1499"/>
      <c r="Y155" s="1500"/>
      <c r="Z155" s="1501"/>
    </row>
    <row r="156" spans="1:28" s="1502" customFormat="1" ht="34.5" customHeight="1">
      <c r="A156" s="3231">
        <v>138</v>
      </c>
      <c r="B156" s="3816"/>
      <c r="C156" s="3715" t="s">
        <v>2276</v>
      </c>
      <c r="D156" s="3816"/>
      <c r="E156" s="3231" t="s">
        <v>167</v>
      </c>
      <c r="F156" s="3009"/>
      <c r="G156" s="3717"/>
      <c r="H156" s="3231">
        <f t="shared" si="13"/>
        <v>0</v>
      </c>
      <c r="I156" s="3231">
        <f>+VLOOKUP(C156,'Đội 2'!C73:H158,6,0)</f>
        <v>287</v>
      </c>
      <c r="J156" s="3816"/>
      <c r="K156" s="3231">
        <f>+VLOOKUP(C156,'Đội 2'!C73:K158,8,0)</f>
        <v>166.48500594059402</v>
      </c>
      <c r="L156" s="3231" t="str">
        <f>+VLOOKUP(C156,'Đội 2'!C73:L158,10,0)</f>
        <v>A</v>
      </c>
      <c r="M156" s="3231">
        <f>+VLOOKUP(C156,'Đội 2'!C73:M158,11,0)</f>
        <v>656254</v>
      </c>
      <c r="N156" s="3231">
        <f>+VLOOKUP(C156,'Đội 2'!$C$18:$R$103,12,0)</f>
        <v>15</v>
      </c>
      <c r="O156" s="3231">
        <f>+VLOOKUP(C156,'Đội 2'!$C$18:$R$103,13,0)</f>
        <v>3</v>
      </c>
      <c r="P156" s="3231">
        <f t="shared" si="14"/>
        <v>18</v>
      </c>
      <c r="Q156" s="3816"/>
      <c r="R156" s="3231">
        <f>+VLOOKUP(C156,'Đội 2'!$C$18:$R$103,15,0)</f>
        <v>500000</v>
      </c>
      <c r="S156" s="3231">
        <f>+VLOOKUP(C156,'Đội 2'!$C$18:$R$103,16,0)</f>
        <v>1464779</v>
      </c>
      <c r="T156" s="3231">
        <f t="shared" si="15"/>
        <v>2121033</v>
      </c>
      <c r="U156" s="3816"/>
      <c r="V156" s="3231">
        <f t="shared" si="16"/>
        <v>2121033</v>
      </c>
      <c r="W156" s="1499"/>
      <c r="X156" s="1499"/>
      <c r="Y156" s="1500"/>
      <c r="Z156" s="1501"/>
    </row>
    <row r="157" spans="1:28" s="1502" customFormat="1" ht="34.5" customHeight="1">
      <c r="A157" s="3231">
        <v>139</v>
      </c>
      <c r="B157" s="3816"/>
      <c r="C157" s="3715" t="s">
        <v>281</v>
      </c>
      <c r="D157" s="3816"/>
      <c r="E157" s="3231" t="s">
        <v>167</v>
      </c>
      <c r="F157" s="3009"/>
      <c r="G157" s="3717"/>
      <c r="H157" s="3231">
        <f t="shared" si="13"/>
        <v>0</v>
      </c>
      <c r="I157" s="3231">
        <f>+VLOOKUP(C157,'Đội 2'!C74:H159,6,0)</f>
        <v>0</v>
      </c>
      <c r="J157" s="3816"/>
      <c r="K157" s="3231">
        <f>+VLOOKUP(C157,'Đội 2'!C74:K159,8,0)</f>
        <v>0</v>
      </c>
      <c r="L157" s="3231" t="str">
        <f>+VLOOKUP(C157,'Đội 2'!C74:L159,10,0)</f>
        <v>A</v>
      </c>
      <c r="M157" s="3231">
        <f>+VLOOKUP(C157,'Đội 2'!C74:M159,11,0)</f>
        <v>0</v>
      </c>
      <c r="N157" s="3231">
        <f>+VLOOKUP(C157,'Đội 2'!$C$18:$R$103,12,0)</f>
        <v>8</v>
      </c>
      <c r="O157" s="3231">
        <f>+VLOOKUP(C157,'Đội 2'!$C$18:$R$103,13,0)</f>
        <v>1</v>
      </c>
      <c r="P157" s="3231">
        <f t="shared" si="14"/>
        <v>9</v>
      </c>
      <c r="Q157" s="3816"/>
      <c r="R157" s="3231">
        <f>+VLOOKUP(C157,'Đội 2'!$C$18:$R$103,15,0)</f>
        <v>500000</v>
      </c>
      <c r="S157" s="3231">
        <f>+VLOOKUP(C157,'Đội 2'!$C$18:$R$103,16,0)</f>
        <v>972290</v>
      </c>
      <c r="T157" s="3231">
        <f t="shared" si="15"/>
        <v>972290</v>
      </c>
      <c r="U157" s="3816"/>
      <c r="V157" s="3231">
        <f t="shared" si="16"/>
        <v>972290</v>
      </c>
      <c r="W157" s="1499"/>
      <c r="X157" s="1499"/>
      <c r="Y157" s="1500"/>
      <c r="Z157" s="1501"/>
    </row>
    <row r="158" spans="1:28" s="1502" customFormat="1" ht="34.5" customHeight="1">
      <c r="A158" s="3231">
        <v>140</v>
      </c>
      <c r="B158" s="3816"/>
      <c r="C158" s="3715" t="s">
        <v>2277</v>
      </c>
      <c r="D158" s="3816"/>
      <c r="E158" s="3231" t="s">
        <v>167</v>
      </c>
      <c r="F158" s="3009"/>
      <c r="G158" s="3717"/>
      <c r="H158" s="3231">
        <f t="shared" si="13"/>
        <v>0</v>
      </c>
      <c r="I158" s="3231">
        <f>+VLOOKUP(C158,'Đội 2'!C75:H160,6,0)</f>
        <v>0</v>
      </c>
      <c r="J158" s="3816"/>
      <c r="K158" s="3231">
        <f>+VLOOKUP(C158,'Đội 2'!C75:K160,8,0)</f>
        <v>0</v>
      </c>
      <c r="L158" s="3231" t="str">
        <f>+VLOOKUP(C158,'Đội 2'!C75:L160,10,0)</f>
        <v>A</v>
      </c>
      <c r="M158" s="3231">
        <f>+VLOOKUP(C158,'Đội 2'!C75:M160,11,0)</f>
        <v>0</v>
      </c>
      <c r="N158" s="3231">
        <f>+VLOOKUP(C158,'Đội 2'!$C$18:$R$103,12,0)</f>
        <v>1</v>
      </c>
      <c r="O158" s="3231">
        <f>+VLOOKUP(C158,'Đội 2'!$C$18:$R$103,13,0)</f>
        <v>0</v>
      </c>
      <c r="P158" s="3231">
        <f t="shared" si="14"/>
        <v>1</v>
      </c>
      <c r="Q158" s="3816"/>
      <c r="R158" s="3231">
        <f>+VLOOKUP(C158,'Đội 2'!$C$18:$R$103,15,0)</f>
        <v>500000</v>
      </c>
      <c r="S158" s="3231">
        <f>+VLOOKUP(C158,'Đội 2'!$C$18:$R$103,16,0)</f>
        <v>550232</v>
      </c>
      <c r="T158" s="3231">
        <f t="shared" si="15"/>
        <v>550232</v>
      </c>
      <c r="U158" s="3816"/>
      <c r="V158" s="3231">
        <f t="shared" si="16"/>
        <v>550232</v>
      </c>
      <c r="W158" s="1499"/>
      <c r="X158" s="1499"/>
      <c r="Y158" s="1500"/>
      <c r="Z158" s="1501"/>
    </row>
    <row r="159" spans="1:28" s="1502" customFormat="1" ht="34.5" customHeight="1">
      <c r="A159" s="3231">
        <v>141</v>
      </c>
      <c r="B159" s="3816"/>
      <c r="C159" s="3715" t="s">
        <v>1698</v>
      </c>
      <c r="D159" s="3816"/>
      <c r="E159" s="3231" t="s">
        <v>167</v>
      </c>
      <c r="F159" s="3009"/>
      <c r="G159" s="3717"/>
      <c r="H159" s="3231">
        <f t="shared" si="13"/>
        <v>0</v>
      </c>
      <c r="I159" s="3231">
        <f>+VLOOKUP(C159,'Đội 2'!C76:H161,6,0)</f>
        <v>58</v>
      </c>
      <c r="J159" s="3816"/>
      <c r="K159" s="3231">
        <f>+VLOOKUP(C159,'Đội 2'!C76:K161,8,0)</f>
        <v>33.645053465346528</v>
      </c>
      <c r="L159" s="3231" t="str">
        <f>+VLOOKUP(C159,'Đội 2'!C76:L161,10,0)</f>
        <v>A</v>
      </c>
      <c r="M159" s="3231">
        <f>+VLOOKUP(C159,'Đội 2'!C76:M161,11,0)</f>
        <v>132623</v>
      </c>
      <c r="N159" s="3231">
        <f>+VLOOKUP(C159,'Đội 2'!$C$18:$R$103,12,0)</f>
        <v>14</v>
      </c>
      <c r="O159" s="3231">
        <f>+VLOOKUP(C159,'Đội 2'!$C$18:$R$103,13,0)</f>
        <v>2</v>
      </c>
      <c r="P159" s="3231">
        <f t="shared" si="14"/>
        <v>16</v>
      </c>
      <c r="Q159" s="3816"/>
      <c r="R159" s="3231">
        <f>+VLOOKUP(C159,'Đội 2'!$C$18:$R$103,15,0)</f>
        <v>500000</v>
      </c>
      <c r="S159" s="3231">
        <f>+VLOOKUP(C159,'Đội 2'!$C$18:$R$103,16,0)</f>
        <v>1344115</v>
      </c>
      <c r="T159" s="3231">
        <f t="shared" si="15"/>
        <v>1476738</v>
      </c>
      <c r="U159" s="3816"/>
      <c r="V159" s="3231">
        <f t="shared" si="16"/>
        <v>1476738</v>
      </c>
      <c r="W159" s="1499"/>
      <c r="X159" s="1499"/>
      <c r="Y159" s="1500"/>
      <c r="Z159" s="1501"/>
    </row>
    <row r="160" spans="1:28" s="1502" customFormat="1" ht="34.5" customHeight="1">
      <c r="A160" s="3231">
        <v>142</v>
      </c>
      <c r="B160" s="3816"/>
      <c r="C160" s="3715" t="s">
        <v>2278</v>
      </c>
      <c r="D160" s="3816"/>
      <c r="E160" s="3231" t="s">
        <v>167</v>
      </c>
      <c r="F160" s="3009"/>
      <c r="G160" s="3717"/>
      <c r="H160" s="3231">
        <f t="shared" si="13"/>
        <v>0</v>
      </c>
      <c r="I160" s="3231">
        <f>+VLOOKUP(C160,'Đội 2'!C77:H162,6,0)</f>
        <v>79</v>
      </c>
      <c r="J160" s="3816"/>
      <c r="K160" s="3231">
        <f>+VLOOKUP(C160,'Đội 2'!C77:K162,8,0)</f>
        <v>45.826883168316819</v>
      </c>
      <c r="L160" s="3231" t="str">
        <f>+VLOOKUP(C160,'Đội 2'!C77:L162,10,0)</f>
        <v>A</v>
      </c>
      <c r="M160" s="3231">
        <f>+VLOOKUP(C160,'Đội 2'!C77:M162,11,0)</f>
        <v>180641</v>
      </c>
      <c r="N160" s="3231">
        <f>+VLOOKUP(C160,'Đội 2'!$C$18:$R$103,12,0)</f>
        <v>12</v>
      </c>
      <c r="O160" s="3231">
        <f>+VLOOKUP(C160,'Đội 2'!$C$18:$R$103,13,0)</f>
        <v>2</v>
      </c>
      <c r="P160" s="3231">
        <f t="shared" si="14"/>
        <v>14</v>
      </c>
      <c r="Q160" s="3816"/>
      <c r="R160" s="3231">
        <f>+VLOOKUP(C160,'Đội 2'!$C$18:$R$103,15,0)</f>
        <v>500000</v>
      </c>
      <c r="S160" s="3231">
        <f>+VLOOKUP(C160,'Đội 2'!$C$18:$R$103,16,0)</f>
        <v>1243651</v>
      </c>
      <c r="T160" s="3231">
        <f t="shared" si="15"/>
        <v>1424292</v>
      </c>
      <c r="U160" s="3816"/>
      <c r="V160" s="3231">
        <f t="shared" si="16"/>
        <v>1424292</v>
      </c>
      <c r="W160" s="1499"/>
      <c r="X160" s="1499"/>
      <c r="Y160" s="1500"/>
      <c r="Z160" s="1501"/>
    </row>
    <row r="161" spans="1:26" s="1502" customFormat="1" ht="34.5" customHeight="1">
      <c r="A161" s="3231">
        <v>143</v>
      </c>
      <c r="B161" s="3816"/>
      <c r="C161" s="3715" t="s">
        <v>243</v>
      </c>
      <c r="D161" s="3816"/>
      <c r="E161" s="3231" t="s">
        <v>167</v>
      </c>
      <c r="F161" s="3009"/>
      <c r="G161" s="3717"/>
      <c r="H161" s="3231">
        <f t="shared" si="13"/>
        <v>0</v>
      </c>
      <c r="I161" s="3231">
        <f>+VLOOKUP(C161,'Đội 2'!C78:H163,6,0)</f>
        <v>0</v>
      </c>
      <c r="J161" s="3816"/>
      <c r="K161" s="3231">
        <f>+VLOOKUP(C161,'Đội 2'!C78:K163,8,0)</f>
        <v>0</v>
      </c>
      <c r="L161" s="3231" t="str">
        <f>+VLOOKUP(C161,'Đội 2'!C78:L163,10,0)</f>
        <v>A</v>
      </c>
      <c r="M161" s="3231">
        <f>+VLOOKUP(C161,'Đội 2'!C78:M163,11,0)</f>
        <v>0</v>
      </c>
      <c r="N161" s="3231">
        <f>+VLOOKUP(C161,'Đội 2'!$C$18:$R$103,12,0)</f>
        <v>10</v>
      </c>
      <c r="O161" s="3231">
        <f>+VLOOKUP(C161,'Đội 2'!$C$18:$R$103,13,0)</f>
        <v>2</v>
      </c>
      <c r="P161" s="3231">
        <f t="shared" si="14"/>
        <v>12</v>
      </c>
      <c r="Q161" s="3816"/>
      <c r="R161" s="3231">
        <f>+VLOOKUP(C161,'Đội 2'!$C$18:$R$103,15,0)</f>
        <v>500000</v>
      </c>
      <c r="S161" s="3231">
        <f>+VLOOKUP(C161,'Đội 2'!$C$18:$R$103,16,0)</f>
        <v>1143186</v>
      </c>
      <c r="T161" s="3231">
        <f t="shared" si="15"/>
        <v>1143186</v>
      </c>
      <c r="U161" s="3816"/>
      <c r="V161" s="3231">
        <f t="shared" si="16"/>
        <v>1143186</v>
      </c>
      <c r="W161" s="1499"/>
      <c r="X161" s="1499"/>
      <c r="Y161" s="1500"/>
      <c r="Z161" s="1501"/>
    </row>
    <row r="162" spans="1:26" s="1502" customFormat="1" ht="34.5" customHeight="1">
      <c r="A162" s="3231">
        <v>144</v>
      </c>
      <c r="B162" s="3816"/>
      <c r="C162" s="3715" t="s">
        <v>842</v>
      </c>
      <c r="D162" s="3816"/>
      <c r="E162" s="3231" t="s">
        <v>167</v>
      </c>
      <c r="F162" s="3009"/>
      <c r="G162" s="3717"/>
      <c r="H162" s="3231">
        <f t="shared" si="13"/>
        <v>0</v>
      </c>
      <c r="I162" s="3231">
        <f>+VLOOKUP(C162,'Đội 2'!C79:H164,6,0)</f>
        <v>0</v>
      </c>
      <c r="J162" s="3816"/>
      <c r="K162" s="3231">
        <f>+VLOOKUP(C162,'Đội 2'!C79:K164,8,0)</f>
        <v>0</v>
      </c>
      <c r="L162" s="3231" t="str">
        <f>+VLOOKUP(C162,'Đội 2'!C79:L164,10,0)</f>
        <v>A</v>
      </c>
      <c r="M162" s="3231">
        <f>+VLOOKUP(C162,'Đội 2'!C79:M164,11,0)</f>
        <v>0</v>
      </c>
      <c r="N162" s="3231">
        <f>+VLOOKUP(C162,'Đội 2'!$C$18:$R$103,12,0)</f>
        <v>7</v>
      </c>
      <c r="O162" s="3231">
        <f>+VLOOKUP(C162,'Đội 2'!$C$18:$R$103,13,0)</f>
        <v>1</v>
      </c>
      <c r="P162" s="3231">
        <f t="shared" si="14"/>
        <v>8</v>
      </c>
      <c r="Q162" s="3816"/>
      <c r="R162" s="3231">
        <f>+VLOOKUP(C162,'Đội 2'!$C$18:$R$103,15,0)</f>
        <v>500000</v>
      </c>
      <c r="S162" s="3231">
        <f>+VLOOKUP(C162,'Đội 2'!$C$18:$R$103,16,0)</f>
        <v>922058</v>
      </c>
      <c r="T162" s="3231">
        <f t="shared" si="15"/>
        <v>922058</v>
      </c>
      <c r="U162" s="3816"/>
      <c r="V162" s="3231">
        <f t="shared" si="16"/>
        <v>922058</v>
      </c>
      <c r="W162" s="1499"/>
      <c r="X162" s="1499"/>
      <c r="Y162" s="1500"/>
      <c r="Z162" s="1501"/>
    </row>
    <row r="163" spans="1:26" s="1502" customFormat="1" ht="34.5" customHeight="1">
      <c r="A163" s="3231">
        <v>145</v>
      </c>
      <c r="B163" s="3816"/>
      <c r="C163" s="3715" t="s">
        <v>2279</v>
      </c>
      <c r="D163" s="3816"/>
      <c r="E163" s="3231" t="s">
        <v>167</v>
      </c>
      <c r="F163" s="3009"/>
      <c r="G163" s="3717"/>
      <c r="H163" s="3231">
        <f t="shared" si="13"/>
        <v>0</v>
      </c>
      <c r="I163" s="3231">
        <f>+VLOOKUP(C163,'Đội 2'!C80:H165,6,0)</f>
        <v>0</v>
      </c>
      <c r="J163" s="3816"/>
      <c r="K163" s="3231">
        <f>+VLOOKUP(C163,'Đội 2'!C80:K165,8,0)</f>
        <v>0</v>
      </c>
      <c r="L163" s="3231" t="str">
        <f>+VLOOKUP(C163,'Đội 2'!C80:L165,10,0)</f>
        <v>B</v>
      </c>
      <c r="M163" s="3231">
        <f>+VLOOKUP(C163,'Đội 2'!C80:M165,11,0)</f>
        <v>0</v>
      </c>
      <c r="N163" s="3231">
        <f>+VLOOKUP(C163,'Đội 2'!$C$18:$R$103,12,0)</f>
        <v>4</v>
      </c>
      <c r="O163" s="3231">
        <f>+VLOOKUP(C163,'Đội 2'!$C$18:$R$103,13,0)</f>
        <v>0</v>
      </c>
      <c r="P163" s="3231">
        <f t="shared" si="14"/>
        <v>4</v>
      </c>
      <c r="Q163" s="3816"/>
      <c r="R163" s="3231">
        <f>+VLOOKUP(C163,'Đội 2'!$C$18:$R$103,15,0)</f>
        <v>500000</v>
      </c>
      <c r="S163" s="3231">
        <f>+VLOOKUP(C163,'Đội 2'!$C$18:$R$103,16,0)</f>
        <v>700930</v>
      </c>
      <c r="T163" s="3231">
        <f t="shared" si="15"/>
        <v>700930</v>
      </c>
      <c r="U163" s="3816"/>
      <c r="V163" s="3231">
        <f t="shared" si="16"/>
        <v>700930</v>
      </c>
      <c r="W163" s="1499"/>
      <c r="X163" s="1499"/>
      <c r="Y163" s="1500"/>
      <c r="Z163" s="1501"/>
    </row>
    <row r="164" spans="1:26" s="1502" customFormat="1" ht="34.5" customHeight="1">
      <c r="A164" s="3231">
        <v>146</v>
      </c>
      <c r="B164" s="3816"/>
      <c r="C164" s="3715" t="s">
        <v>1514</v>
      </c>
      <c r="D164" s="3816"/>
      <c r="E164" s="3231" t="s">
        <v>167</v>
      </c>
      <c r="F164" s="3009"/>
      <c r="G164" s="3717"/>
      <c r="H164" s="3231">
        <f t="shared" si="13"/>
        <v>0</v>
      </c>
      <c r="I164" s="3231">
        <f>+VLOOKUP(C164,'Đội 2'!C81:H166,6,0)</f>
        <v>12</v>
      </c>
      <c r="J164" s="3816"/>
      <c r="K164" s="3231">
        <f>+VLOOKUP(C164,'Đội 2'!C81:K166,8,0)</f>
        <v>7.049903649635036</v>
      </c>
      <c r="L164" s="3231" t="str">
        <f>+VLOOKUP(C164,'Đội 2'!C81:L166,10,0)</f>
        <v>B</v>
      </c>
      <c r="M164" s="3231">
        <f>+VLOOKUP(C164,'Đội 2'!C81:M166,11,0)</f>
        <v>26423</v>
      </c>
      <c r="N164" s="3231">
        <f>+VLOOKUP(C164,'Đội 2'!$C$18:$R$103,12,0)</f>
        <v>7</v>
      </c>
      <c r="O164" s="3231">
        <f>+VLOOKUP(C164,'Đội 2'!$C$18:$R$103,13,0)</f>
        <v>1</v>
      </c>
      <c r="P164" s="3231">
        <f t="shared" si="14"/>
        <v>8</v>
      </c>
      <c r="Q164" s="3816"/>
      <c r="R164" s="3231">
        <f>+VLOOKUP(C164,'Đội 2'!$C$18:$R$103,15,0)</f>
        <v>500000</v>
      </c>
      <c r="S164" s="3231">
        <f>+VLOOKUP(C164,'Đội 2'!$C$18:$R$103,16,0)</f>
        <v>922058</v>
      </c>
      <c r="T164" s="3231">
        <f t="shared" si="15"/>
        <v>948481</v>
      </c>
      <c r="U164" s="3816"/>
      <c r="V164" s="3231">
        <f t="shared" si="16"/>
        <v>948481</v>
      </c>
      <c r="W164" s="1499"/>
      <c r="X164" s="1499"/>
      <c r="Y164" s="1500"/>
      <c r="Z164" s="1501"/>
    </row>
    <row r="165" spans="1:26" s="1502" customFormat="1" ht="34.5" customHeight="1">
      <c r="A165" s="3231">
        <v>147</v>
      </c>
      <c r="B165" s="3816"/>
      <c r="C165" s="3715" t="s">
        <v>2280</v>
      </c>
      <c r="D165" s="3816"/>
      <c r="E165" s="3231" t="s">
        <v>167</v>
      </c>
      <c r="F165" s="3009"/>
      <c r="G165" s="3717"/>
      <c r="H165" s="3231">
        <f t="shared" si="13"/>
        <v>0</v>
      </c>
      <c r="I165" s="3231">
        <f>+VLOOKUP(C165,'Đội 2'!C82:H167,6,0)</f>
        <v>0</v>
      </c>
      <c r="J165" s="3816"/>
      <c r="K165" s="3231">
        <f>+VLOOKUP(C165,'Đội 2'!C82:K167,8,0)</f>
        <v>0</v>
      </c>
      <c r="L165" s="3231" t="str">
        <f>+VLOOKUP(C165,'Đội 2'!C82:L167,10,0)</f>
        <v>A</v>
      </c>
      <c r="M165" s="3231">
        <f>+VLOOKUP(C165,'Đội 2'!C82:M167,11,0)</f>
        <v>0</v>
      </c>
      <c r="N165" s="3231">
        <f>+VLOOKUP(C165,'Đội 2'!$C$18:$R$103,12,0)</f>
        <v>10</v>
      </c>
      <c r="O165" s="3231">
        <f>+VLOOKUP(C165,'Đội 2'!$C$18:$R$103,13,0)</f>
        <v>0</v>
      </c>
      <c r="P165" s="3231">
        <f t="shared" si="14"/>
        <v>10</v>
      </c>
      <c r="Q165" s="3816"/>
      <c r="R165" s="3231">
        <f>+VLOOKUP(C165,'Đội 2'!$C$18:$R$103,15,0)</f>
        <v>500000</v>
      </c>
      <c r="S165" s="3231">
        <f>+VLOOKUP(C165,'Đội 2'!$C$18:$R$103,16,0)</f>
        <v>1002324</v>
      </c>
      <c r="T165" s="3231">
        <f t="shared" si="15"/>
        <v>1002324</v>
      </c>
      <c r="U165" s="3816"/>
      <c r="V165" s="3231">
        <f t="shared" si="16"/>
        <v>1002324</v>
      </c>
      <c r="W165" s="1499"/>
      <c r="X165" s="1499"/>
      <c r="Y165" s="1500"/>
      <c r="Z165" s="1501"/>
    </row>
    <row r="166" spans="1:26" s="1502" customFormat="1" ht="34.5" customHeight="1">
      <c r="A166" s="3231">
        <v>148</v>
      </c>
      <c r="B166" s="3816"/>
      <c r="C166" s="3715" t="s">
        <v>2281</v>
      </c>
      <c r="D166" s="3816"/>
      <c r="E166" s="3231" t="s">
        <v>167</v>
      </c>
      <c r="F166" s="3009"/>
      <c r="G166" s="3717"/>
      <c r="H166" s="3231">
        <f t="shared" ref="H166:H186" si="17">+G166*25000</f>
        <v>0</v>
      </c>
      <c r="I166" s="3231">
        <f>+VLOOKUP(C166,'Đội 2'!C83:H168,6,0)</f>
        <v>10</v>
      </c>
      <c r="J166" s="3816"/>
      <c r="K166" s="3231">
        <f>+VLOOKUP(C166,'Đội 2'!C83:K168,8,0)</f>
        <v>5.8749197080291973</v>
      </c>
      <c r="L166" s="3231" t="str">
        <f>+VLOOKUP(C166,'Đội 2'!C83:L168,10,0)</f>
        <v>A</v>
      </c>
      <c r="M166" s="3231">
        <f>+VLOOKUP(C166,'Đội 2'!C83:M168,11,0)</f>
        <v>23158</v>
      </c>
      <c r="N166" s="3231">
        <f>+VLOOKUP(C166,'Đội 2'!$C$18:$R$103,12,0)</f>
        <v>8</v>
      </c>
      <c r="O166" s="3231">
        <f>+VLOOKUP(C166,'Đội 2'!$C$18:$R$103,13,0)</f>
        <v>1</v>
      </c>
      <c r="P166" s="3231">
        <f t="shared" ref="P166:P186" si="18">+N166+O166</f>
        <v>9</v>
      </c>
      <c r="Q166" s="3816"/>
      <c r="R166" s="3231">
        <f>+VLOOKUP(C166,'Đội 2'!$C$18:$R$103,15,0)</f>
        <v>500000</v>
      </c>
      <c r="S166" s="3231">
        <f>+VLOOKUP(C166,'Đội 2'!$C$18:$R$103,16,0)</f>
        <v>972290</v>
      </c>
      <c r="T166" s="3231">
        <f t="shared" ref="T166:T186" si="19">+H166+M166+S166</f>
        <v>995448</v>
      </c>
      <c r="U166" s="3816"/>
      <c r="V166" s="3231">
        <f t="shared" ref="V166:V186" si="20">+T166-U166</f>
        <v>995448</v>
      </c>
      <c r="W166" s="1499"/>
      <c r="X166" s="1499"/>
      <c r="Y166" s="1500"/>
      <c r="Z166" s="1501"/>
    </row>
    <row r="167" spans="1:26" s="1502" customFormat="1" ht="34.5" customHeight="1">
      <c r="A167" s="3231">
        <v>149</v>
      </c>
      <c r="B167" s="3816"/>
      <c r="C167" s="3715" t="s">
        <v>2282</v>
      </c>
      <c r="D167" s="3816"/>
      <c r="E167" s="3231" t="s">
        <v>167</v>
      </c>
      <c r="F167" s="3009"/>
      <c r="G167" s="3717"/>
      <c r="H167" s="3231">
        <f t="shared" si="17"/>
        <v>0</v>
      </c>
      <c r="I167" s="3231">
        <f>+VLOOKUP(C167,'Đội 2'!C84:H169,6,0)</f>
        <v>31</v>
      </c>
      <c r="J167" s="3816"/>
      <c r="K167" s="3231">
        <f>+VLOOKUP(C167,'Đội 2'!C84:K169,8,0)</f>
        <v>18.212251094890512</v>
      </c>
      <c r="L167" s="3231" t="str">
        <f>+VLOOKUP(C167,'Đội 2'!C84:L169,10,0)</f>
        <v>A</v>
      </c>
      <c r="M167" s="3231">
        <f>+VLOOKUP(C167,'Đội 2'!C84:M169,11,0)</f>
        <v>71789</v>
      </c>
      <c r="N167" s="3231">
        <f>+VLOOKUP(C167,'Đội 2'!$C$18:$R$103,12,0)</f>
        <v>7</v>
      </c>
      <c r="O167" s="3231">
        <f>+VLOOKUP(C167,'Đội 2'!$C$18:$R$103,13,0)</f>
        <v>1</v>
      </c>
      <c r="P167" s="3231">
        <f t="shared" si="18"/>
        <v>8</v>
      </c>
      <c r="Q167" s="3816"/>
      <c r="R167" s="3231">
        <f>+VLOOKUP(C167,'Đội 2'!$C$18:$R$103,15,0)</f>
        <v>500000</v>
      </c>
      <c r="S167" s="3231">
        <f>+VLOOKUP(C167,'Đội 2'!$C$18:$R$103,16,0)</f>
        <v>922058</v>
      </c>
      <c r="T167" s="3231">
        <f t="shared" si="19"/>
        <v>993847</v>
      </c>
      <c r="U167" s="3816"/>
      <c r="V167" s="3231">
        <f t="shared" si="20"/>
        <v>993847</v>
      </c>
      <c r="W167" s="1499"/>
      <c r="X167" s="1499"/>
      <c r="Y167" s="1500"/>
      <c r="Z167" s="1501"/>
    </row>
    <row r="168" spans="1:26" s="1502" customFormat="1" ht="34.5" customHeight="1">
      <c r="A168" s="3231">
        <v>150</v>
      </c>
      <c r="B168" s="3816"/>
      <c r="C168" s="3715" t="s">
        <v>2283</v>
      </c>
      <c r="D168" s="3816"/>
      <c r="E168" s="3231" t="s">
        <v>167</v>
      </c>
      <c r="F168" s="3009"/>
      <c r="G168" s="3717"/>
      <c r="H168" s="3231">
        <f t="shared" si="17"/>
        <v>0</v>
      </c>
      <c r="I168" s="3231">
        <f>+VLOOKUP(C168,'Đội 2'!C85:H170,6,0)</f>
        <v>9</v>
      </c>
      <c r="J168" s="3816"/>
      <c r="K168" s="3231">
        <f>+VLOOKUP(C168,'Đội 2'!C85:K170,8,0)</f>
        <v>5.2874277372262775</v>
      </c>
      <c r="L168" s="3231" t="str">
        <f>+VLOOKUP(C168,'Đội 2'!C85:L170,10,0)</f>
        <v>A</v>
      </c>
      <c r="M168" s="3231">
        <f>+VLOOKUP(C168,'Đội 2'!C85:M170,11,0)</f>
        <v>20842</v>
      </c>
      <c r="N168" s="3231">
        <f>+VLOOKUP(C168,'Đội 2'!$C$18:$R$103,12,0)</f>
        <v>7</v>
      </c>
      <c r="O168" s="3231">
        <f>+VLOOKUP(C168,'Đội 2'!$C$18:$R$103,13,0)</f>
        <v>1</v>
      </c>
      <c r="P168" s="3231">
        <f t="shared" si="18"/>
        <v>8</v>
      </c>
      <c r="Q168" s="3816"/>
      <c r="R168" s="3231">
        <f>+VLOOKUP(C168,'Đội 2'!$C$18:$R$103,15,0)</f>
        <v>500000</v>
      </c>
      <c r="S168" s="3231">
        <f>+VLOOKUP(C168,'Đội 2'!$C$18:$R$103,16,0)</f>
        <v>922058</v>
      </c>
      <c r="T168" s="3231">
        <f t="shared" si="19"/>
        <v>942900</v>
      </c>
      <c r="U168" s="3816"/>
      <c r="V168" s="3231">
        <f t="shared" si="20"/>
        <v>942900</v>
      </c>
      <c r="W168" s="1499"/>
      <c r="X168" s="1499"/>
      <c r="Y168" s="1500"/>
      <c r="Z168" s="1501"/>
    </row>
    <row r="169" spans="1:26" s="1502" customFormat="1" ht="34.5" customHeight="1">
      <c r="A169" s="3231">
        <v>151</v>
      </c>
      <c r="B169" s="3816"/>
      <c r="C169" s="3715" t="s">
        <v>847</v>
      </c>
      <c r="D169" s="3816"/>
      <c r="E169" s="3231" t="s">
        <v>167</v>
      </c>
      <c r="F169" s="3009"/>
      <c r="G169" s="3717"/>
      <c r="H169" s="3231">
        <f t="shared" si="17"/>
        <v>0</v>
      </c>
      <c r="I169" s="3231">
        <f>+VLOOKUP(C169,'Đội 2'!C86:H171,6,0)</f>
        <v>15</v>
      </c>
      <c r="J169" s="3816"/>
      <c r="K169" s="3231">
        <f>+VLOOKUP(C169,'Đội 2'!C86:K171,8,0)</f>
        <v>8.8123795620437964</v>
      </c>
      <c r="L169" s="3231" t="str">
        <f>+VLOOKUP(C169,'Đội 2'!C86:L171,10,0)</f>
        <v>A</v>
      </c>
      <c r="M169" s="3231">
        <f>+VLOOKUP(C169,'Đội 2'!C86:M171,11,0)</f>
        <v>34737</v>
      </c>
      <c r="N169" s="3231">
        <f>+VLOOKUP(C169,'Đội 2'!$C$18:$R$103,12,0)</f>
        <v>9</v>
      </c>
      <c r="O169" s="3231">
        <f>+VLOOKUP(C169,'Đội 2'!$C$18:$R$103,13,0)</f>
        <v>2</v>
      </c>
      <c r="P169" s="3231">
        <f t="shared" si="18"/>
        <v>11</v>
      </c>
      <c r="Q169" s="3816"/>
      <c r="R169" s="3231">
        <f>+VLOOKUP(C169,'Đội 2'!$C$18:$R$103,15,0)</f>
        <v>500000</v>
      </c>
      <c r="S169" s="3231">
        <f>+VLOOKUP(C169,'Đội 2'!$C$18:$R$103,16,0)</f>
        <v>1092953</v>
      </c>
      <c r="T169" s="3231">
        <f t="shared" si="19"/>
        <v>1127690</v>
      </c>
      <c r="U169" s="3816"/>
      <c r="V169" s="3231">
        <f t="shared" si="20"/>
        <v>1127690</v>
      </c>
      <c r="W169" s="1499"/>
      <c r="X169" s="1499"/>
      <c r="Y169" s="1500"/>
      <c r="Z169" s="1501"/>
    </row>
    <row r="170" spans="1:26" s="1502" customFormat="1" ht="34.5" customHeight="1">
      <c r="A170" s="3231">
        <v>152</v>
      </c>
      <c r="B170" s="3816"/>
      <c r="C170" s="3715" t="s">
        <v>288</v>
      </c>
      <c r="D170" s="3816"/>
      <c r="E170" s="3231" t="s">
        <v>167</v>
      </c>
      <c r="F170" s="3009"/>
      <c r="G170" s="3717"/>
      <c r="H170" s="3231">
        <f t="shared" si="17"/>
        <v>0</v>
      </c>
      <c r="I170" s="3231">
        <f>+VLOOKUP(C170,'Đội 2'!C87:H172,6,0)</f>
        <v>5</v>
      </c>
      <c r="J170" s="3816"/>
      <c r="K170" s="3231">
        <f>+VLOOKUP(C170,'Đội 2'!C87:K172,8,0)</f>
        <v>2.9374598540145986</v>
      </c>
      <c r="L170" s="3231" t="str">
        <f>+VLOOKUP(C170,'Đội 2'!C87:L172,10,0)</f>
        <v>A</v>
      </c>
      <c r="M170" s="3231">
        <f>+VLOOKUP(C170,'Đội 2'!C87:M172,11,0)</f>
        <v>11579</v>
      </c>
      <c r="N170" s="3231">
        <f>+VLOOKUP(C170,'Đội 2'!$C$18:$R$103,12,0)</f>
        <v>8</v>
      </c>
      <c r="O170" s="3231">
        <f>+VLOOKUP(C170,'Đội 2'!$C$18:$R$103,13,0)</f>
        <v>2</v>
      </c>
      <c r="P170" s="3231">
        <f t="shared" si="18"/>
        <v>10</v>
      </c>
      <c r="Q170" s="3816"/>
      <c r="R170" s="3231">
        <f>+VLOOKUP(C170,'Đội 2'!$C$18:$R$103,15,0)</f>
        <v>500000</v>
      </c>
      <c r="S170" s="3231">
        <f>+VLOOKUP(C170,'Đội 2'!$C$18:$R$103,16,0)</f>
        <v>1042721</v>
      </c>
      <c r="T170" s="3231">
        <f t="shared" si="19"/>
        <v>1054300</v>
      </c>
      <c r="U170" s="3816"/>
      <c r="V170" s="3231">
        <f t="shared" si="20"/>
        <v>1054300</v>
      </c>
      <c r="W170" s="1499"/>
      <c r="X170" s="1499"/>
      <c r="Y170" s="1500"/>
      <c r="Z170" s="1501"/>
    </row>
    <row r="171" spans="1:26" s="1502" customFormat="1" ht="34.5" customHeight="1">
      <c r="A171" s="3231">
        <v>153</v>
      </c>
      <c r="B171" s="3816"/>
      <c r="C171" s="3715" t="s">
        <v>1206</v>
      </c>
      <c r="D171" s="3816"/>
      <c r="E171" s="3231" t="s">
        <v>167</v>
      </c>
      <c r="F171" s="3009"/>
      <c r="G171" s="3717"/>
      <c r="H171" s="3231">
        <f t="shared" si="17"/>
        <v>0</v>
      </c>
      <c r="I171" s="3231">
        <f>+VLOOKUP(C171,'Đội 2'!C88:H173,6,0)</f>
        <v>55</v>
      </c>
      <c r="J171" s="3816"/>
      <c r="K171" s="3231">
        <f>+VLOOKUP(C171,'Đội 2'!C88:K173,8,0)</f>
        <v>32.312058394160587</v>
      </c>
      <c r="L171" s="3231" t="str">
        <f>+VLOOKUP(C171,'Đội 2'!C88:L173,10,0)</f>
        <v>A</v>
      </c>
      <c r="M171" s="3231">
        <f>+VLOOKUP(C171,'Đội 2'!C88:M173,11,0)</f>
        <v>127368</v>
      </c>
      <c r="N171" s="3231">
        <f>+VLOOKUP(C171,'Đội 2'!$C$18:$R$103,12,0)</f>
        <v>9</v>
      </c>
      <c r="O171" s="3231">
        <f>+VLOOKUP(C171,'Đội 2'!$C$18:$R$103,13,0)</f>
        <v>2</v>
      </c>
      <c r="P171" s="3231">
        <f t="shared" si="18"/>
        <v>11</v>
      </c>
      <c r="Q171" s="3816"/>
      <c r="R171" s="3231">
        <f>+VLOOKUP(C171,'Đội 2'!$C$18:$R$103,15,0)</f>
        <v>500000</v>
      </c>
      <c r="S171" s="3231">
        <f>+VLOOKUP(C171,'Đội 2'!$C$18:$R$103,16,0)</f>
        <v>1092953</v>
      </c>
      <c r="T171" s="3231">
        <f t="shared" si="19"/>
        <v>1220321</v>
      </c>
      <c r="U171" s="3816"/>
      <c r="V171" s="3231">
        <f t="shared" si="20"/>
        <v>1220321</v>
      </c>
      <c r="W171" s="1499"/>
      <c r="X171" s="1499"/>
      <c r="Y171" s="1500"/>
      <c r="Z171" s="1501"/>
    </row>
    <row r="172" spans="1:26" s="1502" customFormat="1" ht="34.5" customHeight="1">
      <c r="A172" s="3231">
        <v>154</v>
      </c>
      <c r="B172" s="3816"/>
      <c r="C172" s="3715" t="s">
        <v>2284</v>
      </c>
      <c r="D172" s="3816"/>
      <c r="E172" s="3231" t="s">
        <v>167</v>
      </c>
      <c r="F172" s="3009"/>
      <c r="G172" s="3717"/>
      <c r="H172" s="3231">
        <f t="shared" si="17"/>
        <v>0</v>
      </c>
      <c r="I172" s="3231">
        <f>+VLOOKUP(C172,'Đội 2'!C89:H174,6,0)</f>
        <v>36</v>
      </c>
      <c r="J172" s="3816"/>
      <c r="K172" s="3231">
        <f>+VLOOKUP(C172,'Đội 2'!C89:K174,8,0)</f>
        <v>21.14971094890511</v>
      </c>
      <c r="L172" s="3231" t="str">
        <f>+VLOOKUP(C172,'Đội 2'!C89:L174,10,0)</f>
        <v>A</v>
      </c>
      <c r="M172" s="3231">
        <f>+VLOOKUP(C172,'Đội 2'!C89:M174,11,0)</f>
        <v>83368</v>
      </c>
      <c r="N172" s="3231">
        <f>+VLOOKUP(C172,'Đội 2'!$C$18:$R$103,12,0)</f>
        <v>9</v>
      </c>
      <c r="O172" s="3231">
        <f>+VLOOKUP(C172,'Đội 2'!$C$18:$R$103,13,0)</f>
        <v>1</v>
      </c>
      <c r="P172" s="3231">
        <f t="shared" si="18"/>
        <v>10</v>
      </c>
      <c r="Q172" s="3816"/>
      <c r="R172" s="3231">
        <f>+VLOOKUP(C172,'Đội 2'!$C$18:$R$103,15,0)</f>
        <v>500000</v>
      </c>
      <c r="S172" s="3231">
        <f>+VLOOKUP(C172,'Đội 2'!$C$18:$R$103,16,0)</f>
        <v>1022522</v>
      </c>
      <c r="T172" s="3231">
        <f t="shared" si="19"/>
        <v>1105890</v>
      </c>
      <c r="U172" s="3816"/>
      <c r="V172" s="3231">
        <f t="shared" si="20"/>
        <v>1105890</v>
      </c>
      <c r="W172" s="1499"/>
      <c r="X172" s="1499"/>
      <c r="Y172" s="1500"/>
      <c r="Z172" s="1501"/>
    </row>
    <row r="173" spans="1:26" s="1502" customFormat="1" ht="34.5" customHeight="1">
      <c r="A173" s="3231">
        <v>155</v>
      </c>
      <c r="B173" s="3816"/>
      <c r="C173" s="3715" t="s">
        <v>2285</v>
      </c>
      <c r="D173" s="3816"/>
      <c r="E173" s="3231" t="s">
        <v>167</v>
      </c>
      <c r="F173" s="3009"/>
      <c r="G173" s="3717"/>
      <c r="H173" s="3231">
        <f t="shared" si="17"/>
        <v>0</v>
      </c>
      <c r="I173" s="3231">
        <f>+VLOOKUP(C173,'Đội 2'!C90:H175,6,0)</f>
        <v>98</v>
      </c>
      <c r="J173" s="3816"/>
      <c r="K173" s="3231">
        <f>+VLOOKUP(C173,'Đội 2'!C90:K175,8,0)</f>
        <v>57.574213138686133</v>
      </c>
      <c r="L173" s="3231" t="str">
        <f>+VLOOKUP(C173,'Đội 2'!C90:L175,10,0)</f>
        <v>A</v>
      </c>
      <c r="M173" s="3231">
        <f>+VLOOKUP(C173,'Đội 2'!C90:M175,11,0)</f>
        <v>226947</v>
      </c>
      <c r="N173" s="3231">
        <f>+VLOOKUP(C173,'Đội 2'!$C$18:$R$103,12,0)</f>
        <v>9</v>
      </c>
      <c r="O173" s="3231">
        <f>+VLOOKUP(C173,'Đội 2'!$C$18:$R$103,13,0)</f>
        <v>2</v>
      </c>
      <c r="P173" s="3231">
        <f t="shared" si="18"/>
        <v>11</v>
      </c>
      <c r="Q173" s="3816"/>
      <c r="R173" s="3231">
        <f>+VLOOKUP(C173,'Đội 2'!$C$18:$R$103,15,0)</f>
        <v>500000</v>
      </c>
      <c r="S173" s="3231">
        <f>+VLOOKUP(C173,'Đội 2'!$C$18:$R$103,16,0)</f>
        <v>1092953</v>
      </c>
      <c r="T173" s="3231">
        <f t="shared" si="19"/>
        <v>1319900</v>
      </c>
      <c r="U173" s="3816"/>
      <c r="V173" s="3231">
        <f t="shared" si="20"/>
        <v>1319900</v>
      </c>
      <c r="W173" s="1499"/>
      <c r="X173" s="1499"/>
      <c r="Y173" s="1500"/>
      <c r="Z173" s="1501"/>
    </row>
    <row r="174" spans="1:26" s="1502" customFormat="1" ht="34.5" customHeight="1">
      <c r="A174" s="3231">
        <v>156</v>
      </c>
      <c r="B174" s="3816"/>
      <c r="C174" s="3715" t="s">
        <v>2286</v>
      </c>
      <c r="D174" s="3816"/>
      <c r="E174" s="3231" t="s">
        <v>167</v>
      </c>
      <c r="F174" s="3009"/>
      <c r="G174" s="3717"/>
      <c r="H174" s="3231">
        <f t="shared" si="17"/>
        <v>0</v>
      </c>
      <c r="I174" s="3231">
        <f>+VLOOKUP(C174,'Đội 2'!C91:H176,6,0)</f>
        <v>117</v>
      </c>
      <c r="J174" s="3816"/>
      <c r="K174" s="3231">
        <f>+VLOOKUP(C174,'Đội 2'!C91:K176,8,0)</f>
        <v>68.736560583941611</v>
      </c>
      <c r="L174" s="3231" t="str">
        <f>+VLOOKUP(C174,'Đội 2'!C91:L176,10,0)</f>
        <v>A</v>
      </c>
      <c r="M174" s="3231">
        <f>+VLOOKUP(C174,'Đội 2'!C91:M176,11,0)</f>
        <v>270947</v>
      </c>
      <c r="N174" s="3231">
        <f>+VLOOKUP(C174,'Đội 2'!$C$18:$R$103,12,0)</f>
        <v>9</v>
      </c>
      <c r="O174" s="3231">
        <f>+VLOOKUP(C174,'Đội 2'!$C$18:$R$103,13,0)</f>
        <v>2</v>
      </c>
      <c r="P174" s="3231">
        <f t="shared" si="18"/>
        <v>11</v>
      </c>
      <c r="Q174" s="3816"/>
      <c r="R174" s="3231">
        <f>+VLOOKUP(C174,'Đội 2'!$C$18:$R$103,15,0)</f>
        <v>500000</v>
      </c>
      <c r="S174" s="3231">
        <f>+VLOOKUP(C174,'Đội 2'!$C$18:$R$103,16,0)</f>
        <v>1092953</v>
      </c>
      <c r="T174" s="3231">
        <f t="shared" si="19"/>
        <v>1363900</v>
      </c>
      <c r="U174" s="3816"/>
      <c r="V174" s="3231">
        <f t="shared" si="20"/>
        <v>1363900</v>
      </c>
      <c r="W174" s="1499"/>
      <c r="X174" s="1499"/>
      <c r="Y174" s="1500"/>
      <c r="Z174" s="1501"/>
    </row>
    <row r="175" spans="1:26" s="1502" customFormat="1" ht="34.5" customHeight="1">
      <c r="A175" s="3231">
        <v>157</v>
      </c>
      <c r="B175" s="3816"/>
      <c r="C175" s="3715" t="s">
        <v>2287</v>
      </c>
      <c r="D175" s="3816"/>
      <c r="E175" s="3231" t="s">
        <v>167</v>
      </c>
      <c r="F175" s="3009"/>
      <c r="G175" s="3717"/>
      <c r="H175" s="3231">
        <f t="shared" si="17"/>
        <v>0</v>
      </c>
      <c r="I175" s="3231">
        <f>+VLOOKUP(C175,'Đội 2'!C92:H177,6,0)</f>
        <v>51</v>
      </c>
      <c r="J175" s="3816"/>
      <c r="K175" s="3231">
        <f>+VLOOKUP(C175,'Đội 2'!C92:K177,8,0)</f>
        <v>29.962090510948904</v>
      </c>
      <c r="L175" s="3231" t="str">
        <f>+VLOOKUP(C175,'Đội 2'!C92:L177,10,0)</f>
        <v>A</v>
      </c>
      <c r="M175" s="3231">
        <f>+VLOOKUP(C175,'Đội 2'!C92:M177,11,0)</f>
        <v>118105</v>
      </c>
      <c r="N175" s="3231">
        <f>+VLOOKUP(C175,'Đội 2'!$C$18:$R$103,12,0)</f>
        <v>10</v>
      </c>
      <c r="O175" s="3231">
        <f>+VLOOKUP(C175,'Đội 2'!$C$18:$R$103,13,0)</f>
        <v>1</v>
      </c>
      <c r="P175" s="3231">
        <f t="shared" si="18"/>
        <v>11</v>
      </c>
      <c r="Q175" s="3816"/>
      <c r="R175" s="3231">
        <f>+VLOOKUP(C175,'Đội 2'!$C$18:$R$103,15,0)</f>
        <v>500000</v>
      </c>
      <c r="S175" s="3231">
        <f>+VLOOKUP(C175,'Đội 2'!$C$18:$R$103,16,0)</f>
        <v>1072755.18</v>
      </c>
      <c r="T175" s="3231">
        <f t="shared" si="19"/>
        <v>1190860.18</v>
      </c>
      <c r="U175" s="3816"/>
      <c r="V175" s="3231">
        <f t="shared" si="20"/>
        <v>1190860.18</v>
      </c>
      <c r="W175" s="1499"/>
      <c r="X175" s="1499"/>
      <c r="Y175" s="1500"/>
      <c r="Z175" s="1501"/>
    </row>
    <row r="176" spans="1:26" s="1502" customFormat="1" ht="34.5" customHeight="1">
      <c r="A176" s="3231">
        <v>158</v>
      </c>
      <c r="B176" s="3816"/>
      <c r="C176" s="3715" t="s">
        <v>1207</v>
      </c>
      <c r="D176" s="3816"/>
      <c r="E176" s="3231" t="s">
        <v>167</v>
      </c>
      <c r="F176" s="3009"/>
      <c r="G176" s="3717"/>
      <c r="H176" s="3231">
        <f t="shared" si="17"/>
        <v>0</v>
      </c>
      <c r="I176" s="3231">
        <f>+VLOOKUP(C176,'Đội 2'!C93:H178,6,0)</f>
        <v>2</v>
      </c>
      <c r="J176" s="3816"/>
      <c r="K176" s="3231">
        <f>+VLOOKUP(C176,'Đội 2'!C93:K178,8,0)</f>
        <v>1.1749839416058394</v>
      </c>
      <c r="L176" s="3231" t="str">
        <f>+VLOOKUP(C176,'Đội 2'!C93:L178,10,0)</f>
        <v>A</v>
      </c>
      <c r="M176" s="3231">
        <f>+VLOOKUP(C176,'Đội 2'!C93:M178,11,0)</f>
        <v>4632</v>
      </c>
      <c r="N176" s="3231">
        <f>+VLOOKUP(C176,'Đội 2'!$C$18:$R$103,12,0)</f>
        <v>8</v>
      </c>
      <c r="O176" s="3231">
        <f>+VLOOKUP(C176,'Đội 2'!$C$18:$R$103,13,0)</f>
        <v>1</v>
      </c>
      <c r="P176" s="3231">
        <f t="shared" si="18"/>
        <v>9</v>
      </c>
      <c r="Q176" s="3816"/>
      <c r="R176" s="3231">
        <f>+VLOOKUP(C176,'Đội 2'!$C$18:$R$103,15,0)</f>
        <v>500000</v>
      </c>
      <c r="S176" s="3231">
        <f>+VLOOKUP(C176,'Đội 2'!$C$18:$R$103,16,0)</f>
        <v>972290.06</v>
      </c>
      <c r="T176" s="3231">
        <f t="shared" si="19"/>
        <v>976922.06</v>
      </c>
      <c r="U176" s="3816"/>
      <c r="V176" s="3231">
        <f t="shared" si="20"/>
        <v>976922.06</v>
      </c>
      <c r="W176" s="1499"/>
      <c r="X176" s="1499"/>
      <c r="Y176" s="1500"/>
      <c r="Z176" s="1501"/>
    </row>
    <row r="177" spans="1:26" s="1502" customFormat="1" ht="34.5" customHeight="1">
      <c r="A177" s="3231">
        <v>159</v>
      </c>
      <c r="B177" s="3816"/>
      <c r="C177" s="3715" t="s">
        <v>2288</v>
      </c>
      <c r="D177" s="3816"/>
      <c r="E177" s="3231" t="s">
        <v>167</v>
      </c>
      <c r="F177" s="3009"/>
      <c r="G177" s="3717"/>
      <c r="H177" s="3231">
        <f t="shared" si="17"/>
        <v>0</v>
      </c>
      <c r="I177" s="3231">
        <f>+VLOOKUP(C177,'Đội 2'!C94:H179,6,0)</f>
        <v>18</v>
      </c>
      <c r="J177" s="3816"/>
      <c r="K177" s="3231">
        <f>+VLOOKUP(C177,'Đội 2'!C94:K179,8,0)</f>
        <v>10.574855474452555</v>
      </c>
      <c r="L177" s="3231" t="str">
        <f>+VLOOKUP(C177,'Đội 2'!C94:L179,10,0)</f>
        <v>B</v>
      </c>
      <c r="M177" s="3231">
        <f>+VLOOKUP(C177,'Đội 2'!C94:M179,11,0)</f>
        <v>39634</v>
      </c>
      <c r="N177" s="3231">
        <f>+VLOOKUP(C177,'Đội 2'!$C$18:$R$103,12,0)</f>
        <v>6</v>
      </c>
      <c r="O177" s="3231">
        <f>+VLOOKUP(C177,'Đội 2'!$C$18:$R$103,13,0)</f>
        <v>1</v>
      </c>
      <c r="P177" s="3231">
        <f t="shared" si="18"/>
        <v>7</v>
      </c>
      <c r="Q177" s="3816"/>
      <c r="R177" s="3231">
        <f>+VLOOKUP(C177,'Đội 2'!$C$18:$R$103,15,0)</f>
        <v>500000</v>
      </c>
      <c r="S177" s="3231">
        <f>+VLOOKUP(C177,'Đội 2'!$C$18:$R$103,16,0)</f>
        <v>871825.3</v>
      </c>
      <c r="T177" s="3231">
        <f t="shared" si="19"/>
        <v>911459.3</v>
      </c>
      <c r="U177" s="3816"/>
      <c r="V177" s="3231">
        <f t="shared" si="20"/>
        <v>911459.3</v>
      </c>
      <c r="W177" s="1499"/>
      <c r="X177" s="1499"/>
      <c r="Y177" s="1500"/>
      <c r="Z177" s="1501"/>
    </row>
    <row r="178" spans="1:26" s="1502" customFormat="1" ht="34.5" customHeight="1">
      <c r="A178" s="3231">
        <v>160</v>
      </c>
      <c r="B178" s="3816"/>
      <c r="C178" s="3715" t="s">
        <v>1511</v>
      </c>
      <c r="D178" s="3816"/>
      <c r="E178" s="3231" t="s">
        <v>167</v>
      </c>
      <c r="F178" s="3009"/>
      <c r="G178" s="3717"/>
      <c r="H178" s="3231">
        <f t="shared" si="17"/>
        <v>0</v>
      </c>
      <c r="I178" s="3231">
        <f>+VLOOKUP(C178,'Đội 2'!C95:H180,6,0)</f>
        <v>100</v>
      </c>
      <c r="J178" s="3816"/>
      <c r="K178" s="3231">
        <f>+VLOOKUP(C178,'Đội 2'!C95:K180,8,0)</f>
        <v>58.749197080291971</v>
      </c>
      <c r="L178" s="3231" t="str">
        <f>+VLOOKUP(C178,'Đội 2'!C95:L180,10,0)</f>
        <v>A</v>
      </c>
      <c r="M178" s="3231">
        <f>+VLOOKUP(C178,'Đội 2'!C95:M180,11,0)</f>
        <v>231579</v>
      </c>
      <c r="N178" s="3231">
        <f>+VLOOKUP(C178,'Đội 2'!$C$18:$R$103,12,0)</f>
        <v>10</v>
      </c>
      <c r="O178" s="3231">
        <f>+VLOOKUP(C178,'Đội 2'!$C$18:$R$103,13,0)</f>
        <v>1</v>
      </c>
      <c r="P178" s="3231">
        <f t="shared" si="18"/>
        <v>11</v>
      </c>
      <c r="Q178" s="3816"/>
      <c r="R178" s="3231">
        <f>+VLOOKUP(C178,'Đội 2'!$C$18:$R$103,15,0)</f>
        <v>500000</v>
      </c>
      <c r="S178" s="3231">
        <f>+VLOOKUP(C178,'Đội 2'!$C$18:$R$103,16,0)</f>
        <v>1072754.82</v>
      </c>
      <c r="T178" s="3231">
        <f t="shared" si="19"/>
        <v>1304333.82</v>
      </c>
      <c r="U178" s="3816"/>
      <c r="V178" s="3231">
        <f t="shared" si="20"/>
        <v>1304333.82</v>
      </c>
      <c r="W178" s="1499"/>
      <c r="X178" s="1499"/>
      <c r="Y178" s="1500"/>
      <c r="Z178" s="1501"/>
    </row>
    <row r="179" spans="1:26" s="1502" customFormat="1" ht="34.5" customHeight="1">
      <c r="A179" s="3231">
        <v>161</v>
      </c>
      <c r="B179" s="3816"/>
      <c r="C179" s="3715" t="s">
        <v>1513</v>
      </c>
      <c r="D179" s="3816"/>
      <c r="E179" s="3231" t="s">
        <v>167</v>
      </c>
      <c r="F179" s="3009"/>
      <c r="G179" s="3717"/>
      <c r="H179" s="3231">
        <f t="shared" si="17"/>
        <v>0</v>
      </c>
      <c r="I179" s="3231">
        <f>+VLOOKUP(C179,'Đội 2'!C96:H181,6,0)</f>
        <v>64</v>
      </c>
      <c r="J179" s="3816"/>
      <c r="K179" s="3231">
        <f>+VLOOKUP(C179,'Đội 2'!C96:K181,8,0)</f>
        <v>37.599486131386861</v>
      </c>
      <c r="L179" s="3231" t="str">
        <f>+VLOOKUP(C179,'Đội 2'!C96:L181,10,0)</f>
        <v>A</v>
      </c>
      <c r="M179" s="3231">
        <f>+VLOOKUP(C179,'Đội 2'!C96:M181,11,0)</f>
        <v>148210</v>
      </c>
      <c r="N179" s="3231">
        <f>+VLOOKUP(C179,'Đội 2'!$C$18:$R$103,12,0)</f>
        <v>8</v>
      </c>
      <c r="O179" s="3231">
        <f>+VLOOKUP(C179,'Đội 2'!$C$18:$R$103,13,0)</f>
        <v>2</v>
      </c>
      <c r="P179" s="3231">
        <f t="shared" si="18"/>
        <v>10</v>
      </c>
      <c r="Q179" s="3816"/>
      <c r="R179" s="3231">
        <f>+VLOOKUP(C179,'Đội 2'!$C$18:$R$103,15,0)</f>
        <v>500000</v>
      </c>
      <c r="S179" s="3231">
        <f>+VLOOKUP(C179,'Đội 2'!$C$18:$R$103,16,0)</f>
        <v>1042721.08</v>
      </c>
      <c r="T179" s="3231">
        <f t="shared" si="19"/>
        <v>1190931.08</v>
      </c>
      <c r="U179" s="3816"/>
      <c r="V179" s="3231">
        <f t="shared" si="20"/>
        <v>1190931.08</v>
      </c>
      <c r="W179" s="1499"/>
      <c r="X179" s="1499"/>
      <c r="Y179" s="1500"/>
      <c r="Z179" s="1501"/>
    </row>
    <row r="180" spans="1:26" s="1502" customFormat="1" ht="34.5" customHeight="1">
      <c r="A180" s="3231">
        <v>162</v>
      </c>
      <c r="B180" s="3816"/>
      <c r="C180" s="3715" t="s">
        <v>1268</v>
      </c>
      <c r="D180" s="3816"/>
      <c r="E180" s="3231" t="s">
        <v>167</v>
      </c>
      <c r="F180" s="3009"/>
      <c r="G180" s="3717"/>
      <c r="H180" s="3231">
        <f t="shared" si="17"/>
        <v>0</v>
      </c>
      <c r="I180" s="3231">
        <f>+VLOOKUP(C180,'Đội 2'!C97:H182,6,0)</f>
        <v>0</v>
      </c>
      <c r="J180" s="3816"/>
      <c r="K180" s="3231">
        <f>+VLOOKUP(C180,'Đội 2'!C97:K182,8,0)</f>
        <v>0</v>
      </c>
      <c r="L180" s="3231" t="str">
        <f>+VLOOKUP(C180,'Đội 2'!C97:L182,10,0)</f>
        <v>A</v>
      </c>
      <c r="M180" s="3231">
        <f>+VLOOKUP(C180,'Đội 2'!C97:M182,11,0)</f>
        <v>0</v>
      </c>
      <c r="N180" s="3231">
        <f>+VLOOKUP(C180,'Đội 2'!$C$18:$R$103,12,0)</f>
        <v>10</v>
      </c>
      <c r="O180" s="3231">
        <f>+VLOOKUP(C180,'Đội 2'!$C$18:$R$103,13,0)</f>
        <v>0</v>
      </c>
      <c r="P180" s="3231">
        <f t="shared" si="18"/>
        <v>10</v>
      </c>
      <c r="Q180" s="3816"/>
      <c r="R180" s="3231">
        <f>+VLOOKUP(C180,'Đội 2'!$C$18:$R$103,15,0)</f>
        <v>500000</v>
      </c>
      <c r="S180" s="3231">
        <f>+VLOOKUP(C180,'Đội 2'!$C$18:$R$103,16,0)</f>
        <v>1002323.8</v>
      </c>
      <c r="T180" s="3231">
        <f t="shared" si="19"/>
        <v>1002323.8</v>
      </c>
      <c r="U180" s="3816"/>
      <c r="V180" s="3231">
        <f t="shared" si="20"/>
        <v>1002323.8</v>
      </c>
      <c r="W180" s="1499"/>
      <c r="X180" s="1499"/>
      <c r="Y180" s="1500"/>
      <c r="Z180" s="1501"/>
    </row>
    <row r="181" spans="1:26" s="1502" customFormat="1" ht="34.5" customHeight="1">
      <c r="A181" s="3231">
        <v>163</v>
      </c>
      <c r="B181" s="3816"/>
      <c r="C181" s="3715" t="s">
        <v>2289</v>
      </c>
      <c r="D181" s="3816"/>
      <c r="E181" s="3231" t="s">
        <v>167</v>
      </c>
      <c r="F181" s="3009"/>
      <c r="G181" s="3717"/>
      <c r="H181" s="3231">
        <f t="shared" si="17"/>
        <v>0</v>
      </c>
      <c r="I181" s="3231">
        <f>+VLOOKUP(C181,'Đội 2'!C98:H183,6,0)</f>
        <v>34</v>
      </c>
      <c r="J181" s="3816"/>
      <c r="K181" s="3231">
        <f>+VLOOKUP(C181,'Đội 2'!C98:K183,8,0)</f>
        <v>19.974727007299268</v>
      </c>
      <c r="L181" s="3231" t="str">
        <f>+VLOOKUP(C181,'Đội 2'!C98:L183,10,0)</f>
        <v>A</v>
      </c>
      <c r="M181" s="3231">
        <f>+VLOOKUP(C181,'Đội 2'!C98:M183,11,0)</f>
        <v>78737</v>
      </c>
      <c r="N181" s="3231">
        <f>+VLOOKUP(C181,'Đội 2'!$C$18:$R$103,12,0)</f>
        <v>9</v>
      </c>
      <c r="O181" s="3231">
        <f>+VLOOKUP(C181,'Đội 2'!$C$18:$R$103,13,0)</f>
        <v>2</v>
      </c>
      <c r="P181" s="3231">
        <f t="shared" si="18"/>
        <v>11</v>
      </c>
      <c r="Q181" s="3816"/>
      <c r="R181" s="3231">
        <f>+VLOOKUP(C181,'Đội 2'!$C$18:$R$103,15,0)</f>
        <v>500000</v>
      </c>
      <c r="S181" s="3231">
        <f>+VLOOKUP(C181,'Đội 2'!$C$18:$R$103,16,0)</f>
        <v>1092953.46</v>
      </c>
      <c r="T181" s="3231">
        <f t="shared" si="19"/>
        <v>1171690.46</v>
      </c>
      <c r="U181" s="3816"/>
      <c r="V181" s="3231">
        <f t="shared" si="20"/>
        <v>1171690.46</v>
      </c>
      <c r="W181" s="1499"/>
      <c r="X181" s="1499"/>
      <c r="Y181" s="1500"/>
      <c r="Z181" s="1501"/>
    </row>
    <row r="182" spans="1:26" s="1502" customFormat="1" ht="34.5" customHeight="1">
      <c r="A182" s="3231">
        <v>164</v>
      </c>
      <c r="B182" s="3816"/>
      <c r="C182" s="3715" t="s">
        <v>2290</v>
      </c>
      <c r="D182" s="3816"/>
      <c r="E182" s="3231" t="s">
        <v>167</v>
      </c>
      <c r="F182" s="3009"/>
      <c r="G182" s="3717"/>
      <c r="H182" s="3231">
        <f t="shared" si="17"/>
        <v>0</v>
      </c>
      <c r="I182" s="3231">
        <f>+VLOOKUP(C182,'Đội 2'!C99:H184,6,0)</f>
        <v>0</v>
      </c>
      <c r="J182" s="3816"/>
      <c r="K182" s="3231">
        <f>+VLOOKUP(C182,'Đội 2'!C99:K184,8,0)</f>
        <v>0</v>
      </c>
      <c r="L182" s="3231" t="str">
        <f>+VLOOKUP(C182,'Đội 2'!C99:L184,10,0)</f>
        <v>B</v>
      </c>
      <c r="M182" s="3231">
        <f>+VLOOKUP(C182,'Đội 2'!C99:M184,11,0)</f>
        <v>0</v>
      </c>
      <c r="N182" s="3231">
        <f>+VLOOKUP(C182,'Đội 2'!$C$18:$R$103,12,0)</f>
        <v>7</v>
      </c>
      <c r="O182" s="3231">
        <f>+VLOOKUP(C182,'Đội 2'!$C$18:$R$103,13,0)</f>
        <v>1</v>
      </c>
      <c r="P182" s="3231">
        <f t="shared" si="18"/>
        <v>8</v>
      </c>
      <c r="Q182" s="3816"/>
      <c r="R182" s="3231">
        <f>+VLOOKUP(C182,'Đội 2'!$C$18:$R$103,15,0)</f>
        <v>500000</v>
      </c>
      <c r="S182" s="3231">
        <f>+VLOOKUP(C182,'Đội 2'!$C$18:$R$103,16,0)</f>
        <v>922057.68</v>
      </c>
      <c r="T182" s="3231">
        <f t="shared" si="19"/>
        <v>922057.68</v>
      </c>
      <c r="U182" s="3816"/>
      <c r="V182" s="3231">
        <f t="shared" si="20"/>
        <v>922057.68</v>
      </c>
      <c r="W182" s="1499"/>
      <c r="X182" s="1499"/>
      <c r="Y182" s="1500"/>
      <c r="Z182" s="1501"/>
    </row>
    <row r="183" spans="1:26" s="1502" customFormat="1" ht="34.5" customHeight="1">
      <c r="A183" s="3231">
        <v>165</v>
      </c>
      <c r="B183" s="3816"/>
      <c r="C183" s="3715" t="s">
        <v>2291</v>
      </c>
      <c r="D183" s="3816"/>
      <c r="E183" s="3231" t="s">
        <v>167</v>
      </c>
      <c r="F183" s="3009"/>
      <c r="G183" s="3717"/>
      <c r="H183" s="3231">
        <f t="shared" si="17"/>
        <v>0</v>
      </c>
      <c r="I183" s="3231">
        <f>+VLOOKUP(C183,'Đội 2'!C100:H185,6,0)</f>
        <v>110</v>
      </c>
      <c r="J183" s="3816"/>
      <c r="K183" s="3231">
        <f>+VLOOKUP(C183,'Đội 2'!C100:K185,8,0)</f>
        <v>64.624116788321174</v>
      </c>
      <c r="L183" s="3231" t="str">
        <f>+VLOOKUP(C183,'Đội 2'!C100:L185,10,0)</f>
        <v>A</v>
      </c>
      <c r="M183" s="3231">
        <f>+VLOOKUP(C183,'Đội 2'!C100:M185,11,0)</f>
        <v>254737</v>
      </c>
      <c r="N183" s="3231">
        <f>+VLOOKUP(C183,'Đội 2'!$C$18:$R$103,12,0)</f>
        <v>10</v>
      </c>
      <c r="O183" s="3231">
        <f>+VLOOKUP(C183,'Đội 2'!$C$18:$R$103,13,0)</f>
        <v>1</v>
      </c>
      <c r="P183" s="3231">
        <f t="shared" si="18"/>
        <v>11</v>
      </c>
      <c r="Q183" s="3816"/>
      <c r="R183" s="3231">
        <f>+VLOOKUP(C183,'Đội 2'!$C$18:$R$103,15,0)</f>
        <v>500000</v>
      </c>
      <c r="S183" s="3231">
        <f>+VLOOKUP(C183,'Đội 2'!$C$18:$R$103,16,0)</f>
        <v>1072754.82</v>
      </c>
      <c r="T183" s="3231">
        <f t="shared" si="19"/>
        <v>1327491.82</v>
      </c>
      <c r="U183" s="3816"/>
      <c r="V183" s="3231">
        <f t="shared" si="20"/>
        <v>1327491.82</v>
      </c>
      <c r="W183" s="1499"/>
      <c r="X183" s="1499"/>
      <c r="Y183" s="1500"/>
      <c r="Z183" s="1501"/>
    </row>
    <row r="184" spans="1:26" s="1502" customFormat="1" ht="34.5" customHeight="1">
      <c r="A184" s="3231">
        <v>166</v>
      </c>
      <c r="B184" s="3816"/>
      <c r="C184" s="3715" t="s">
        <v>2292</v>
      </c>
      <c r="D184" s="3816"/>
      <c r="E184" s="3231" t="s">
        <v>167</v>
      </c>
      <c r="F184" s="3009"/>
      <c r="G184" s="3717"/>
      <c r="H184" s="3231">
        <f t="shared" si="17"/>
        <v>0</v>
      </c>
      <c r="I184" s="3231">
        <f>+VLOOKUP(C184,'Đội 2'!C101:H186,6,0)</f>
        <v>9</v>
      </c>
      <c r="J184" s="3816"/>
      <c r="K184" s="3231">
        <f>+VLOOKUP(C184,'Đội 2'!C101:K186,8,0)</f>
        <v>5.2874277372262775</v>
      </c>
      <c r="L184" s="3231" t="str">
        <f>+VLOOKUP(C184,'Đội 2'!C101:L186,10,0)</f>
        <v>A</v>
      </c>
      <c r="M184" s="3231">
        <f>+VLOOKUP(C184,'Đội 2'!C101:M186,11,0)</f>
        <v>20842</v>
      </c>
      <c r="N184" s="3231">
        <f>+VLOOKUP(C184,'Đội 2'!$C$18:$R$103,12,0)</f>
        <v>9</v>
      </c>
      <c r="O184" s="3231">
        <f>+VLOOKUP(C184,'Đội 2'!$C$18:$R$103,13,0)</f>
        <v>2</v>
      </c>
      <c r="P184" s="3231">
        <f t="shared" si="18"/>
        <v>11</v>
      </c>
      <c r="Q184" s="3816"/>
      <c r="R184" s="3231">
        <f>+VLOOKUP(C184,'Đội 2'!$C$18:$R$103,15,0)</f>
        <v>500000</v>
      </c>
      <c r="S184" s="3231">
        <f>+VLOOKUP(C184,'Đội 2'!$C$18:$R$103,16,0)</f>
        <v>1092953.46</v>
      </c>
      <c r="T184" s="3231">
        <f t="shared" si="19"/>
        <v>1113795.46</v>
      </c>
      <c r="U184" s="3816"/>
      <c r="V184" s="3231">
        <f t="shared" si="20"/>
        <v>1113795.46</v>
      </c>
      <c r="W184" s="1499"/>
      <c r="X184" s="1499"/>
      <c r="Y184" s="1500"/>
      <c r="Z184" s="1501"/>
    </row>
    <row r="185" spans="1:26" s="1502" customFormat="1" ht="34.5" customHeight="1">
      <c r="A185" s="3231">
        <v>167</v>
      </c>
      <c r="B185" s="3816"/>
      <c r="C185" s="3715" t="s">
        <v>2293</v>
      </c>
      <c r="D185" s="3816"/>
      <c r="E185" s="3231" t="s">
        <v>167</v>
      </c>
      <c r="F185" s="3009"/>
      <c r="G185" s="3717"/>
      <c r="H185" s="3231">
        <f t="shared" si="17"/>
        <v>0</v>
      </c>
      <c r="I185" s="3231">
        <f>+VLOOKUP(C185,'Đội 2'!C102:H187,6,0)</f>
        <v>92</v>
      </c>
      <c r="J185" s="3816"/>
      <c r="K185" s="3231">
        <f>+VLOOKUP(C185,'Đội 2'!C102:K187,8,0)</f>
        <v>54.049261313868612</v>
      </c>
      <c r="L185" s="3231" t="str">
        <f>+VLOOKUP(C185,'Đội 2'!C102:L187,10,0)</f>
        <v>A</v>
      </c>
      <c r="M185" s="3231">
        <f>+VLOOKUP(C185,'Đội 2'!C102:M187,11,0)</f>
        <v>213052</v>
      </c>
      <c r="N185" s="3231">
        <f>+VLOOKUP(C185,'Đội 2'!$C$18:$R$103,12,0)</f>
        <v>10</v>
      </c>
      <c r="O185" s="3231">
        <f>+VLOOKUP(C185,'Đội 2'!$C$18:$R$103,13,0)</f>
        <v>2</v>
      </c>
      <c r="P185" s="3231">
        <f t="shared" si="18"/>
        <v>12</v>
      </c>
      <c r="Q185" s="3816"/>
      <c r="R185" s="3231">
        <f>+VLOOKUP(C185,'Đội 2'!$C$18:$R$103,15,0)</f>
        <v>500000</v>
      </c>
      <c r="S185" s="3231">
        <f>+VLOOKUP(C185,'Đội 2'!$C$18:$R$103,16,0)</f>
        <v>1143185.8400000001</v>
      </c>
      <c r="T185" s="3231">
        <f t="shared" si="19"/>
        <v>1356237.84</v>
      </c>
      <c r="U185" s="3816"/>
      <c r="V185" s="3231">
        <f t="shared" si="20"/>
        <v>1356237.84</v>
      </c>
      <c r="W185" s="1499"/>
      <c r="X185" s="1499"/>
      <c r="Y185" s="1500"/>
      <c r="Z185" s="1501"/>
    </row>
    <row r="186" spans="1:26" s="1502" customFormat="1" ht="34.5" customHeight="1">
      <c r="A186" s="3231">
        <v>168</v>
      </c>
      <c r="B186" s="3816"/>
      <c r="C186" s="3715" t="s">
        <v>1253</v>
      </c>
      <c r="D186" s="3816"/>
      <c r="E186" s="3231" t="s">
        <v>167</v>
      </c>
      <c r="F186" s="3009"/>
      <c r="G186" s="3717"/>
      <c r="H186" s="3231">
        <f t="shared" si="17"/>
        <v>0</v>
      </c>
      <c r="I186" s="3231">
        <f>+VLOOKUP(C186,'Đội 2'!C103:H188,6,0)</f>
        <v>0</v>
      </c>
      <c r="J186" s="3816"/>
      <c r="K186" s="3231">
        <f>+VLOOKUP(C186,'Đội 2'!C103:K188,8,0)</f>
        <v>0</v>
      </c>
      <c r="L186" s="3231" t="str">
        <f>+VLOOKUP(C186,'Đội 2'!C103:L188,10,0)</f>
        <v>A</v>
      </c>
      <c r="M186" s="3231">
        <f>+VLOOKUP(C186,'Đội 2'!C103:M188,11,0)</f>
        <v>0</v>
      </c>
      <c r="N186" s="3231">
        <f>+VLOOKUP(C186,'Đội 2'!$C$18:$R$103,12,0)</f>
        <v>10</v>
      </c>
      <c r="O186" s="3231">
        <f>+VLOOKUP(C186,'Đội 2'!$C$18:$R$103,13,0)</f>
        <v>0</v>
      </c>
      <c r="P186" s="3231">
        <f t="shared" si="18"/>
        <v>10</v>
      </c>
      <c r="Q186" s="3816"/>
      <c r="R186" s="3231">
        <f>+VLOOKUP(C186,'Đội 2'!$C$18:$R$103,15,0)</f>
        <v>500000</v>
      </c>
      <c r="S186" s="3231">
        <f>+VLOOKUP(C186,'Đội 2'!$C$18:$R$103,16,0)</f>
        <v>1002323.8</v>
      </c>
      <c r="T186" s="3231">
        <f t="shared" si="19"/>
        <v>1002323.8</v>
      </c>
      <c r="U186" s="3816"/>
      <c r="V186" s="3231">
        <f t="shared" si="20"/>
        <v>1002323.8</v>
      </c>
      <c r="W186" s="1499"/>
      <c r="X186" s="1499"/>
      <c r="Y186" s="1500"/>
      <c r="Z186" s="1501"/>
    </row>
    <row r="187" spans="1:26" s="1502" customFormat="1" ht="34.5" customHeight="1">
      <c r="A187" s="3816"/>
      <c r="B187" s="3816"/>
      <c r="C187" s="3816" t="s">
        <v>1372</v>
      </c>
      <c r="D187" s="3816"/>
      <c r="E187" s="3816"/>
      <c r="F187" s="3009"/>
      <c r="G187" s="2371"/>
      <c r="H187" s="3816">
        <f t="shared" ref="H187:U187" si="21">+SUBTOTAL(9,H188:H218)</f>
        <v>0</v>
      </c>
      <c r="I187" s="3816">
        <f t="shared" si="21"/>
        <v>3242</v>
      </c>
      <c r="J187" s="3816">
        <f t="shared" si="21"/>
        <v>0</v>
      </c>
      <c r="K187" s="3816">
        <f>+SUBTOTAL(9,K188:K218)</f>
        <v>1904.6489693430658</v>
      </c>
      <c r="L187" s="3816">
        <f t="shared" si="21"/>
        <v>0</v>
      </c>
      <c r="M187" s="3816">
        <f t="shared" si="21"/>
        <v>7803442</v>
      </c>
      <c r="N187" s="3816">
        <f t="shared" si="21"/>
        <v>271</v>
      </c>
      <c r="O187" s="3816">
        <f t="shared" si="21"/>
        <v>51</v>
      </c>
      <c r="P187" s="3816">
        <f t="shared" si="21"/>
        <v>322</v>
      </c>
      <c r="Q187" s="3816">
        <f t="shared" si="21"/>
        <v>0</v>
      </c>
      <c r="R187" s="3816">
        <f>+SUBTOTAL(9,R188:R218)</f>
        <v>15000000</v>
      </c>
      <c r="S187" s="3816">
        <f>+SUBTOTAL(9,S188:S218)</f>
        <v>32204957</v>
      </c>
      <c r="T187" s="3816">
        <f t="shared" si="21"/>
        <v>40008399</v>
      </c>
      <c r="U187" s="3816">
        <f t="shared" si="21"/>
        <v>0</v>
      </c>
      <c r="V187" s="3816">
        <f>+SUBTOTAL(9,V188:V218)</f>
        <v>40008399</v>
      </c>
      <c r="W187" s="1499"/>
      <c r="X187" s="1499"/>
      <c r="Y187" s="1500"/>
      <c r="Z187" s="1501">
        <f>+'Đội 3'!W47</f>
        <v>40008399</v>
      </c>
    </row>
    <row r="188" spans="1:26" s="1502" customFormat="1" ht="34.5" customHeight="1">
      <c r="A188" s="3231">
        <v>169</v>
      </c>
      <c r="B188" s="3816"/>
      <c r="C188" s="3715" t="s">
        <v>1216</v>
      </c>
      <c r="D188" s="3816"/>
      <c r="E188" s="3231" t="s">
        <v>167</v>
      </c>
      <c r="F188" s="3009"/>
      <c r="G188" s="3717"/>
      <c r="H188" s="3231">
        <f>+G188*25000</f>
        <v>0</v>
      </c>
      <c r="I188" s="3231">
        <f>+VLOOKUP(C188,'Đội 3'!C16:H45,6,0)</f>
        <v>26</v>
      </c>
      <c r="J188" s="3816"/>
      <c r="K188" s="3231">
        <f>+VLOOKUP(C188,'Đội 3'!C16:K45,8,0)</f>
        <v>15.274791240875912</v>
      </c>
      <c r="L188" s="3231" t="str">
        <f>+VLOOKUP(C188,'Đội 3'!C16:L46,10,0)</f>
        <v>A</v>
      </c>
      <c r="M188" s="3231">
        <f>+VLOOKUP(C188,'Đội 3'!C16:M46,11,0)</f>
        <v>60210</v>
      </c>
      <c r="N188" s="3231">
        <f>+VLOOKUP(C188,'Đội 3'!$C$16:$T$46,13,0)</f>
        <v>6</v>
      </c>
      <c r="O188" s="3231">
        <f>+VLOOKUP(C188,'Đội 3'!$C$16:$T$46,14,0)</f>
        <v>0</v>
      </c>
      <c r="P188" s="3231">
        <f>+N188+O188</f>
        <v>6</v>
      </c>
      <c r="Q188" s="3231">
        <f>+VLOOKUP(C188,'Đội 3'!$C$16:$T$46,15,0)</f>
        <v>0</v>
      </c>
      <c r="R188" s="3231">
        <f>+VLOOKUP(C188,'Đội 3'!$C$16:$T$46,17,0)</f>
        <v>500000</v>
      </c>
      <c r="S188" s="3231">
        <f>+VLOOKUP(C188,'Đội 3'!$C$16:$T$46,18,0)</f>
        <v>801394</v>
      </c>
      <c r="T188" s="3231">
        <f>+H188+M188+S188</f>
        <v>861604</v>
      </c>
      <c r="U188" s="3816"/>
      <c r="V188" s="3231">
        <f>+T188</f>
        <v>861604</v>
      </c>
      <c r="W188" s="1499"/>
      <c r="X188" s="1499"/>
      <c r="Y188" s="1500"/>
      <c r="Z188" s="1501"/>
    </row>
    <row r="189" spans="1:26" s="1502" customFormat="1" ht="34.5" customHeight="1">
      <c r="A189" s="3231">
        <v>170</v>
      </c>
      <c r="B189" s="3816"/>
      <c r="C189" s="3715" t="s">
        <v>351</v>
      </c>
      <c r="D189" s="3816"/>
      <c r="E189" s="3231" t="s">
        <v>167</v>
      </c>
      <c r="F189" s="3009"/>
      <c r="G189" s="3717"/>
      <c r="H189" s="3231">
        <f t="shared" ref="H189:H218" si="22">+G189*25000</f>
        <v>0</v>
      </c>
      <c r="I189" s="3231">
        <f>+VLOOKUP(C189,'Đội 3'!C17:H46,6,0)</f>
        <v>30</v>
      </c>
      <c r="J189" s="3816"/>
      <c r="K189" s="3231">
        <f>+VLOOKUP(C189,'Đội 3'!C17:K46,8,0)</f>
        <v>17.624759124087593</v>
      </c>
      <c r="L189" s="3231" t="str">
        <f>+VLOOKUP(C189,'Đội 3'!C17:L47,10,0)</f>
        <v>B</v>
      </c>
      <c r="M189" s="3231">
        <f>+VLOOKUP(C189,'Đội 3'!C17:M47,11,0)</f>
        <v>66057</v>
      </c>
      <c r="N189" s="3231">
        <f>+VLOOKUP(C189,'Đội 3'!$C$16:$T$46,13,0)</f>
        <v>11</v>
      </c>
      <c r="O189" s="3231">
        <f>+VLOOKUP(C189,'Đội 3'!$C$16:$T$46,14,0)</f>
        <v>2</v>
      </c>
      <c r="P189" s="3231">
        <f t="shared" ref="P189:P217" si="23">+N189+O189</f>
        <v>13</v>
      </c>
      <c r="Q189" s="3231">
        <v>0</v>
      </c>
      <c r="R189" s="3231">
        <f>+VLOOKUP(C189,'Đội 3'!$C$16:$T$46,17,0)</f>
        <v>500000</v>
      </c>
      <c r="S189" s="3231">
        <f>+VLOOKUP(C189,'Đội 3'!$C$16:$T$46,18,0)</f>
        <v>1193418</v>
      </c>
      <c r="T189" s="3231">
        <f t="shared" ref="T189:T217" si="24">+H189+M189+S189</f>
        <v>1259475</v>
      </c>
      <c r="U189" s="3816"/>
      <c r="V189" s="3231">
        <f t="shared" ref="V189:V217" si="25">+T189</f>
        <v>1259475</v>
      </c>
      <c r="W189" s="1499"/>
      <c r="X189" s="1499"/>
      <c r="Y189" s="1500"/>
      <c r="Z189" s="1501"/>
    </row>
    <row r="190" spans="1:26" s="1502" customFormat="1" ht="34.5" customHeight="1">
      <c r="A190" s="3231">
        <v>171</v>
      </c>
      <c r="B190" s="3816"/>
      <c r="C190" s="3715" t="s">
        <v>334</v>
      </c>
      <c r="D190" s="3816"/>
      <c r="E190" s="3231" t="s">
        <v>167</v>
      </c>
      <c r="F190" s="3009"/>
      <c r="G190" s="3717"/>
      <c r="H190" s="3231">
        <f t="shared" si="22"/>
        <v>0</v>
      </c>
      <c r="I190" s="3231">
        <f>+VLOOKUP(C190,'Đội 3'!C18:H47,6,0)</f>
        <v>240</v>
      </c>
      <c r="J190" s="3816"/>
      <c r="K190" s="3231">
        <f>+VLOOKUP(C190,'Đội 3'!C18:K47,8,0)</f>
        <v>140.99807299270074</v>
      </c>
      <c r="L190" s="3231" t="str">
        <f>+VLOOKUP(C190,'Đội 3'!C18:L48,10,0)</f>
        <v>A</v>
      </c>
      <c r="M190" s="3231">
        <f>+VLOOKUP(C190,'Đội 3'!C18:M48,11,0)</f>
        <v>555789</v>
      </c>
      <c r="N190" s="3231">
        <f>+VLOOKUP(C190,'Đội 3'!$C$16:$T$46,13,0)</f>
        <v>17</v>
      </c>
      <c r="O190" s="3231">
        <f>+VLOOKUP(C190,'Đội 3'!$C$16:$T$46,14,0)</f>
        <v>2</v>
      </c>
      <c r="P190" s="3231">
        <f t="shared" si="23"/>
        <v>19</v>
      </c>
      <c r="Q190" s="3231">
        <v>0</v>
      </c>
      <c r="R190" s="3231">
        <f>+VLOOKUP(C190,'Đội 3'!$C$16:$T$46,17,0)</f>
        <v>500000</v>
      </c>
      <c r="S190" s="3231">
        <f>+VLOOKUP(C190,'Đội 3'!$C$16:$T$46,18,0)</f>
        <v>1494813</v>
      </c>
      <c r="T190" s="3231">
        <f t="shared" si="24"/>
        <v>2050602</v>
      </c>
      <c r="U190" s="3816"/>
      <c r="V190" s="3231">
        <f t="shared" si="25"/>
        <v>2050602</v>
      </c>
      <c r="W190" s="1499"/>
      <c r="X190" s="1499"/>
      <c r="Y190" s="1500"/>
      <c r="Z190" s="1501"/>
    </row>
    <row r="191" spans="1:26" s="1502" customFormat="1" ht="34.5" customHeight="1">
      <c r="A191" s="3231">
        <v>172</v>
      </c>
      <c r="B191" s="3816"/>
      <c r="C191" s="3715" t="s">
        <v>1218</v>
      </c>
      <c r="D191" s="3816"/>
      <c r="E191" s="3231" t="s">
        <v>167</v>
      </c>
      <c r="F191" s="3009"/>
      <c r="G191" s="3717"/>
      <c r="H191" s="3231">
        <f t="shared" si="22"/>
        <v>0</v>
      </c>
      <c r="I191" s="3231">
        <f>+VLOOKUP(C191,'Đội 3'!C19:H48,6,0)</f>
        <v>140</v>
      </c>
      <c r="J191" s="3816"/>
      <c r="K191" s="3231">
        <f>+VLOOKUP(C191,'Đội 3'!C19:K48,8,0)</f>
        <v>82.248875912408764</v>
      </c>
      <c r="L191" s="3231" t="str">
        <f>+VLOOKUP(C191,'Đội 3'!C19:L49,10,0)</f>
        <v>A</v>
      </c>
      <c r="M191" s="3231">
        <f>+VLOOKUP(C191,'Đội 3'!C19:M49,11,0)</f>
        <v>324210</v>
      </c>
      <c r="N191" s="3231">
        <f>+VLOOKUP(C191,'Đội 3'!$C$16:$T$46,13,0)</f>
        <v>15</v>
      </c>
      <c r="O191" s="3231">
        <f>+VLOOKUP(C191,'Đội 3'!$C$16:$T$46,14,0)</f>
        <v>2</v>
      </c>
      <c r="P191" s="3231">
        <f t="shared" si="23"/>
        <v>17</v>
      </c>
      <c r="Q191" s="3231">
        <v>0</v>
      </c>
      <c r="R191" s="3231">
        <f>+VLOOKUP(C191,'Đội 3'!$C$16:$T$46,17,0)</f>
        <v>500000</v>
      </c>
      <c r="S191" s="3231">
        <f>+VLOOKUP(C191,'Đội 3'!$C$16:$T$46,18,0)</f>
        <v>1394348</v>
      </c>
      <c r="T191" s="3231">
        <f t="shared" si="24"/>
        <v>1718558</v>
      </c>
      <c r="U191" s="3816"/>
      <c r="V191" s="3231">
        <f t="shared" si="25"/>
        <v>1718558</v>
      </c>
      <c r="W191" s="1499"/>
      <c r="X191" s="1499"/>
      <c r="Y191" s="1500"/>
      <c r="Z191" s="1501"/>
    </row>
    <row r="192" spans="1:26" s="1502" customFormat="1" ht="34.5" customHeight="1">
      <c r="A192" s="3231">
        <v>173</v>
      </c>
      <c r="B192" s="3816"/>
      <c r="C192" s="3715" t="s">
        <v>1517</v>
      </c>
      <c r="D192" s="3816"/>
      <c r="E192" s="3231" t="s">
        <v>167</v>
      </c>
      <c r="F192" s="3009"/>
      <c r="G192" s="3717"/>
      <c r="H192" s="3231">
        <f t="shared" si="22"/>
        <v>0</v>
      </c>
      <c r="I192" s="3231">
        <f>+VLOOKUP(C192,'Đội 3'!C20:H49,6,0)</f>
        <v>8</v>
      </c>
      <c r="J192" s="3816"/>
      <c r="K192" s="3231">
        <f>+VLOOKUP(C192,'Đội 3'!C20:K49,8,0)</f>
        <v>4.6999357664233576</v>
      </c>
      <c r="L192" s="3231" t="str">
        <f>+VLOOKUP(C192,'Đội 3'!C20:L50,10,0)</f>
        <v>B</v>
      </c>
      <c r="M192" s="3231">
        <f>+VLOOKUP(C192,'Đội 3'!C20:M50,11,0)</f>
        <v>17615</v>
      </c>
      <c r="N192" s="3231">
        <f>+VLOOKUP(C192,'Đội 3'!$C$16:$T$46,13,0)</f>
        <v>6</v>
      </c>
      <c r="O192" s="3231">
        <f>+VLOOKUP(C192,'Đội 3'!$C$16:$T$46,14,0)</f>
        <v>1</v>
      </c>
      <c r="P192" s="3231">
        <f t="shared" si="23"/>
        <v>7</v>
      </c>
      <c r="Q192" s="3231">
        <v>0</v>
      </c>
      <c r="R192" s="3231">
        <f>+VLOOKUP(C192,'Đội 3'!$C$16:$T$46,17,0)</f>
        <v>500000</v>
      </c>
      <c r="S192" s="3231">
        <f>+VLOOKUP(C192,'Đội 3'!$C$16:$T$46,18,0)</f>
        <v>871825</v>
      </c>
      <c r="T192" s="3231">
        <f t="shared" si="24"/>
        <v>889440</v>
      </c>
      <c r="U192" s="3816"/>
      <c r="V192" s="3231">
        <f t="shared" si="25"/>
        <v>889440</v>
      </c>
      <c r="W192" s="1499"/>
      <c r="X192" s="1499"/>
      <c r="Y192" s="1500"/>
      <c r="Z192" s="1501"/>
    </row>
    <row r="193" spans="1:28" s="1502" customFormat="1" ht="34.5" customHeight="1">
      <c r="A193" s="3231">
        <v>174</v>
      </c>
      <c r="B193" s="3816"/>
      <c r="C193" s="3715" t="s">
        <v>1217</v>
      </c>
      <c r="D193" s="3816"/>
      <c r="E193" s="3231" t="s">
        <v>167</v>
      </c>
      <c r="F193" s="3009"/>
      <c r="G193" s="3717"/>
      <c r="H193" s="3231">
        <f t="shared" si="22"/>
        <v>0</v>
      </c>
      <c r="I193" s="3231">
        <f>+VLOOKUP(C193,'Đội 3'!C21:H50,6,0)</f>
        <v>9</v>
      </c>
      <c r="J193" s="3816"/>
      <c r="K193" s="3231">
        <f>+VLOOKUP(C193,'Đội 3'!C21:K50,8,0)</f>
        <v>5.2874277372262775</v>
      </c>
      <c r="L193" s="3231" t="str">
        <f>+VLOOKUP(C193,'Đội 3'!C21:L51,10,0)</f>
        <v>A</v>
      </c>
      <c r="M193" s="3231">
        <f>+VLOOKUP(C193,'Đội 3'!C21:M51,11,0)</f>
        <v>20842</v>
      </c>
      <c r="N193" s="3231">
        <f>+VLOOKUP(C193,'Đội 3'!$C$16:$T$46,13,0)</f>
        <v>7</v>
      </c>
      <c r="O193" s="3231">
        <f>+VLOOKUP(C193,'Đội 3'!$C$16:$T$46,14,0)</f>
        <v>2</v>
      </c>
      <c r="P193" s="3231">
        <f t="shared" si="23"/>
        <v>9</v>
      </c>
      <c r="Q193" s="3231">
        <v>0</v>
      </c>
      <c r="R193" s="3231">
        <f>+VLOOKUP(C193,'Đội 3'!$C$16:$T$46,17,0)</f>
        <v>500000</v>
      </c>
      <c r="S193" s="3231">
        <f>+VLOOKUP(C193,'Đội 3'!$C$16:$T$46,18,0)</f>
        <v>992489</v>
      </c>
      <c r="T193" s="3231">
        <f t="shared" si="24"/>
        <v>1013331</v>
      </c>
      <c r="U193" s="3816"/>
      <c r="V193" s="3231">
        <f t="shared" si="25"/>
        <v>1013331</v>
      </c>
      <c r="W193" s="1499"/>
      <c r="X193" s="1499"/>
      <c r="Y193" s="1500"/>
      <c r="Z193" s="1501"/>
    </row>
    <row r="194" spans="1:28" s="1502" customFormat="1" ht="34.5" customHeight="1">
      <c r="A194" s="3231">
        <v>175</v>
      </c>
      <c r="B194" s="3816"/>
      <c r="C194" s="3715" t="s">
        <v>1545</v>
      </c>
      <c r="D194" s="3816"/>
      <c r="E194" s="3231" t="s">
        <v>167</v>
      </c>
      <c r="F194" s="3009"/>
      <c r="G194" s="3717"/>
      <c r="H194" s="3231">
        <f t="shared" si="22"/>
        <v>0</v>
      </c>
      <c r="I194" s="3231">
        <f>+VLOOKUP(C194,'Đội 3'!C22:H51,6,0)</f>
        <v>9</v>
      </c>
      <c r="J194" s="3816"/>
      <c r="K194" s="3231">
        <f>+VLOOKUP(C194,'Đội 3'!C22:K51,8,0)</f>
        <v>5.2874277372262775</v>
      </c>
      <c r="L194" s="3231" t="str">
        <f>+VLOOKUP(C194,'Đội 3'!C22:L52,10,0)</f>
        <v>B</v>
      </c>
      <c r="M194" s="3231">
        <f>+VLOOKUP(C194,'Đội 3'!C22:M52,11,0)</f>
        <v>19817</v>
      </c>
      <c r="N194" s="3231">
        <f>+VLOOKUP(C194,'Đội 3'!$C$16:$T$46,13,0)</f>
        <v>6</v>
      </c>
      <c r="O194" s="3231">
        <f>+VLOOKUP(C194,'Đội 3'!$C$16:$T$46,14,0)</f>
        <v>1</v>
      </c>
      <c r="P194" s="3231">
        <f t="shared" si="23"/>
        <v>7</v>
      </c>
      <c r="Q194" s="3231">
        <v>0</v>
      </c>
      <c r="R194" s="3231">
        <f>+VLOOKUP(C194,'Đội 3'!$C$16:$T$46,17,0)</f>
        <v>500000</v>
      </c>
      <c r="S194" s="3231">
        <f>+VLOOKUP(C194,'Đội 3'!$C$16:$T$46,18,0)</f>
        <v>871825</v>
      </c>
      <c r="T194" s="3231">
        <f t="shared" si="24"/>
        <v>891642</v>
      </c>
      <c r="U194" s="3816"/>
      <c r="V194" s="3231">
        <f t="shared" si="25"/>
        <v>891642</v>
      </c>
      <c r="W194" s="1499"/>
      <c r="X194" s="1499"/>
      <c r="Y194" s="1500"/>
      <c r="Z194" s="1501"/>
    </row>
    <row r="195" spans="1:28" s="1502" customFormat="1" ht="34.5" customHeight="1">
      <c r="A195" s="3231">
        <v>176</v>
      </c>
      <c r="B195" s="3816"/>
      <c r="C195" s="3715" t="s">
        <v>152</v>
      </c>
      <c r="D195" s="3816"/>
      <c r="E195" s="3231" t="s">
        <v>167</v>
      </c>
      <c r="F195" s="3009"/>
      <c r="G195" s="3717"/>
      <c r="H195" s="3231">
        <f t="shared" si="22"/>
        <v>0</v>
      </c>
      <c r="I195" s="3231">
        <f>+VLOOKUP(C195,'Đội 3'!C23:H52,6,0)</f>
        <v>36</v>
      </c>
      <c r="J195" s="3816"/>
      <c r="K195" s="3231">
        <f>+VLOOKUP(C195,'Đội 3'!C23:K52,8,0)</f>
        <v>21.14971094890511</v>
      </c>
      <c r="L195" s="3231" t="str">
        <f>+VLOOKUP(C195,'Đội 3'!C23:L53,10,0)</f>
        <v>B</v>
      </c>
      <c r="M195" s="3231">
        <f>+VLOOKUP(C195,'Đội 3'!C23:M53,11,0)</f>
        <v>79268</v>
      </c>
      <c r="N195" s="3231">
        <f>+VLOOKUP(C195,'Đội 3'!$C$16:$T$46,13,0)</f>
        <v>3</v>
      </c>
      <c r="O195" s="3231">
        <f>+VLOOKUP(C195,'Đội 3'!$C$16:$T$46,14,0)</f>
        <v>1</v>
      </c>
      <c r="P195" s="3231">
        <f t="shared" si="23"/>
        <v>4</v>
      </c>
      <c r="Q195" s="3231">
        <v>0</v>
      </c>
      <c r="R195" s="3231">
        <f>+VLOOKUP(C195,'Đội 3'!$C$16:$T$46,17,0)</f>
        <v>500000</v>
      </c>
      <c r="S195" s="3231">
        <f>+VLOOKUP(C195,'Đội 3'!$C$16:$T$46,18,0)</f>
        <v>721128</v>
      </c>
      <c r="T195" s="3231">
        <f t="shared" si="24"/>
        <v>800396</v>
      </c>
      <c r="U195" s="3816"/>
      <c r="V195" s="3231">
        <f t="shared" si="25"/>
        <v>800396</v>
      </c>
      <c r="W195" s="1499"/>
      <c r="X195" s="1499"/>
      <c r="Y195" s="1500"/>
      <c r="Z195" s="1501"/>
    </row>
    <row r="196" spans="1:28" s="1502" customFormat="1" ht="34.5" customHeight="1">
      <c r="A196" s="3231">
        <v>177</v>
      </c>
      <c r="B196" s="3816"/>
      <c r="C196" s="3715" t="s">
        <v>571</v>
      </c>
      <c r="D196" s="3816"/>
      <c r="E196" s="3231" t="s">
        <v>167</v>
      </c>
      <c r="F196" s="3009"/>
      <c r="G196" s="3717"/>
      <c r="H196" s="3231">
        <f t="shared" si="22"/>
        <v>0</v>
      </c>
      <c r="I196" s="3231">
        <f>+VLOOKUP(C196,'Đội 3'!C24:H53,6,0)</f>
        <v>109</v>
      </c>
      <c r="J196" s="3816"/>
      <c r="K196" s="3231">
        <f>+VLOOKUP(C196,'Đội 3'!C24:K53,8,0)</f>
        <v>64.036624817518245</v>
      </c>
      <c r="L196" s="3231" t="str">
        <f>+VLOOKUP(C196,'Đội 3'!C24:L54,10,0)</f>
        <v>A</v>
      </c>
      <c r="M196" s="3231">
        <f>+VLOOKUP(C196,'Đội 3'!C24:M54,11,0)</f>
        <v>252421</v>
      </c>
      <c r="N196" s="3231">
        <f>+VLOOKUP(C196,'Đội 3'!$C$16:$T$46,13,0)</f>
        <v>7</v>
      </c>
      <c r="O196" s="3231">
        <f>+VLOOKUP(C196,'Đội 3'!$C$16:$T$46,14,0)</f>
        <v>2</v>
      </c>
      <c r="P196" s="3231">
        <f t="shared" si="23"/>
        <v>9</v>
      </c>
      <c r="Q196" s="3231">
        <v>0</v>
      </c>
      <c r="R196" s="3231">
        <f>+VLOOKUP(C196,'Đội 3'!$C$16:$T$46,17,0)</f>
        <v>500000</v>
      </c>
      <c r="S196" s="3231">
        <f>+VLOOKUP(C196,'Đội 3'!$C$16:$T$46,18,0)</f>
        <v>992489</v>
      </c>
      <c r="T196" s="3231">
        <f t="shared" si="24"/>
        <v>1244910</v>
      </c>
      <c r="U196" s="3816"/>
      <c r="V196" s="3231">
        <f t="shared" si="25"/>
        <v>1244910</v>
      </c>
      <c r="W196" s="1499"/>
      <c r="X196" s="1499"/>
      <c r="Y196" s="1500"/>
      <c r="Z196" s="1501"/>
    </row>
    <row r="197" spans="1:28" s="1502" customFormat="1" ht="34.5" customHeight="1">
      <c r="A197" s="3231">
        <v>178</v>
      </c>
      <c r="B197" s="3816"/>
      <c r="C197" s="3715" t="s">
        <v>1219</v>
      </c>
      <c r="D197" s="3816"/>
      <c r="E197" s="3231" t="s">
        <v>167</v>
      </c>
      <c r="F197" s="3009"/>
      <c r="G197" s="3717"/>
      <c r="H197" s="3231">
        <f t="shared" si="22"/>
        <v>0</v>
      </c>
      <c r="I197" s="3231">
        <f>+VLOOKUP(C197,'Đội 3'!C25:H54,6,0)</f>
        <v>63</v>
      </c>
      <c r="J197" s="3816"/>
      <c r="K197" s="3231">
        <f>+VLOOKUP(C197,'Đội 3'!C25:K54,8,0)</f>
        <v>37.011994160583939</v>
      </c>
      <c r="L197" s="3231" t="str">
        <f>+VLOOKUP(C197,'Đội 3'!C25:L55,10,0)</f>
        <v>A</v>
      </c>
      <c r="M197" s="3231">
        <f>+VLOOKUP(C197,'Đội 3'!C25:M55,11,0)</f>
        <v>145895</v>
      </c>
      <c r="N197" s="3231">
        <f>+VLOOKUP(C197,'Đội 3'!$C$16:$T$46,13,0)</f>
        <v>12</v>
      </c>
      <c r="O197" s="3231">
        <f>+VLOOKUP(C197,'Đội 3'!$C$16:$T$46,14,0)</f>
        <v>2</v>
      </c>
      <c r="P197" s="3231">
        <f t="shared" si="23"/>
        <v>14</v>
      </c>
      <c r="Q197" s="3231">
        <v>0</v>
      </c>
      <c r="R197" s="3231">
        <f>+VLOOKUP(C197,'Đội 3'!$C$16:$T$46,17,0)</f>
        <v>500000</v>
      </c>
      <c r="S197" s="3231">
        <f>+VLOOKUP(C197,'Đội 3'!$C$16:$T$46,18,0)</f>
        <v>1243651</v>
      </c>
      <c r="T197" s="3231">
        <f t="shared" si="24"/>
        <v>1389546</v>
      </c>
      <c r="U197" s="3816"/>
      <c r="V197" s="3231">
        <f t="shared" si="25"/>
        <v>1389546</v>
      </c>
      <c r="W197" s="1499"/>
      <c r="X197" s="1499"/>
      <c r="Y197" s="1500"/>
      <c r="Z197" s="1501"/>
    </row>
    <row r="198" spans="1:28" s="1502" customFormat="1" ht="34.5" customHeight="1">
      <c r="A198" s="3231">
        <v>179</v>
      </c>
      <c r="B198" s="3816"/>
      <c r="C198" s="3715" t="s">
        <v>853</v>
      </c>
      <c r="D198" s="3816"/>
      <c r="E198" s="3231" t="s">
        <v>167</v>
      </c>
      <c r="F198" s="3009"/>
      <c r="G198" s="3717"/>
      <c r="H198" s="3231">
        <f t="shared" si="22"/>
        <v>0</v>
      </c>
      <c r="I198" s="3231">
        <f>+VLOOKUP(C198,'Đội 3'!C26:H55,6,0)</f>
        <v>33</v>
      </c>
      <c r="J198" s="3816"/>
      <c r="K198" s="3231">
        <f>+VLOOKUP(C198,'Đội 3'!C26:K55,8,0)</f>
        <v>19.387235036496349</v>
      </c>
      <c r="L198" s="3231" t="str">
        <f>+VLOOKUP(C198,'Đội 3'!C26:L56,10,0)</f>
        <v>B</v>
      </c>
      <c r="M198" s="3231">
        <f>+VLOOKUP(C198,'Đội 3'!C26:M56,11,0)</f>
        <v>72663</v>
      </c>
      <c r="N198" s="3231">
        <f>+VLOOKUP(C198,'Đội 3'!$C$16:$T$46,13,0)</f>
        <v>4</v>
      </c>
      <c r="O198" s="3231">
        <f>+VLOOKUP(C198,'Đội 3'!$C$16:$T$46,14,0)</f>
        <v>1</v>
      </c>
      <c r="P198" s="3231">
        <f t="shared" si="23"/>
        <v>5</v>
      </c>
      <c r="Q198" s="3231">
        <v>0</v>
      </c>
      <c r="R198" s="3231">
        <f>+VLOOKUP(C198,'Đội 3'!$C$16:$T$46,17,0)</f>
        <v>500000</v>
      </c>
      <c r="S198" s="3231">
        <f>+VLOOKUP(C198,'Đội 3'!$C$16:$T$46,18,0)</f>
        <v>771361</v>
      </c>
      <c r="T198" s="3231">
        <f t="shared" si="24"/>
        <v>844024</v>
      </c>
      <c r="U198" s="3816"/>
      <c r="V198" s="3231">
        <f t="shared" si="25"/>
        <v>844024</v>
      </c>
      <c r="W198" s="1499"/>
      <c r="X198" s="1499"/>
      <c r="Y198" s="1500"/>
      <c r="Z198" s="1501"/>
    </row>
    <row r="199" spans="1:28" s="1502" customFormat="1" ht="34.5" customHeight="1">
      <c r="A199" s="3231">
        <v>180</v>
      </c>
      <c r="B199" s="3816"/>
      <c r="C199" s="3715" t="s">
        <v>1220</v>
      </c>
      <c r="D199" s="3816"/>
      <c r="E199" s="3231" t="s">
        <v>167</v>
      </c>
      <c r="F199" s="3009"/>
      <c r="G199" s="3717"/>
      <c r="H199" s="3231">
        <f t="shared" si="22"/>
        <v>0</v>
      </c>
      <c r="I199" s="3231">
        <f>+VLOOKUP(C199,'Đội 3'!C27:H56,6,0)</f>
        <v>109</v>
      </c>
      <c r="J199" s="3816"/>
      <c r="K199" s="3231">
        <f>+VLOOKUP(C199,'Đội 3'!C27:K56,8,0)</f>
        <v>64.036624817518245</v>
      </c>
      <c r="L199" s="3231" t="str">
        <f>+VLOOKUP(C199,'Đội 3'!C27:L57,10,0)</f>
        <v>A</v>
      </c>
      <c r="M199" s="3231">
        <f>+VLOOKUP(C199,'Đội 3'!C27:M57,11,0)</f>
        <v>252421</v>
      </c>
      <c r="N199" s="3231">
        <f>+VLOOKUP(C199,'Đội 3'!$C$16:$T$46,13,0)</f>
        <v>14</v>
      </c>
      <c r="O199" s="3231">
        <f>+VLOOKUP(C199,'Đội 3'!$C$16:$T$46,14,0)</f>
        <v>2</v>
      </c>
      <c r="P199" s="3231">
        <f t="shared" si="23"/>
        <v>16</v>
      </c>
      <c r="Q199" s="3231">
        <v>0</v>
      </c>
      <c r="R199" s="3231">
        <f>+VLOOKUP(C199,'Đội 3'!$C$16:$T$46,17,0)</f>
        <v>500000</v>
      </c>
      <c r="S199" s="3231">
        <f>+VLOOKUP(C199,'Đội 3'!$C$16:$T$46,18,0)</f>
        <v>1344115</v>
      </c>
      <c r="T199" s="3231">
        <f t="shared" si="24"/>
        <v>1596536</v>
      </c>
      <c r="U199" s="3816"/>
      <c r="V199" s="3231">
        <f t="shared" si="25"/>
        <v>1596536</v>
      </c>
      <c r="W199" s="1499"/>
      <c r="X199" s="1499"/>
      <c r="Y199" s="1500"/>
      <c r="Z199" s="1501"/>
    </row>
    <row r="200" spans="1:28" s="1502" customFormat="1" ht="34.5" customHeight="1">
      <c r="A200" s="3231">
        <v>181</v>
      </c>
      <c r="B200" s="3816"/>
      <c r="C200" s="3715" t="s">
        <v>1221</v>
      </c>
      <c r="D200" s="3816"/>
      <c r="E200" s="3231" t="s">
        <v>167</v>
      </c>
      <c r="F200" s="3009"/>
      <c r="G200" s="3717"/>
      <c r="H200" s="3231">
        <f t="shared" si="22"/>
        <v>0</v>
      </c>
      <c r="I200" s="3231">
        <f>+VLOOKUP(C200,'Đội 3'!C28:H57,6,0)</f>
        <v>74</v>
      </c>
      <c r="J200" s="3816"/>
      <c r="K200" s="3231">
        <f>+VLOOKUP(C200,'Đội 3'!C28:K57,8,0)</f>
        <v>43.474405839416058</v>
      </c>
      <c r="L200" s="3231" t="str">
        <f>+VLOOKUP(C200,'Đội 3'!C28:L58,10,0)</f>
        <v>A</v>
      </c>
      <c r="M200" s="3231">
        <f>+VLOOKUP(C200,'Đội 3'!C28:M58,11,0)</f>
        <v>171368</v>
      </c>
      <c r="N200" s="3231">
        <f>+VLOOKUP(C200,'Đội 3'!$C$16:$T$46,13,0)</f>
        <v>10</v>
      </c>
      <c r="O200" s="3231">
        <f>+VLOOKUP(C200,'Đội 3'!$C$16:$T$46,14,0)</f>
        <v>3</v>
      </c>
      <c r="P200" s="3231">
        <f t="shared" si="23"/>
        <v>13</v>
      </c>
      <c r="Q200" s="3231">
        <v>0</v>
      </c>
      <c r="R200" s="3231">
        <f>+VLOOKUP(C200,'Đội 3'!$C$16:$T$46,17,0)</f>
        <v>500000</v>
      </c>
      <c r="S200" s="3231">
        <f>+VLOOKUP(C200,'Đội 3'!$C$16:$T$46,18,0)</f>
        <v>1213617</v>
      </c>
      <c r="T200" s="3231">
        <f t="shared" si="24"/>
        <v>1384985</v>
      </c>
      <c r="U200" s="3816"/>
      <c r="V200" s="3231">
        <f t="shared" si="25"/>
        <v>1384985</v>
      </c>
      <c r="W200" s="1499"/>
      <c r="X200" s="1499"/>
      <c r="Y200" s="1500"/>
      <c r="Z200" s="1501"/>
    </row>
    <row r="201" spans="1:28" s="1502" customFormat="1" ht="34.5" customHeight="1">
      <c r="A201" s="3231">
        <v>182</v>
      </c>
      <c r="B201" s="3816"/>
      <c r="C201" s="3715" t="s">
        <v>1222</v>
      </c>
      <c r="D201" s="3816"/>
      <c r="E201" s="3231" t="s">
        <v>167</v>
      </c>
      <c r="F201" s="3009"/>
      <c r="G201" s="3717"/>
      <c r="H201" s="3231">
        <f t="shared" si="22"/>
        <v>0</v>
      </c>
      <c r="I201" s="3231">
        <f>+VLOOKUP(C201,'Đội 3'!C29:H58,6,0)</f>
        <v>39</v>
      </c>
      <c r="J201" s="3816"/>
      <c r="K201" s="3231">
        <f>+VLOOKUP(C201,'Đội 3'!C29:K58,8,0)</f>
        <v>22.91218686131387</v>
      </c>
      <c r="L201" s="3231" t="str">
        <f>+VLOOKUP(C201,'Đội 3'!C29:L59,10,0)</f>
        <v>B</v>
      </c>
      <c r="M201" s="3231">
        <f>+VLOOKUP(C201,'Đội 3'!C29:M59,11,0)</f>
        <v>85874</v>
      </c>
      <c r="N201" s="3231">
        <f>+VLOOKUP(C201,'Đội 3'!$C$16:$T$46,13,0)</f>
        <v>4</v>
      </c>
      <c r="O201" s="3231">
        <f>+VLOOKUP(C201,'Đội 3'!$C$16:$T$46,14,0)</f>
        <v>1</v>
      </c>
      <c r="P201" s="3231">
        <f t="shared" si="23"/>
        <v>5</v>
      </c>
      <c r="Q201" s="3231">
        <v>0</v>
      </c>
      <c r="R201" s="3231">
        <f>+VLOOKUP(C201,'Đội 3'!$C$16:$T$46,17,0)</f>
        <v>500000</v>
      </c>
      <c r="S201" s="3231">
        <f>+VLOOKUP(C201,'Đội 3'!$C$16:$T$46,18,0)</f>
        <v>771361</v>
      </c>
      <c r="T201" s="3231">
        <f t="shared" si="24"/>
        <v>857235</v>
      </c>
      <c r="U201" s="3816"/>
      <c r="V201" s="3231">
        <f t="shared" si="25"/>
        <v>857235</v>
      </c>
      <c r="W201" s="1499"/>
      <c r="X201" s="1499"/>
      <c r="Y201" s="1500"/>
      <c r="Z201" s="1501"/>
    </row>
    <row r="202" spans="1:28" s="1502" customFormat="1" ht="34.5" customHeight="1">
      <c r="A202" s="3231">
        <v>183</v>
      </c>
      <c r="B202" s="3816"/>
      <c r="C202" s="3715" t="s">
        <v>1223</v>
      </c>
      <c r="D202" s="3816"/>
      <c r="E202" s="3231" t="s">
        <v>167</v>
      </c>
      <c r="F202" s="3009"/>
      <c r="G202" s="3717"/>
      <c r="H202" s="3231">
        <f t="shared" si="22"/>
        <v>0</v>
      </c>
      <c r="I202" s="3231">
        <f>+VLOOKUP(C202,'Đội 3'!C30:H59,6,0)</f>
        <v>50</v>
      </c>
      <c r="J202" s="3816"/>
      <c r="K202" s="3231">
        <f>+VLOOKUP(C202,'Đội 3'!C30:K59,8,0)</f>
        <v>29.374598540145985</v>
      </c>
      <c r="L202" s="3231" t="str">
        <f>+VLOOKUP(C202,'Đội 3'!C30:L60,10,0)</f>
        <v>A</v>
      </c>
      <c r="M202" s="3231">
        <f>+VLOOKUP(C202,'Đội 3'!C30:M60,11,0)</f>
        <v>115789</v>
      </c>
      <c r="N202" s="3231">
        <f>+VLOOKUP(C202,'Đội 3'!$C$16:$T$46,13,0)</f>
        <v>11</v>
      </c>
      <c r="O202" s="3231">
        <f>+VLOOKUP(C202,'Đội 3'!$C$16:$T$46,14,0)</f>
        <v>2</v>
      </c>
      <c r="P202" s="3231">
        <f t="shared" si="23"/>
        <v>13</v>
      </c>
      <c r="Q202" s="3231">
        <v>0</v>
      </c>
      <c r="R202" s="3231">
        <f>+VLOOKUP(C202,'Đội 3'!$C$16:$T$46,17,0)</f>
        <v>500000</v>
      </c>
      <c r="S202" s="3231">
        <f>+VLOOKUP(C202,'Đội 3'!$C$16:$T$46,18,0)</f>
        <v>1193418</v>
      </c>
      <c r="T202" s="3231">
        <f t="shared" si="24"/>
        <v>1309207</v>
      </c>
      <c r="U202" s="3816"/>
      <c r="V202" s="3231">
        <f t="shared" si="25"/>
        <v>1309207</v>
      </c>
      <c r="W202" s="1499"/>
      <c r="X202" s="1499"/>
      <c r="Y202" s="1500"/>
      <c r="Z202" s="1501"/>
    </row>
    <row r="203" spans="1:28" s="1502" customFormat="1" ht="34.5" customHeight="1">
      <c r="A203" s="3231">
        <v>184</v>
      </c>
      <c r="B203" s="3816"/>
      <c r="C203" s="3715" t="s">
        <v>1224</v>
      </c>
      <c r="D203" s="3816"/>
      <c r="E203" s="3231" t="s">
        <v>167</v>
      </c>
      <c r="F203" s="3009"/>
      <c r="G203" s="3717"/>
      <c r="H203" s="3231">
        <f t="shared" si="22"/>
        <v>0</v>
      </c>
      <c r="I203" s="3231">
        <f>+VLOOKUP(C203,'Đội 3'!C31:H60,6,0)</f>
        <v>84</v>
      </c>
      <c r="J203" s="3816"/>
      <c r="K203" s="3231">
        <f>+VLOOKUP(C203,'Đội 3'!C31:K60,8,0)</f>
        <v>49.349325547445254</v>
      </c>
      <c r="L203" s="3231" t="str">
        <f>+VLOOKUP(C203,'Đội 3'!C31:L61,10,0)</f>
        <v>A</v>
      </c>
      <c r="M203" s="3231">
        <f>+VLOOKUP(C203,'Đội 3'!C31:M61,11,0)</f>
        <v>194526</v>
      </c>
      <c r="N203" s="3231">
        <f>+VLOOKUP(C203,'Đội 3'!$C$16:$T$46,13,0)</f>
        <v>5</v>
      </c>
      <c r="O203" s="3231">
        <f>+VLOOKUP(C203,'Đội 3'!$C$16:$T$46,14,0)</f>
        <v>1</v>
      </c>
      <c r="P203" s="3231">
        <f t="shared" si="23"/>
        <v>6</v>
      </c>
      <c r="Q203" s="3231">
        <v>0</v>
      </c>
      <c r="R203" s="3231">
        <f>+VLOOKUP(C203,'Đội 3'!$C$16:$T$46,17,0)</f>
        <v>500000</v>
      </c>
      <c r="S203" s="3231">
        <f>+VLOOKUP(C203,'Đội 3'!$C$16:$T$46,18,0)</f>
        <v>821593</v>
      </c>
      <c r="T203" s="3231">
        <f t="shared" si="24"/>
        <v>1016119</v>
      </c>
      <c r="U203" s="3816"/>
      <c r="V203" s="3231">
        <f t="shared" si="25"/>
        <v>1016119</v>
      </c>
      <c r="W203" s="1499"/>
      <c r="X203" s="1499"/>
      <c r="Y203" s="1500"/>
      <c r="Z203" s="1501"/>
    </row>
    <row r="204" spans="1:28" s="1502" customFormat="1" ht="34.5" customHeight="1">
      <c r="A204" s="3231">
        <v>185</v>
      </c>
      <c r="B204" s="3816"/>
      <c r="C204" s="3715" t="s">
        <v>1546</v>
      </c>
      <c r="D204" s="3816"/>
      <c r="E204" s="3231" t="s">
        <v>167</v>
      </c>
      <c r="F204" s="3009"/>
      <c r="G204" s="3717"/>
      <c r="H204" s="3231">
        <f t="shared" si="22"/>
        <v>0</v>
      </c>
      <c r="I204" s="3231">
        <f>+VLOOKUP(C204,'Đội 3'!C32:H61,6,0)</f>
        <v>103</v>
      </c>
      <c r="J204" s="3816"/>
      <c r="K204" s="3231">
        <f>+VLOOKUP(C204,'Đội 3'!C32:K61,8,0)</f>
        <v>60.511672992700731</v>
      </c>
      <c r="L204" s="3231" t="str">
        <f>+VLOOKUP(C204,'Đội 3'!C32:L62,10,0)</f>
        <v>B</v>
      </c>
      <c r="M204" s="3231">
        <f>+VLOOKUP(C204,'Đội 3'!C32:M62,11,0)</f>
        <v>226795</v>
      </c>
      <c r="N204" s="3231">
        <f>+VLOOKUP(C204,'Đội 3'!$C$16:$T$46,13,0)</f>
        <v>11</v>
      </c>
      <c r="O204" s="3231">
        <f>+VLOOKUP(C204,'Đội 3'!$C$16:$T$46,14,0)</f>
        <v>2</v>
      </c>
      <c r="P204" s="3231">
        <f t="shared" si="23"/>
        <v>13</v>
      </c>
      <c r="Q204" s="3231">
        <v>0</v>
      </c>
      <c r="R204" s="3231">
        <f>+VLOOKUP(C204,'Đội 3'!$C$16:$T$46,17,0)</f>
        <v>500000</v>
      </c>
      <c r="S204" s="3231">
        <f>+VLOOKUP(C204,'Đội 3'!$C$16:$T$46,18,0)</f>
        <v>1193418</v>
      </c>
      <c r="T204" s="3231">
        <f t="shared" si="24"/>
        <v>1420213</v>
      </c>
      <c r="U204" s="3816"/>
      <c r="V204" s="3231">
        <f t="shared" si="25"/>
        <v>1420213</v>
      </c>
      <c r="W204" s="1499"/>
      <c r="X204" s="1499"/>
      <c r="Y204" s="1500"/>
      <c r="Z204" s="1501"/>
    </row>
    <row r="205" spans="1:28" s="1502" customFormat="1" ht="34.5" customHeight="1">
      <c r="A205" s="3231">
        <v>186</v>
      </c>
      <c r="B205" s="3816"/>
      <c r="C205" s="3715" t="s">
        <v>1226</v>
      </c>
      <c r="D205" s="3816"/>
      <c r="E205" s="3231" t="s">
        <v>167</v>
      </c>
      <c r="F205" s="3009"/>
      <c r="G205" s="3717"/>
      <c r="H205" s="3231">
        <f t="shared" si="22"/>
        <v>0</v>
      </c>
      <c r="I205" s="3231">
        <f>+VLOOKUP(C205,'Đội 3'!C33:H62,6,0)</f>
        <v>37</v>
      </c>
      <c r="J205" s="3816"/>
      <c r="K205" s="3231">
        <f>+VLOOKUP(C205,'Đội 3'!C33:K62,8,0)</f>
        <v>21.737202919708029</v>
      </c>
      <c r="L205" s="3231" t="str">
        <f>+VLOOKUP(C205,'Đội 3'!C33:L63,10,0)</f>
        <v>A</v>
      </c>
      <c r="M205" s="3231">
        <f>+VLOOKUP(C205,'Đội 3'!C33:M63,11,0)</f>
        <v>85684</v>
      </c>
      <c r="N205" s="3231">
        <f>+VLOOKUP(C205,'Đội 3'!$C$16:$T$46,13,0)</f>
        <v>11</v>
      </c>
      <c r="O205" s="3231">
        <f>+VLOOKUP(C205,'Đội 3'!$C$16:$T$46,14,0)</f>
        <v>2</v>
      </c>
      <c r="P205" s="3231">
        <f t="shared" si="23"/>
        <v>13</v>
      </c>
      <c r="Q205" s="3231">
        <v>0</v>
      </c>
      <c r="R205" s="3231">
        <f>+VLOOKUP(C205,'Đội 3'!$C$16:$T$46,17,0)</f>
        <v>500000</v>
      </c>
      <c r="S205" s="3231">
        <f>+VLOOKUP(C205,'Đội 3'!$C$16:$T$46,18,0)</f>
        <v>1193418</v>
      </c>
      <c r="T205" s="3231">
        <f t="shared" si="24"/>
        <v>1279102</v>
      </c>
      <c r="U205" s="3816"/>
      <c r="V205" s="3231">
        <f t="shared" si="25"/>
        <v>1279102</v>
      </c>
      <c r="W205" s="1499"/>
      <c r="X205" s="1499"/>
      <c r="Y205" s="1500"/>
      <c r="Z205" s="1501"/>
    </row>
    <row r="206" spans="1:28" s="1502" customFormat="1" ht="34.5" customHeight="1">
      <c r="A206" s="3231">
        <v>187</v>
      </c>
      <c r="B206" s="3816"/>
      <c r="C206" s="3715" t="s">
        <v>861</v>
      </c>
      <c r="D206" s="3816"/>
      <c r="E206" s="3231" t="s">
        <v>167</v>
      </c>
      <c r="F206" s="3009"/>
      <c r="G206" s="3717"/>
      <c r="H206" s="3231">
        <f t="shared" si="22"/>
        <v>0</v>
      </c>
      <c r="I206" s="3231">
        <f>+VLOOKUP(C206,'Đội 3'!C34:H63,6,0)</f>
        <v>34</v>
      </c>
      <c r="J206" s="3816"/>
      <c r="K206" s="3231">
        <f>+VLOOKUP(C206,'Đội 3'!C34:K63,8,0)</f>
        <v>19.974727007299268</v>
      </c>
      <c r="L206" s="3231" t="str">
        <f>+VLOOKUP(C206,'Đội 3'!C34:L64,10,0)</f>
        <v>A</v>
      </c>
      <c r="M206" s="3231">
        <f>+VLOOKUP(C206,'Đội 3'!C34:M64,11,0)</f>
        <v>78737</v>
      </c>
      <c r="N206" s="3231">
        <f>+VLOOKUP(C206,'Đội 3'!$C$16:$T$46,13,0)</f>
        <v>6</v>
      </c>
      <c r="O206" s="3231">
        <f>+VLOOKUP(C206,'Đội 3'!$C$16:$T$46,14,0)</f>
        <v>1</v>
      </c>
      <c r="P206" s="3231">
        <f t="shared" si="23"/>
        <v>7</v>
      </c>
      <c r="Q206" s="3231">
        <v>0</v>
      </c>
      <c r="R206" s="3231">
        <f>+VLOOKUP(C206,'Đội 3'!$C$16:$T$46,17,0)</f>
        <v>500000</v>
      </c>
      <c r="S206" s="3231">
        <f>+VLOOKUP(C206,'Đội 3'!$C$16:$T$46,18,0)</f>
        <v>871825</v>
      </c>
      <c r="T206" s="3231">
        <f t="shared" si="24"/>
        <v>950562</v>
      </c>
      <c r="U206" s="3816"/>
      <c r="V206" s="3231">
        <f t="shared" si="25"/>
        <v>950562</v>
      </c>
      <c r="W206" s="1499"/>
      <c r="X206" s="1499"/>
      <c r="Y206" s="1500"/>
      <c r="Z206" s="1501"/>
    </row>
    <row r="207" spans="1:28" s="3824" customFormat="1" ht="34.5" customHeight="1">
      <c r="A207" s="3820">
        <v>188</v>
      </c>
      <c r="B207" s="3816"/>
      <c r="C207" s="3821" t="s">
        <v>486</v>
      </c>
      <c r="D207" s="3816"/>
      <c r="E207" s="3820" t="s">
        <v>167</v>
      </c>
      <c r="F207" s="3009"/>
      <c r="G207" s="3822"/>
      <c r="H207" s="3820">
        <f t="shared" si="22"/>
        <v>0</v>
      </c>
      <c r="I207" s="3820">
        <f>+VLOOKUP(C207,'Đội 3'!C35:H64,6,0)</f>
        <v>73</v>
      </c>
      <c r="J207" s="3816"/>
      <c r="K207" s="3820">
        <f>+VLOOKUP(C207,'Đội 3'!C35:K64,8,0)</f>
        <v>42.886913868613135</v>
      </c>
      <c r="L207" s="3820" t="str">
        <f>+VLOOKUP(C207,'Đội 3'!C35:L65,10,0)</f>
        <v>A</v>
      </c>
      <c r="M207" s="3820">
        <f>+VLOOKUP(C207,'Đội 3'!C35:M65,11,0)</f>
        <v>169052</v>
      </c>
      <c r="N207" s="3820">
        <f>+VLOOKUP(C207,'Đội 3'!$C$16:$T$46,13,0)</f>
        <v>10</v>
      </c>
      <c r="O207" s="3820">
        <f>+VLOOKUP(C207,'Đội 3'!$C$16:$T$46,14,0)</f>
        <v>2</v>
      </c>
      <c r="P207" s="3820">
        <f t="shared" si="23"/>
        <v>12</v>
      </c>
      <c r="Q207" s="3820">
        <v>0</v>
      </c>
      <c r="R207" s="3820">
        <f>+VLOOKUP(C207,'Đội 3'!$C$16:$T$46,17,0)</f>
        <v>500000</v>
      </c>
      <c r="S207" s="3820">
        <f>+VLOOKUP(C207,'Đội 3'!$C$16:$T$46,18,0)</f>
        <v>1143186</v>
      </c>
      <c r="T207" s="3820">
        <f t="shared" si="24"/>
        <v>1312238</v>
      </c>
      <c r="U207" s="3823"/>
      <c r="V207" s="3820">
        <f t="shared" si="25"/>
        <v>1312238</v>
      </c>
      <c r="W207" s="1499"/>
      <c r="X207" s="1499"/>
      <c r="Y207" s="1500"/>
      <c r="Z207" s="1501"/>
      <c r="AA207" s="1502"/>
      <c r="AB207" s="1502"/>
    </row>
    <row r="208" spans="1:28" s="1502" customFormat="1" ht="34.5" customHeight="1">
      <c r="A208" s="3231">
        <v>189</v>
      </c>
      <c r="B208" s="3816"/>
      <c r="C208" s="3715" t="s">
        <v>836</v>
      </c>
      <c r="D208" s="3816"/>
      <c r="E208" s="3231" t="s">
        <v>167</v>
      </c>
      <c r="F208" s="3009"/>
      <c r="G208" s="3717"/>
      <c r="H208" s="3231">
        <f t="shared" si="22"/>
        <v>0</v>
      </c>
      <c r="I208" s="3231">
        <f>+VLOOKUP(C208,'Đội 3'!C36:H65,6,0)</f>
        <v>25</v>
      </c>
      <c r="J208" s="3816"/>
      <c r="K208" s="3231">
        <f>+VLOOKUP(C208,'Đội 3'!C36:K65,8,0)</f>
        <v>14.687299270072993</v>
      </c>
      <c r="L208" s="3231" t="str">
        <f>+VLOOKUP(C208,'Đội 3'!C36:L66,10,0)</f>
        <v>B</v>
      </c>
      <c r="M208" s="3231">
        <f>+VLOOKUP(C208,'Đội 3'!C36:M66,11,0)</f>
        <v>55047</v>
      </c>
      <c r="N208" s="3231">
        <f>+VLOOKUP(C208,'Đội 3'!$C$16:$T$46,13,0)</f>
        <v>1</v>
      </c>
      <c r="O208" s="3231">
        <f>+VLOOKUP(C208,'Đội 3'!$C$16:$T$46,14,0)</f>
        <v>0</v>
      </c>
      <c r="P208" s="3231">
        <f t="shared" si="23"/>
        <v>1</v>
      </c>
      <c r="Q208" s="3231">
        <v>0</v>
      </c>
      <c r="R208" s="3231">
        <f>+VLOOKUP(C208,'Đội 3'!$C$16:$T$46,17,0)</f>
        <v>500000</v>
      </c>
      <c r="S208" s="3231">
        <f>+VLOOKUP(C208,'Đội 3'!$C$16:$T$46,18,0)</f>
        <v>550232</v>
      </c>
      <c r="T208" s="3231">
        <f t="shared" si="24"/>
        <v>605279</v>
      </c>
      <c r="U208" s="3816"/>
      <c r="V208" s="3231">
        <f t="shared" si="25"/>
        <v>605279</v>
      </c>
      <c r="W208" s="1499"/>
      <c r="X208" s="1499"/>
      <c r="Y208" s="1500"/>
      <c r="Z208" s="1501"/>
    </row>
    <row r="209" spans="1:30" s="1502" customFormat="1" ht="34.5" customHeight="1">
      <c r="A209" s="3231">
        <v>190</v>
      </c>
      <c r="B209" s="3816"/>
      <c r="C209" s="3715" t="s">
        <v>1227</v>
      </c>
      <c r="D209" s="3816"/>
      <c r="E209" s="3231" t="s">
        <v>167</v>
      </c>
      <c r="F209" s="3009"/>
      <c r="G209" s="3717"/>
      <c r="H209" s="3231">
        <f t="shared" si="22"/>
        <v>0</v>
      </c>
      <c r="I209" s="3231">
        <f>+VLOOKUP(C209,'Đội 3'!C37:H66,6,0)</f>
        <v>95</v>
      </c>
      <c r="J209" s="3816"/>
      <c r="K209" s="3231">
        <f>+VLOOKUP(C209,'Đội 3'!C37:K66,8,0)</f>
        <v>55.811737226277373</v>
      </c>
      <c r="L209" s="3231" t="str">
        <f>+VLOOKUP(C209,'Đội 3'!C37:L67,10,0)</f>
        <v>A</v>
      </c>
      <c r="M209" s="3231">
        <f>+VLOOKUP(C209,'Đội 3'!C37:M67,11,0)</f>
        <v>220000</v>
      </c>
      <c r="N209" s="3231">
        <f>+VLOOKUP(C209,'Đội 3'!$C$16:$T$46,13,0)</f>
        <v>10</v>
      </c>
      <c r="O209" s="3231">
        <f>+VLOOKUP(C209,'Đội 3'!$C$16:$T$46,14,0)</f>
        <v>2</v>
      </c>
      <c r="P209" s="3231">
        <f t="shared" si="23"/>
        <v>12</v>
      </c>
      <c r="Q209" s="3231">
        <v>0</v>
      </c>
      <c r="R209" s="3231">
        <f>+VLOOKUP(C209,'Đội 3'!$C$16:$T$46,17,0)</f>
        <v>500000</v>
      </c>
      <c r="S209" s="3231">
        <f>+VLOOKUP(C209,'Đội 3'!$C$16:$T$46,18,0)</f>
        <v>1143186</v>
      </c>
      <c r="T209" s="3231">
        <f t="shared" si="24"/>
        <v>1363186</v>
      </c>
      <c r="U209" s="3816"/>
      <c r="V209" s="3231">
        <f t="shared" si="25"/>
        <v>1363186</v>
      </c>
      <c r="W209" s="1499"/>
      <c r="X209" s="1499"/>
      <c r="Y209" s="1500"/>
      <c r="Z209" s="1501"/>
    </row>
    <row r="210" spans="1:30" s="1502" customFormat="1" ht="34.5" customHeight="1">
      <c r="A210" s="3231">
        <v>191</v>
      </c>
      <c r="B210" s="3816"/>
      <c r="C210" s="3715" t="s">
        <v>1228</v>
      </c>
      <c r="D210" s="3816"/>
      <c r="E210" s="3231" t="s">
        <v>167</v>
      </c>
      <c r="F210" s="3009"/>
      <c r="G210" s="3717"/>
      <c r="H210" s="3231">
        <f t="shared" si="22"/>
        <v>0</v>
      </c>
      <c r="I210" s="3231">
        <f>+VLOOKUP(C210,'Đội 3'!C38:H67,6,0)</f>
        <v>76</v>
      </c>
      <c r="J210" s="3816"/>
      <c r="K210" s="3231">
        <f>+VLOOKUP(C210,'Đội 3'!C38:K67,8,0)</f>
        <v>44.649389781021895</v>
      </c>
      <c r="L210" s="3231" t="str">
        <f>+VLOOKUP(C210,'Đội 3'!C38:L68,10,0)</f>
        <v>A</v>
      </c>
      <c r="M210" s="3231">
        <f>+VLOOKUP(C210,'Đội 3'!C38:M68,11,0)</f>
        <v>176000</v>
      </c>
      <c r="N210" s="3231">
        <f>+VLOOKUP(C210,'Đội 3'!$C$16:$T$46,13,0)</f>
        <v>11</v>
      </c>
      <c r="O210" s="3231">
        <f>+VLOOKUP(C210,'Đội 3'!$C$16:$T$46,14,0)</f>
        <v>2</v>
      </c>
      <c r="P210" s="3231">
        <f t="shared" si="23"/>
        <v>13</v>
      </c>
      <c r="Q210" s="3231">
        <v>0</v>
      </c>
      <c r="R210" s="3231">
        <f>+VLOOKUP(C210,'Đội 3'!$C$16:$T$46,17,0)</f>
        <v>500000</v>
      </c>
      <c r="S210" s="3231">
        <f>+VLOOKUP(C210,'Đội 3'!$C$16:$T$46,18,0)</f>
        <v>1193418</v>
      </c>
      <c r="T210" s="3231">
        <f t="shared" si="24"/>
        <v>1369418</v>
      </c>
      <c r="U210" s="3816"/>
      <c r="V210" s="3231">
        <f t="shared" si="25"/>
        <v>1369418</v>
      </c>
      <c r="W210" s="1499"/>
      <c r="X210" s="1499"/>
      <c r="Y210" s="1500"/>
      <c r="Z210" s="1501"/>
    </row>
    <row r="211" spans="1:30" s="3824" customFormat="1" ht="34.5" customHeight="1">
      <c r="A211" s="3820">
        <v>192</v>
      </c>
      <c r="B211" s="3816"/>
      <c r="C211" s="3821" t="s">
        <v>1229</v>
      </c>
      <c r="D211" s="3816"/>
      <c r="E211" s="3820" t="s">
        <v>167</v>
      </c>
      <c r="F211" s="3009"/>
      <c r="G211" s="3822"/>
      <c r="H211" s="3820">
        <f t="shared" si="22"/>
        <v>0</v>
      </c>
      <c r="I211" s="3820">
        <f>+VLOOKUP(C211,'Đội 3'!C39:H68,6,0)</f>
        <v>28</v>
      </c>
      <c r="J211" s="3816"/>
      <c r="K211" s="3820">
        <f>+VLOOKUP(C211,'Đội 3'!C39:K68,8,0)</f>
        <v>16.449775182481751</v>
      </c>
      <c r="L211" s="3820" t="str">
        <f>+VLOOKUP(C211,'Đội 3'!C39:L69,10,0)</f>
        <v>A</v>
      </c>
      <c r="M211" s="3820">
        <f>+VLOOKUP(C211,'Đội 3'!C39:M69,11,0)</f>
        <v>64842</v>
      </c>
      <c r="N211" s="3820">
        <f>+VLOOKUP(C211,'Đội 3'!$C$16:$T$46,13,0)</f>
        <v>6</v>
      </c>
      <c r="O211" s="3820">
        <f>+VLOOKUP(C211,'Đội 3'!$C$16:$T$46,14,0)</f>
        <v>2</v>
      </c>
      <c r="P211" s="3820">
        <f t="shared" si="23"/>
        <v>8</v>
      </c>
      <c r="Q211" s="3820">
        <v>0</v>
      </c>
      <c r="R211" s="3820">
        <f>+VLOOKUP(C211,'Đội 3'!$C$16:$T$46,17,0)</f>
        <v>500000</v>
      </c>
      <c r="S211" s="3820">
        <f>+VLOOKUP(C211,'Đội 3'!$C$16:$T$46,18,0)</f>
        <v>942256</v>
      </c>
      <c r="T211" s="3820">
        <f t="shared" si="24"/>
        <v>1007098</v>
      </c>
      <c r="U211" s="3823"/>
      <c r="V211" s="3820">
        <f t="shared" si="25"/>
        <v>1007098</v>
      </c>
      <c r="W211" s="1499"/>
      <c r="X211" s="1499"/>
      <c r="Y211" s="1500"/>
      <c r="Z211" s="1501"/>
      <c r="AA211" s="1502"/>
      <c r="AB211" s="1502"/>
    </row>
    <row r="212" spans="1:30" s="1502" customFormat="1" ht="34.5" customHeight="1">
      <c r="A212" s="3231">
        <v>193</v>
      </c>
      <c r="B212" s="3816"/>
      <c r="C212" s="3716" t="s">
        <v>1518</v>
      </c>
      <c r="D212" s="3816"/>
      <c r="E212" s="3231" t="s">
        <v>167</v>
      </c>
      <c r="F212" s="3009"/>
      <c r="G212" s="3717"/>
      <c r="H212" s="3231">
        <f t="shared" si="22"/>
        <v>0</v>
      </c>
      <c r="I212" s="3231">
        <f>+VLOOKUP(C212,'Đội 3'!C40:H69,6,0)</f>
        <v>150</v>
      </c>
      <c r="J212" s="3816"/>
      <c r="K212" s="3231">
        <f>+VLOOKUP(C212,'Đội 3'!C40:K69,8,0)</f>
        <v>88.12379562043796</v>
      </c>
      <c r="L212" s="3231" t="str">
        <f>+VLOOKUP(C212,'Đội 3'!C40:L70,10,0)</f>
        <v>A</v>
      </c>
      <c r="M212" s="3231">
        <f>+VLOOKUP(C212,'Đội 3'!C40:M70,11,0)</f>
        <v>347368</v>
      </c>
      <c r="N212" s="3231">
        <f>+VLOOKUP(C212,'Đội 3'!$C$16:$T$46,13,0)</f>
        <v>9</v>
      </c>
      <c r="O212" s="3231">
        <f>+VLOOKUP(C212,'Đội 3'!$C$16:$T$46,14,0)</f>
        <v>3</v>
      </c>
      <c r="P212" s="3231">
        <f t="shared" si="23"/>
        <v>12</v>
      </c>
      <c r="Q212" s="3231">
        <v>0</v>
      </c>
      <c r="R212" s="3231">
        <f>+VLOOKUP(C212,'Đội 3'!$C$16:$T$46,17,0)</f>
        <v>500000</v>
      </c>
      <c r="S212" s="3231">
        <f>+VLOOKUP(C212,'Đội 3'!$C$16:$T$46,18,0)</f>
        <v>1163384</v>
      </c>
      <c r="T212" s="3231">
        <f t="shared" si="24"/>
        <v>1510752</v>
      </c>
      <c r="U212" s="3816"/>
      <c r="V212" s="3231">
        <f t="shared" si="25"/>
        <v>1510752</v>
      </c>
      <c r="W212" s="1499"/>
      <c r="X212" s="1499"/>
      <c r="Y212" s="1500"/>
      <c r="Z212" s="1501"/>
    </row>
    <row r="213" spans="1:30" s="1502" customFormat="1" ht="34.5" customHeight="1">
      <c r="A213" s="3231">
        <v>194</v>
      </c>
      <c r="B213" s="3816"/>
      <c r="C213" s="3716" t="s">
        <v>1519</v>
      </c>
      <c r="D213" s="3816"/>
      <c r="E213" s="3231" t="s">
        <v>167</v>
      </c>
      <c r="F213" s="3009"/>
      <c r="G213" s="3717"/>
      <c r="H213" s="3231">
        <f t="shared" si="22"/>
        <v>0</v>
      </c>
      <c r="I213" s="3231">
        <f>+VLOOKUP(C213,'Đội 3'!C41:H70,6,0)</f>
        <v>151</v>
      </c>
      <c r="J213" s="3816"/>
      <c r="K213" s="3231">
        <f>+VLOOKUP(C213,'Đội 3'!C41:K70,8,0)</f>
        <v>88.711287591240875</v>
      </c>
      <c r="L213" s="3231" t="str">
        <f>+VLOOKUP(C213,'Đội 3'!C41:L71,10,0)</f>
        <v>A</v>
      </c>
      <c r="M213" s="3231">
        <f>+VLOOKUP(C213,'Đội 3'!C41:M71,11,0)</f>
        <v>349684</v>
      </c>
      <c r="N213" s="3231">
        <f>+VLOOKUP(C213,'Đội 3'!$C$16:$T$46,13,0)</f>
        <v>11</v>
      </c>
      <c r="O213" s="3231">
        <f>+VLOOKUP(C213,'Đội 3'!$C$16:$T$46,14,0)</f>
        <v>1</v>
      </c>
      <c r="P213" s="3231">
        <f t="shared" si="23"/>
        <v>12</v>
      </c>
      <c r="Q213" s="3231">
        <v>0</v>
      </c>
      <c r="R213" s="3231">
        <f>+VLOOKUP(C213,'Đội 3'!$C$16:$T$46,17,0)</f>
        <v>500000</v>
      </c>
      <c r="S213" s="3231">
        <f>+VLOOKUP(C213,'Đội 3'!$C$16:$T$46,18,0)</f>
        <v>1122987</v>
      </c>
      <c r="T213" s="3231">
        <f t="shared" si="24"/>
        <v>1472671</v>
      </c>
      <c r="U213" s="3816"/>
      <c r="V213" s="3231">
        <f t="shared" si="25"/>
        <v>1472671</v>
      </c>
      <c r="W213" s="1499"/>
      <c r="X213" s="1499"/>
      <c r="Y213" s="1500"/>
      <c r="Z213" s="1501"/>
    </row>
    <row r="214" spans="1:30" s="1502" customFormat="1" ht="34.5" customHeight="1">
      <c r="A214" s="3231">
        <v>195</v>
      </c>
      <c r="B214" s="3816"/>
      <c r="C214" s="3716" t="s">
        <v>1520</v>
      </c>
      <c r="D214" s="3816"/>
      <c r="E214" s="3231" t="s">
        <v>167</v>
      </c>
      <c r="F214" s="3009"/>
      <c r="G214" s="3717"/>
      <c r="H214" s="3231">
        <f t="shared" si="22"/>
        <v>0</v>
      </c>
      <c r="I214" s="3231">
        <f>+VLOOKUP(C214,'Đội 3'!C42:H71,6,0)</f>
        <v>250</v>
      </c>
      <c r="J214" s="3816"/>
      <c r="K214" s="3231">
        <f>+VLOOKUP(C214,'Đội 3'!C42:K71,8,0)</f>
        <v>146.87299270072992</v>
      </c>
      <c r="L214" s="3231" t="str">
        <f>+VLOOKUP(C214,'Đội 3'!C42:L72,10,0)</f>
        <v>B</v>
      </c>
      <c r="M214" s="3231">
        <f>+VLOOKUP(C214,'Đội 3'!C42:M72,11,0)</f>
        <v>550474</v>
      </c>
      <c r="N214" s="3231">
        <f>+VLOOKUP(C214,'Đội 3'!$C$16:$T$46,13,0)</f>
        <v>12</v>
      </c>
      <c r="O214" s="3231">
        <f>+VLOOKUP(C214,'Đội 3'!$C$16:$T$46,14,0)</f>
        <v>2</v>
      </c>
      <c r="P214" s="3231">
        <f t="shared" si="23"/>
        <v>14</v>
      </c>
      <c r="Q214" s="3231">
        <v>0</v>
      </c>
      <c r="R214" s="3231">
        <f>+VLOOKUP(C214,'Đội 3'!$C$16:$T$46,17,0)</f>
        <v>500000</v>
      </c>
      <c r="S214" s="3231">
        <f>+VLOOKUP(C214,'Đội 3'!$C$16:$T$46,18,0)</f>
        <v>1243651</v>
      </c>
      <c r="T214" s="3231">
        <f t="shared" si="24"/>
        <v>1794125</v>
      </c>
      <c r="U214" s="3816"/>
      <c r="V214" s="3231">
        <f t="shared" si="25"/>
        <v>1794125</v>
      </c>
      <c r="W214" s="1499"/>
      <c r="X214" s="1499"/>
      <c r="Y214" s="1500"/>
      <c r="Z214" s="1501"/>
    </row>
    <row r="215" spans="1:30" s="1502" customFormat="1" ht="34.5" customHeight="1">
      <c r="A215" s="3231">
        <v>196</v>
      </c>
      <c r="B215" s="3816"/>
      <c r="C215" s="3716" t="s">
        <v>1521</v>
      </c>
      <c r="D215" s="3816"/>
      <c r="E215" s="3231" t="s">
        <v>167</v>
      </c>
      <c r="F215" s="3009"/>
      <c r="G215" s="3717"/>
      <c r="H215" s="3231">
        <f t="shared" si="22"/>
        <v>0</v>
      </c>
      <c r="I215" s="3231">
        <f>+VLOOKUP(C215,'Đội 3'!C43:H72,6,0)</f>
        <v>295</v>
      </c>
      <c r="J215" s="3816"/>
      <c r="K215" s="3231">
        <f>+VLOOKUP(C215,'Đội 3'!C43:K72,8,0)</f>
        <v>173.31013138686131</v>
      </c>
      <c r="L215" s="3231" t="str">
        <f>+VLOOKUP(C215,'Đội 3'!C43:L73,10,0)</f>
        <v>B</v>
      </c>
      <c r="M215" s="3231">
        <f>+VLOOKUP(C215,'Đội 3'!C43:M73,11,0)</f>
        <v>649559</v>
      </c>
      <c r="N215" s="3231">
        <f>+VLOOKUP(C215,'Đội 3'!$C$16:$T$46,13,0)</f>
        <v>8</v>
      </c>
      <c r="O215" s="3231">
        <f>+VLOOKUP(C215,'Đội 3'!$C$16:$T$46,14,0)</f>
        <v>2</v>
      </c>
      <c r="P215" s="3231">
        <f t="shared" si="23"/>
        <v>10</v>
      </c>
      <c r="Q215" s="3231">
        <v>0</v>
      </c>
      <c r="R215" s="3231">
        <f>+VLOOKUP(C215,'Đội 3'!$C$16:$T$46,17,0)</f>
        <v>500000</v>
      </c>
      <c r="S215" s="3231">
        <f>+VLOOKUP(C215,'Đội 3'!$C$16:$T$46,18,0)</f>
        <v>1042721</v>
      </c>
      <c r="T215" s="3231">
        <f t="shared" si="24"/>
        <v>1692280</v>
      </c>
      <c r="U215" s="3816"/>
      <c r="V215" s="3231">
        <f t="shared" si="25"/>
        <v>1692280</v>
      </c>
      <c r="W215" s="1499"/>
      <c r="X215" s="1499"/>
      <c r="Y215" s="1500"/>
      <c r="Z215" s="1501"/>
    </row>
    <row r="216" spans="1:30" s="1502" customFormat="1" ht="34.5" customHeight="1">
      <c r="A216" s="3231">
        <v>197</v>
      </c>
      <c r="B216" s="3816"/>
      <c r="C216" s="3716" t="s">
        <v>1522</v>
      </c>
      <c r="D216" s="3816"/>
      <c r="E216" s="3231" t="s">
        <v>167</v>
      </c>
      <c r="F216" s="3009"/>
      <c r="G216" s="3717"/>
      <c r="H216" s="3231">
        <f t="shared" si="22"/>
        <v>0</v>
      </c>
      <c r="I216" s="3231">
        <f>+VLOOKUP(C216,'Đội 3'!C44:H73,6,0)</f>
        <v>403</v>
      </c>
      <c r="J216" s="3816"/>
      <c r="K216" s="3231">
        <f>+VLOOKUP(C216,'Đội 3'!C44:K73,8,0)</f>
        <v>236.75926423357663</v>
      </c>
      <c r="L216" s="3231" t="str">
        <f>+VLOOKUP(C216,'Đội 3'!C44:L74,10,0)</f>
        <v>A</v>
      </c>
      <c r="M216" s="3231">
        <f>+VLOOKUP(C216,'Đội 3'!C44:M74,11,0)</f>
        <v>933262</v>
      </c>
      <c r="N216" s="3231">
        <f>+VLOOKUP(C216,'Đội 3'!$C$16:$T$46,13,0)</f>
        <v>12</v>
      </c>
      <c r="O216" s="3231">
        <f>+VLOOKUP(C216,'Đội 3'!$C$16:$T$46,14,0)</f>
        <v>3</v>
      </c>
      <c r="P216" s="3231">
        <f t="shared" si="23"/>
        <v>15</v>
      </c>
      <c r="Q216" s="3231">
        <v>0</v>
      </c>
      <c r="R216" s="3231">
        <f>+VLOOKUP(C216,'Đội 3'!$C$16:$T$46,17,0)</f>
        <v>500000</v>
      </c>
      <c r="S216" s="3231">
        <f>+VLOOKUP(C216,'Đội 3'!$C$16:$T$46,18,0)</f>
        <v>1314082</v>
      </c>
      <c r="T216" s="3231">
        <f t="shared" si="24"/>
        <v>2247344</v>
      </c>
      <c r="U216" s="3816"/>
      <c r="V216" s="3231">
        <f t="shared" si="25"/>
        <v>2247344</v>
      </c>
      <c r="W216" s="1499"/>
      <c r="X216" s="1499"/>
      <c r="Y216" s="1500"/>
      <c r="Z216" s="1501"/>
    </row>
    <row r="217" spans="1:30" s="1502" customFormat="1" ht="34.5" customHeight="1">
      <c r="A217" s="3231">
        <v>198</v>
      </c>
      <c r="B217" s="3816"/>
      <c r="C217" s="3716" t="s">
        <v>1230</v>
      </c>
      <c r="D217" s="3816"/>
      <c r="E217" s="3231" t="s">
        <v>167</v>
      </c>
      <c r="F217" s="3009"/>
      <c r="G217" s="3717"/>
      <c r="H217" s="3231">
        <f t="shared" si="22"/>
        <v>0</v>
      </c>
      <c r="I217" s="3231">
        <f>+VLOOKUP(C217,'Đội 3'!C45:H74,6,0)</f>
        <v>463</v>
      </c>
      <c r="J217" s="3816"/>
      <c r="K217" s="3231">
        <f>+VLOOKUP(C217,'Đội 3'!C45:K74,8,0)</f>
        <v>272.00878248175184</v>
      </c>
      <c r="L217" s="3231" t="str">
        <f>+VLOOKUP(C217,'Đội 3'!C45:L75,10,0)</f>
        <v>A</v>
      </c>
      <c r="M217" s="3231">
        <f>+VLOOKUP(C217,'Đội 3'!C45:M75,11,0)</f>
        <v>1072210</v>
      </c>
      <c r="N217" s="3231">
        <f>+VLOOKUP(C217,'Đội 3'!$C$16:$T$46,13,0)</f>
        <v>15</v>
      </c>
      <c r="O217" s="3231">
        <f>+VLOOKUP(C217,'Đội 3'!$C$16:$T$46,14,0)</f>
        <v>2</v>
      </c>
      <c r="P217" s="3231">
        <f t="shared" si="23"/>
        <v>17</v>
      </c>
      <c r="Q217" s="3231">
        <v>0</v>
      </c>
      <c r="R217" s="3231">
        <f>+VLOOKUP(C217,'Đội 3'!$C$16:$T$46,17,0)</f>
        <v>500000</v>
      </c>
      <c r="S217" s="3231">
        <f>+VLOOKUP(C217,'Đội 3'!$C$16:$T$46,18,0)</f>
        <v>1394348</v>
      </c>
      <c r="T217" s="3231">
        <f t="shared" si="24"/>
        <v>2466558</v>
      </c>
      <c r="U217" s="3816"/>
      <c r="V217" s="3231">
        <f t="shared" si="25"/>
        <v>2466558</v>
      </c>
      <c r="W217" s="1499"/>
      <c r="X217" s="1499"/>
      <c r="Y217" s="1500"/>
      <c r="Z217" s="1501"/>
    </row>
    <row r="218" spans="1:30" s="1505" customFormat="1" ht="34.5" customHeight="1">
      <c r="A218" s="3231">
        <v>199</v>
      </c>
      <c r="B218" s="3266">
        <v>0</v>
      </c>
      <c r="C218" s="2587" t="s">
        <v>1572</v>
      </c>
      <c r="D218" s="3263"/>
      <c r="E218" s="3227"/>
      <c r="F218" s="3264"/>
      <c r="G218" s="3265"/>
      <c r="H218" s="3231">
        <f t="shared" si="22"/>
        <v>0</v>
      </c>
      <c r="I218" s="3231">
        <f>+VLOOKUP(C218,'Đội 3'!C46:H75,6,0)</f>
        <v>0</v>
      </c>
      <c r="J218" s="3228">
        <f>+Serum!X13</f>
        <v>0</v>
      </c>
      <c r="K218" s="3230">
        <f>+Serum!AG13</f>
        <v>0</v>
      </c>
      <c r="L218" s="3231">
        <f>+VLOOKUP(C218,'Đội 3'!C46:L76,10,0)</f>
        <v>0</v>
      </c>
      <c r="M218" s="3229">
        <f>+VLOOKUP(C218,'Đội 3'!C46:M76,11,0)</f>
        <v>389963</v>
      </c>
      <c r="N218" s="3229">
        <f>+VLOOKUP(C218,'Đội 3'!C46:S76,13,0)</f>
        <v>0</v>
      </c>
      <c r="O218" s="3229">
        <f>+VLOOKUP(C218,'Đội 3'!C46:S76,14,0)</f>
        <v>0</v>
      </c>
      <c r="P218" s="3229">
        <f>+VLOOKUP(C218,'Đội 3'!C46:R76,15,0)</f>
        <v>0</v>
      </c>
      <c r="Q218" s="3231">
        <v>0</v>
      </c>
      <c r="R218" s="3231"/>
      <c r="S218" s="3231">
        <v>0</v>
      </c>
      <c r="T218" s="3228">
        <f>S218+M218+H218</f>
        <v>389963</v>
      </c>
      <c r="U218" s="3228"/>
      <c r="V218" s="3232">
        <f t="shared" ref="V218" si="26">T218-U218</f>
        <v>389963</v>
      </c>
      <c r="W218" s="3228"/>
      <c r="X218" s="3233"/>
      <c r="Y218" s="3233"/>
      <c r="Z218" s="1504"/>
      <c r="AA218" s="1504"/>
      <c r="AB218" s="1503"/>
      <c r="AD218" s="1503"/>
    </row>
    <row r="219" spans="1:30" s="1505" customFormat="1" ht="34.5" customHeight="1">
      <c r="A219" s="3817" t="s">
        <v>61</v>
      </c>
      <c r="B219" s="3818"/>
      <c r="C219" s="3818"/>
      <c r="D219" s="3818"/>
      <c r="E219" s="3818"/>
      <c r="F219" s="3819"/>
      <c r="G219" s="3623">
        <f t="shared" ref="G219:V219" si="27">SUBTOTAL(9,G17:G218)</f>
        <v>0</v>
      </c>
      <c r="H219" s="3624">
        <f t="shared" si="27"/>
        <v>0</v>
      </c>
      <c r="I219" s="3624">
        <f t="shared" si="27"/>
        <v>17514</v>
      </c>
      <c r="J219" s="3624">
        <f t="shared" si="27"/>
        <v>0</v>
      </c>
      <c r="K219" s="3624">
        <f t="shared" si="27"/>
        <v>10146.536000000007</v>
      </c>
      <c r="L219" s="3623">
        <f t="shared" si="27"/>
        <v>0</v>
      </c>
      <c r="M219" s="3624">
        <f t="shared" si="27"/>
        <v>40288061</v>
      </c>
      <c r="N219" s="3624">
        <f t="shared" si="27"/>
        <v>2231</v>
      </c>
      <c r="O219" s="3624">
        <f t="shared" si="27"/>
        <v>450</v>
      </c>
      <c r="P219" s="3624">
        <f t="shared" si="27"/>
        <v>2681</v>
      </c>
      <c r="Q219" s="3624">
        <f t="shared" si="27"/>
        <v>68</v>
      </c>
      <c r="R219" s="3624">
        <f t="shared" si="27"/>
        <v>96500000</v>
      </c>
      <c r="S219" s="3624">
        <f t="shared" si="27"/>
        <v>241631446.75999996</v>
      </c>
      <c r="T219" s="3624">
        <f t="shared" si="27"/>
        <v>281919507.75999999</v>
      </c>
      <c r="U219" s="3624">
        <f t="shared" si="27"/>
        <v>1000000</v>
      </c>
      <c r="V219" s="3624">
        <f t="shared" si="27"/>
        <v>280919507.75999999</v>
      </c>
      <c r="W219" s="3625"/>
      <c r="X219" s="3626"/>
      <c r="Y219" s="3626"/>
      <c r="Z219" s="1504"/>
      <c r="AA219" s="1504"/>
      <c r="AD219" s="1503" t="e">
        <f>+#REF!+#REF!</f>
        <v>#REF!</v>
      </c>
    </row>
    <row r="220" spans="1:30" s="1505" customFormat="1" ht="34.5" customHeight="1">
      <c r="A220" s="4048" t="s">
        <v>2153</v>
      </c>
      <c r="B220" s="4049"/>
      <c r="C220" s="4049"/>
      <c r="D220" s="4049"/>
      <c r="E220" s="4049"/>
      <c r="F220" s="4049"/>
      <c r="G220" s="4049"/>
      <c r="H220" s="4049"/>
      <c r="I220" s="4049"/>
      <c r="J220" s="4049"/>
      <c r="K220" s="4049"/>
      <c r="L220" s="4049"/>
      <c r="M220" s="4049"/>
      <c r="N220" s="4049"/>
      <c r="O220" s="4049"/>
      <c r="P220" s="4049"/>
      <c r="Q220" s="4049"/>
      <c r="R220" s="4049"/>
      <c r="S220" s="4049"/>
      <c r="T220" s="4049"/>
      <c r="U220" s="4049"/>
      <c r="V220" s="4050"/>
      <c r="W220" s="3627"/>
      <c r="X220" s="3627"/>
      <c r="Y220" s="3628"/>
      <c r="Z220" s="1504"/>
      <c r="AA220" s="1504"/>
      <c r="AD220" s="1503"/>
    </row>
    <row r="221" spans="1:30">
      <c r="G221" s="3269" t="e">
        <f>G219-#REF!-#REF!</f>
        <v>#REF!</v>
      </c>
      <c r="I221" s="3814"/>
      <c r="J221" s="3814"/>
      <c r="K221" s="3814"/>
      <c r="L221" s="3814"/>
      <c r="M221" s="3814"/>
      <c r="N221" s="3814"/>
      <c r="O221" s="3814"/>
      <c r="P221" s="3814"/>
      <c r="Q221" s="3814"/>
      <c r="R221" s="3814"/>
      <c r="S221" s="4051" t="s">
        <v>2142</v>
      </c>
      <c r="T221" s="4051"/>
      <c r="U221" s="4051"/>
      <c r="V221" s="4051"/>
      <c r="W221" s="3814"/>
      <c r="X221" s="3814"/>
      <c r="Y221" s="3814"/>
      <c r="Z221" s="3273"/>
      <c r="AA221" s="3274"/>
    </row>
    <row r="222" spans="1:30" s="3275" customFormat="1" ht="18.75">
      <c r="A222" s="4020" t="s">
        <v>502</v>
      </c>
      <c r="B222" s="4020"/>
      <c r="C222" s="4020"/>
      <c r="D222" s="4020"/>
      <c r="E222" s="4020"/>
      <c r="F222" s="4020"/>
      <c r="G222" s="4020"/>
      <c r="H222" s="4020" t="s">
        <v>241</v>
      </c>
      <c r="I222" s="4020"/>
      <c r="J222" s="4020"/>
      <c r="K222" s="4020"/>
      <c r="L222" s="4020"/>
      <c r="M222" s="4020" t="s">
        <v>513</v>
      </c>
      <c r="N222" s="4020"/>
      <c r="O222" s="4020"/>
      <c r="P222" s="4020"/>
      <c r="Q222" s="4020"/>
      <c r="R222" s="4020"/>
      <c r="S222" s="4020"/>
      <c r="T222" s="4020" t="s">
        <v>21</v>
      </c>
      <c r="U222" s="4020"/>
      <c r="V222" s="4020"/>
      <c r="W222" s="4020"/>
      <c r="X222" s="4020"/>
      <c r="Y222" s="4020"/>
    </row>
    <row r="224" spans="1:30">
      <c r="G224" s="3276"/>
      <c r="S224" s="3273"/>
    </row>
    <row r="225" spans="1:26">
      <c r="G225" s="3277"/>
      <c r="K225" s="3278"/>
      <c r="M225" s="3270"/>
      <c r="N225" s="3271"/>
      <c r="O225" s="3271"/>
      <c r="P225" s="3271"/>
      <c r="Q225" s="3271"/>
      <c r="R225" s="3271"/>
      <c r="S225" s="3273"/>
      <c r="T225" s="3542"/>
      <c r="Z225" s="3273"/>
    </row>
    <row r="226" spans="1:26">
      <c r="G226" s="3279"/>
      <c r="I226" s="3279"/>
      <c r="J226" s="3279"/>
      <c r="K226" s="3270"/>
      <c r="M226" s="3270"/>
      <c r="R226" s="3280"/>
      <c r="Z226" s="3273"/>
    </row>
    <row r="227" spans="1:26">
      <c r="I227" s="3273"/>
      <c r="J227" s="3273"/>
      <c r="K227" s="3278"/>
      <c r="S227" s="3273"/>
      <c r="T227" s="3273"/>
    </row>
    <row r="228" spans="1:26">
      <c r="K228" s="3236"/>
      <c r="T228" s="3273"/>
    </row>
    <row r="229" spans="1:26" hidden="1">
      <c r="H229" s="3236">
        <v>199</v>
      </c>
      <c r="K229" s="3270">
        <f>T219/H229</f>
        <v>1416680.9435175878</v>
      </c>
      <c r="O229" s="3280"/>
      <c r="P229" s="3280"/>
      <c r="T229" s="3273"/>
    </row>
    <row r="230" spans="1:26">
      <c r="G230" s="3279"/>
      <c r="K230" s="3278"/>
      <c r="O230" s="3267"/>
      <c r="P230" s="3267"/>
      <c r="Q230" s="3267"/>
      <c r="R230" s="3267"/>
    </row>
    <row r="231" spans="1:26">
      <c r="A231" s="4028"/>
      <c r="B231" s="4029"/>
      <c r="C231" s="4029"/>
      <c r="D231" s="4029"/>
      <c r="E231" s="4029"/>
      <c r="F231" s="4029"/>
      <c r="G231" s="4029"/>
      <c r="S231" s="3273"/>
    </row>
    <row r="232" spans="1:26" ht="18.75">
      <c r="A232" s="4020"/>
      <c r="B232" s="4020"/>
      <c r="C232" s="4020"/>
      <c r="D232" s="4020"/>
      <c r="E232" s="4020"/>
      <c r="F232" s="4020"/>
      <c r="G232" s="4020"/>
      <c r="I232" s="4020"/>
      <c r="J232" s="4020"/>
      <c r="K232" s="4020"/>
      <c r="L232" s="4020"/>
      <c r="M232" s="3270"/>
      <c r="N232" s="3270"/>
      <c r="T232" s="4020"/>
      <c r="U232" s="4020"/>
      <c r="V232" s="4020"/>
      <c r="W232" s="4020"/>
      <c r="X232" s="4020"/>
      <c r="Y232" s="4020"/>
    </row>
    <row r="234" spans="1:26">
      <c r="M234" s="3270"/>
      <c r="N234" s="3270"/>
    </row>
    <row r="236" spans="1:26">
      <c r="M236" s="3270"/>
    </row>
    <row r="237" spans="1:26">
      <c r="N237" s="3270"/>
    </row>
    <row r="241" spans="11:11">
      <c r="K241" s="3281"/>
    </row>
  </sheetData>
  <autoFilter ref="A18:AD222"/>
  <mergeCells count="53">
    <mergeCell ref="A222:G222"/>
    <mergeCell ref="H222:L222"/>
    <mergeCell ref="A220:V220"/>
    <mergeCell ref="S221:V221"/>
    <mergeCell ref="J14:J15"/>
    <mergeCell ref="S14:S15"/>
    <mergeCell ref="P14:P15"/>
    <mergeCell ref="I14:I15"/>
    <mergeCell ref="K14:K15"/>
    <mergeCell ref="N14:N15"/>
    <mergeCell ref="O14:O15"/>
    <mergeCell ref="R14:R15"/>
    <mergeCell ref="A231:G231"/>
    <mergeCell ref="B9:C9"/>
    <mergeCell ref="I232:L232"/>
    <mergeCell ref="A232:G232"/>
    <mergeCell ref="B10:C10"/>
    <mergeCell ref="B12:C15"/>
    <mergeCell ref="D11:E11"/>
    <mergeCell ref="I13:M13"/>
    <mergeCell ref="E12:E15"/>
    <mergeCell ref="A17:E17"/>
    <mergeCell ref="G14:G15"/>
    <mergeCell ref="A12:A15"/>
    <mergeCell ref="F12:F15"/>
    <mergeCell ref="M14:M15"/>
    <mergeCell ref="H14:H15"/>
    <mergeCell ref="G13:H13"/>
    <mergeCell ref="T232:Y232"/>
    <mergeCell ref="Y12:Y15"/>
    <mergeCell ref="U12:U15"/>
    <mergeCell ref="V12:V15"/>
    <mergeCell ref="N13:S13"/>
    <mergeCell ref="W12:W14"/>
    <mergeCell ref="T12:T15"/>
    <mergeCell ref="M222:S222"/>
    <mergeCell ref="T222:Y222"/>
    <mergeCell ref="A1:Y1"/>
    <mergeCell ref="A2:Y2"/>
    <mergeCell ref="U11:Y11"/>
    <mergeCell ref="A7:Y7"/>
    <mergeCell ref="L14:L15"/>
    <mergeCell ref="X12:X14"/>
    <mergeCell ref="D12:D14"/>
    <mergeCell ref="G12:S12"/>
    <mergeCell ref="S4:W4"/>
    <mergeCell ref="S5:W5"/>
    <mergeCell ref="D9:F9"/>
    <mergeCell ref="D10:F10"/>
    <mergeCell ref="A4:H4"/>
    <mergeCell ref="A3:Y3"/>
    <mergeCell ref="A5:H5"/>
    <mergeCell ref="Q14:Q15"/>
  </mergeCells>
  <pageMargins left="0.31" right="0.19685039370078741" top="0.47244094488188981" bottom="0.31496062992125984" header="0.31496062992125984" footer="0.31496062992125984"/>
  <pageSetup paperSize="9" scale="75" fitToWidth="0" fitToHeight="0" orientation="portrait" r:id="rId1"/>
  <colBreaks count="1" manualBreakCount="1">
    <brk id="25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94"/>
  <sheetViews>
    <sheetView zoomScale="80" zoomScaleNormal="80" workbookViewId="0">
      <pane ySplit="13" topLeftCell="A249" activePane="bottomLeft" state="frozen"/>
      <selection pane="bottomLeft" activeCell="K256" sqref="K256:K259"/>
    </sheetView>
  </sheetViews>
  <sheetFormatPr defaultColWidth="9.140625" defaultRowHeight="15.75"/>
  <cols>
    <col min="1" max="1" width="5.85546875" style="4" customWidth="1"/>
    <col min="2" max="2" width="5.5703125" style="4" customWidth="1"/>
    <col min="3" max="3" width="13.5703125" style="4" hidden="1" customWidth="1"/>
    <col min="4" max="4" width="22" style="4" customWidth="1"/>
    <col min="5" max="5" width="10.140625" style="2305" hidden="1" customWidth="1"/>
    <col min="6" max="6" width="10.7109375" style="2299" hidden="1" customWidth="1"/>
    <col min="7" max="7" width="13.7109375" style="2299" customWidth="1"/>
    <col min="8" max="8" width="17" style="4" customWidth="1"/>
    <col min="9" max="9" width="17.85546875" style="6" customWidth="1"/>
    <col min="10" max="10" width="17.7109375" style="2351" customWidth="1"/>
    <col min="11" max="11" width="17.140625" style="4" customWidth="1"/>
    <col min="12" max="12" width="15" style="4" customWidth="1"/>
    <col min="13" max="13" width="9.5703125" style="4" hidden="1" customWidth="1"/>
    <col min="14" max="14" width="14.140625" style="4" hidden="1" customWidth="1"/>
    <col min="15" max="15" width="15.28515625" style="4" hidden="1" customWidth="1"/>
    <col min="16" max="16" width="14.28515625" style="4" hidden="1" customWidth="1"/>
    <col min="17" max="17" width="9.140625" style="4" hidden="1" customWidth="1"/>
    <col min="18" max="18" width="16" style="4" customWidth="1"/>
    <col min="19" max="19" width="16" style="4" hidden="1" customWidth="1"/>
    <col min="20" max="20" width="11.140625" style="4" customWidth="1"/>
    <col min="21" max="21" width="19.5703125" style="4" hidden="1" customWidth="1"/>
    <col min="22" max="22" width="16.42578125" style="4" hidden="1" customWidth="1"/>
    <col min="23" max="23" width="0" style="4" hidden="1" customWidth="1"/>
    <col min="24" max="16384" width="9.140625" style="4"/>
  </cols>
  <sheetData>
    <row r="1" spans="1:20" ht="17.25" customHeight="1">
      <c r="A1" s="3947" t="s">
        <v>23</v>
      </c>
      <c r="B1" s="3947"/>
      <c r="C1" s="3947"/>
      <c r="D1" s="3947"/>
      <c r="E1" s="3947"/>
      <c r="F1" s="3947"/>
      <c r="G1" s="3947"/>
      <c r="H1" s="3947"/>
      <c r="I1" s="3947"/>
      <c r="J1" s="3947"/>
      <c r="K1" s="3947"/>
      <c r="L1" s="3947"/>
      <c r="M1" s="3947"/>
      <c r="N1" s="3947"/>
      <c r="O1" s="3947"/>
      <c r="P1" s="3947"/>
      <c r="Q1" s="3947"/>
      <c r="R1" s="3947"/>
      <c r="S1" s="3947"/>
      <c r="T1" s="3947"/>
    </row>
    <row r="2" spans="1:20" ht="18" customHeight="1">
      <c r="A2" s="3947" t="s">
        <v>45</v>
      </c>
      <c r="B2" s="3947"/>
      <c r="C2" s="3947"/>
      <c r="D2" s="3947"/>
      <c r="E2" s="3947"/>
      <c r="F2" s="3947"/>
      <c r="G2" s="3947"/>
      <c r="H2" s="3947"/>
      <c r="I2" s="3947"/>
      <c r="J2" s="3947"/>
      <c r="K2" s="3947"/>
      <c r="L2" s="3947"/>
      <c r="M2" s="3947"/>
      <c r="N2" s="3947"/>
      <c r="O2" s="3947"/>
      <c r="P2" s="3947"/>
      <c r="Q2" s="3947"/>
      <c r="R2" s="3947"/>
      <c r="S2" s="3947"/>
      <c r="T2" s="3947"/>
    </row>
    <row r="3" spans="1:20" ht="17.25" customHeight="1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</row>
    <row r="4" spans="1:20" ht="17.25" customHeight="1">
      <c r="A4" s="4066" t="s">
        <v>929</v>
      </c>
      <c r="B4" s="4066"/>
      <c r="C4" s="4066"/>
      <c r="D4" s="4066"/>
      <c r="E4" s="4066"/>
      <c r="F4" s="4066"/>
      <c r="G4" s="4066"/>
      <c r="H4" s="4066"/>
      <c r="I4" s="3616"/>
      <c r="J4" s="3616"/>
      <c r="K4" s="79"/>
      <c r="L4" s="79"/>
      <c r="M4" s="79"/>
      <c r="N4" s="79"/>
      <c r="O4" s="79"/>
      <c r="P4" s="79"/>
      <c r="Q4" s="79"/>
      <c r="R4" s="79"/>
      <c r="S4" s="79"/>
      <c r="T4" s="87"/>
    </row>
    <row r="5" spans="1:20" ht="17.25" customHeight="1">
      <c r="A5" s="3947" t="s">
        <v>90</v>
      </c>
      <c r="B5" s="3947"/>
      <c r="C5" s="3947"/>
      <c r="D5" s="3947"/>
      <c r="E5" s="3947"/>
      <c r="F5" s="3947"/>
      <c r="G5" s="3947"/>
      <c r="H5" s="3947"/>
      <c r="I5" s="3620"/>
      <c r="J5" s="2094"/>
      <c r="K5" s="86"/>
      <c r="L5" s="86"/>
      <c r="M5" s="86"/>
      <c r="N5" s="87"/>
      <c r="O5" s="87"/>
      <c r="P5" s="87"/>
      <c r="Q5" s="87"/>
      <c r="R5" s="88"/>
      <c r="S5" s="88"/>
      <c r="T5" s="87"/>
    </row>
    <row r="6" spans="1:20" ht="17.25" customHeight="1">
      <c r="A6" s="2299"/>
      <c r="B6" s="2382"/>
      <c r="C6" s="2300"/>
      <c r="D6" s="2301"/>
      <c r="E6" s="2301"/>
      <c r="F6" s="2301"/>
      <c r="G6" s="2301"/>
      <c r="H6" s="2301"/>
      <c r="I6" s="3621"/>
      <c r="K6" s="8"/>
      <c r="L6" s="8"/>
      <c r="M6" s="8"/>
      <c r="R6" s="9"/>
      <c r="S6" s="9"/>
    </row>
    <row r="7" spans="1:20" s="10" customFormat="1" ht="21.75" customHeight="1">
      <c r="A7" s="4070" t="s">
        <v>2308</v>
      </c>
      <c r="B7" s="4070"/>
      <c r="C7" s="4070"/>
      <c r="D7" s="4070"/>
      <c r="E7" s="4070"/>
      <c r="F7" s="4070"/>
      <c r="G7" s="4070"/>
      <c r="H7" s="4070"/>
      <c r="I7" s="4070"/>
      <c r="J7" s="4070"/>
      <c r="K7" s="4070"/>
      <c r="L7" s="4070"/>
      <c r="M7" s="4070"/>
      <c r="N7" s="4070"/>
      <c r="O7" s="4070"/>
      <c r="P7" s="4070"/>
      <c r="Q7" s="4070"/>
      <c r="R7" s="4070"/>
      <c r="S7" s="4070"/>
      <c r="T7" s="4070"/>
    </row>
    <row r="8" spans="1:20" s="10" customFormat="1" ht="9.75" customHeight="1">
      <c r="A8" s="4071"/>
      <c r="B8" s="4071"/>
      <c r="C8" s="4071"/>
      <c r="D8" s="4071"/>
      <c r="E8" s="4071"/>
      <c r="F8" s="4071"/>
      <c r="G8" s="4071"/>
      <c r="H8" s="4071"/>
      <c r="I8" s="4071"/>
      <c r="J8" s="4071"/>
      <c r="K8" s="4071"/>
      <c r="L8" s="4071"/>
      <c r="M8" s="4071"/>
      <c r="N8" s="4071"/>
      <c r="O8" s="4071"/>
      <c r="P8" s="4071"/>
      <c r="Q8" s="4071"/>
      <c r="R8" s="4071"/>
      <c r="S8" s="4071"/>
      <c r="T8" s="4071"/>
    </row>
    <row r="9" spans="1:20" ht="15" hidden="1" customHeight="1">
      <c r="A9" s="59"/>
      <c r="B9" s="59"/>
      <c r="D9" s="2350" t="s">
        <v>438</v>
      </c>
      <c r="E9" s="4058">
        <v>22140</v>
      </c>
      <c r="F9" s="4058"/>
      <c r="G9" s="4058"/>
      <c r="H9" s="60"/>
      <c r="I9" s="61"/>
      <c r="J9" s="2352"/>
      <c r="K9" s="63"/>
      <c r="L9" s="63"/>
      <c r="M9" s="63"/>
      <c r="N9" s="58"/>
      <c r="O9" s="58"/>
      <c r="P9" s="58"/>
      <c r="Q9" s="58"/>
      <c r="R9" s="57"/>
      <c r="S9" s="57"/>
    </row>
    <row r="10" spans="1:20" ht="17.25" hidden="1" customHeight="1">
      <c r="A10" s="59"/>
      <c r="B10" s="59"/>
      <c r="C10" s="4072" t="s">
        <v>439</v>
      </c>
      <c r="D10" s="4072"/>
      <c r="E10" s="4059">
        <v>1.0327999999999999</v>
      </c>
      <c r="F10" s="4059"/>
      <c r="G10" s="4059"/>
      <c r="H10" s="60"/>
      <c r="I10" s="61"/>
      <c r="J10" s="2352"/>
      <c r="K10" s="63"/>
      <c r="L10" s="63"/>
      <c r="M10" s="63"/>
      <c r="N10" s="58"/>
      <c r="O10" s="58"/>
      <c r="P10" s="58"/>
      <c r="Q10" s="58"/>
      <c r="R10" s="57"/>
      <c r="S10" s="57"/>
    </row>
    <row r="11" spans="1:20" ht="17.25" hidden="1" customHeight="1">
      <c r="A11" s="11"/>
      <c r="B11" s="11"/>
      <c r="C11" s="2353"/>
      <c r="D11" s="2353" t="s">
        <v>1413</v>
      </c>
      <c r="E11" s="2354"/>
      <c r="F11" s="4068">
        <f>+VCKD!D11</f>
        <v>646.20000000000005</v>
      </c>
      <c r="G11" s="4068"/>
      <c r="H11" s="12"/>
      <c r="I11" s="13"/>
      <c r="J11" s="2355"/>
      <c r="K11" s="15"/>
      <c r="L11" s="15"/>
      <c r="M11" s="15"/>
      <c r="N11" s="16"/>
      <c r="O11" s="16"/>
      <c r="P11" s="16"/>
      <c r="Q11" s="16"/>
      <c r="R11" s="4061" t="s">
        <v>1655</v>
      </c>
      <c r="S11" s="4061"/>
      <c r="T11" s="4061"/>
    </row>
    <row r="12" spans="1:20" s="44" customFormat="1" ht="17.25" customHeight="1">
      <c r="A12" s="4075" t="s">
        <v>0</v>
      </c>
      <c r="B12" s="4076"/>
      <c r="C12" s="4062" t="s">
        <v>1852</v>
      </c>
      <c r="D12" s="4064" t="s">
        <v>1</v>
      </c>
      <c r="E12" s="4067" t="s">
        <v>64</v>
      </c>
      <c r="F12" s="4069" t="s">
        <v>2</v>
      </c>
      <c r="G12" s="4069" t="s">
        <v>46</v>
      </c>
      <c r="H12" s="4079" t="s">
        <v>182</v>
      </c>
      <c r="I12" s="4081" t="s">
        <v>183</v>
      </c>
      <c r="J12" s="4081" t="s">
        <v>2309</v>
      </c>
      <c r="K12" s="4060" t="s">
        <v>1658</v>
      </c>
      <c r="L12" s="4060" t="s">
        <v>1549</v>
      </c>
      <c r="M12" s="4060" t="s">
        <v>834</v>
      </c>
      <c r="N12" s="4060" t="s">
        <v>1138</v>
      </c>
      <c r="O12" s="4073" t="s">
        <v>1854</v>
      </c>
      <c r="P12" s="4060" t="s">
        <v>1642</v>
      </c>
      <c r="Q12" s="4060" t="s">
        <v>78</v>
      </c>
      <c r="R12" s="4060" t="s">
        <v>1570</v>
      </c>
      <c r="S12" s="4073" t="s">
        <v>9</v>
      </c>
      <c r="T12" s="4057" t="s">
        <v>92</v>
      </c>
    </row>
    <row r="13" spans="1:20" s="44" customFormat="1" ht="72.75" customHeight="1">
      <c r="A13" s="4077"/>
      <c r="B13" s="4078"/>
      <c r="C13" s="4063"/>
      <c r="D13" s="4065"/>
      <c r="E13" s="4067"/>
      <c r="F13" s="4067"/>
      <c r="G13" s="4067"/>
      <c r="H13" s="4080"/>
      <c r="I13" s="4081"/>
      <c r="J13" s="4081"/>
      <c r="K13" s="4060"/>
      <c r="L13" s="4060"/>
      <c r="M13" s="4060"/>
      <c r="N13" s="4060"/>
      <c r="O13" s="4074"/>
      <c r="P13" s="4060"/>
      <c r="Q13" s="4060"/>
      <c r="R13" s="4060"/>
      <c r="S13" s="4074"/>
      <c r="T13" s="4057"/>
    </row>
    <row r="14" spans="1:20" s="2411" customFormat="1" ht="18.75" customHeight="1">
      <c r="A14" s="4096" t="s">
        <v>1398</v>
      </c>
      <c r="B14" s="4097"/>
      <c r="C14" s="4097"/>
      <c r="D14" s="4097"/>
      <c r="E14" s="4097"/>
      <c r="F14" s="4097"/>
      <c r="G14" s="4098"/>
      <c r="H14" s="2376">
        <f>SUBTOTAL(9,H15:H47)</f>
        <v>85800000</v>
      </c>
      <c r="I14" s="3617">
        <f t="shared" ref="I14:R14" si="0">SUBTOTAL(9,I15:I47)</f>
        <v>0</v>
      </c>
      <c r="J14" s="3617">
        <f t="shared" si="0"/>
        <v>0</v>
      </c>
      <c r="K14" s="3635">
        <f t="shared" si="0"/>
        <v>85800000</v>
      </c>
      <c r="L14" s="3519">
        <f t="shared" si="0"/>
        <v>0</v>
      </c>
      <c r="M14" s="3519">
        <f t="shared" si="0"/>
        <v>0</v>
      </c>
      <c r="N14" s="3519">
        <f t="shared" si="0"/>
        <v>0</v>
      </c>
      <c r="O14" s="3519">
        <f t="shared" si="0"/>
        <v>85800000</v>
      </c>
      <c r="P14" s="3519">
        <f t="shared" si="0"/>
        <v>0</v>
      </c>
      <c r="Q14" s="3519">
        <f t="shared" si="0"/>
        <v>0</v>
      </c>
      <c r="R14" s="3519">
        <f t="shared" si="0"/>
        <v>85800000</v>
      </c>
      <c r="S14" s="2386"/>
      <c r="T14" s="2356"/>
    </row>
    <row r="15" spans="1:20" s="41" customFormat="1" ht="23.25" customHeight="1">
      <c r="A15" s="2698">
        <v>1</v>
      </c>
      <c r="B15" s="2698">
        <v>1</v>
      </c>
      <c r="C15" s="2698"/>
      <c r="D15" s="2699" t="s">
        <v>426</v>
      </c>
      <c r="E15" s="2698"/>
      <c r="F15" s="2698"/>
      <c r="G15" s="2698" t="s">
        <v>54</v>
      </c>
      <c r="H15" s="2700">
        <f>+VLOOKUP(D15,BVNT!C13:K44,9,0)</f>
        <v>2600000</v>
      </c>
      <c r="I15" s="3618"/>
      <c r="J15" s="3618"/>
      <c r="K15" s="2700">
        <f t="shared" ref="K15:K47" si="1">+H15+I15+J15</f>
        <v>2600000</v>
      </c>
      <c r="L15" s="2700"/>
      <c r="M15" s="2700"/>
      <c r="N15" s="2700"/>
      <c r="O15" s="2700">
        <f>+K15-L15</f>
        <v>2600000</v>
      </c>
      <c r="P15" s="2700"/>
      <c r="Q15" s="2700"/>
      <c r="R15" s="2700">
        <f>+O15-P15</f>
        <v>2600000</v>
      </c>
      <c r="S15" s="2701"/>
      <c r="T15" s="2702"/>
    </row>
    <row r="16" spans="1:20" s="41" customFormat="1" ht="23.25" customHeight="1">
      <c r="A16" s="2698">
        <v>2</v>
      </c>
      <c r="B16" s="2698">
        <v>2</v>
      </c>
      <c r="C16" s="2698"/>
      <c r="D16" s="2699" t="s">
        <v>519</v>
      </c>
      <c r="E16" s="2698"/>
      <c r="F16" s="2698"/>
      <c r="G16" s="2698" t="s">
        <v>54</v>
      </c>
      <c r="H16" s="2700">
        <f>+VLOOKUP(D16,BVNT!C14:K45,9,0)</f>
        <v>2600000</v>
      </c>
      <c r="I16" s="3618"/>
      <c r="J16" s="3618"/>
      <c r="K16" s="2700">
        <f t="shared" si="1"/>
        <v>2600000</v>
      </c>
      <c r="L16" s="2700"/>
      <c r="M16" s="2700"/>
      <c r="N16" s="2700"/>
      <c r="O16" s="2700">
        <f t="shared" ref="O16:O47" si="2">+K16-L16</f>
        <v>2600000</v>
      </c>
      <c r="P16" s="2700"/>
      <c r="Q16" s="2700"/>
      <c r="R16" s="2700">
        <f t="shared" ref="R16:R47" si="3">+O16-P16</f>
        <v>2600000</v>
      </c>
      <c r="S16" s="2701"/>
      <c r="T16" s="2702"/>
    </row>
    <row r="17" spans="1:20" s="41" customFormat="1" ht="23.25" customHeight="1">
      <c r="A17" s="2698">
        <v>3</v>
      </c>
      <c r="B17" s="2698">
        <v>3</v>
      </c>
      <c r="C17" s="2698"/>
      <c r="D17" s="2699" t="s">
        <v>1483</v>
      </c>
      <c r="E17" s="2698"/>
      <c r="F17" s="2698"/>
      <c r="G17" s="2698" t="s">
        <v>54</v>
      </c>
      <c r="H17" s="2700">
        <f>+VLOOKUP(D17,BVNT!C15:K46,9,0)</f>
        <v>2600000</v>
      </c>
      <c r="I17" s="3618"/>
      <c r="J17" s="3618"/>
      <c r="K17" s="2700">
        <f t="shared" si="1"/>
        <v>2600000</v>
      </c>
      <c r="L17" s="2700"/>
      <c r="M17" s="2700"/>
      <c r="N17" s="2700"/>
      <c r="O17" s="2700">
        <f t="shared" si="2"/>
        <v>2600000</v>
      </c>
      <c r="P17" s="2700"/>
      <c r="Q17" s="2700"/>
      <c r="R17" s="2700">
        <f t="shared" si="3"/>
        <v>2600000</v>
      </c>
      <c r="S17" s="2701"/>
      <c r="T17" s="2702"/>
    </row>
    <row r="18" spans="1:20" s="41" customFormat="1" ht="23.25" customHeight="1">
      <c r="A18" s="2698">
        <v>4</v>
      </c>
      <c r="B18" s="2698">
        <v>4</v>
      </c>
      <c r="C18" s="2698"/>
      <c r="D18" s="2699" t="s">
        <v>1484</v>
      </c>
      <c r="E18" s="2698"/>
      <c r="F18" s="2698"/>
      <c r="G18" s="2698" t="s">
        <v>54</v>
      </c>
      <c r="H18" s="2700">
        <f>+VLOOKUP(D18,BVNT!C16:K47,9,0)</f>
        <v>2600000</v>
      </c>
      <c r="I18" s="3618"/>
      <c r="J18" s="3618"/>
      <c r="K18" s="2700">
        <f t="shared" si="1"/>
        <v>2600000</v>
      </c>
      <c r="L18" s="2700"/>
      <c r="M18" s="2700"/>
      <c r="N18" s="2700"/>
      <c r="O18" s="2700">
        <f t="shared" si="2"/>
        <v>2600000</v>
      </c>
      <c r="P18" s="2700"/>
      <c r="Q18" s="2700"/>
      <c r="R18" s="2700">
        <f t="shared" si="3"/>
        <v>2600000</v>
      </c>
      <c r="S18" s="2701"/>
      <c r="T18" s="2702"/>
    </row>
    <row r="19" spans="1:20" s="41" customFormat="1" ht="23.25" customHeight="1">
      <c r="A19" s="2698">
        <v>5</v>
      </c>
      <c r="B19" s="2698">
        <v>5</v>
      </c>
      <c r="C19" s="2698"/>
      <c r="D19" s="2699" t="s">
        <v>1434</v>
      </c>
      <c r="E19" s="2698"/>
      <c r="F19" s="2698"/>
      <c r="G19" s="2698" t="s">
        <v>54</v>
      </c>
      <c r="H19" s="2700">
        <f>+VLOOKUP(D19,BVNT!C17:K48,9,0)</f>
        <v>2600000</v>
      </c>
      <c r="I19" s="3618"/>
      <c r="J19" s="3618"/>
      <c r="K19" s="2700">
        <f t="shared" si="1"/>
        <v>2600000</v>
      </c>
      <c r="L19" s="2700"/>
      <c r="M19" s="2700"/>
      <c r="N19" s="2700"/>
      <c r="O19" s="2700">
        <f t="shared" si="2"/>
        <v>2600000</v>
      </c>
      <c r="P19" s="2700"/>
      <c r="Q19" s="2700"/>
      <c r="R19" s="2700">
        <f t="shared" si="3"/>
        <v>2600000</v>
      </c>
      <c r="S19" s="2701"/>
      <c r="T19" s="2702"/>
    </row>
    <row r="20" spans="1:20" s="41" customFormat="1" ht="23.25" customHeight="1">
      <c r="A20" s="2698">
        <v>6</v>
      </c>
      <c r="B20" s="2698">
        <v>6</v>
      </c>
      <c r="C20" s="2698"/>
      <c r="D20" s="2699" t="s">
        <v>169</v>
      </c>
      <c r="E20" s="2698"/>
      <c r="F20" s="2698"/>
      <c r="G20" s="2698" t="s">
        <v>54</v>
      </c>
      <c r="H20" s="2700">
        <f>+VLOOKUP(D20,BVNT!C18:K49,9,0)</f>
        <v>2600000</v>
      </c>
      <c r="I20" s="3618"/>
      <c r="J20" s="3618"/>
      <c r="K20" s="2700">
        <f t="shared" si="1"/>
        <v>2600000</v>
      </c>
      <c r="L20" s="2700"/>
      <c r="M20" s="2700"/>
      <c r="N20" s="2700"/>
      <c r="O20" s="2700">
        <f t="shared" si="2"/>
        <v>2600000</v>
      </c>
      <c r="P20" s="2700"/>
      <c r="Q20" s="2700"/>
      <c r="R20" s="2700">
        <f t="shared" si="3"/>
        <v>2600000</v>
      </c>
      <c r="S20" s="2701"/>
      <c r="T20" s="2702"/>
    </row>
    <row r="21" spans="1:20" s="41" customFormat="1" ht="23.25" customHeight="1">
      <c r="A21" s="2698">
        <v>7</v>
      </c>
      <c r="B21" s="2698">
        <v>7</v>
      </c>
      <c r="C21" s="2698"/>
      <c r="D21" s="2699" t="s">
        <v>1435</v>
      </c>
      <c r="E21" s="2698"/>
      <c r="F21" s="2698"/>
      <c r="G21" s="2698" t="s">
        <v>54</v>
      </c>
      <c r="H21" s="2700">
        <f>+VLOOKUP(D21,BVNT!C19:K50,9,0)</f>
        <v>2600000</v>
      </c>
      <c r="I21" s="3618"/>
      <c r="J21" s="3618"/>
      <c r="K21" s="2700">
        <f t="shared" si="1"/>
        <v>2600000</v>
      </c>
      <c r="L21" s="2700"/>
      <c r="M21" s="2700"/>
      <c r="N21" s="2700"/>
      <c r="O21" s="2700">
        <f t="shared" si="2"/>
        <v>2600000</v>
      </c>
      <c r="P21" s="2700"/>
      <c r="Q21" s="2700"/>
      <c r="R21" s="2700">
        <f t="shared" si="3"/>
        <v>2600000</v>
      </c>
      <c r="S21" s="2701"/>
      <c r="T21" s="2702"/>
    </row>
    <row r="22" spans="1:20" s="41" customFormat="1" ht="23.25" customHeight="1">
      <c r="A22" s="2698">
        <v>8</v>
      </c>
      <c r="B22" s="2698">
        <v>8</v>
      </c>
      <c r="C22" s="2698"/>
      <c r="D22" s="2699" t="s">
        <v>1485</v>
      </c>
      <c r="E22" s="2698"/>
      <c r="F22" s="2698"/>
      <c r="G22" s="2698" t="s">
        <v>54</v>
      </c>
      <c r="H22" s="2700">
        <f>+VLOOKUP(D22,BVNT!C20:K51,9,0)</f>
        <v>2600000</v>
      </c>
      <c r="I22" s="3618"/>
      <c r="J22" s="3618"/>
      <c r="K22" s="2700">
        <f t="shared" si="1"/>
        <v>2600000</v>
      </c>
      <c r="L22" s="2700"/>
      <c r="M22" s="2700"/>
      <c r="N22" s="2700"/>
      <c r="O22" s="2700">
        <f t="shared" si="2"/>
        <v>2600000</v>
      </c>
      <c r="P22" s="2700"/>
      <c r="Q22" s="2700"/>
      <c r="R22" s="2700">
        <f t="shared" si="3"/>
        <v>2600000</v>
      </c>
      <c r="S22" s="2701"/>
      <c r="T22" s="2702"/>
    </row>
    <row r="23" spans="1:20" s="41" customFormat="1" ht="23.25" customHeight="1">
      <c r="A23" s="2698">
        <v>9</v>
      </c>
      <c r="B23" s="2698">
        <v>9</v>
      </c>
      <c r="C23" s="2698"/>
      <c r="D23" s="2699" t="s">
        <v>1433</v>
      </c>
      <c r="E23" s="2698"/>
      <c r="F23" s="2698"/>
      <c r="G23" s="2698" t="s">
        <v>54</v>
      </c>
      <c r="H23" s="2700">
        <f>+VLOOKUP(D23,BVNT!C21:K52,9,0)</f>
        <v>2600000</v>
      </c>
      <c r="I23" s="3618"/>
      <c r="J23" s="3618"/>
      <c r="K23" s="2700">
        <f t="shared" si="1"/>
        <v>2600000</v>
      </c>
      <c r="L23" s="2700"/>
      <c r="M23" s="2700"/>
      <c r="N23" s="2700"/>
      <c r="O23" s="2700">
        <f t="shared" si="2"/>
        <v>2600000</v>
      </c>
      <c r="P23" s="2700"/>
      <c r="Q23" s="2700"/>
      <c r="R23" s="2700">
        <f t="shared" si="3"/>
        <v>2600000</v>
      </c>
      <c r="S23" s="2701"/>
      <c r="T23" s="2702"/>
    </row>
    <row r="24" spans="1:20" s="41" customFormat="1" ht="23.25" customHeight="1">
      <c r="A24" s="2698">
        <v>10</v>
      </c>
      <c r="B24" s="2698">
        <v>10</v>
      </c>
      <c r="C24" s="2698"/>
      <c r="D24" s="2699" t="s">
        <v>1486</v>
      </c>
      <c r="E24" s="2698"/>
      <c r="F24" s="2698"/>
      <c r="G24" s="2698" t="s">
        <v>54</v>
      </c>
      <c r="H24" s="2700">
        <f>+VLOOKUP(D24,BVNT!C22:K53,9,0)</f>
        <v>2600000</v>
      </c>
      <c r="I24" s="3618"/>
      <c r="J24" s="3618"/>
      <c r="K24" s="2700">
        <f t="shared" si="1"/>
        <v>2600000</v>
      </c>
      <c r="L24" s="2700"/>
      <c r="M24" s="2700"/>
      <c r="N24" s="2700"/>
      <c r="O24" s="2700">
        <f t="shared" si="2"/>
        <v>2600000</v>
      </c>
      <c r="P24" s="2700"/>
      <c r="Q24" s="2700"/>
      <c r="R24" s="2700">
        <f t="shared" si="3"/>
        <v>2600000</v>
      </c>
      <c r="S24" s="2701"/>
      <c r="T24" s="2702"/>
    </row>
    <row r="25" spans="1:20" s="41" customFormat="1" ht="23.25" customHeight="1">
      <c r="A25" s="2698">
        <v>11</v>
      </c>
      <c r="B25" s="2698">
        <v>11</v>
      </c>
      <c r="C25" s="2698"/>
      <c r="D25" s="2699" t="s">
        <v>2078</v>
      </c>
      <c r="E25" s="2698"/>
      <c r="F25" s="2698"/>
      <c r="G25" s="2698" t="s">
        <v>2093</v>
      </c>
      <c r="H25" s="2700">
        <f>+VLOOKUP(D25,BVNT!C23:K54,9,0)</f>
        <v>2600000</v>
      </c>
      <c r="I25" s="3618"/>
      <c r="J25" s="3618"/>
      <c r="K25" s="2700">
        <f t="shared" si="1"/>
        <v>2600000</v>
      </c>
      <c r="L25" s="2700"/>
      <c r="M25" s="2700"/>
      <c r="N25" s="2700"/>
      <c r="O25" s="2700">
        <f t="shared" si="2"/>
        <v>2600000</v>
      </c>
      <c r="P25" s="2700"/>
      <c r="Q25" s="2700"/>
      <c r="R25" s="2700">
        <f t="shared" si="3"/>
        <v>2600000</v>
      </c>
      <c r="S25" s="2701"/>
      <c r="T25" s="3529"/>
    </row>
    <row r="26" spans="1:20" s="41" customFormat="1" ht="23.25" customHeight="1">
      <c r="A26" s="2698">
        <v>12</v>
      </c>
      <c r="B26" s="2698">
        <v>12</v>
      </c>
      <c r="C26" s="2698"/>
      <c r="D26" s="2699" t="s">
        <v>2079</v>
      </c>
      <c r="E26" s="2698"/>
      <c r="F26" s="2698"/>
      <c r="G26" s="2698" t="s">
        <v>2093</v>
      </c>
      <c r="H26" s="2700">
        <f>+VLOOKUP(D26,BVNT!C24:K55,9,0)</f>
        <v>2600000</v>
      </c>
      <c r="I26" s="3618"/>
      <c r="J26" s="3618"/>
      <c r="K26" s="2700">
        <f t="shared" si="1"/>
        <v>2600000</v>
      </c>
      <c r="L26" s="2700"/>
      <c r="M26" s="2700"/>
      <c r="N26" s="2700"/>
      <c r="O26" s="2700">
        <f t="shared" si="2"/>
        <v>2600000</v>
      </c>
      <c r="P26" s="2700"/>
      <c r="Q26" s="2700"/>
      <c r="R26" s="2700">
        <f t="shared" si="3"/>
        <v>2600000</v>
      </c>
      <c r="S26" s="2701"/>
      <c r="T26" s="3529"/>
    </row>
    <row r="27" spans="1:20" s="41" customFormat="1" ht="23.25" customHeight="1">
      <c r="A27" s="2698">
        <v>13</v>
      </c>
      <c r="B27" s="2698">
        <v>13</v>
      </c>
      <c r="C27" s="2698"/>
      <c r="D27" s="2699" t="s">
        <v>2080</v>
      </c>
      <c r="E27" s="2698"/>
      <c r="F27" s="2698"/>
      <c r="G27" s="2698" t="s">
        <v>2093</v>
      </c>
      <c r="H27" s="2700">
        <f>+VLOOKUP(D27,BVNT!C25:K56,9,0)</f>
        <v>2600000</v>
      </c>
      <c r="I27" s="3618"/>
      <c r="J27" s="3618"/>
      <c r="K27" s="2700">
        <f t="shared" si="1"/>
        <v>2600000</v>
      </c>
      <c r="L27" s="2700"/>
      <c r="M27" s="2700"/>
      <c r="N27" s="2700"/>
      <c r="O27" s="2700">
        <f t="shared" si="2"/>
        <v>2600000</v>
      </c>
      <c r="P27" s="2700"/>
      <c r="Q27" s="2700"/>
      <c r="R27" s="2700">
        <f t="shared" si="3"/>
        <v>2600000</v>
      </c>
      <c r="S27" s="2701"/>
      <c r="T27" s="3529"/>
    </row>
    <row r="28" spans="1:20" s="41" customFormat="1" ht="23.25" customHeight="1">
      <c r="A28" s="2698">
        <v>14</v>
      </c>
      <c r="B28" s="2698">
        <v>14</v>
      </c>
      <c r="C28" s="2698"/>
      <c r="D28" s="2699" t="s">
        <v>1010</v>
      </c>
      <c r="E28" s="2698"/>
      <c r="F28" s="2698"/>
      <c r="G28" s="2698" t="s">
        <v>2093</v>
      </c>
      <c r="H28" s="2700">
        <f>+VLOOKUP(D28,BVNT!C26:K57,9,0)</f>
        <v>2600000</v>
      </c>
      <c r="I28" s="3618"/>
      <c r="J28" s="3618"/>
      <c r="K28" s="2700">
        <f t="shared" si="1"/>
        <v>2600000</v>
      </c>
      <c r="L28" s="2700"/>
      <c r="M28" s="2700"/>
      <c r="N28" s="2700"/>
      <c r="O28" s="2700">
        <f t="shared" si="2"/>
        <v>2600000</v>
      </c>
      <c r="P28" s="2700"/>
      <c r="Q28" s="2700"/>
      <c r="R28" s="2700">
        <f t="shared" si="3"/>
        <v>2600000</v>
      </c>
      <c r="S28" s="2701"/>
      <c r="T28" s="3529"/>
    </row>
    <row r="29" spans="1:20" s="41" customFormat="1" ht="23.25" customHeight="1">
      <c r="A29" s="2698">
        <v>15</v>
      </c>
      <c r="B29" s="2698">
        <v>15</v>
      </c>
      <c r="C29" s="2698"/>
      <c r="D29" s="2699" t="s">
        <v>2081</v>
      </c>
      <c r="E29" s="2698"/>
      <c r="F29" s="2698"/>
      <c r="G29" s="2698" t="s">
        <v>2093</v>
      </c>
      <c r="H29" s="2700">
        <f>+VLOOKUP(D29,BVNT!C27:K58,9,0)</f>
        <v>2600000</v>
      </c>
      <c r="I29" s="3618"/>
      <c r="J29" s="3618"/>
      <c r="K29" s="2700">
        <f t="shared" si="1"/>
        <v>2600000</v>
      </c>
      <c r="L29" s="2700"/>
      <c r="M29" s="2700"/>
      <c r="N29" s="2700"/>
      <c r="O29" s="2700">
        <f t="shared" si="2"/>
        <v>2600000</v>
      </c>
      <c r="P29" s="2700"/>
      <c r="Q29" s="2700"/>
      <c r="R29" s="2700">
        <f t="shared" si="3"/>
        <v>2600000</v>
      </c>
      <c r="S29" s="2701"/>
      <c r="T29" s="3529"/>
    </row>
    <row r="30" spans="1:20" s="41" customFormat="1" ht="23.25" customHeight="1">
      <c r="A30" s="2698">
        <v>16</v>
      </c>
      <c r="B30" s="2698">
        <v>16</v>
      </c>
      <c r="C30" s="2698"/>
      <c r="D30" s="2699" t="s">
        <v>2082</v>
      </c>
      <c r="E30" s="2698"/>
      <c r="F30" s="2698"/>
      <c r="G30" s="2698" t="s">
        <v>2093</v>
      </c>
      <c r="H30" s="2700">
        <f>+VLOOKUP(D30,BVNT!C28:K59,9,0)</f>
        <v>2600000</v>
      </c>
      <c r="I30" s="3618"/>
      <c r="J30" s="3618"/>
      <c r="K30" s="2700">
        <f t="shared" si="1"/>
        <v>2600000</v>
      </c>
      <c r="L30" s="2700"/>
      <c r="M30" s="2700"/>
      <c r="N30" s="2700"/>
      <c r="O30" s="2700">
        <f t="shared" si="2"/>
        <v>2600000</v>
      </c>
      <c r="P30" s="2700"/>
      <c r="Q30" s="2700"/>
      <c r="R30" s="2700">
        <f t="shared" si="3"/>
        <v>2600000</v>
      </c>
      <c r="S30" s="2701"/>
      <c r="T30" s="3529"/>
    </row>
    <row r="31" spans="1:20" s="41" customFormat="1" ht="23.25" customHeight="1">
      <c r="A31" s="2698">
        <v>17</v>
      </c>
      <c r="B31" s="2698">
        <v>17</v>
      </c>
      <c r="C31" s="2698"/>
      <c r="D31" s="2699" t="s">
        <v>2083</v>
      </c>
      <c r="E31" s="2698"/>
      <c r="F31" s="2698"/>
      <c r="G31" s="2698" t="s">
        <v>2093</v>
      </c>
      <c r="H31" s="2700">
        <f>+VLOOKUP(D31,BVNT!C29:K60,9,0)</f>
        <v>2600000</v>
      </c>
      <c r="I31" s="3618"/>
      <c r="J31" s="3618"/>
      <c r="K31" s="2700">
        <f t="shared" si="1"/>
        <v>2600000</v>
      </c>
      <c r="L31" s="2700"/>
      <c r="M31" s="2700"/>
      <c r="N31" s="2700"/>
      <c r="O31" s="2700">
        <f t="shared" si="2"/>
        <v>2600000</v>
      </c>
      <c r="P31" s="2700"/>
      <c r="Q31" s="2700"/>
      <c r="R31" s="2700">
        <f t="shared" si="3"/>
        <v>2600000</v>
      </c>
      <c r="S31" s="2701"/>
      <c r="T31" s="3529"/>
    </row>
    <row r="32" spans="1:20" s="41" customFormat="1" ht="23.25" customHeight="1">
      <c r="A32" s="2698">
        <v>18</v>
      </c>
      <c r="B32" s="2698">
        <v>18</v>
      </c>
      <c r="C32" s="2698"/>
      <c r="D32" s="2699" t="s">
        <v>2084</v>
      </c>
      <c r="E32" s="2698"/>
      <c r="F32" s="2698"/>
      <c r="G32" s="2698" t="s">
        <v>2093</v>
      </c>
      <c r="H32" s="2700">
        <f>+VLOOKUP(D32,BVNT!C30:K61,9,0)</f>
        <v>2600000</v>
      </c>
      <c r="I32" s="3618"/>
      <c r="J32" s="3618"/>
      <c r="K32" s="2700">
        <f t="shared" si="1"/>
        <v>2600000</v>
      </c>
      <c r="L32" s="2700"/>
      <c r="M32" s="2700"/>
      <c r="N32" s="2700"/>
      <c r="O32" s="2700">
        <f t="shared" si="2"/>
        <v>2600000</v>
      </c>
      <c r="P32" s="2700"/>
      <c r="Q32" s="2700"/>
      <c r="R32" s="2700">
        <f t="shared" si="3"/>
        <v>2600000</v>
      </c>
      <c r="S32" s="2701"/>
      <c r="T32" s="3529"/>
    </row>
    <row r="33" spans="1:24" s="41" customFormat="1" ht="23.25" customHeight="1">
      <c r="A33" s="2698">
        <v>19</v>
      </c>
      <c r="B33" s="2698">
        <v>19</v>
      </c>
      <c r="C33" s="2698"/>
      <c r="D33" s="2699" t="s">
        <v>2085</v>
      </c>
      <c r="E33" s="2698"/>
      <c r="F33" s="2698"/>
      <c r="G33" s="2698" t="s">
        <v>2093</v>
      </c>
      <c r="H33" s="2700">
        <f>+VLOOKUP(D33,BVNT!C31:K62,9,0)</f>
        <v>2600000</v>
      </c>
      <c r="I33" s="3618"/>
      <c r="J33" s="3618"/>
      <c r="K33" s="2700">
        <f t="shared" si="1"/>
        <v>2600000</v>
      </c>
      <c r="L33" s="2700"/>
      <c r="M33" s="2700"/>
      <c r="N33" s="2700"/>
      <c r="O33" s="2700">
        <f t="shared" si="2"/>
        <v>2600000</v>
      </c>
      <c r="P33" s="2700"/>
      <c r="Q33" s="2700"/>
      <c r="R33" s="2700">
        <f t="shared" si="3"/>
        <v>2600000</v>
      </c>
      <c r="S33" s="2701"/>
      <c r="T33" s="3529"/>
    </row>
    <row r="34" spans="1:24" s="41" customFormat="1" ht="23.25" customHeight="1">
      <c r="A34" s="2698">
        <v>20</v>
      </c>
      <c r="B34" s="2698">
        <v>20</v>
      </c>
      <c r="C34" s="2698"/>
      <c r="D34" s="2699" t="s">
        <v>237</v>
      </c>
      <c r="E34" s="2698"/>
      <c r="F34" s="2698"/>
      <c r="G34" s="2698" t="s">
        <v>2093</v>
      </c>
      <c r="H34" s="2700">
        <f>+VLOOKUP(D34,BVNT!C32:K63,9,0)</f>
        <v>2600000</v>
      </c>
      <c r="I34" s="3618"/>
      <c r="J34" s="3618"/>
      <c r="K34" s="2700">
        <f t="shared" si="1"/>
        <v>2600000</v>
      </c>
      <c r="L34" s="2700"/>
      <c r="M34" s="2700"/>
      <c r="N34" s="2700"/>
      <c r="O34" s="2700">
        <f t="shared" si="2"/>
        <v>2600000</v>
      </c>
      <c r="P34" s="2700"/>
      <c r="Q34" s="2700"/>
      <c r="R34" s="2700">
        <f t="shared" si="3"/>
        <v>2600000</v>
      </c>
      <c r="S34" s="2701"/>
      <c r="T34" s="3529"/>
    </row>
    <row r="35" spans="1:24" s="41" customFormat="1" ht="23.25" customHeight="1">
      <c r="A35" s="2698">
        <v>21</v>
      </c>
      <c r="B35" s="2698">
        <v>21</v>
      </c>
      <c r="C35" s="2698"/>
      <c r="D35" s="2699" t="s">
        <v>523</v>
      </c>
      <c r="E35" s="2698"/>
      <c r="F35" s="2698"/>
      <c r="G35" s="2698" t="s">
        <v>2093</v>
      </c>
      <c r="H35" s="2700">
        <f>+VLOOKUP(D35,BVNT!C33:K64,9,0)</f>
        <v>2600000</v>
      </c>
      <c r="I35" s="3618"/>
      <c r="J35" s="3618"/>
      <c r="K35" s="2700">
        <f t="shared" si="1"/>
        <v>2600000</v>
      </c>
      <c r="L35" s="2700"/>
      <c r="M35" s="2700"/>
      <c r="N35" s="2700"/>
      <c r="O35" s="2700">
        <f t="shared" si="2"/>
        <v>2600000</v>
      </c>
      <c r="P35" s="2700"/>
      <c r="Q35" s="2700"/>
      <c r="R35" s="2700">
        <f t="shared" si="3"/>
        <v>2600000</v>
      </c>
      <c r="S35" s="2701"/>
      <c r="T35" s="3529"/>
    </row>
    <row r="36" spans="1:24" s="41" customFormat="1" ht="23.25" customHeight="1">
      <c r="A36" s="2698">
        <v>22</v>
      </c>
      <c r="B36" s="2698">
        <v>22</v>
      </c>
      <c r="C36" s="2698"/>
      <c r="D36" s="2699" t="s">
        <v>2086</v>
      </c>
      <c r="E36" s="2698"/>
      <c r="F36" s="2698"/>
      <c r="G36" s="2698" t="s">
        <v>2093</v>
      </c>
      <c r="H36" s="2700">
        <f>+VLOOKUP(D36,BVNT!C34:K65,9,0)</f>
        <v>2600000</v>
      </c>
      <c r="I36" s="3618"/>
      <c r="J36" s="3618"/>
      <c r="K36" s="2700">
        <f t="shared" si="1"/>
        <v>2600000</v>
      </c>
      <c r="L36" s="2700"/>
      <c r="M36" s="2700"/>
      <c r="N36" s="2700"/>
      <c r="O36" s="2700">
        <f t="shared" si="2"/>
        <v>2600000</v>
      </c>
      <c r="P36" s="2700"/>
      <c r="Q36" s="2700"/>
      <c r="R36" s="2700">
        <f t="shared" si="3"/>
        <v>2600000</v>
      </c>
      <c r="S36" s="2701"/>
      <c r="T36" s="3529"/>
    </row>
    <row r="37" spans="1:24" s="41" customFormat="1" ht="23.25" customHeight="1">
      <c r="A37" s="2698">
        <v>23</v>
      </c>
      <c r="B37" s="2698">
        <v>23</v>
      </c>
      <c r="C37" s="2698"/>
      <c r="D37" s="2699" t="s">
        <v>557</v>
      </c>
      <c r="E37" s="2698"/>
      <c r="F37" s="2698"/>
      <c r="G37" s="2698" t="s">
        <v>2093</v>
      </c>
      <c r="H37" s="2700">
        <f>+VLOOKUP(D37,BVNT!C35:K66,9,0)</f>
        <v>2600000</v>
      </c>
      <c r="I37" s="3618"/>
      <c r="J37" s="3618"/>
      <c r="K37" s="2700">
        <f t="shared" si="1"/>
        <v>2600000</v>
      </c>
      <c r="L37" s="2700"/>
      <c r="M37" s="2700"/>
      <c r="N37" s="2700"/>
      <c r="O37" s="2700">
        <f t="shared" si="2"/>
        <v>2600000</v>
      </c>
      <c r="P37" s="2700"/>
      <c r="Q37" s="2700"/>
      <c r="R37" s="2700">
        <f t="shared" si="3"/>
        <v>2600000</v>
      </c>
      <c r="S37" s="2701"/>
      <c r="T37" s="3529"/>
    </row>
    <row r="38" spans="1:24" s="41" customFormat="1" ht="23.25" customHeight="1">
      <c r="A38" s="2698">
        <v>24</v>
      </c>
      <c r="B38" s="2698">
        <v>24</v>
      </c>
      <c r="C38" s="2698"/>
      <c r="D38" s="2699" t="s">
        <v>521</v>
      </c>
      <c r="E38" s="2698"/>
      <c r="F38" s="2698"/>
      <c r="G38" s="2698" t="s">
        <v>2093</v>
      </c>
      <c r="H38" s="2700">
        <f>+VLOOKUP(D38,BVNT!C36:K67,9,0)</f>
        <v>2600000</v>
      </c>
      <c r="I38" s="3618"/>
      <c r="J38" s="3618"/>
      <c r="K38" s="2700">
        <f t="shared" si="1"/>
        <v>2600000</v>
      </c>
      <c r="L38" s="2700"/>
      <c r="M38" s="2700"/>
      <c r="N38" s="2700"/>
      <c r="O38" s="2700">
        <f t="shared" si="2"/>
        <v>2600000</v>
      </c>
      <c r="P38" s="2700"/>
      <c r="Q38" s="2700"/>
      <c r="R38" s="2700">
        <f t="shared" si="3"/>
        <v>2600000</v>
      </c>
      <c r="S38" s="2701"/>
      <c r="T38" s="3529"/>
    </row>
    <row r="39" spans="1:24" s="41" customFormat="1" ht="23.25" customHeight="1">
      <c r="A39" s="2698">
        <v>25</v>
      </c>
      <c r="B39" s="2698">
        <v>25</v>
      </c>
      <c r="C39" s="2698"/>
      <c r="D39" s="2699" t="s">
        <v>2087</v>
      </c>
      <c r="E39" s="2698"/>
      <c r="F39" s="2698"/>
      <c r="G39" s="2698" t="s">
        <v>2093</v>
      </c>
      <c r="H39" s="2700">
        <f>+VLOOKUP(D39,BVNT!C37:K68,9,0)</f>
        <v>2600000</v>
      </c>
      <c r="I39" s="3618"/>
      <c r="J39" s="3618"/>
      <c r="K39" s="2700">
        <f t="shared" si="1"/>
        <v>2600000</v>
      </c>
      <c r="L39" s="2700"/>
      <c r="M39" s="2700"/>
      <c r="N39" s="2700"/>
      <c r="O39" s="2700">
        <f t="shared" si="2"/>
        <v>2600000</v>
      </c>
      <c r="P39" s="2700"/>
      <c r="Q39" s="2700"/>
      <c r="R39" s="2700">
        <f t="shared" si="3"/>
        <v>2600000</v>
      </c>
      <c r="S39" s="2701"/>
      <c r="T39" s="3529"/>
    </row>
    <row r="40" spans="1:24" s="41" customFormat="1" ht="23.25" customHeight="1">
      <c r="A40" s="2698">
        <v>26</v>
      </c>
      <c r="B40" s="2698">
        <v>26</v>
      </c>
      <c r="C40" s="2698"/>
      <c r="D40" s="2699" t="s">
        <v>2088</v>
      </c>
      <c r="E40" s="2698"/>
      <c r="F40" s="2698"/>
      <c r="G40" s="2698" t="s">
        <v>2093</v>
      </c>
      <c r="H40" s="2700">
        <f>+VLOOKUP(D40,BVNT!C38:K69,9,0)</f>
        <v>2600000</v>
      </c>
      <c r="I40" s="3618"/>
      <c r="J40" s="3618"/>
      <c r="K40" s="2700">
        <f t="shared" si="1"/>
        <v>2600000</v>
      </c>
      <c r="L40" s="2700"/>
      <c r="M40" s="2700"/>
      <c r="N40" s="2700"/>
      <c r="O40" s="2700">
        <f t="shared" si="2"/>
        <v>2600000</v>
      </c>
      <c r="P40" s="2700"/>
      <c r="Q40" s="2700"/>
      <c r="R40" s="2700">
        <f t="shared" si="3"/>
        <v>2600000</v>
      </c>
      <c r="S40" s="2701"/>
      <c r="T40" s="3529"/>
    </row>
    <row r="41" spans="1:24" s="41" customFormat="1" ht="23.25" customHeight="1">
      <c r="A41" s="2698">
        <v>27</v>
      </c>
      <c r="B41" s="2698">
        <v>27</v>
      </c>
      <c r="C41" s="2698"/>
      <c r="D41" s="2699" t="s">
        <v>2089</v>
      </c>
      <c r="E41" s="2698"/>
      <c r="F41" s="2698"/>
      <c r="G41" s="2698" t="s">
        <v>2093</v>
      </c>
      <c r="H41" s="2700">
        <f>+VLOOKUP(D41,BVNT!C39:K70,9,0)</f>
        <v>2600000</v>
      </c>
      <c r="I41" s="3618"/>
      <c r="J41" s="3618"/>
      <c r="K41" s="2700">
        <f t="shared" si="1"/>
        <v>2600000</v>
      </c>
      <c r="L41" s="2700"/>
      <c r="M41" s="2700"/>
      <c r="N41" s="2700"/>
      <c r="O41" s="2700">
        <f t="shared" si="2"/>
        <v>2600000</v>
      </c>
      <c r="P41" s="2700"/>
      <c r="Q41" s="2700"/>
      <c r="R41" s="2700">
        <f t="shared" si="3"/>
        <v>2600000</v>
      </c>
      <c r="S41" s="2701"/>
      <c r="T41" s="3529"/>
    </row>
    <row r="42" spans="1:24" s="41" customFormat="1" ht="23.25" customHeight="1">
      <c r="A42" s="2698">
        <v>28</v>
      </c>
      <c r="B42" s="2698">
        <v>28</v>
      </c>
      <c r="C42" s="2698"/>
      <c r="D42" s="2699" t="s">
        <v>2090</v>
      </c>
      <c r="E42" s="2698"/>
      <c r="F42" s="2698"/>
      <c r="G42" s="2698" t="s">
        <v>2093</v>
      </c>
      <c r="H42" s="2700">
        <f>+VLOOKUP(D42,BVNT!C40:K71,9,0)</f>
        <v>2600000</v>
      </c>
      <c r="I42" s="3618"/>
      <c r="J42" s="3618"/>
      <c r="K42" s="2700">
        <f t="shared" si="1"/>
        <v>2600000</v>
      </c>
      <c r="L42" s="2700"/>
      <c r="M42" s="2700"/>
      <c r="N42" s="2700"/>
      <c r="O42" s="2700">
        <f t="shared" si="2"/>
        <v>2600000</v>
      </c>
      <c r="P42" s="2700"/>
      <c r="Q42" s="2700"/>
      <c r="R42" s="2700">
        <f t="shared" si="3"/>
        <v>2600000</v>
      </c>
      <c r="S42" s="2701"/>
      <c r="T42" s="3529"/>
    </row>
    <row r="43" spans="1:24" s="41" customFormat="1" ht="23.25" customHeight="1">
      <c r="A43" s="2698">
        <v>29</v>
      </c>
      <c r="B43" s="2698">
        <v>29</v>
      </c>
      <c r="C43" s="2698"/>
      <c r="D43" s="2699" t="s">
        <v>2091</v>
      </c>
      <c r="E43" s="2698"/>
      <c r="F43" s="2698"/>
      <c r="G43" s="2698" t="s">
        <v>2093</v>
      </c>
      <c r="H43" s="2700">
        <f>+VLOOKUP(D43,BVNT!C41:K72,9,0)</f>
        <v>2600000</v>
      </c>
      <c r="I43" s="3618"/>
      <c r="J43" s="3618"/>
      <c r="K43" s="2700">
        <f t="shared" si="1"/>
        <v>2600000</v>
      </c>
      <c r="L43" s="2700"/>
      <c r="M43" s="2700"/>
      <c r="N43" s="2700"/>
      <c r="O43" s="2700">
        <f t="shared" si="2"/>
        <v>2600000</v>
      </c>
      <c r="P43" s="2700"/>
      <c r="Q43" s="2700"/>
      <c r="R43" s="2700">
        <f t="shared" si="3"/>
        <v>2600000</v>
      </c>
      <c r="S43" s="2701"/>
      <c r="T43" s="3529"/>
    </row>
    <row r="44" spans="1:24" s="41" customFormat="1" ht="23.25" customHeight="1">
      <c r="A44" s="2698">
        <v>30</v>
      </c>
      <c r="B44" s="2698">
        <v>30</v>
      </c>
      <c r="C44" s="2698"/>
      <c r="D44" s="2699" t="s">
        <v>351</v>
      </c>
      <c r="E44" s="2698"/>
      <c r="F44" s="2698"/>
      <c r="G44" s="2698" t="s">
        <v>2093</v>
      </c>
      <c r="H44" s="2700">
        <f>+VLOOKUP(D44,BVNT!C42:K73,9,0)</f>
        <v>2600000</v>
      </c>
      <c r="I44" s="3618"/>
      <c r="J44" s="3618"/>
      <c r="K44" s="2700">
        <f t="shared" si="1"/>
        <v>2600000</v>
      </c>
      <c r="L44" s="2700"/>
      <c r="M44" s="2700"/>
      <c r="N44" s="2700"/>
      <c r="O44" s="2700">
        <f t="shared" si="2"/>
        <v>2600000</v>
      </c>
      <c r="P44" s="2700"/>
      <c r="Q44" s="2700"/>
      <c r="R44" s="2700">
        <f t="shared" si="3"/>
        <v>2600000</v>
      </c>
      <c r="S44" s="2701"/>
      <c r="T44" s="3529"/>
    </row>
    <row r="45" spans="1:24" s="41" customFormat="1" ht="23.25" customHeight="1">
      <c r="A45" s="2698">
        <v>31</v>
      </c>
      <c r="B45" s="2698">
        <v>31</v>
      </c>
      <c r="C45" s="2698"/>
      <c r="D45" s="2699" t="s">
        <v>1081</v>
      </c>
      <c r="E45" s="2698"/>
      <c r="F45" s="2698"/>
      <c r="G45" s="2698" t="s">
        <v>2093</v>
      </c>
      <c r="H45" s="2700">
        <f>+VLOOKUP(D45,BVNT!C43:K74,9,0)</f>
        <v>2600000</v>
      </c>
      <c r="I45" s="3618"/>
      <c r="J45" s="3618"/>
      <c r="K45" s="2700">
        <f t="shared" si="1"/>
        <v>2600000</v>
      </c>
      <c r="L45" s="2700"/>
      <c r="M45" s="2700"/>
      <c r="N45" s="2700"/>
      <c r="O45" s="2700">
        <f t="shared" si="2"/>
        <v>2600000</v>
      </c>
      <c r="P45" s="2700"/>
      <c r="Q45" s="2700"/>
      <c r="R45" s="2700">
        <f t="shared" si="3"/>
        <v>2600000</v>
      </c>
      <c r="S45" s="2701"/>
      <c r="T45" s="3529"/>
    </row>
    <row r="46" spans="1:24" s="41" customFormat="1" ht="23.25" customHeight="1">
      <c r="A46" s="2698">
        <v>32</v>
      </c>
      <c r="B46" s="2698">
        <v>32</v>
      </c>
      <c r="C46" s="2698"/>
      <c r="D46" s="2699" t="s">
        <v>2092</v>
      </c>
      <c r="E46" s="2698"/>
      <c r="F46" s="2698"/>
      <c r="G46" s="2698" t="s">
        <v>2093</v>
      </c>
      <c r="H46" s="2700">
        <f>+VLOOKUP(D46,BVNT!C44:K75,9,0)</f>
        <v>2600000</v>
      </c>
      <c r="I46" s="3618"/>
      <c r="J46" s="3618"/>
      <c r="K46" s="2700">
        <f t="shared" si="1"/>
        <v>2600000</v>
      </c>
      <c r="L46" s="2700"/>
      <c r="M46" s="2700"/>
      <c r="N46" s="2700"/>
      <c r="O46" s="2700">
        <f t="shared" si="2"/>
        <v>2600000</v>
      </c>
      <c r="P46" s="2700"/>
      <c r="Q46" s="2700"/>
      <c r="R46" s="2700">
        <f t="shared" si="3"/>
        <v>2600000</v>
      </c>
      <c r="S46" s="2701"/>
      <c r="T46" s="3529"/>
    </row>
    <row r="47" spans="1:24" s="41" customFormat="1" ht="23.25" customHeight="1">
      <c r="A47" s="2698">
        <v>33</v>
      </c>
      <c r="B47" s="2698">
        <v>33</v>
      </c>
      <c r="C47" s="2698"/>
      <c r="D47" s="2699" t="s">
        <v>1220</v>
      </c>
      <c r="E47" s="2698"/>
      <c r="F47" s="2698"/>
      <c r="G47" s="2698" t="s">
        <v>2093</v>
      </c>
      <c r="H47" s="2700">
        <f>+VLOOKUP(D47,BVNT!C45:K76,9,0)</f>
        <v>2600000</v>
      </c>
      <c r="I47" s="3618"/>
      <c r="J47" s="3618"/>
      <c r="K47" s="2700">
        <f t="shared" si="1"/>
        <v>2600000</v>
      </c>
      <c r="L47" s="2700"/>
      <c r="M47" s="2700"/>
      <c r="N47" s="2700"/>
      <c r="O47" s="2700">
        <f t="shared" si="2"/>
        <v>2600000</v>
      </c>
      <c r="P47" s="2700"/>
      <c r="Q47" s="2700"/>
      <c r="R47" s="2700">
        <f t="shared" si="3"/>
        <v>2600000</v>
      </c>
      <c r="S47" s="2701"/>
      <c r="T47" s="3529"/>
    </row>
    <row r="48" spans="1:24" s="41" customFormat="1" ht="23.25" customHeight="1">
      <c r="A48" s="4095" t="s">
        <v>451</v>
      </c>
      <c r="B48" s="4095"/>
      <c r="C48" s="4095"/>
      <c r="D48" s="4095"/>
      <c r="E48" s="4095"/>
      <c r="F48" s="4095"/>
      <c r="G48" s="4095"/>
      <c r="H48" s="2412">
        <f>+SUBTOTAL(9,H49:J130)</f>
        <v>122978958.36000004</v>
      </c>
      <c r="I48" s="2412">
        <f>+SUBTOTAL(9,I49:K130)</f>
        <v>245957916.71999964</v>
      </c>
      <c r="J48" s="2412">
        <f>+SUBTOTAL(9,J49:L130)</f>
        <v>227027313.71999973</v>
      </c>
      <c r="K48" s="2412">
        <f t="shared" ref="K48:R48" si="4">+SUBTOTAL(9,K49:O130)</f>
        <v>245957916.71999964</v>
      </c>
      <c r="L48" s="2412">
        <v>0</v>
      </c>
      <c r="M48" s="2412">
        <v>0</v>
      </c>
      <c r="N48" s="2412">
        <v>0</v>
      </c>
      <c r="O48" s="2412">
        <f t="shared" si="4"/>
        <v>244957916.71999964</v>
      </c>
      <c r="P48" s="2412">
        <f t="shared" si="4"/>
        <v>121978958.36000004</v>
      </c>
      <c r="Q48" s="2412">
        <f t="shared" si="4"/>
        <v>121978958.36000004</v>
      </c>
      <c r="R48" s="2412">
        <f t="shared" si="4"/>
        <v>121978958.36000004</v>
      </c>
      <c r="S48" s="2412"/>
      <c r="T48" s="2686"/>
      <c r="U48" s="3718">
        <f>+VCKD!V17</f>
        <v>121978958.36000004</v>
      </c>
      <c r="V48" s="2650" t="e">
        <f>+U48+#REF!+#REF!</f>
        <v>#REF!</v>
      </c>
      <c r="X48" s="2650">
        <f>+R48-U48</f>
        <v>0</v>
      </c>
    </row>
    <row r="49" spans="1:24" s="41" customFormat="1" ht="23.25" customHeight="1">
      <c r="A49" s="2698">
        <v>34</v>
      </c>
      <c r="B49" s="2698">
        <v>1</v>
      </c>
      <c r="C49" s="3686"/>
      <c r="D49" s="2699" t="s">
        <v>1557</v>
      </c>
      <c r="E49" s="3686"/>
      <c r="F49" s="3686"/>
      <c r="G49" s="2698" t="s">
        <v>167</v>
      </c>
      <c r="H49" s="2700">
        <f>+VLOOKUP(D49,VCKD!C18:H99,6,0)</f>
        <v>0</v>
      </c>
      <c r="I49" s="3618">
        <f>+VLOOKUP(D49,VCKD!C18:M99,11,0)</f>
        <v>0</v>
      </c>
      <c r="J49" s="2700">
        <f>+VLOOKUP(D49,VCKD!C18:S99,17,0)</f>
        <v>791559.18</v>
      </c>
      <c r="K49" s="2700">
        <f>+H49+I49+J49</f>
        <v>791559.18</v>
      </c>
      <c r="L49" s="2412"/>
      <c r="M49" s="2412"/>
      <c r="N49" s="2412"/>
      <c r="O49" s="2700">
        <f>+K49</f>
        <v>791559.18</v>
      </c>
      <c r="P49" s="2412"/>
      <c r="Q49" s="2412"/>
      <c r="R49" s="2700">
        <f>+VLOOKUP(D49,VCKD!C18:V99,20,0)</f>
        <v>791559.18</v>
      </c>
      <c r="S49" s="2412"/>
      <c r="T49" s="3529"/>
      <c r="V49" s="2650"/>
      <c r="X49" s="2650"/>
    </row>
    <row r="50" spans="1:24" s="41" customFormat="1" ht="23.25" customHeight="1">
      <c r="A50" s="2698">
        <v>35</v>
      </c>
      <c r="B50" s="2698">
        <v>2</v>
      </c>
      <c r="C50" s="3686"/>
      <c r="D50" s="2699" t="s">
        <v>2169</v>
      </c>
      <c r="E50" s="3686"/>
      <c r="F50" s="3686"/>
      <c r="G50" s="2698" t="s">
        <v>167</v>
      </c>
      <c r="H50" s="2700">
        <f>+VLOOKUP(D50,VCKD!C19:H100,6,0)</f>
        <v>0</v>
      </c>
      <c r="I50" s="3618">
        <f>+VLOOKUP(D50,VCKD!C19:M100,11,0)</f>
        <v>136665</v>
      </c>
      <c r="J50" s="2700">
        <f>+VLOOKUP(D50,VCKD!C19:S100,17,0)</f>
        <v>1314081.6200000001</v>
      </c>
      <c r="K50" s="2700">
        <f t="shared" ref="K50:K113" si="5">+H50+I50+J50</f>
        <v>1450746.62</v>
      </c>
      <c r="L50" s="2412"/>
      <c r="M50" s="2412"/>
      <c r="N50" s="2412"/>
      <c r="O50" s="2700">
        <f t="shared" ref="O50:O113" si="6">+K50</f>
        <v>1450746.62</v>
      </c>
      <c r="P50" s="2412"/>
      <c r="Q50" s="2412"/>
      <c r="R50" s="2700">
        <f>+VLOOKUP(D50,VCKD!C19:V100,20,0)</f>
        <v>1450746.62</v>
      </c>
      <c r="S50" s="2412"/>
      <c r="T50" s="3529"/>
      <c r="V50" s="2650"/>
      <c r="X50" s="2650"/>
    </row>
    <row r="51" spans="1:24" s="41" customFormat="1" ht="23.25" customHeight="1">
      <c r="A51" s="2698">
        <v>36</v>
      </c>
      <c r="B51" s="2698">
        <v>3</v>
      </c>
      <c r="C51" s="3686"/>
      <c r="D51" s="2699" t="s">
        <v>2170</v>
      </c>
      <c r="E51" s="3686"/>
      <c r="F51" s="3686"/>
      <c r="G51" s="2698" t="s">
        <v>167</v>
      </c>
      <c r="H51" s="2700">
        <f>+VLOOKUP(D51,VCKD!C20:H101,6,0)</f>
        <v>0</v>
      </c>
      <c r="I51" s="3618">
        <f>+VLOOKUP(D51,VCKD!C20:M101,11,0)</f>
        <v>13442</v>
      </c>
      <c r="J51" s="2700">
        <f>+VLOOKUP(D51,VCKD!C20:S101,17,0)</f>
        <v>1314081.6200000001</v>
      </c>
      <c r="K51" s="2700">
        <f t="shared" si="5"/>
        <v>1327523.6200000001</v>
      </c>
      <c r="L51" s="2412"/>
      <c r="M51" s="2412"/>
      <c r="N51" s="2412"/>
      <c r="O51" s="2700">
        <f t="shared" si="6"/>
        <v>1327523.6200000001</v>
      </c>
      <c r="P51" s="2412"/>
      <c r="Q51" s="2412"/>
      <c r="R51" s="2700">
        <f>+VLOOKUP(D51,VCKD!C20:V101,20,0)</f>
        <v>1327523.6200000001</v>
      </c>
      <c r="S51" s="2412"/>
      <c r="T51" s="3529"/>
      <c r="V51" s="2650"/>
      <c r="X51" s="2650"/>
    </row>
    <row r="52" spans="1:24" s="41" customFormat="1" ht="23.25" customHeight="1">
      <c r="A52" s="2698">
        <v>37</v>
      </c>
      <c r="B52" s="2698">
        <v>4</v>
      </c>
      <c r="C52" s="3686"/>
      <c r="D52" s="2699" t="s">
        <v>2171</v>
      </c>
      <c r="E52" s="3686"/>
      <c r="F52" s="3686"/>
      <c r="G52" s="2698" t="s">
        <v>167</v>
      </c>
      <c r="H52" s="2700">
        <f>+VLOOKUP(D52,VCKD!C21:H102,6,0)</f>
        <v>0</v>
      </c>
      <c r="I52" s="3618">
        <f>+VLOOKUP(D52,VCKD!C21:M102,11,0)</f>
        <v>56010</v>
      </c>
      <c r="J52" s="2700">
        <f>+VLOOKUP(D52,VCKD!C21:S102,17,0)</f>
        <v>1213616.8600000001</v>
      </c>
      <c r="K52" s="2700">
        <f t="shared" si="5"/>
        <v>1269626.8600000001</v>
      </c>
      <c r="L52" s="2412"/>
      <c r="M52" s="2412"/>
      <c r="N52" s="2412"/>
      <c r="O52" s="2700">
        <f t="shared" si="6"/>
        <v>1269626.8600000001</v>
      </c>
      <c r="P52" s="2412"/>
      <c r="Q52" s="2412"/>
      <c r="R52" s="2700">
        <f>+VLOOKUP(D52,VCKD!C21:V102,20,0)</f>
        <v>1269626.8600000001</v>
      </c>
      <c r="S52" s="2412"/>
      <c r="T52" s="3529"/>
      <c r="V52" s="2650"/>
      <c r="X52" s="2650"/>
    </row>
    <row r="53" spans="1:24" s="41" customFormat="1" ht="23.25" customHeight="1">
      <c r="A53" s="2698">
        <v>38</v>
      </c>
      <c r="B53" s="2698">
        <v>5</v>
      </c>
      <c r="C53" s="3686"/>
      <c r="D53" s="2699" t="s">
        <v>2172</v>
      </c>
      <c r="E53" s="3686"/>
      <c r="F53" s="3686"/>
      <c r="G53" s="2698" t="s">
        <v>167</v>
      </c>
      <c r="H53" s="2700">
        <f>+VLOOKUP(D53,VCKD!C22:H103,6,0)</f>
        <v>0</v>
      </c>
      <c r="I53" s="3618">
        <f>+VLOOKUP(D53,VCKD!C22:M103,11,0)</f>
        <v>0</v>
      </c>
      <c r="J53" s="2700">
        <f>+VLOOKUP(D53,VCKD!C22:S103,17,0)</f>
        <v>1243650.6000000001</v>
      </c>
      <c r="K53" s="2700">
        <f t="shared" si="5"/>
        <v>1243650.6000000001</v>
      </c>
      <c r="L53" s="2412"/>
      <c r="M53" s="2412"/>
      <c r="N53" s="2412"/>
      <c r="O53" s="2700">
        <f t="shared" si="6"/>
        <v>1243650.6000000001</v>
      </c>
      <c r="P53" s="2412"/>
      <c r="Q53" s="2412"/>
      <c r="R53" s="2700">
        <f>+VLOOKUP(D53,VCKD!C22:V103,20,0)</f>
        <v>1243650.6000000001</v>
      </c>
      <c r="S53" s="2412"/>
      <c r="T53" s="3529"/>
      <c r="V53" s="2650"/>
      <c r="X53" s="2650"/>
    </row>
    <row r="54" spans="1:24" s="41" customFormat="1" ht="23.25" customHeight="1">
      <c r="A54" s="2698">
        <v>39</v>
      </c>
      <c r="B54" s="2698">
        <v>6</v>
      </c>
      <c r="C54" s="3686"/>
      <c r="D54" s="2699" t="s">
        <v>1528</v>
      </c>
      <c r="E54" s="3686"/>
      <c r="F54" s="3686"/>
      <c r="G54" s="2698" t="s">
        <v>167</v>
      </c>
      <c r="H54" s="2700">
        <f>+VLOOKUP(D54,VCKD!C23:H104,6,0)</f>
        <v>0</v>
      </c>
      <c r="I54" s="3618">
        <f>+VLOOKUP(D54,VCKD!C23:M104,11,0)</f>
        <v>0</v>
      </c>
      <c r="J54" s="2700">
        <f>+VLOOKUP(D54,VCKD!C23:S104,17,0)</f>
        <v>1314081.6200000001</v>
      </c>
      <c r="K54" s="2700">
        <f t="shared" si="5"/>
        <v>1314081.6200000001</v>
      </c>
      <c r="L54" s="2412"/>
      <c r="M54" s="2412"/>
      <c r="N54" s="2412"/>
      <c r="O54" s="2700">
        <f t="shared" si="6"/>
        <v>1314081.6200000001</v>
      </c>
      <c r="P54" s="2412"/>
      <c r="Q54" s="2412"/>
      <c r="R54" s="2700">
        <f>+VLOOKUP(D54,VCKD!C23:V104,20,0)</f>
        <v>1314081.6200000001</v>
      </c>
      <c r="S54" s="2412"/>
      <c r="T54" s="3529"/>
      <c r="V54" s="2650"/>
      <c r="X54" s="2650"/>
    </row>
    <row r="55" spans="1:24" s="41" customFormat="1" ht="23.25" customHeight="1">
      <c r="A55" s="2698">
        <v>40</v>
      </c>
      <c r="B55" s="2698">
        <v>7</v>
      </c>
      <c r="C55" s="3686"/>
      <c r="D55" s="2699" t="s">
        <v>2173</v>
      </c>
      <c r="E55" s="3686"/>
      <c r="F55" s="3686"/>
      <c r="G55" s="2698" t="s">
        <v>167</v>
      </c>
      <c r="H55" s="2700">
        <f>+VLOOKUP(D55,VCKD!C24:H105,6,0)</f>
        <v>0</v>
      </c>
      <c r="I55" s="3618">
        <f>+VLOOKUP(D55,VCKD!C24:M105,11,0)</f>
        <v>89616</v>
      </c>
      <c r="J55" s="2700">
        <f>+VLOOKUP(D55,VCKD!C24:S105,17,0)</f>
        <v>1314081.6200000001</v>
      </c>
      <c r="K55" s="2700">
        <f t="shared" si="5"/>
        <v>1403697.62</v>
      </c>
      <c r="L55" s="2412"/>
      <c r="M55" s="2412"/>
      <c r="N55" s="2412"/>
      <c r="O55" s="2700">
        <f t="shared" si="6"/>
        <v>1403697.62</v>
      </c>
      <c r="P55" s="2412"/>
      <c r="Q55" s="2412"/>
      <c r="R55" s="2700">
        <f>+VLOOKUP(D55,VCKD!C24:V105,20,0)</f>
        <v>1403697.62</v>
      </c>
      <c r="S55" s="2412"/>
      <c r="T55" s="3529"/>
      <c r="V55" s="2650"/>
      <c r="X55" s="2650"/>
    </row>
    <row r="56" spans="1:24" s="41" customFormat="1" ht="23.25" customHeight="1">
      <c r="A56" s="2698">
        <v>41</v>
      </c>
      <c r="B56" s="2698">
        <v>8</v>
      </c>
      <c r="C56" s="3686"/>
      <c r="D56" s="2699" t="s">
        <v>2174</v>
      </c>
      <c r="E56" s="3686"/>
      <c r="F56" s="3686"/>
      <c r="G56" s="2698" t="s">
        <v>167</v>
      </c>
      <c r="H56" s="2700">
        <f>+VLOOKUP(D56,VCKD!C25:H106,6,0)</f>
        <v>0</v>
      </c>
      <c r="I56" s="3618">
        <f>+VLOOKUP(D56,VCKD!C25:M106,11,0)</f>
        <v>44808</v>
      </c>
      <c r="J56" s="2700">
        <f>+VLOOKUP(D56,VCKD!C25:S106,17,0)</f>
        <v>1314081.6200000001</v>
      </c>
      <c r="K56" s="2700">
        <f t="shared" si="5"/>
        <v>1358889.62</v>
      </c>
      <c r="L56" s="2412"/>
      <c r="M56" s="2412"/>
      <c r="N56" s="2412"/>
      <c r="O56" s="2700">
        <f t="shared" si="6"/>
        <v>1358889.62</v>
      </c>
      <c r="P56" s="2412"/>
      <c r="Q56" s="2412"/>
      <c r="R56" s="2700">
        <f>+VLOOKUP(D56,VCKD!C25:V106,20,0)</f>
        <v>1358889.62</v>
      </c>
      <c r="S56" s="2412"/>
      <c r="T56" s="3529"/>
      <c r="V56" s="2650"/>
      <c r="X56" s="2650"/>
    </row>
    <row r="57" spans="1:24" s="41" customFormat="1" ht="23.25" customHeight="1">
      <c r="A57" s="2698">
        <v>42</v>
      </c>
      <c r="B57" s="2698">
        <v>9</v>
      </c>
      <c r="C57" s="3686"/>
      <c r="D57" s="2699" t="s">
        <v>2175</v>
      </c>
      <c r="E57" s="3686"/>
      <c r="F57" s="3686"/>
      <c r="G57" s="2698" t="s">
        <v>167</v>
      </c>
      <c r="H57" s="2700">
        <f>+VLOOKUP(D57,VCKD!C26:H107,6,0)</f>
        <v>0</v>
      </c>
      <c r="I57" s="3618">
        <f>+VLOOKUP(D57,VCKD!C26:M107,11,0)</f>
        <v>24645</v>
      </c>
      <c r="J57" s="2700">
        <f>+VLOOKUP(D57,VCKD!C26:S107,17,0)</f>
        <v>1314081.6200000001</v>
      </c>
      <c r="K57" s="2700">
        <f t="shared" si="5"/>
        <v>1338726.6200000001</v>
      </c>
      <c r="L57" s="2412"/>
      <c r="M57" s="2412"/>
      <c r="N57" s="2412"/>
      <c r="O57" s="2700">
        <f t="shared" si="6"/>
        <v>1338726.6200000001</v>
      </c>
      <c r="P57" s="2412"/>
      <c r="Q57" s="2412"/>
      <c r="R57" s="2700">
        <f>+VLOOKUP(D57,VCKD!C26:V107,20,0)</f>
        <v>1338726.6200000001</v>
      </c>
      <c r="S57" s="2412"/>
      <c r="T57" s="3529"/>
      <c r="V57" s="2650"/>
      <c r="X57" s="2650"/>
    </row>
    <row r="58" spans="1:24" s="41" customFormat="1" ht="23.25" customHeight="1">
      <c r="A58" s="2698">
        <v>43</v>
      </c>
      <c r="B58" s="2698">
        <v>10</v>
      </c>
      <c r="C58" s="3686"/>
      <c r="D58" s="2699" t="s">
        <v>2176</v>
      </c>
      <c r="E58" s="3686"/>
      <c r="F58" s="3686"/>
      <c r="G58" s="2698" t="s">
        <v>167</v>
      </c>
      <c r="H58" s="2700">
        <f>+VLOOKUP(D58,VCKD!C27:H108,6,0)</f>
        <v>0</v>
      </c>
      <c r="I58" s="3618">
        <f>+VLOOKUP(D58,VCKD!C27:M108,11,0)</f>
        <v>13442</v>
      </c>
      <c r="J58" s="2700">
        <f>+VLOOKUP(D58,VCKD!C27:S108,17,0)</f>
        <v>1314081.6200000001</v>
      </c>
      <c r="K58" s="2700">
        <f t="shared" si="5"/>
        <v>1327523.6200000001</v>
      </c>
      <c r="L58" s="2412"/>
      <c r="M58" s="2412"/>
      <c r="N58" s="2412"/>
      <c r="O58" s="2700">
        <f t="shared" si="6"/>
        <v>1327523.6200000001</v>
      </c>
      <c r="P58" s="2412"/>
      <c r="Q58" s="2412"/>
      <c r="R58" s="2700">
        <f>+VLOOKUP(D58,VCKD!C27:V108,20,0)</f>
        <v>1327523.6200000001</v>
      </c>
      <c r="S58" s="2412"/>
      <c r="T58" s="3529"/>
      <c r="V58" s="2650"/>
      <c r="X58" s="2650"/>
    </row>
    <row r="59" spans="1:24" s="41" customFormat="1" ht="23.25" customHeight="1">
      <c r="A59" s="2698">
        <v>44</v>
      </c>
      <c r="B59" s="2698">
        <v>11</v>
      </c>
      <c r="C59" s="3686"/>
      <c r="D59" s="2699" t="s">
        <v>2177</v>
      </c>
      <c r="E59" s="3686"/>
      <c r="F59" s="3686"/>
      <c r="G59" s="2698" t="s">
        <v>167</v>
      </c>
      <c r="H59" s="2700">
        <f>+VLOOKUP(D59,VCKD!C28:H109,6,0)</f>
        <v>0</v>
      </c>
      <c r="I59" s="3618">
        <f>+VLOOKUP(D59,VCKD!C28:M109,11,0)</f>
        <v>53770</v>
      </c>
      <c r="J59" s="2700">
        <f>+VLOOKUP(D59,VCKD!C28:S109,17,0)</f>
        <v>1314081.6200000001</v>
      </c>
      <c r="K59" s="2700">
        <f t="shared" si="5"/>
        <v>1367851.62</v>
      </c>
      <c r="L59" s="2412"/>
      <c r="M59" s="2412"/>
      <c r="N59" s="2412"/>
      <c r="O59" s="2700">
        <f t="shared" si="6"/>
        <v>1367851.62</v>
      </c>
      <c r="P59" s="2412"/>
      <c r="Q59" s="2412"/>
      <c r="R59" s="2700">
        <f>+VLOOKUP(D59,VCKD!C28:V109,20,0)</f>
        <v>1367851.62</v>
      </c>
      <c r="S59" s="2412"/>
      <c r="T59" s="3529"/>
      <c r="V59" s="2650"/>
      <c r="X59" s="2650"/>
    </row>
    <row r="60" spans="1:24" s="41" customFormat="1" ht="23.25" customHeight="1">
      <c r="A60" s="2698">
        <v>45</v>
      </c>
      <c r="B60" s="2698">
        <v>12</v>
      </c>
      <c r="C60" s="3686"/>
      <c r="D60" s="2699" t="s">
        <v>2178</v>
      </c>
      <c r="E60" s="3686"/>
      <c r="F60" s="3686"/>
      <c r="G60" s="2698" t="s">
        <v>167</v>
      </c>
      <c r="H60" s="2700">
        <f>+VLOOKUP(D60,VCKD!C29:H110,6,0)</f>
        <v>0</v>
      </c>
      <c r="I60" s="3618">
        <f>+VLOOKUP(D60,VCKD!C29:M110,11,0)</f>
        <v>134425</v>
      </c>
      <c r="J60" s="2700">
        <f>+VLOOKUP(D60,VCKD!C29:S110,17,0)</f>
        <v>1314081.6200000001</v>
      </c>
      <c r="K60" s="2700">
        <f t="shared" si="5"/>
        <v>1448506.62</v>
      </c>
      <c r="L60" s="2412"/>
      <c r="M60" s="2412"/>
      <c r="N60" s="2412"/>
      <c r="O60" s="2700">
        <f t="shared" si="6"/>
        <v>1448506.62</v>
      </c>
      <c r="P60" s="2412"/>
      <c r="Q60" s="2412"/>
      <c r="R60" s="2700">
        <f>+VLOOKUP(D60,VCKD!C29:V110,20,0)</f>
        <v>1448506.62</v>
      </c>
      <c r="S60" s="2412"/>
      <c r="T60" s="3529"/>
      <c r="V60" s="2650"/>
      <c r="X60" s="2650"/>
    </row>
    <row r="61" spans="1:24" s="41" customFormat="1" ht="23.25" customHeight="1">
      <c r="A61" s="2698">
        <v>46</v>
      </c>
      <c r="B61" s="2698">
        <v>13</v>
      </c>
      <c r="C61" s="3686"/>
      <c r="D61" s="2699" t="s">
        <v>2179</v>
      </c>
      <c r="E61" s="3686"/>
      <c r="F61" s="3686"/>
      <c r="G61" s="2698" t="s">
        <v>167</v>
      </c>
      <c r="H61" s="2700">
        <f>+VLOOKUP(D61,VCKD!C30:H111,6,0)</f>
        <v>0</v>
      </c>
      <c r="I61" s="3618">
        <f>+VLOOKUP(D61,VCKD!C30:M111,11,0)</f>
        <v>89616</v>
      </c>
      <c r="J61" s="2700">
        <f>+VLOOKUP(D61,VCKD!C30:S111,17,0)</f>
        <v>1263849.24</v>
      </c>
      <c r="K61" s="2700">
        <f t="shared" si="5"/>
        <v>1353465.24</v>
      </c>
      <c r="L61" s="2412"/>
      <c r="M61" s="2412"/>
      <c r="N61" s="2412"/>
      <c r="O61" s="2700">
        <f t="shared" si="6"/>
        <v>1353465.24</v>
      </c>
      <c r="P61" s="2412"/>
      <c r="Q61" s="2412"/>
      <c r="R61" s="2700">
        <f>+VLOOKUP(D61,VCKD!C30:V111,20,0)</f>
        <v>1353465.24</v>
      </c>
      <c r="S61" s="2412"/>
      <c r="T61" s="3529"/>
      <c r="V61" s="2650"/>
      <c r="X61" s="2650"/>
    </row>
    <row r="62" spans="1:24" s="41" customFormat="1" ht="23.25" customHeight="1">
      <c r="A62" s="2698">
        <v>47</v>
      </c>
      <c r="B62" s="2698">
        <v>14</v>
      </c>
      <c r="C62" s="3686"/>
      <c r="D62" s="2699" t="s">
        <v>1301</v>
      </c>
      <c r="E62" s="3686"/>
      <c r="F62" s="3686"/>
      <c r="G62" s="2698" t="s">
        <v>167</v>
      </c>
      <c r="H62" s="2700">
        <f>+VLOOKUP(D62,VCKD!C31:H112,6,0)</f>
        <v>0</v>
      </c>
      <c r="I62" s="3618">
        <f>+VLOOKUP(D62,VCKD!C31:M112,11,0)</f>
        <v>0</v>
      </c>
      <c r="J62" s="2700">
        <f>+VLOOKUP(D62,VCKD!C31:S112,17,0)</f>
        <v>1314081.6200000001</v>
      </c>
      <c r="K62" s="2700">
        <f t="shared" si="5"/>
        <v>1314081.6200000001</v>
      </c>
      <c r="L62" s="2412"/>
      <c r="M62" s="2412"/>
      <c r="N62" s="2412"/>
      <c r="O62" s="2700">
        <f t="shared" si="6"/>
        <v>1314081.6200000001</v>
      </c>
      <c r="P62" s="2412"/>
      <c r="Q62" s="2412"/>
      <c r="R62" s="2700">
        <f>+VLOOKUP(D62,VCKD!C31:V112,20,0)</f>
        <v>1314081.6200000001</v>
      </c>
      <c r="S62" s="2412"/>
      <c r="T62" s="3529"/>
      <c r="V62" s="2650"/>
      <c r="X62" s="2650"/>
    </row>
    <row r="63" spans="1:24" s="41" customFormat="1" ht="23.25" customHeight="1">
      <c r="A63" s="2698">
        <v>48</v>
      </c>
      <c r="B63" s="2698">
        <v>15</v>
      </c>
      <c r="C63" s="3686"/>
      <c r="D63" s="2699" t="s">
        <v>2180</v>
      </c>
      <c r="E63" s="3686"/>
      <c r="F63" s="3686"/>
      <c r="G63" s="2698" t="s">
        <v>167</v>
      </c>
      <c r="H63" s="2700">
        <f>+VLOOKUP(D63,VCKD!C32:H113,6,0)</f>
        <v>0</v>
      </c>
      <c r="I63" s="3618">
        <f>+VLOOKUP(D63,VCKD!C32:M113,11,0)</f>
        <v>78414</v>
      </c>
      <c r="J63" s="2700">
        <f>+VLOOKUP(D63,VCKD!C32:S113,17,0)</f>
        <v>1314081.6200000001</v>
      </c>
      <c r="K63" s="2700">
        <f t="shared" si="5"/>
        <v>1392495.62</v>
      </c>
      <c r="L63" s="2412"/>
      <c r="M63" s="2412"/>
      <c r="N63" s="2412"/>
      <c r="O63" s="2700">
        <f t="shared" si="6"/>
        <v>1392495.62</v>
      </c>
      <c r="P63" s="2412"/>
      <c r="Q63" s="2412"/>
      <c r="R63" s="2700">
        <f>+VLOOKUP(D63,VCKD!C32:V113,20,0)</f>
        <v>1392495.62</v>
      </c>
      <c r="S63" s="2412"/>
      <c r="T63" s="3529"/>
      <c r="V63" s="2650"/>
      <c r="X63" s="2650"/>
    </row>
    <row r="64" spans="1:24" s="41" customFormat="1" ht="23.25" customHeight="1">
      <c r="A64" s="2698">
        <v>49</v>
      </c>
      <c r="B64" s="2698">
        <v>16</v>
      </c>
      <c r="C64" s="3686"/>
      <c r="D64" s="2699" t="s">
        <v>1677</v>
      </c>
      <c r="E64" s="3686"/>
      <c r="F64" s="3686"/>
      <c r="G64" s="2698" t="s">
        <v>167</v>
      </c>
      <c r="H64" s="2700">
        <f>+VLOOKUP(D64,VCKD!C33:H114,6,0)</f>
        <v>0</v>
      </c>
      <c r="I64" s="3618">
        <f>+VLOOKUP(D64,VCKD!C33:M114,11,0)</f>
        <v>217320</v>
      </c>
      <c r="J64" s="2700">
        <f>+VLOOKUP(D64,VCKD!C33:S114,17,0)</f>
        <v>1314081.6200000001</v>
      </c>
      <c r="K64" s="2700">
        <f t="shared" si="5"/>
        <v>1531401.62</v>
      </c>
      <c r="L64" s="2412"/>
      <c r="M64" s="2412"/>
      <c r="N64" s="2412"/>
      <c r="O64" s="2700">
        <f t="shared" si="6"/>
        <v>1531401.62</v>
      </c>
      <c r="P64" s="2412"/>
      <c r="Q64" s="2412"/>
      <c r="R64" s="2700">
        <f>+VLOOKUP(D64,VCKD!C33:V114,20,0)</f>
        <v>1531401.62</v>
      </c>
      <c r="S64" s="2412"/>
      <c r="T64" s="3529"/>
      <c r="V64" s="2650"/>
      <c r="X64" s="2650"/>
    </row>
    <row r="65" spans="1:24" s="41" customFormat="1" ht="23.25" customHeight="1">
      <c r="A65" s="2698">
        <v>50</v>
      </c>
      <c r="B65" s="2698">
        <v>17</v>
      </c>
      <c r="C65" s="3686"/>
      <c r="D65" s="2699" t="s">
        <v>289</v>
      </c>
      <c r="E65" s="3686"/>
      <c r="F65" s="3686"/>
      <c r="G65" s="2698" t="s">
        <v>167</v>
      </c>
      <c r="H65" s="2700">
        <f>+VLOOKUP(D65,VCKD!C34:H115,6,0)</f>
        <v>0</v>
      </c>
      <c r="I65" s="3618">
        <f>+VLOOKUP(D65,VCKD!C34:M115,11,0)</f>
        <v>15683</v>
      </c>
      <c r="J65" s="2700">
        <f>+VLOOKUP(D65,VCKD!C34:S115,17,0)</f>
        <v>1314081.6200000001</v>
      </c>
      <c r="K65" s="2700">
        <f t="shared" si="5"/>
        <v>1329764.6200000001</v>
      </c>
      <c r="L65" s="2412"/>
      <c r="M65" s="2412"/>
      <c r="N65" s="2412"/>
      <c r="O65" s="2700">
        <f t="shared" si="6"/>
        <v>1329764.6200000001</v>
      </c>
      <c r="P65" s="2412"/>
      <c r="Q65" s="2412"/>
      <c r="R65" s="2700">
        <f>+VLOOKUP(D65,VCKD!C34:V115,20,0)</f>
        <v>1329764.6200000001</v>
      </c>
      <c r="S65" s="2412"/>
      <c r="T65" s="3529"/>
      <c r="V65" s="2650"/>
      <c r="X65" s="2650"/>
    </row>
    <row r="66" spans="1:24" s="41" customFormat="1" ht="23.25" customHeight="1">
      <c r="A66" s="2698">
        <v>51</v>
      </c>
      <c r="B66" s="2698">
        <v>18</v>
      </c>
      <c r="C66" s="3686"/>
      <c r="D66" s="2699" t="s">
        <v>2181</v>
      </c>
      <c r="E66" s="3686"/>
      <c r="F66" s="3686"/>
      <c r="G66" s="2698" t="s">
        <v>167</v>
      </c>
      <c r="H66" s="2700">
        <f>+VLOOKUP(D66,VCKD!C35:H116,6,0)</f>
        <v>0</v>
      </c>
      <c r="I66" s="3618">
        <f>+VLOOKUP(D66,VCKD!C35:M116,11,0)</f>
        <v>98578</v>
      </c>
      <c r="J66" s="2700">
        <f>+VLOOKUP(D66,VCKD!C35:S116,17,0)</f>
        <v>1314081.6200000001</v>
      </c>
      <c r="K66" s="2700">
        <f t="shared" si="5"/>
        <v>1412659.62</v>
      </c>
      <c r="L66" s="2412"/>
      <c r="M66" s="2412"/>
      <c r="N66" s="2412"/>
      <c r="O66" s="2700">
        <f t="shared" si="6"/>
        <v>1412659.62</v>
      </c>
      <c r="P66" s="2412"/>
      <c r="Q66" s="2412"/>
      <c r="R66" s="2700">
        <f>+VLOOKUP(D66,VCKD!C35:V116,20,0)</f>
        <v>1412659.62</v>
      </c>
      <c r="S66" s="2412"/>
      <c r="T66" s="3529"/>
      <c r="V66" s="2650"/>
      <c r="X66" s="2650"/>
    </row>
    <row r="67" spans="1:24" s="41" customFormat="1" ht="23.25" customHeight="1">
      <c r="A67" s="2698">
        <v>52</v>
      </c>
      <c r="B67" s="2698">
        <v>19</v>
      </c>
      <c r="C67" s="3686"/>
      <c r="D67" s="2699" t="s">
        <v>2182</v>
      </c>
      <c r="E67" s="3686"/>
      <c r="F67" s="3686"/>
      <c r="G67" s="2698" t="s">
        <v>167</v>
      </c>
      <c r="H67" s="2700">
        <f>+VLOOKUP(D67,VCKD!C36:H117,6,0)</f>
        <v>0</v>
      </c>
      <c r="I67" s="3618">
        <f>+VLOOKUP(D67,VCKD!C36:M117,11,0)</f>
        <v>80655</v>
      </c>
      <c r="J67" s="2700">
        <f>+VLOOKUP(D67,VCKD!C36:S117,17,0)</f>
        <v>1314081.6200000001</v>
      </c>
      <c r="K67" s="2700">
        <f t="shared" si="5"/>
        <v>1394736.62</v>
      </c>
      <c r="L67" s="2412"/>
      <c r="M67" s="2412"/>
      <c r="N67" s="2412"/>
      <c r="O67" s="2700">
        <f t="shared" si="6"/>
        <v>1394736.62</v>
      </c>
      <c r="P67" s="2412"/>
      <c r="Q67" s="2412"/>
      <c r="R67" s="2700">
        <f>+VLOOKUP(D67,VCKD!C36:V117,20,0)</f>
        <v>1394736.62</v>
      </c>
      <c r="S67" s="2412"/>
      <c r="T67" s="3529"/>
      <c r="V67" s="2650"/>
      <c r="X67" s="2650"/>
    </row>
    <row r="68" spans="1:24" s="41" customFormat="1" ht="23.25" customHeight="1">
      <c r="A68" s="2698">
        <v>53</v>
      </c>
      <c r="B68" s="2698">
        <v>20</v>
      </c>
      <c r="C68" s="3686"/>
      <c r="D68" s="2699" t="s">
        <v>2183</v>
      </c>
      <c r="E68" s="3686"/>
      <c r="F68" s="3686"/>
      <c r="G68" s="2698" t="s">
        <v>167</v>
      </c>
      <c r="H68" s="2700">
        <f>+VLOOKUP(D68,VCKD!C37:H118,6,0)</f>
        <v>0</v>
      </c>
      <c r="I68" s="3618">
        <f>+VLOOKUP(D68,VCKD!C37:M118,11,0)</f>
        <v>127703</v>
      </c>
      <c r="J68" s="2700">
        <f>+VLOOKUP(D68,VCKD!C37:S118,17,0)</f>
        <v>1243650.6000000001</v>
      </c>
      <c r="K68" s="2700">
        <f t="shared" si="5"/>
        <v>1371353.6</v>
      </c>
      <c r="L68" s="2412"/>
      <c r="M68" s="2412"/>
      <c r="N68" s="2412"/>
      <c r="O68" s="2700">
        <f t="shared" si="6"/>
        <v>1371353.6</v>
      </c>
      <c r="P68" s="2412"/>
      <c r="Q68" s="2412"/>
      <c r="R68" s="2700">
        <f>+VLOOKUP(D68,VCKD!C37:V118,20,0)</f>
        <v>1371353.6</v>
      </c>
      <c r="S68" s="2412"/>
      <c r="T68" s="3529"/>
      <c r="V68" s="2650"/>
      <c r="X68" s="2650"/>
    </row>
    <row r="69" spans="1:24" s="41" customFormat="1" ht="23.25" customHeight="1">
      <c r="A69" s="2698">
        <v>54</v>
      </c>
      <c r="B69" s="2698">
        <v>21</v>
      </c>
      <c r="C69" s="3686"/>
      <c r="D69" s="2699" t="s">
        <v>1236</v>
      </c>
      <c r="E69" s="3686"/>
      <c r="F69" s="3686"/>
      <c r="G69" s="2698" t="s">
        <v>167</v>
      </c>
      <c r="H69" s="2700">
        <f>+VLOOKUP(D69,VCKD!C38:H119,6,0)</f>
        <v>0</v>
      </c>
      <c r="I69" s="3618">
        <f>+VLOOKUP(D69,VCKD!C38:M119,11,0)</f>
        <v>0</v>
      </c>
      <c r="J69" s="2700">
        <f>+VLOOKUP(D69,VCKD!C38:S119,17,0)</f>
        <v>1113152.1000000001</v>
      </c>
      <c r="K69" s="2700">
        <f t="shared" si="5"/>
        <v>1113152.1000000001</v>
      </c>
      <c r="L69" s="2412"/>
      <c r="M69" s="2412"/>
      <c r="N69" s="2412"/>
      <c r="O69" s="2700">
        <f t="shared" si="6"/>
        <v>1113152.1000000001</v>
      </c>
      <c r="P69" s="2412"/>
      <c r="Q69" s="2412"/>
      <c r="R69" s="2700">
        <f>+VLOOKUP(D69,VCKD!C38:V119,20,0)</f>
        <v>1113152.1000000001</v>
      </c>
      <c r="S69" s="2412"/>
      <c r="T69" s="3529"/>
      <c r="V69" s="2650"/>
      <c r="X69" s="2650"/>
    </row>
    <row r="70" spans="1:24" s="41" customFormat="1" ht="23.25" customHeight="1">
      <c r="A70" s="2698">
        <v>55</v>
      </c>
      <c r="B70" s="2698">
        <v>22</v>
      </c>
      <c r="C70" s="3686"/>
      <c r="D70" s="2699" t="s">
        <v>2184</v>
      </c>
      <c r="E70" s="3686"/>
      <c r="F70" s="3686"/>
      <c r="G70" s="2698" t="s">
        <v>167</v>
      </c>
      <c r="H70" s="2700">
        <f>+VLOOKUP(D70,VCKD!C39:H120,6,0)</f>
        <v>0</v>
      </c>
      <c r="I70" s="3618">
        <f>+VLOOKUP(D70,VCKD!C39:M120,11,0)</f>
        <v>62731</v>
      </c>
      <c r="J70" s="2700">
        <f>+VLOOKUP(D70,VCKD!C39:S120,17,0)</f>
        <v>1314081.6200000001</v>
      </c>
      <c r="K70" s="2700">
        <f t="shared" si="5"/>
        <v>1376812.62</v>
      </c>
      <c r="L70" s="2412"/>
      <c r="M70" s="2412"/>
      <c r="N70" s="2412"/>
      <c r="O70" s="2700">
        <f t="shared" si="6"/>
        <v>1376812.62</v>
      </c>
      <c r="P70" s="2412"/>
      <c r="Q70" s="2412"/>
      <c r="R70" s="2700">
        <f>+VLOOKUP(D70,VCKD!C39:V120,20,0)</f>
        <v>1376812.62</v>
      </c>
      <c r="S70" s="2412"/>
      <c r="T70" s="3529"/>
      <c r="V70" s="2650"/>
      <c r="X70" s="2650"/>
    </row>
    <row r="71" spans="1:24" s="41" customFormat="1" ht="23.25" customHeight="1">
      <c r="A71" s="2698">
        <v>56</v>
      </c>
      <c r="B71" s="2698">
        <v>23</v>
      </c>
      <c r="C71" s="3686"/>
      <c r="D71" s="2699" t="s">
        <v>2185</v>
      </c>
      <c r="E71" s="3686"/>
      <c r="F71" s="3686"/>
      <c r="G71" s="2698" t="s">
        <v>167</v>
      </c>
      <c r="H71" s="2700">
        <f>+VLOOKUP(D71,VCKD!C40:H121,6,0)</f>
        <v>0</v>
      </c>
      <c r="I71" s="3618">
        <f>+VLOOKUP(D71,VCKD!C40:M121,11,0)</f>
        <v>76174</v>
      </c>
      <c r="J71" s="2700">
        <f>+VLOOKUP(D71,VCKD!C40:S121,17,0)</f>
        <v>1314081.6200000001</v>
      </c>
      <c r="K71" s="2700">
        <f t="shared" si="5"/>
        <v>1390255.62</v>
      </c>
      <c r="L71" s="2412"/>
      <c r="M71" s="2412"/>
      <c r="N71" s="2412"/>
      <c r="O71" s="2700">
        <f t="shared" si="6"/>
        <v>1390255.62</v>
      </c>
      <c r="P71" s="2412"/>
      <c r="Q71" s="2412"/>
      <c r="R71" s="2700">
        <f>+VLOOKUP(D71,VCKD!C40:V121,20,0)</f>
        <v>1390255.62</v>
      </c>
      <c r="S71" s="2412"/>
      <c r="T71" s="3529"/>
      <c r="V71" s="2650"/>
      <c r="X71" s="2650"/>
    </row>
    <row r="72" spans="1:24" s="41" customFormat="1" ht="23.25" customHeight="1">
      <c r="A72" s="2698">
        <v>57</v>
      </c>
      <c r="B72" s="2698">
        <v>24</v>
      </c>
      <c r="C72" s="3686"/>
      <c r="D72" s="2699" t="s">
        <v>2186</v>
      </c>
      <c r="E72" s="3686"/>
      <c r="F72" s="3686"/>
      <c r="G72" s="2698" t="s">
        <v>167</v>
      </c>
      <c r="H72" s="2700">
        <f>+VLOOKUP(D72,VCKD!C41:H122,6,0)</f>
        <v>0</v>
      </c>
      <c r="I72" s="3618">
        <f>+VLOOKUP(D72,VCKD!C41:M122,11,0)</f>
        <v>58251</v>
      </c>
      <c r="J72" s="2700">
        <f>+VLOOKUP(D72,VCKD!C41:S122,17,0)</f>
        <v>1314081.6200000001</v>
      </c>
      <c r="K72" s="2700">
        <f t="shared" si="5"/>
        <v>1372332.62</v>
      </c>
      <c r="L72" s="2412"/>
      <c r="M72" s="2412"/>
      <c r="N72" s="2412"/>
      <c r="O72" s="2700">
        <f t="shared" si="6"/>
        <v>1372332.62</v>
      </c>
      <c r="P72" s="2412"/>
      <c r="Q72" s="2412"/>
      <c r="R72" s="2700">
        <f>+VLOOKUP(D72,VCKD!C41:V122,20,0)</f>
        <v>1372332.62</v>
      </c>
      <c r="S72" s="2412"/>
      <c r="T72" s="3529"/>
      <c r="V72" s="2650"/>
      <c r="X72" s="2650"/>
    </row>
    <row r="73" spans="1:24" s="41" customFormat="1" ht="23.25" customHeight="1">
      <c r="A73" s="2698">
        <v>58</v>
      </c>
      <c r="B73" s="2698">
        <v>25</v>
      </c>
      <c r="C73" s="3686"/>
      <c r="D73" s="2699" t="s">
        <v>2187</v>
      </c>
      <c r="E73" s="3686"/>
      <c r="F73" s="3686"/>
      <c r="G73" s="2698" t="s">
        <v>167</v>
      </c>
      <c r="H73" s="2700">
        <f>+VLOOKUP(D73,VCKD!C42:H123,6,0)</f>
        <v>0</v>
      </c>
      <c r="I73" s="3618">
        <f>+VLOOKUP(D73,VCKD!C42:M123,11,0)</f>
        <v>42568</v>
      </c>
      <c r="J73" s="2700">
        <f>+VLOOKUP(D73,VCKD!C42:S123,17,0)</f>
        <v>1314081.6200000001</v>
      </c>
      <c r="K73" s="2700">
        <f t="shared" si="5"/>
        <v>1356649.62</v>
      </c>
      <c r="L73" s="2412"/>
      <c r="M73" s="2412"/>
      <c r="N73" s="2412"/>
      <c r="O73" s="2700">
        <f t="shared" si="6"/>
        <v>1356649.62</v>
      </c>
      <c r="P73" s="2412"/>
      <c r="Q73" s="2412"/>
      <c r="R73" s="2700">
        <f>+VLOOKUP(D73,VCKD!C42:V123,20,0)</f>
        <v>1356649.62</v>
      </c>
      <c r="S73" s="2412"/>
      <c r="T73" s="3529"/>
      <c r="V73" s="2650"/>
      <c r="X73" s="2650"/>
    </row>
    <row r="74" spans="1:24" s="41" customFormat="1" ht="23.25" customHeight="1">
      <c r="A74" s="2698">
        <v>59</v>
      </c>
      <c r="B74" s="2698">
        <v>26</v>
      </c>
      <c r="C74" s="3686"/>
      <c r="D74" s="2699" t="s">
        <v>1525</v>
      </c>
      <c r="E74" s="3686"/>
      <c r="F74" s="3686"/>
      <c r="G74" s="2698" t="s">
        <v>167</v>
      </c>
      <c r="H74" s="2700">
        <f>+VLOOKUP(D74,VCKD!C43:H124,6,0)</f>
        <v>0</v>
      </c>
      <c r="I74" s="3618">
        <f>+VLOOKUP(D74,VCKD!C43:M124,11,0)</f>
        <v>0</v>
      </c>
      <c r="J74" s="2700">
        <f>+VLOOKUP(D74,VCKD!C43:S124,17,0)</f>
        <v>1314081.6200000001</v>
      </c>
      <c r="K74" s="2700">
        <f t="shared" si="5"/>
        <v>1314081.6200000001</v>
      </c>
      <c r="L74" s="2412"/>
      <c r="M74" s="2412"/>
      <c r="N74" s="2412"/>
      <c r="O74" s="2700">
        <f t="shared" si="6"/>
        <v>1314081.6200000001</v>
      </c>
      <c r="P74" s="2412"/>
      <c r="Q74" s="2412"/>
      <c r="R74" s="2700">
        <f>+VLOOKUP(D74,VCKD!C43:V124,20,0)</f>
        <v>1314081.6200000001</v>
      </c>
      <c r="S74" s="2412"/>
      <c r="T74" s="3529"/>
      <c r="V74" s="2650"/>
      <c r="X74" s="2650"/>
    </row>
    <row r="75" spans="1:24" s="41" customFormat="1" ht="23.25" customHeight="1">
      <c r="A75" s="2698">
        <v>60</v>
      </c>
      <c r="B75" s="2698">
        <v>27</v>
      </c>
      <c r="C75" s="3686"/>
      <c r="D75" s="2699" t="s">
        <v>2188</v>
      </c>
      <c r="E75" s="3686"/>
      <c r="F75" s="3686"/>
      <c r="G75" s="2698" t="s">
        <v>167</v>
      </c>
      <c r="H75" s="2700">
        <f>+VLOOKUP(D75,VCKD!C44:H125,6,0)</f>
        <v>0</v>
      </c>
      <c r="I75" s="3618">
        <f>+VLOOKUP(D75,VCKD!C44:M125,11,0)</f>
        <v>0</v>
      </c>
      <c r="J75" s="2700">
        <f>+VLOOKUP(D75,VCKD!C44:S125,17,0)</f>
        <v>1263849.24</v>
      </c>
      <c r="K75" s="2700">
        <f t="shared" si="5"/>
        <v>1263849.24</v>
      </c>
      <c r="L75" s="2412"/>
      <c r="M75" s="2412"/>
      <c r="N75" s="2412"/>
      <c r="O75" s="2700">
        <f t="shared" si="6"/>
        <v>1263849.24</v>
      </c>
      <c r="P75" s="2412"/>
      <c r="Q75" s="2412"/>
      <c r="R75" s="2700">
        <f>+VLOOKUP(D75,VCKD!C44:V125,20,0)</f>
        <v>1263849.24</v>
      </c>
      <c r="S75" s="2412"/>
      <c r="T75" s="3529"/>
      <c r="V75" s="2650"/>
      <c r="X75" s="2650"/>
    </row>
    <row r="76" spans="1:24" s="41" customFormat="1" ht="23.25" customHeight="1">
      <c r="A76" s="2698">
        <v>61</v>
      </c>
      <c r="B76" s="2698">
        <v>28</v>
      </c>
      <c r="C76" s="3686"/>
      <c r="D76" s="2699" t="s">
        <v>2189</v>
      </c>
      <c r="E76" s="3686"/>
      <c r="F76" s="3686"/>
      <c r="G76" s="2698" t="s">
        <v>167</v>
      </c>
      <c r="H76" s="2700">
        <f>+VLOOKUP(D76,VCKD!C45:H126,6,0)</f>
        <v>0</v>
      </c>
      <c r="I76" s="3618">
        <f>+VLOOKUP(D76,VCKD!C45:M126,11,0)</f>
        <v>76174</v>
      </c>
      <c r="J76" s="2700">
        <f>+VLOOKUP(D76,VCKD!C45:S126,17,0)</f>
        <v>1314081.6200000001</v>
      </c>
      <c r="K76" s="2700">
        <f t="shared" si="5"/>
        <v>1390255.62</v>
      </c>
      <c r="L76" s="2412"/>
      <c r="M76" s="2412"/>
      <c r="N76" s="2412"/>
      <c r="O76" s="2700">
        <f t="shared" si="6"/>
        <v>1390255.62</v>
      </c>
      <c r="P76" s="2412"/>
      <c r="Q76" s="2412"/>
      <c r="R76" s="2700">
        <f>+VLOOKUP(D76,VCKD!C45:V126,20,0)</f>
        <v>1390255.62</v>
      </c>
      <c r="S76" s="2412"/>
      <c r="T76" s="3529"/>
      <c r="V76" s="2650"/>
      <c r="X76" s="2650"/>
    </row>
    <row r="77" spans="1:24" s="41" customFormat="1" ht="23.25" customHeight="1">
      <c r="A77" s="2698">
        <v>62</v>
      </c>
      <c r="B77" s="2698">
        <v>29</v>
      </c>
      <c r="C77" s="3686"/>
      <c r="D77" s="2699" t="s">
        <v>1507</v>
      </c>
      <c r="E77" s="3686"/>
      <c r="F77" s="3686"/>
      <c r="G77" s="2698" t="s">
        <v>167</v>
      </c>
      <c r="H77" s="2700">
        <f>+VLOOKUP(D77,VCKD!C46:H127,6,0)</f>
        <v>0</v>
      </c>
      <c r="I77" s="3618">
        <f>+VLOOKUP(D77,VCKD!C46:M127,11,0)</f>
        <v>94097</v>
      </c>
      <c r="J77" s="2700">
        <f>+VLOOKUP(D77,VCKD!C46:S127,17,0)</f>
        <v>1314081.6200000001</v>
      </c>
      <c r="K77" s="2700">
        <f t="shared" si="5"/>
        <v>1408178.62</v>
      </c>
      <c r="L77" s="2412"/>
      <c r="M77" s="2412"/>
      <c r="N77" s="2412"/>
      <c r="O77" s="2700">
        <f t="shared" si="6"/>
        <v>1408178.62</v>
      </c>
      <c r="P77" s="2412"/>
      <c r="Q77" s="2412"/>
      <c r="R77" s="2700">
        <f>+VLOOKUP(D77,VCKD!C46:V127,20,0)</f>
        <v>1408178.62</v>
      </c>
      <c r="S77" s="2412"/>
      <c r="T77" s="3529"/>
      <c r="V77" s="2650"/>
      <c r="X77" s="2650"/>
    </row>
    <row r="78" spans="1:24" s="41" customFormat="1" ht="23.25" customHeight="1">
      <c r="A78" s="2698">
        <v>63</v>
      </c>
      <c r="B78" s="2698">
        <v>30</v>
      </c>
      <c r="C78" s="3686"/>
      <c r="D78" s="2699" t="s">
        <v>2190</v>
      </c>
      <c r="E78" s="3686"/>
      <c r="F78" s="3686"/>
      <c r="G78" s="2698" t="s">
        <v>167</v>
      </c>
      <c r="H78" s="2700">
        <f>+VLOOKUP(D78,VCKD!C47:H128,6,0)</f>
        <v>0</v>
      </c>
      <c r="I78" s="3618">
        <f>+VLOOKUP(D78,VCKD!C47:M128,11,0)</f>
        <v>91857</v>
      </c>
      <c r="J78" s="2700">
        <f>+VLOOKUP(D78,VCKD!C47:S128,17,0)</f>
        <v>1314081.6200000001</v>
      </c>
      <c r="K78" s="2700">
        <f t="shared" si="5"/>
        <v>1405938.62</v>
      </c>
      <c r="L78" s="2412"/>
      <c r="M78" s="2412"/>
      <c r="N78" s="2412"/>
      <c r="O78" s="2700">
        <f t="shared" si="6"/>
        <v>1405938.62</v>
      </c>
      <c r="P78" s="2412"/>
      <c r="Q78" s="2412"/>
      <c r="R78" s="2700">
        <f>+VLOOKUP(D78,VCKD!C47:V128,20,0)</f>
        <v>1405938.62</v>
      </c>
      <c r="S78" s="2412"/>
      <c r="T78" s="3529"/>
      <c r="V78" s="2650"/>
      <c r="X78" s="2650"/>
    </row>
    <row r="79" spans="1:24" s="41" customFormat="1" ht="23.25" customHeight="1">
      <c r="A79" s="2698">
        <v>64</v>
      </c>
      <c r="B79" s="2698">
        <v>31</v>
      </c>
      <c r="C79" s="3686"/>
      <c r="D79" s="2699" t="s">
        <v>2191</v>
      </c>
      <c r="E79" s="3686"/>
      <c r="F79" s="3686"/>
      <c r="G79" s="2698" t="s">
        <v>167</v>
      </c>
      <c r="H79" s="2700">
        <f>+VLOOKUP(D79,VCKD!C48:H129,6,0)</f>
        <v>0</v>
      </c>
      <c r="I79" s="3618">
        <f>+VLOOKUP(D79,VCKD!C48:M129,11,0)</f>
        <v>91857</v>
      </c>
      <c r="J79" s="2700">
        <f>+VLOOKUP(D79,VCKD!C48:S129,17,0)</f>
        <v>1314081.6200000001</v>
      </c>
      <c r="K79" s="2700">
        <f t="shared" si="5"/>
        <v>1405938.62</v>
      </c>
      <c r="L79" s="2412"/>
      <c r="M79" s="2412"/>
      <c r="N79" s="2412"/>
      <c r="O79" s="2700">
        <f t="shared" si="6"/>
        <v>1405938.62</v>
      </c>
      <c r="P79" s="2412"/>
      <c r="Q79" s="2412"/>
      <c r="R79" s="2700">
        <f>+VLOOKUP(D79,VCKD!C48:V129,20,0)</f>
        <v>1405938.62</v>
      </c>
      <c r="S79" s="2412"/>
      <c r="T79" s="3529"/>
      <c r="V79" s="2650"/>
      <c r="X79" s="2650"/>
    </row>
    <row r="80" spans="1:24" s="41" customFormat="1" ht="23.25" customHeight="1">
      <c r="A80" s="2698">
        <v>65</v>
      </c>
      <c r="B80" s="2698">
        <v>32</v>
      </c>
      <c r="C80" s="3686"/>
      <c r="D80" s="2699" t="s">
        <v>1923</v>
      </c>
      <c r="E80" s="3686"/>
      <c r="F80" s="3686"/>
      <c r="G80" s="2698" t="s">
        <v>167</v>
      </c>
      <c r="H80" s="2700">
        <f>+VLOOKUP(D80,VCKD!C49:H130,6,0)</f>
        <v>0</v>
      </c>
      <c r="I80" s="3618">
        <f>+VLOOKUP(D80,VCKD!C49:M130,11,0)</f>
        <v>0</v>
      </c>
      <c r="J80" s="2700">
        <f>+VLOOKUP(D80,VCKD!C49:S130,17,0)</f>
        <v>942256.32</v>
      </c>
      <c r="K80" s="2700">
        <f t="shared" si="5"/>
        <v>942256.32</v>
      </c>
      <c r="L80" s="2412"/>
      <c r="M80" s="2412"/>
      <c r="N80" s="2412"/>
      <c r="O80" s="2700">
        <f t="shared" si="6"/>
        <v>942256.32</v>
      </c>
      <c r="P80" s="2412"/>
      <c r="Q80" s="2412"/>
      <c r="R80" s="2700">
        <f>+VLOOKUP(D80,VCKD!C49:V130,20,0)</f>
        <v>942256.32</v>
      </c>
      <c r="S80" s="2412"/>
      <c r="T80" s="3529"/>
      <c r="V80" s="2650"/>
      <c r="X80" s="2650"/>
    </row>
    <row r="81" spans="1:24" s="41" customFormat="1" ht="23.25" customHeight="1">
      <c r="A81" s="2698">
        <v>66</v>
      </c>
      <c r="B81" s="2698">
        <v>33</v>
      </c>
      <c r="C81" s="3686"/>
      <c r="D81" s="2699" t="s">
        <v>2192</v>
      </c>
      <c r="E81" s="3686"/>
      <c r="F81" s="3686"/>
      <c r="G81" s="2698" t="s">
        <v>167</v>
      </c>
      <c r="H81" s="2700">
        <f>+VLOOKUP(D81,VCKD!C50:H131,6,0)</f>
        <v>0</v>
      </c>
      <c r="I81" s="3618">
        <f>+VLOOKUP(D81,VCKD!C50:M131,11,0)</f>
        <v>0</v>
      </c>
      <c r="J81" s="2700">
        <f>+VLOOKUP(D81,VCKD!C50:S131,17,0)</f>
        <v>1193418.22</v>
      </c>
      <c r="K81" s="2700">
        <f t="shared" si="5"/>
        <v>1193418.22</v>
      </c>
      <c r="L81" s="2412"/>
      <c r="M81" s="2412"/>
      <c r="N81" s="2412"/>
      <c r="O81" s="2700">
        <f t="shared" si="6"/>
        <v>1193418.22</v>
      </c>
      <c r="P81" s="2412"/>
      <c r="Q81" s="2412"/>
      <c r="R81" s="2700">
        <f>+VLOOKUP(D81,VCKD!C50:V131,20,0)</f>
        <v>1193418.22</v>
      </c>
      <c r="S81" s="2412"/>
      <c r="T81" s="3529"/>
      <c r="V81" s="2650"/>
      <c r="X81" s="2650"/>
    </row>
    <row r="82" spans="1:24" s="41" customFormat="1" ht="23.25" customHeight="1">
      <c r="A82" s="2698">
        <v>67</v>
      </c>
      <c r="B82" s="2698">
        <v>34</v>
      </c>
      <c r="C82" s="3686"/>
      <c r="D82" s="2699" t="s">
        <v>2193</v>
      </c>
      <c r="E82" s="3686"/>
      <c r="F82" s="3686"/>
      <c r="G82" s="2698" t="s">
        <v>167</v>
      </c>
      <c r="H82" s="2700">
        <f>+VLOOKUP(D82,VCKD!C51:H132,6,0)</f>
        <v>0</v>
      </c>
      <c r="I82" s="3618">
        <f>+VLOOKUP(D82,VCKD!C51:M132,11,0)</f>
        <v>100818</v>
      </c>
      <c r="J82" s="2700">
        <f>+VLOOKUP(D82,VCKD!C51:S132,17,0)</f>
        <v>1314081.6200000001</v>
      </c>
      <c r="K82" s="2700">
        <f t="shared" si="5"/>
        <v>1414899.62</v>
      </c>
      <c r="L82" s="2412"/>
      <c r="M82" s="2412"/>
      <c r="N82" s="2412"/>
      <c r="O82" s="2700">
        <f t="shared" si="6"/>
        <v>1414899.62</v>
      </c>
      <c r="P82" s="2412"/>
      <c r="Q82" s="2412"/>
      <c r="R82" s="2700">
        <f>+VLOOKUP(D82,VCKD!C51:V132,20,0)</f>
        <v>1414899.62</v>
      </c>
      <c r="S82" s="2412"/>
      <c r="T82" s="3529"/>
      <c r="V82" s="2650"/>
      <c r="X82" s="2650"/>
    </row>
    <row r="83" spans="1:24" s="41" customFormat="1" ht="23.25" customHeight="1">
      <c r="A83" s="2698">
        <v>68</v>
      </c>
      <c r="B83" s="2698">
        <v>35</v>
      </c>
      <c r="C83" s="3686"/>
      <c r="D83" s="2699" t="s">
        <v>2195</v>
      </c>
      <c r="E83" s="3686"/>
      <c r="F83" s="3686"/>
      <c r="G83" s="2698" t="s">
        <v>167</v>
      </c>
      <c r="H83" s="2700">
        <f>+VLOOKUP(D83,VCKD!C52:H133,6,0)</f>
        <v>0</v>
      </c>
      <c r="I83" s="3618">
        <f>+VLOOKUP(D83,VCKD!C52:M133,11,0)</f>
        <v>551384</v>
      </c>
      <c r="J83" s="2700">
        <f>+VLOOKUP(D83,VCKD!C52:S133,17,0)</f>
        <v>1464778.76</v>
      </c>
      <c r="K83" s="2700">
        <f t="shared" si="5"/>
        <v>2016162.76</v>
      </c>
      <c r="L83" s="2412"/>
      <c r="M83" s="2412"/>
      <c r="N83" s="2412"/>
      <c r="O83" s="2700">
        <f t="shared" si="6"/>
        <v>2016162.76</v>
      </c>
      <c r="P83" s="2412"/>
      <c r="Q83" s="2412"/>
      <c r="R83" s="2700">
        <f>+VLOOKUP(D83,VCKD!C52:V133,20,0)</f>
        <v>2016162.76</v>
      </c>
      <c r="S83" s="2412"/>
      <c r="T83" s="3529"/>
      <c r="V83" s="2650"/>
      <c r="X83" s="2650"/>
    </row>
    <row r="84" spans="1:24" s="41" customFormat="1" ht="23.25" customHeight="1">
      <c r="A84" s="2698">
        <v>69</v>
      </c>
      <c r="B84" s="2698">
        <v>36</v>
      </c>
      <c r="C84" s="3686"/>
      <c r="D84" s="2699" t="s">
        <v>2196</v>
      </c>
      <c r="E84" s="3686"/>
      <c r="F84" s="3686"/>
      <c r="G84" s="2698" t="s">
        <v>167</v>
      </c>
      <c r="H84" s="2700">
        <f>+VLOOKUP(D84,VCKD!C53:H134,6,0)</f>
        <v>0</v>
      </c>
      <c r="I84" s="3618">
        <f>+VLOOKUP(D84,VCKD!C53:M134,11,0)</f>
        <v>596765</v>
      </c>
      <c r="J84" s="2700">
        <f>+VLOOKUP(D84,VCKD!C53:S134,17,0)</f>
        <v>1464778.76</v>
      </c>
      <c r="K84" s="2700">
        <f t="shared" si="5"/>
        <v>2061543.76</v>
      </c>
      <c r="L84" s="2412"/>
      <c r="M84" s="2412"/>
      <c r="N84" s="2412"/>
      <c r="O84" s="2700">
        <f t="shared" si="6"/>
        <v>2061543.76</v>
      </c>
      <c r="P84" s="2412"/>
      <c r="Q84" s="2412"/>
      <c r="R84" s="2700">
        <f>+VLOOKUP(D84,VCKD!C53:V134,20,0)</f>
        <v>2061543.76</v>
      </c>
      <c r="S84" s="2412"/>
      <c r="T84" s="3529"/>
      <c r="V84" s="2650"/>
      <c r="X84" s="2650"/>
    </row>
    <row r="85" spans="1:24" s="41" customFormat="1" ht="23.25" customHeight="1">
      <c r="A85" s="2698">
        <v>70</v>
      </c>
      <c r="B85" s="2698">
        <v>37</v>
      </c>
      <c r="C85" s="3686"/>
      <c r="D85" s="2699" t="s">
        <v>2197</v>
      </c>
      <c r="E85" s="3686"/>
      <c r="F85" s="3686"/>
      <c r="G85" s="2698" t="s">
        <v>167</v>
      </c>
      <c r="H85" s="2700">
        <f>+VLOOKUP(D85,VCKD!C54:H135,6,0)</f>
        <v>0</v>
      </c>
      <c r="I85" s="3618">
        <f>+VLOOKUP(D85,VCKD!C54:M135,11,0)</f>
        <v>562729</v>
      </c>
      <c r="J85" s="2700">
        <f>+VLOOKUP(D85,VCKD!C54:S135,17,0)</f>
        <v>1464778.76</v>
      </c>
      <c r="K85" s="2700">
        <f t="shared" si="5"/>
        <v>2027507.76</v>
      </c>
      <c r="L85" s="2412"/>
      <c r="M85" s="2412"/>
      <c r="N85" s="2412"/>
      <c r="O85" s="2700">
        <f t="shared" si="6"/>
        <v>2027507.76</v>
      </c>
      <c r="P85" s="2412"/>
      <c r="Q85" s="2412"/>
      <c r="R85" s="2700">
        <f>+VLOOKUP(D85,VCKD!C54:V135,20,0)</f>
        <v>2027507.76</v>
      </c>
      <c r="S85" s="2412"/>
      <c r="T85" s="3529"/>
      <c r="V85" s="2650"/>
      <c r="X85" s="2650"/>
    </row>
    <row r="86" spans="1:24" s="41" customFormat="1" ht="23.25" customHeight="1">
      <c r="A86" s="2698">
        <v>71</v>
      </c>
      <c r="B86" s="2698">
        <v>38</v>
      </c>
      <c r="C86" s="3686"/>
      <c r="D86" s="2699" t="s">
        <v>2198</v>
      </c>
      <c r="E86" s="3686"/>
      <c r="F86" s="3686"/>
      <c r="G86" s="2698" t="s">
        <v>167</v>
      </c>
      <c r="H86" s="2700">
        <f>+VLOOKUP(D86,VCKD!C55:H136,6,0)</f>
        <v>0</v>
      </c>
      <c r="I86" s="3618">
        <f>+VLOOKUP(D86,VCKD!C55:M136,11,0)</f>
        <v>558191</v>
      </c>
      <c r="J86" s="2700">
        <f>+VLOOKUP(D86,VCKD!C55:S136,17,0)</f>
        <v>1464778.76</v>
      </c>
      <c r="K86" s="2700">
        <f t="shared" si="5"/>
        <v>2022969.76</v>
      </c>
      <c r="L86" s="2412"/>
      <c r="M86" s="2412"/>
      <c r="N86" s="2412"/>
      <c r="O86" s="2700">
        <f t="shared" si="6"/>
        <v>2022969.76</v>
      </c>
      <c r="P86" s="2412"/>
      <c r="Q86" s="2412"/>
      <c r="R86" s="2700">
        <f>+VLOOKUP(D86,VCKD!C55:V136,20,0)</f>
        <v>2022969.76</v>
      </c>
      <c r="S86" s="2412"/>
      <c r="T86" s="3529"/>
      <c r="V86" s="2650"/>
      <c r="X86" s="2650"/>
    </row>
    <row r="87" spans="1:24" s="41" customFormat="1" ht="23.25" customHeight="1">
      <c r="A87" s="2698">
        <v>72</v>
      </c>
      <c r="B87" s="2698">
        <v>39</v>
      </c>
      <c r="C87" s="3686"/>
      <c r="D87" s="2699" t="s">
        <v>2199</v>
      </c>
      <c r="E87" s="3686"/>
      <c r="F87" s="3686"/>
      <c r="G87" s="2698" t="s">
        <v>167</v>
      </c>
      <c r="H87" s="2700">
        <f>+VLOOKUP(D87,VCKD!C56:H137,6,0)</f>
        <v>0</v>
      </c>
      <c r="I87" s="3618">
        <f>+VLOOKUP(D87,VCKD!C56:M137,11,0)</f>
        <v>512809</v>
      </c>
      <c r="J87" s="2700">
        <f>+VLOOKUP(D87,VCKD!C56:S137,17,0)</f>
        <v>1464778.76</v>
      </c>
      <c r="K87" s="2700">
        <f t="shared" si="5"/>
        <v>1977587.76</v>
      </c>
      <c r="L87" s="2412"/>
      <c r="M87" s="2412"/>
      <c r="N87" s="2412"/>
      <c r="O87" s="2700">
        <f t="shared" si="6"/>
        <v>1977587.76</v>
      </c>
      <c r="P87" s="2412"/>
      <c r="Q87" s="2412"/>
      <c r="R87" s="2700">
        <f>+VLOOKUP(D87,VCKD!C56:V137,20,0)</f>
        <v>1977587.76</v>
      </c>
      <c r="S87" s="2412"/>
      <c r="T87" s="3529"/>
      <c r="V87" s="2650"/>
      <c r="X87" s="2650"/>
    </row>
    <row r="88" spans="1:24" s="41" customFormat="1" ht="23.25" customHeight="1">
      <c r="A88" s="2698">
        <v>73</v>
      </c>
      <c r="B88" s="2698">
        <v>40</v>
      </c>
      <c r="C88" s="3686"/>
      <c r="D88" s="2699" t="s">
        <v>2200</v>
      </c>
      <c r="E88" s="3686"/>
      <c r="F88" s="3686"/>
      <c r="G88" s="2698" t="s">
        <v>167</v>
      </c>
      <c r="H88" s="2700">
        <f>+VLOOKUP(D88,VCKD!C57:H138,6,0)</f>
        <v>0</v>
      </c>
      <c r="I88" s="3618">
        <f>+VLOOKUP(D88,VCKD!C57:M138,11,0)</f>
        <v>521886</v>
      </c>
      <c r="J88" s="2700">
        <f>+VLOOKUP(D88,VCKD!C57:S138,17,0)</f>
        <v>1464778.76</v>
      </c>
      <c r="K88" s="2700">
        <f t="shared" si="5"/>
        <v>1986664.76</v>
      </c>
      <c r="L88" s="2412"/>
      <c r="M88" s="2412"/>
      <c r="N88" s="2412"/>
      <c r="O88" s="2700">
        <f t="shared" si="6"/>
        <v>1986664.76</v>
      </c>
      <c r="P88" s="2412"/>
      <c r="Q88" s="2412"/>
      <c r="R88" s="2700">
        <f>+VLOOKUP(D88,VCKD!C57:V138,20,0)</f>
        <v>1986664.76</v>
      </c>
      <c r="S88" s="2412"/>
      <c r="T88" s="3529"/>
      <c r="V88" s="2650"/>
      <c r="X88" s="2650"/>
    </row>
    <row r="89" spans="1:24" s="41" customFormat="1" ht="23.25" customHeight="1">
      <c r="A89" s="2698">
        <v>74</v>
      </c>
      <c r="B89" s="2698">
        <v>41</v>
      </c>
      <c r="C89" s="3686"/>
      <c r="D89" s="2699" t="s">
        <v>2201</v>
      </c>
      <c r="E89" s="3686"/>
      <c r="F89" s="3686"/>
      <c r="G89" s="2698" t="s">
        <v>167</v>
      </c>
      <c r="H89" s="2700">
        <f>+VLOOKUP(D89,VCKD!C58:H139,6,0)</f>
        <v>0</v>
      </c>
      <c r="I89" s="3618">
        <f>+VLOOKUP(D89,VCKD!C58:M139,11,0)</f>
        <v>764676</v>
      </c>
      <c r="J89" s="2700">
        <f>+VLOOKUP(D89,VCKD!C58:S139,17,0)</f>
        <v>1464778.76</v>
      </c>
      <c r="K89" s="2700">
        <f t="shared" si="5"/>
        <v>2229454.7599999998</v>
      </c>
      <c r="L89" s="2412"/>
      <c r="M89" s="2412"/>
      <c r="N89" s="2412"/>
      <c r="O89" s="2700">
        <f t="shared" si="6"/>
        <v>2229454.7599999998</v>
      </c>
      <c r="P89" s="2412"/>
      <c r="Q89" s="2412"/>
      <c r="R89" s="2700">
        <f>+VLOOKUP(D89,VCKD!C58:V139,20,0)</f>
        <v>2229454.7599999998</v>
      </c>
      <c r="S89" s="2412"/>
      <c r="T89" s="3529"/>
      <c r="V89" s="2650"/>
      <c r="X89" s="2650"/>
    </row>
    <row r="90" spans="1:24" s="41" customFormat="1" ht="23.25" customHeight="1">
      <c r="A90" s="2698">
        <v>75</v>
      </c>
      <c r="B90" s="2698">
        <v>42</v>
      </c>
      <c r="C90" s="3686"/>
      <c r="D90" s="2699" t="s">
        <v>2202</v>
      </c>
      <c r="E90" s="3686"/>
      <c r="F90" s="3686"/>
      <c r="G90" s="2698" t="s">
        <v>167</v>
      </c>
      <c r="H90" s="2700">
        <f>+VLOOKUP(D90,VCKD!C59:H140,6,0)</f>
        <v>0</v>
      </c>
      <c r="I90" s="3618">
        <f>+VLOOKUP(D90,VCKD!C59:M140,11,0)</f>
        <v>501464</v>
      </c>
      <c r="J90" s="2700">
        <f>+VLOOKUP(D90,VCKD!C59:S140,17,0)</f>
        <v>1464778.76</v>
      </c>
      <c r="K90" s="2700">
        <f t="shared" si="5"/>
        <v>1966242.76</v>
      </c>
      <c r="L90" s="2412"/>
      <c r="M90" s="2412"/>
      <c r="N90" s="2412"/>
      <c r="O90" s="2700">
        <f t="shared" si="6"/>
        <v>1966242.76</v>
      </c>
      <c r="P90" s="2412"/>
      <c r="Q90" s="2412"/>
      <c r="R90" s="2700">
        <f>+VLOOKUP(D90,VCKD!C59:V140,20,0)</f>
        <v>1966242.76</v>
      </c>
      <c r="S90" s="2412"/>
      <c r="T90" s="3529"/>
      <c r="V90" s="2650"/>
      <c r="X90" s="2650"/>
    </row>
    <row r="91" spans="1:24" s="41" customFormat="1" ht="23.25" customHeight="1">
      <c r="A91" s="2698">
        <v>76</v>
      </c>
      <c r="B91" s="2698">
        <v>43</v>
      </c>
      <c r="C91" s="3686"/>
      <c r="D91" s="2699" t="s">
        <v>2203</v>
      </c>
      <c r="E91" s="3686"/>
      <c r="F91" s="3686"/>
      <c r="G91" s="2698" t="s">
        <v>167</v>
      </c>
      <c r="H91" s="2700">
        <f>+VLOOKUP(D91,VCKD!C60:H141,6,0)</f>
        <v>0</v>
      </c>
      <c r="I91" s="3618">
        <f>+VLOOKUP(D91,VCKD!C60:M141,11,0)</f>
        <v>506002</v>
      </c>
      <c r="J91" s="2700">
        <f>+VLOOKUP(D91,VCKD!C60:S141,17,0)</f>
        <v>1464778.76</v>
      </c>
      <c r="K91" s="2700">
        <f t="shared" si="5"/>
        <v>1970780.76</v>
      </c>
      <c r="L91" s="2412"/>
      <c r="M91" s="2412"/>
      <c r="N91" s="2412"/>
      <c r="O91" s="2700">
        <f t="shared" si="6"/>
        <v>1970780.76</v>
      </c>
      <c r="P91" s="2412"/>
      <c r="Q91" s="2412"/>
      <c r="R91" s="2700">
        <f>+VLOOKUP(D91,VCKD!C60:V141,20,0)</f>
        <v>1970780.76</v>
      </c>
      <c r="S91" s="2412"/>
      <c r="T91" s="3529"/>
      <c r="V91" s="2650"/>
      <c r="X91" s="2650"/>
    </row>
    <row r="92" spans="1:24" s="41" customFormat="1" ht="23.25" customHeight="1">
      <c r="A92" s="2698">
        <v>77</v>
      </c>
      <c r="B92" s="2698">
        <v>44</v>
      </c>
      <c r="C92" s="3686"/>
      <c r="D92" s="2699" t="s">
        <v>2204</v>
      </c>
      <c r="E92" s="3686"/>
      <c r="F92" s="3686"/>
      <c r="G92" s="2698" t="s">
        <v>167</v>
      </c>
      <c r="H92" s="2700">
        <f>+VLOOKUP(D92,VCKD!C61:H142,6,0)</f>
        <v>0</v>
      </c>
      <c r="I92" s="3618">
        <f>+VLOOKUP(D92,VCKD!C61:M142,11,0)</f>
        <v>555922</v>
      </c>
      <c r="J92" s="2700">
        <f>+VLOOKUP(D92,VCKD!C61:S142,17,0)</f>
        <v>1464778.76</v>
      </c>
      <c r="K92" s="2700">
        <f t="shared" si="5"/>
        <v>2020700.76</v>
      </c>
      <c r="L92" s="2412"/>
      <c r="M92" s="2412"/>
      <c r="N92" s="2412"/>
      <c r="O92" s="2700">
        <f t="shared" si="6"/>
        <v>2020700.76</v>
      </c>
      <c r="P92" s="2412"/>
      <c r="Q92" s="2412"/>
      <c r="R92" s="2700">
        <f>+VLOOKUP(D92,VCKD!C61:V142,20,0)</f>
        <v>2020700.76</v>
      </c>
      <c r="S92" s="2412"/>
      <c r="T92" s="3529"/>
      <c r="V92" s="2650"/>
      <c r="X92" s="2650"/>
    </row>
    <row r="93" spans="1:24" s="41" customFormat="1" ht="23.25" customHeight="1">
      <c r="A93" s="2698">
        <v>78</v>
      </c>
      <c r="B93" s="2698">
        <v>45</v>
      </c>
      <c r="C93" s="3686"/>
      <c r="D93" s="2699" t="s">
        <v>2205</v>
      </c>
      <c r="E93" s="3686"/>
      <c r="F93" s="3686"/>
      <c r="G93" s="2698" t="s">
        <v>167</v>
      </c>
      <c r="H93" s="2700">
        <f>+VLOOKUP(D93,VCKD!C62:H143,6,0)</f>
        <v>0</v>
      </c>
      <c r="I93" s="3618">
        <f>+VLOOKUP(D93,VCKD!C62:M143,11,0)</f>
        <v>760138</v>
      </c>
      <c r="J93" s="2700">
        <f>+VLOOKUP(D93,VCKD!C62:S143,17,0)</f>
        <v>1464778.76</v>
      </c>
      <c r="K93" s="2700">
        <f t="shared" si="5"/>
        <v>2224916.7599999998</v>
      </c>
      <c r="L93" s="2412"/>
      <c r="M93" s="2412"/>
      <c r="N93" s="2412"/>
      <c r="O93" s="2700">
        <f t="shared" si="6"/>
        <v>2224916.7599999998</v>
      </c>
      <c r="P93" s="2412"/>
      <c r="Q93" s="2412"/>
      <c r="R93" s="2700">
        <f>+VLOOKUP(D93,VCKD!C62:V143,20,0)</f>
        <v>2224916.7599999998</v>
      </c>
      <c r="S93" s="2412"/>
      <c r="T93" s="3529"/>
      <c r="V93" s="2650"/>
      <c r="X93" s="2650"/>
    </row>
    <row r="94" spans="1:24" s="41" customFormat="1" ht="23.25" customHeight="1">
      <c r="A94" s="2698">
        <v>79</v>
      </c>
      <c r="B94" s="2698">
        <v>46</v>
      </c>
      <c r="C94" s="3686"/>
      <c r="D94" s="2699" t="s">
        <v>2206</v>
      </c>
      <c r="E94" s="3686"/>
      <c r="F94" s="3686"/>
      <c r="G94" s="2698" t="s">
        <v>167</v>
      </c>
      <c r="H94" s="2700">
        <f>+VLOOKUP(D94,VCKD!C63:H144,6,0)</f>
        <v>0</v>
      </c>
      <c r="I94" s="3618">
        <f>+VLOOKUP(D94,VCKD!C63:M144,11,0)</f>
        <v>510540</v>
      </c>
      <c r="J94" s="2700">
        <f>+VLOOKUP(D94,VCKD!C63:S144,17,0)</f>
        <v>1464778.76</v>
      </c>
      <c r="K94" s="2700">
        <f t="shared" si="5"/>
        <v>1975318.76</v>
      </c>
      <c r="L94" s="2412"/>
      <c r="M94" s="2412"/>
      <c r="N94" s="2412"/>
      <c r="O94" s="2700">
        <f t="shared" si="6"/>
        <v>1975318.76</v>
      </c>
      <c r="P94" s="2412"/>
      <c r="Q94" s="2412"/>
      <c r="R94" s="2700">
        <f>+VLOOKUP(D94,VCKD!C63:V144,20,0)</f>
        <v>1975318.76</v>
      </c>
      <c r="S94" s="2412"/>
      <c r="T94" s="3529"/>
      <c r="V94" s="2650"/>
      <c r="X94" s="2650"/>
    </row>
    <row r="95" spans="1:24" s="41" customFormat="1" ht="23.25" customHeight="1">
      <c r="A95" s="2698">
        <v>80</v>
      </c>
      <c r="B95" s="2698">
        <v>47</v>
      </c>
      <c r="C95" s="3686"/>
      <c r="D95" s="2699" t="s">
        <v>2207</v>
      </c>
      <c r="E95" s="3686"/>
      <c r="F95" s="3686"/>
      <c r="G95" s="2698" t="s">
        <v>167</v>
      </c>
      <c r="H95" s="2700">
        <f>+VLOOKUP(D95,VCKD!C64:H145,6,0)</f>
        <v>0</v>
      </c>
      <c r="I95" s="3618">
        <f>+VLOOKUP(D95,VCKD!C64:M145,11,0)</f>
        <v>551384</v>
      </c>
      <c r="J95" s="2700">
        <f>+VLOOKUP(D95,VCKD!C64:S145,17,0)</f>
        <v>1464778.76</v>
      </c>
      <c r="K95" s="2700">
        <f t="shared" si="5"/>
        <v>2016162.76</v>
      </c>
      <c r="L95" s="2412"/>
      <c r="M95" s="2412"/>
      <c r="N95" s="2412"/>
      <c r="O95" s="2700">
        <f t="shared" si="6"/>
        <v>2016162.76</v>
      </c>
      <c r="P95" s="2412"/>
      <c r="Q95" s="2412"/>
      <c r="R95" s="2700">
        <f>+VLOOKUP(D95,VCKD!C64:V145,20,0)</f>
        <v>2016162.76</v>
      </c>
      <c r="S95" s="2412"/>
      <c r="T95" s="3529"/>
      <c r="V95" s="2650"/>
      <c r="X95" s="2650"/>
    </row>
    <row r="96" spans="1:24" s="41" customFormat="1" ht="23.25" customHeight="1">
      <c r="A96" s="2698">
        <v>81</v>
      </c>
      <c r="B96" s="2698">
        <v>48</v>
      </c>
      <c r="C96" s="3686"/>
      <c r="D96" s="2699" t="s">
        <v>2208</v>
      </c>
      <c r="E96" s="3686"/>
      <c r="F96" s="3686"/>
      <c r="G96" s="2698" t="s">
        <v>167</v>
      </c>
      <c r="H96" s="2700">
        <f>+VLOOKUP(D96,VCKD!C65:H146,6,0)</f>
        <v>0</v>
      </c>
      <c r="I96" s="3618">
        <f>+VLOOKUP(D96,VCKD!C65:M146,11,0)</f>
        <v>392549</v>
      </c>
      <c r="J96" s="2700">
        <f>+VLOOKUP(D96,VCKD!C65:S146,17,0)</f>
        <v>1464778.76</v>
      </c>
      <c r="K96" s="2700">
        <f t="shared" si="5"/>
        <v>1857327.76</v>
      </c>
      <c r="L96" s="2412"/>
      <c r="M96" s="2412"/>
      <c r="N96" s="2412"/>
      <c r="O96" s="2700">
        <f t="shared" si="6"/>
        <v>1857327.76</v>
      </c>
      <c r="P96" s="2412"/>
      <c r="Q96" s="2412"/>
      <c r="R96" s="2700">
        <f>+VLOOKUP(D96,VCKD!C65:V146,20,0)</f>
        <v>1857327.76</v>
      </c>
      <c r="S96" s="2412"/>
      <c r="T96" s="3529"/>
      <c r="V96" s="2650"/>
      <c r="X96" s="2650"/>
    </row>
    <row r="97" spans="1:24" s="41" customFormat="1" ht="23.25" customHeight="1">
      <c r="A97" s="2698">
        <v>82</v>
      </c>
      <c r="B97" s="2698">
        <v>49</v>
      </c>
      <c r="C97" s="3686"/>
      <c r="D97" s="2699" t="s">
        <v>2209</v>
      </c>
      <c r="E97" s="3686"/>
      <c r="F97" s="3686"/>
      <c r="G97" s="2698" t="s">
        <v>167</v>
      </c>
      <c r="H97" s="2700">
        <f>+VLOOKUP(D97,VCKD!C66:H147,6,0)</f>
        <v>0</v>
      </c>
      <c r="I97" s="3618">
        <f>+VLOOKUP(D97,VCKD!C66:M147,11,0)</f>
        <v>397087</v>
      </c>
      <c r="J97" s="2700">
        <f>+VLOOKUP(D97,VCKD!C66:S147,17,0)</f>
        <v>1464778.76</v>
      </c>
      <c r="K97" s="2700">
        <f t="shared" si="5"/>
        <v>1861865.76</v>
      </c>
      <c r="L97" s="2412"/>
      <c r="M97" s="2412"/>
      <c r="N97" s="2412"/>
      <c r="O97" s="2700">
        <f t="shared" si="6"/>
        <v>1861865.76</v>
      </c>
      <c r="P97" s="2412"/>
      <c r="Q97" s="2412"/>
      <c r="R97" s="2700">
        <f>+VLOOKUP(D97,VCKD!C66:V147,20,0)</f>
        <v>1861865.76</v>
      </c>
      <c r="S97" s="2412"/>
      <c r="T97" s="3529"/>
      <c r="V97" s="2650"/>
      <c r="X97" s="2650"/>
    </row>
    <row r="98" spans="1:24" s="41" customFormat="1" ht="23.25" customHeight="1">
      <c r="A98" s="2698">
        <v>83</v>
      </c>
      <c r="B98" s="2698">
        <v>50</v>
      </c>
      <c r="C98" s="3686"/>
      <c r="D98" s="2699" t="s">
        <v>2210</v>
      </c>
      <c r="E98" s="3686"/>
      <c r="F98" s="3686"/>
      <c r="G98" s="2698" t="s">
        <v>167</v>
      </c>
      <c r="H98" s="2700">
        <f>+VLOOKUP(D98,VCKD!C67:H148,6,0)</f>
        <v>0</v>
      </c>
      <c r="I98" s="3618">
        <f>+VLOOKUP(D98,VCKD!C67:M148,11,0)</f>
        <v>376665</v>
      </c>
      <c r="J98" s="2700">
        <f>+VLOOKUP(D98,VCKD!C67:S148,17,0)</f>
        <v>1464778.76</v>
      </c>
      <c r="K98" s="2700">
        <f t="shared" si="5"/>
        <v>1841443.76</v>
      </c>
      <c r="L98" s="2412"/>
      <c r="M98" s="2412"/>
      <c r="N98" s="2412"/>
      <c r="O98" s="2700">
        <f t="shared" si="6"/>
        <v>1841443.76</v>
      </c>
      <c r="P98" s="2412"/>
      <c r="Q98" s="2412"/>
      <c r="R98" s="2700">
        <f>+VLOOKUP(D98,VCKD!C67:V148,20,0)</f>
        <v>1841443.76</v>
      </c>
      <c r="S98" s="2412"/>
      <c r="T98" s="3529"/>
      <c r="V98" s="2650"/>
      <c r="X98" s="2650"/>
    </row>
    <row r="99" spans="1:24" s="41" customFormat="1" ht="23.25" customHeight="1">
      <c r="A99" s="2698">
        <v>84</v>
      </c>
      <c r="B99" s="2698">
        <v>51</v>
      </c>
      <c r="C99" s="3686"/>
      <c r="D99" s="2699" t="s">
        <v>2211</v>
      </c>
      <c r="E99" s="3686"/>
      <c r="F99" s="3686"/>
      <c r="G99" s="2698" t="s">
        <v>167</v>
      </c>
      <c r="H99" s="2700">
        <f>+VLOOKUP(D99,VCKD!C68:H149,6,0)</f>
        <v>0</v>
      </c>
      <c r="I99" s="3618">
        <f>+VLOOKUP(D99,VCKD!C68:M149,11,0)</f>
        <v>372127</v>
      </c>
      <c r="J99" s="2700">
        <f>+VLOOKUP(D99,VCKD!C68:S149,17,0)</f>
        <v>1464778.76</v>
      </c>
      <c r="K99" s="2700">
        <f t="shared" si="5"/>
        <v>1836905.76</v>
      </c>
      <c r="L99" s="2412"/>
      <c r="M99" s="2412"/>
      <c r="N99" s="2412"/>
      <c r="O99" s="2700">
        <f t="shared" si="6"/>
        <v>1836905.76</v>
      </c>
      <c r="P99" s="2412"/>
      <c r="Q99" s="2412"/>
      <c r="R99" s="2700">
        <f>+VLOOKUP(D99,VCKD!C68:V149,20,0)</f>
        <v>1836905.76</v>
      </c>
      <c r="S99" s="2412"/>
      <c r="T99" s="3529"/>
      <c r="V99" s="2650"/>
      <c r="X99" s="2650"/>
    </row>
    <row r="100" spans="1:24" s="41" customFormat="1" ht="23.25" customHeight="1">
      <c r="A100" s="2698">
        <v>85</v>
      </c>
      <c r="B100" s="2698">
        <v>52</v>
      </c>
      <c r="C100" s="3686"/>
      <c r="D100" s="2699" t="s">
        <v>2212</v>
      </c>
      <c r="E100" s="3686"/>
      <c r="F100" s="3686"/>
      <c r="G100" s="2698" t="s">
        <v>167</v>
      </c>
      <c r="H100" s="2700">
        <f>+VLOOKUP(D100,VCKD!C69:H150,6,0)</f>
        <v>0</v>
      </c>
      <c r="I100" s="3618">
        <f>+VLOOKUP(D100,VCKD!C69:M150,11,0)</f>
        <v>181525</v>
      </c>
      <c r="J100" s="2700">
        <f>+VLOOKUP(D100,VCKD!C69:S150,17,0)</f>
        <v>1464778.76</v>
      </c>
      <c r="K100" s="2700">
        <f t="shared" si="5"/>
        <v>1646303.76</v>
      </c>
      <c r="L100" s="2412"/>
      <c r="M100" s="2412"/>
      <c r="N100" s="2412"/>
      <c r="O100" s="2700">
        <f t="shared" si="6"/>
        <v>1646303.76</v>
      </c>
      <c r="P100" s="2412"/>
      <c r="Q100" s="2412"/>
      <c r="R100" s="2700">
        <f>+VLOOKUP(D100,VCKD!C69:V150,20,0)</f>
        <v>1646303.76</v>
      </c>
      <c r="S100" s="2412"/>
      <c r="T100" s="3529"/>
      <c r="V100" s="2650"/>
      <c r="X100" s="2650"/>
    </row>
    <row r="101" spans="1:24" s="41" customFormat="1" ht="23.25" customHeight="1">
      <c r="A101" s="2698">
        <v>86</v>
      </c>
      <c r="B101" s="2698">
        <v>53</v>
      </c>
      <c r="C101" s="3686"/>
      <c r="D101" s="2699" t="s">
        <v>2213</v>
      </c>
      <c r="E101" s="3686"/>
      <c r="F101" s="3686"/>
      <c r="G101" s="2698" t="s">
        <v>167</v>
      </c>
      <c r="H101" s="2700">
        <f>+VLOOKUP(D101,VCKD!C70:H151,6,0)</f>
        <v>0</v>
      </c>
      <c r="I101" s="3618">
        <f>+VLOOKUP(D101,VCKD!C70:M151,11,0)</f>
        <v>179256</v>
      </c>
      <c r="J101" s="2700">
        <f>+VLOOKUP(D101,VCKD!C70:S151,17,0)</f>
        <v>1293882.98</v>
      </c>
      <c r="K101" s="2700">
        <f t="shared" si="5"/>
        <v>1473138.98</v>
      </c>
      <c r="L101" s="2412"/>
      <c r="M101" s="2412"/>
      <c r="N101" s="2412"/>
      <c r="O101" s="2700">
        <f t="shared" si="6"/>
        <v>1473138.98</v>
      </c>
      <c r="P101" s="2412"/>
      <c r="Q101" s="2412"/>
      <c r="R101" s="2700">
        <f>+VLOOKUP(D101,VCKD!C70:V151,20,0)</f>
        <v>1473138.98</v>
      </c>
      <c r="S101" s="2412"/>
      <c r="T101" s="3529"/>
      <c r="V101" s="2650"/>
      <c r="X101" s="2650"/>
    </row>
    <row r="102" spans="1:24" s="41" customFormat="1" ht="23.25" customHeight="1">
      <c r="A102" s="2698">
        <v>87</v>
      </c>
      <c r="B102" s="2698">
        <v>54</v>
      </c>
      <c r="C102" s="3686"/>
      <c r="D102" s="2699" t="s">
        <v>2214</v>
      </c>
      <c r="E102" s="3686"/>
      <c r="F102" s="3686"/>
      <c r="G102" s="2698" t="s">
        <v>167</v>
      </c>
      <c r="H102" s="2700">
        <f>+VLOOKUP(D102,VCKD!C71:H152,6,0)</f>
        <v>0</v>
      </c>
      <c r="I102" s="3618">
        <f>+VLOOKUP(D102,VCKD!C71:M152,11,0)</f>
        <v>267750</v>
      </c>
      <c r="J102" s="2700">
        <f>+VLOOKUP(D102,VCKD!C71:S152,17,0)</f>
        <v>1243650.6000000001</v>
      </c>
      <c r="K102" s="2700">
        <f t="shared" si="5"/>
        <v>1511400.6</v>
      </c>
      <c r="L102" s="2412"/>
      <c r="M102" s="2412"/>
      <c r="N102" s="2412"/>
      <c r="O102" s="2700">
        <f t="shared" si="6"/>
        <v>1511400.6</v>
      </c>
      <c r="P102" s="2412"/>
      <c r="Q102" s="2412"/>
      <c r="R102" s="2700">
        <f>+VLOOKUP(D102,VCKD!C71:V152,20,0)</f>
        <v>1511400.6</v>
      </c>
      <c r="S102" s="2412"/>
      <c r="T102" s="3529"/>
      <c r="V102" s="2650"/>
      <c r="X102" s="2650"/>
    </row>
    <row r="103" spans="1:24" s="41" customFormat="1" ht="23.25" customHeight="1">
      <c r="A103" s="2698">
        <v>88</v>
      </c>
      <c r="B103" s="2698">
        <v>55</v>
      </c>
      <c r="C103" s="3686"/>
      <c r="D103" s="2699" t="s">
        <v>2215</v>
      </c>
      <c r="E103" s="3686"/>
      <c r="F103" s="3686"/>
      <c r="G103" s="2698" t="s">
        <v>167</v>
      </c>
      <c r="H103" s="2700">
        <f>+VLOOKUP(D103,VCKD!C72:H153,6,0)</f>
        <v>0</v>
      </c>
      <c r="I103" s="3618">
        <f>+VLOOKUP(D103,VCKD!C72:M153,11,0)</f>
        <v>281364</v>
      </c>
      <c r="J103" s="2700">
        <f>+VLOOKUP(D103,VCKD!C72:S153,17,0)</f>
        <v>1243650.6000000001</v>
      </c>
      <c r="K103" s="2700">
        <f t="shared" si="5"/>
        <v>1525014.6</v>
      </c>
      <c r="L103" s="2412"/>
      <c r="M103" s="2412"/>
      <c r="N103" s="2412"/>
      <c r="O103" s="2700">
        <f t="shared" si="6"/>
        <v>1525014.6</v>
      </c>
      <c r="P103" s="2412"/>
      <c r="Q103" s="2412"/>
      <c r="R103" s="2700">
        <f>+VLOOKUP(D103,VCKD!C72:V153,20,0)</f>
        <v>1525014.6</v>
      </c>
      <c r="S103" s="2412"/>
      <c r="T103" s="3529"/>
      <c r="V103" s="2650"/>
      <c r="X103" s="2650"/>
    </row>
    <row r="104" spans="1:24" s="41" customFormat="1" ht="23.25" customHeight="1">
      <c r="A104" s="2698">
        <v>89</v>
      </c>
      <c r="B104" s="2698">
        <v>56</v>
      </c>
      <c r="C104" s="3686"/>
      <c r="D104" s="2699" t="s">
        <v>307</v>
      </c>
      <c r="E104" s="3686"/>
      <c r="F104" s="3686"/>
      <c r="G104" s="2698" t="s">
        <v>167</v>
      </c>
      <c r="H104" s="2700">
        <f>+VLOOKUP(D104,VCKD!C73:H154,6,0)</f>
        <v>0</v>
      </c>
      <c r="I104" s="3618">
        <f>+VLOOKUP(D104,VCKD!C73:M154,11,0)</f>
        <v>201947</v>
      </c>
      <c r="J104" s="2700">
        <f>+VLOOKUP(D104,VCKD!C73:S154,17,0)</f>
        <v>1243650.6000000001</v>
      </c>
      <c r="K104" s="2700">
        <f t="shared" si="5"/>
        <v>1445597.6</v>
      </c>
      <c r="L104" s="2412"/>
      <c r="M104" s="2412"/>
      <c r="N104" s="2412"/>
      <c r="O104" s="2700">
        <f t="shared" si="6"/>
        <v>1445597.6</v>
      </c>
      <c r="P104" s="2412"/>
      <c r="Q104" s="2412"/>
      <c r="R104" s="2700">
        <f>+VLOOKUP(D104,VCKD!C73:V154,20,0)</f>
        <v>1445597.6</v>
      </c>
      <c r="S104" s="2412"/>
      <c r="T104" s="3529"/>
      <c r="V104" s="2650"/>
      <c r="X104" s="2650"/>
    </row>
    <row r="105" spans="1:24" s="41" customFormat="1" ht="23.25" customHeight="1">
      <c r="A105" s="2698">
        <v>90</v>
      </c>
      <c r="B105" s="2698">
        <v>57</v>
      </c>
      <c r="C105" s="3686"/>
      <c r="D105" s="2699" t="s">
        <v>2216</v>
      </c>
      <c r="E105" s="3686"/>
      <c r="F105" s="3686"/>
      <c r="G105" s="2698" t="s">
        <v>167</v>
      </c>
      <c r="H105" s="2700">
        <f>+VLOOKUP(D105,VCKD!C74:H155,6,0)</f>
        <v>0</v>
      </c>
      <c r="I105" s="3618">
        <f>+VLOOKUP(D105,VCKD!C74:M155,11,0)</f>
        <v>226907</v>
      </c>
      <c r="J105" s="2700">
        <f>+VLOOKUP(D105,VCKD!C74:S155,17,0)</f>
        <v>1243650.6000000001</v>
      </c>
      <c r="K105" s="2700">
        <f t="shared" si="5"/>
        <v>1470557.6</v>
      </c>
      <c r="L105" s="2412"/>
      <c r="M105" s="2412"/>
      <c r="N105" s="2412"/>
      <c r="O105" s="2700">
        <f t="shared" si="6"/>
        <v>1470557.6</v>
      </c>
      <c r="P105" s="2412"/>
      <c r="Q105" s="2412"/>
      <c r="R105" s="2700">
        <f>+VLOOKUP(D105,VCKD!C74:V155,20,0)</f>
        <v>1470557.6</v>
      </c>
      <c r="S105" s="2412"/>
      <c r="T105" s="3529"/>
      <c r="V105" s="2650"/>
      <c r="X105" s="2650"/>
    </row>
    <row r="106" spans="1:24" s="41" customFormat="1" ht="23.25" customHeight="1">
      <c r="A106" s="2698">
        <v>91</v>
      </c>
      <c r="B106" s="2698">
        <v>58</v>
      </c>
      <c r="C106" s="3686"/>
      <c r="D106" s="2699" t="s">
        <v>2217</v>
      </c>
      <c r="E106" s="3686"/>
      <c r="F106" s="3686"/>
      <c r="G106" s="2698" t="s">
        <v>167</v>
      </c>
      <c r="H106" s="2700">
        <f>+VLOOKUP(D106,VCKD!C75:H156,6,0)</f>
        <v>0</v>
      </c>
      <c r="I106" s="3618">
        <f>+VLOOKUP(D106,VCKD!C75:M156,11,0)</f>
        <v>453814</v>
      </c>
      <c r="J106" s="2700">
        <f>+VLOOKUP(D106,VCKD!C75:S156,17,0)</f>
        <v>1414546.38</v>
      </c>
      <c r="K106" s="2700">
        <f t="shared" si="5"/>
        <v>1868360.38</v>
      </c>
      <c r="L106" s="2412"/>
      <c r="M106" s="2412"/>
      <c r="N106" s="2412"/>
      <c r="O106" s="2700">
        <f t="shared" si="6"/>
        <v>1868360.38</v>
      </c>
      <c r="P106" s="2412"/>
      <c r="Q106" s="2412"/>
      <c r="R106" s="2700">
        <f>+VLOOKUP(D106,VCKD!C75:V156,20,0)</f>
        <v>1868360.38</v>
      </c>
      <c r="S106" s="2412"/>
      <c r="T106" s="3529"/>
      <c r="V106" s="2650"/>
      <c r="X106" s="2650"/>
    </row>
    <row r="107" spans="1:24" s="41" customFormat="1" ht="23.25" customHeight="1">
      <c r="A107" s="2698">
        <v>92</v>
      </c>
      <c r="B107" s="2698">
        <v>59</v>
      </c>
      <c r="C107" s="3686"/>
      <c r="D107" s="2699" t="s">
        <v>2218</v>
      </c>
      <c r="E107" s="3686"/>
      <c r="F107" s="3686"/>
      <c r="G107" s="2698" t="s">
        <v>167</v>
      </c>
      <c r="H107" s="2700">
        <f>+VLOOKUP(D107,VCKD!C76:H157,6,0)</f>
        <v>0</v>
      </c>
      <c r="I107" s="3618">
        <f>+VLOOKUP(D107,VCKD!C76:M157,11,0)</f>
        <v>471966</v>
      </c>
      <c r="J107" s="2700">
        <f>+VLOOKUP(D107,VCKD!C76:S157,17,0)</f>
        <v>1464778.76</v>
      </c>
      <c r="K107" s="2700">
        <f t="shared" si="5"/>
        <v>1936744.76</v>
      </c>
      <c r="L107" s="2412"/>
      <c r="M107" s="2412"/>
      <c r="N107" s="2412"/>
      <c r="O107" s="2700">
        <f t="shared" si="6"/>
        <v>1936744.76</v>
      </c>
      <c r="P107" s="2412"/>
      <c r="Q107" s="2412"/>
      <c r="R107" s="2700">
        <f>+VLOOKUP(D107,VCKD!C76:V157,20,0)</f>
        <v>1936744.76</v>
      </c>
      <c r="S107" s="2412"/>
      <c r="T107" s="3529"/>
      <c r="V107" s="2650"/>
      <c r="X107" s="2650"/>
    </row>
    <row r="108" spans="1:24" s="41" customFormat="1" ht="23.25" customHeight="1">
      <c r="A108" s="2698">
        <v>93</v>
      </c>
      <c r="B108" s="2698">
        <v>60</v>
      </c>
      <c r="C108" s="3686"/>
      <c r="D108" s="2699" t="s">
        <v>2219</v>
      </c>
      <c r="E108" s="3686"/>
      <c r="F108" s="3686"/>
      <c r="G108" s="2698" t="s">
        <v>167</v>
      </c>
      <c r="H108" s="2700">
        <f>+VLOOKUP(D108,VCKD!C77:H158,6,0)</f>
        <v>0</v>
      </c>
      <c r="I108" s="3618">
        <f>+VLOOKUP(D108,VCKD!C77:M158,11,0)</f>
        <v>267750</v>
      </c>
      <c r="J108" s="2700">
        <f>+VLOOKUP(D108,VCKD!C77:S158,17,0)</f>
        <v>1464778.76</v>
      </c>
      <c r="K108" s="2700">
        <f t="shared" si="5"/>
        <v>1732528.76</v>
      </c>
      <c r="L108" s="2412"/>
      <c r="M108" s="2412"/>
      <c r="N108" s="2412"/>
      <c r="O108" s="2700">
        <f t="shared" si="6"/>
        <v>1732528.76</v>
      </c>
      <c r="P108" s="2412"/>
      <c r="Q108" s="2412"/>
      <c r="R108" s="2700">
        <f>+VLOOKUP(D108,VCKD!C77:V158,20,0)</f>
        <v>1732528.76</v>
      </c>
      <c r="S108" s="2412"/>
      <c r="T108" s="3529"/>
      <c r="V108" s="2650"/>
      <c r="X108" s="2650"/>
    </row>
    <row r="109" spans="1:24" s="41" customFormat="1" ht="23.25" customHeight="1">
      <c r="A109" s="2698">
        <v>94</v>
      </c>
      <c r="B109" s="2698">
        <v>61</v>
      </c>
      <c r="C109" s="3686"/>
      <c r="D109" s="2699" t="s">
        <v>2220</v>
      </c>
      <c r="E109" s="3686"/>
      <c r="F109" s="3686"/>
      <c r="G109" s="2698" t="s">
        <v>167</v>
      </c>
      <c r="H109" s="2700">
        <f>+VLOOKUP(D109,VCKD!C78:H159,6,0)</f>
        <v>0</v>
      </c>
      <c r="I109" s="3618">
        <f>+VLOOKUP(D109,VCKD!C78:M159,11,0)</f>
        <v>281364</v>
      </c>
      <c r="J109" s="2700">
        <f>+VLOOKUP(D109,VCKD!C78:S159,17,0)</f>
        <v>1414546.38</v>
      </c>
      <c r="K109" s="2700">
        <f t="shared" si="5"/>
        <v>1695910.38</v>
      </c>
      <c r="L109" s="2412"/>
      <c r="M109" s="2412"/>
      <c r="N109" s="2412"/>
      <c r="O109" s="2700">
        <f t="shared" si="6"/>
        <v>1695910.38</v>
      </c>
      <c r="P109" s="2412"/>
      <c r="Q109" s="2412"/>
      <c r="R109" s="2700">
        <f>+VLOOKUP(D109,VCKD!C78:V159,20,0)</f>
        <v>1695910.38</v>
      </c>
      <c r="S109" s="2412"/>
      <c r="T109" s="3529"/>
      <c r="V109" s="2650"/>
      <c r="X109" s="2650"/>
    </row>
    <row r="110" spans="1:24" s="41" customFormat="1" ht="23.25" customHeight="1">
      <c r="A110" s="2698">
        <v>95</v>
      </c>
      <c r="B110" s="2698">
        <v>62</v>
      </c>
      <c r="C110" s="3686"/>
      <c r="D110" s="2699" t="s">
        <v>1189</v>
      </c>
      <c r="E110" s="3686"/>
      <c r="F110" s="3686"/>
      <c r="G110" s="2698" t="s">
        <v>167</v>
      </c>
      <c r="H110" s="2700">
        <f>+VLOOKUP(D110,VCKD!C79:H160,6,0)</f>
        <v>0</v>
      </c>
      <c r="I110" s="3618">
        <f>+VLOOKUP(D110,VCKD!C79:M160,11,0)</f>
        <v>367589</v>
      </c>
      <c r="J110" s="2700">
        <f>+VLOOKUP(D110,VCKD!C79:S160,17,0)</f>
        <v>1464778.76</v>
      </c>
      <c r="K110" s="2700">
        <f t="shared" si="5"/>
        <v>1832367.76</v>
      </c>
      <c r="L110" s="2412"/>
      <c r="M110" s="2412"/>
      <c r="N110" s="2412"/>
      <c r="O110" s="2700">
        <f t="shared" si="6"/>
        <v>1832367.76</v>
      </c>
      <c r="P110" s="2412"/>
      <c r="Q110" s="2412"/>
      <c r="R110" s="2700">
        <f>+VLOOKUP(D110,VCKD!C79:V160,20,0)</f>
        <v>1832367.76</v>
      </c>
      <c r="S110" s="2412"/>
      <c r="T110" s="3529"/>
      <c r="V110" s="2650"/>
      <c r="X110" s="2650"/>
    </row>
    <row r="111" spans="1:24" s="41" customFormat="1" ht="23.25" customHeight="1">
      <c r="A111" s="2698">
        <v>96</v>
      </c>
      <c r="B111" s="2698">
        <v>63</v>
      </c>
      <c r="C111" s="3686"/>
      <c r="D111" s="2699" t="s">
        <v>1908</v>
      </c>
      <c r="E111" s="3686"/>
      <c r="F111" s="3686"/>
      <c r="G111" s="2698" t="s">
        <v>167</v>
      </c>
      <c r="H111" s="2700">
        <f>+VLOOKUP(D111,VCKD!C80:H161,6,0)</f>
        <v>0</v>
      </c>
      <c r="I111" s="3618">
        <f>+VLOOKUP(D111,VCKD!C80:M161,11,0)</f>
        <v>353975</v>
      </c>
      <c r="J111" s="2700">
        <f>+VLOOKUP(D111,VCKD!C80:S161,17,0)</f>
        <v>1464778.76</v>
      </c>
      <c r="K111" s="2700">
        <f t="shared" si="5"/>
        <v>1818753.76</v>
      </c>
      <c r="L111" s="2412"/>
      <c r="M111" s="2412"/>
      <c r="N111" s="2412"/>
      <c r="O111" s="2700">
        <f t="shared" si="6"/>
        <v>1818753.76</v>
      </c>
      <c r="P111" s="2412"/>
      <c r="Q111" s="2412"/>
      <c r="R111" s="2700">
        <f>+VLOOKUP(D111,VCKD!C80:V161,20,0)</f>
        <v>1818753.76</v>
      </c>
      <c r="S111" s="2412"/>
      <c r="T111" s="3529"/>
      <c r="V111" s="2650"/>
      <c r="X111" s="2650"/>
    </row>
    <row r="112" spans="1:24" s="41" customFormat="1" ht="23.25" customHeight="1">
      <c r="A112" s="2698">
        <v>97</v>
      </c>
      <c r="B112" s="2698">
        <v>64</v>
      </c>
      <c r="C112" s="3686"/>
      <c r="D112" s="2699" t="s">
        <v>1914</v>
      </c>
      <c r="E112" s="3686"/>
      <c r="F112" s="3686"/>
      <c r="G112" s="2698" t="s">
        <v>167</v>
      </c>
      <c r="H112" s="2700">
        <f>+VLOOKUP(D112,VCKD!C81:H162,6,0)</f>
        <v>0</v>
      </c>
      <c r="I112" s="3618">
        <f>+VLOOKUP(D112,VCKD!C81:M162,11,0)</f>
        <v>506002</v>
      </c>
      <c r="J112" s="2700">
        <f>+VLOOKUP(D112,VCKD!C81:S162,17,0)</f>
        <v>1464778.76</v>
      </c>
      <c r="K112" s="2700">
        <f t="shared" si="5"/>
        <v>1970780.76</v>
      </c>
      <c r="L112" s="2412"/>
      <c r="M112" s="2412"/>
      <c r="N112" s="2412"/>
      <c r="O112" s="2700">
        <f t="shared" si="6"/>
        <v>1970780.76</v>
      </c>
      <c r="P112" s="2412"/>
      <c r="Q112" s="2412"/>
      <c r="R112" s="2700">
        <f>+VLOOKUP(D112,VCKD!C81:V162,20,0)</f>
        <v>1970780.76</v>
      </c>
      <c r="S112" s="2412"/>
      <c r="T112" s="3529"/>
      <c r="V112" s="2650"/>
      <c r="X112" s="2650"/>
    </row>
    <row r="113" spans="1:24" s="41" customFormat="1" ht="23.25" customHeight="1">
      <c r="A113" s="2698">
        <v>98</v>
      </c>
      <c r="B113" s="2698">
        <v>65</v>
      </c>
      <c r="C113" s="3686"/>
      <c r="D113" s="2699" t="s">
        <v>2221</v>
      </c>
      <c r="E113" s="3686"/>
      <c r="F113" s="3686"/>
      <c r="G113" s="2698" t="s">
        <v>167</v>
      </c>
      <c r="H113" s="2700">
        <f>+VLOOKUP(D113,VCKD!C82:H163,6,0)</f>
        <v>0</v>
      </c>
      <c r="I113" s="3618">
        <f>+VLOOKUP(D113,VCKD!C82:M163,11,0)</f>
        <v>378934</v>
      </c>
      <c r="J113" s="2700">
        <f>+VLOOKUP(D113,VCKD!C82:S163,17,0)</f>
        <v>1464778.76</v>
      </c>
      <c r="K113" s="2700">
        <f t="shared" si="5"/>
        <v>1843712.76</v>
      </c>
      <c r="L113" s="2412"/>
      <c r="M113" s="2412"/>
      <c r="N113" s="2412"/>
      <c r="O113" s="2700">
        <f t="shared" si="6"/>
        <v>1843712.76</v>
      </c>
      <c r="P113" s="2412"/>
      <c r="Q113" s="2412"/>
      <c r="R113" s="2700">
        <f>+VLOOKUP(D113,VCKD!C82:V163,20,0)</f>
        <v>1843712.76</v>
      </c>
      <c r="S113" s="2412"/>
      <c r="T113" s="3529"/>
      <c r="V113" s="2650"/>
      <c r="X113" s="2650"/>
    </row>
    <row r="114" spans="1:24" s="41" customFormat="1" ht="23.25" customHeight="1">
      <c r="A114" s="2698">
        <v>99</v>
      </c>
      <c r="B114" s="2698">
        <v>66</v>
      </c>
      <c r="C114" s="3686"/>
      <c r="D114" s="2699" t="s">
        <v>1903</v>
      </c>
      <c r="E114" s="3686"/>
      <c r="F114" s="3686"/>
      <c r="G114" s="2698" t="s">
        <v>167</v>
      </c>
      <c r="H114" s="2700">
        <f>+VLOOKUP(D114,VCKD!C83:H164,6,0)</f>
        <v>0</v>
      </c>
      <c r="I114" s="3618">
        <f>+VLOOKUP(D114,VCKD!C83:M164,11,0)</f>
        <v>347167</v>
      </c>
      <c r="J114" s="2700">
        <f>+VLOOKUP(D114,VCKD!C83:S164,17,0)</f>
        <v>1464778.76</v>
      </c>
      <c r="K114" s="2700">
        <f t="shared" ref="K114:K130" si="7">+H114+I114+J114</f>
        <v>1811945.76</v>
      </c>
      <c r="L114" s="2412"/>
      <c r="M114" s="2412"/>
      <c r="N114" s="2412"/>
      <c r="O114" s="2700">
        <f t="shared" ref="O114:O130" si="8">+K114</f>
        <v>1811945.76</v>
      </c>
      <c r="P114" s="2412"/>
      <c r="Q114" s="2412"/>
      <c r="R114" s="2700">
        <f>+VLOOKUP(D114,VCKD!C83:V164,20,0)</f>
        <v>1811945.76</v>
      </c>
      <c r="S114" s="2412"/>
      <c r="T114" s="3529"/>
      <c r="V114" s="2650"/>
      <c r="X114" s="2650"/>
    </row>
    <row r="115" spans="1:24" s="41" customFormat="1" ht="23.25" customHeight="1">
      <c r="A115" s="2698">
        <v>100</v>
      </c>
      <c r="B115" s="2698">
        <v>67</v>
      </c>
      <c r="C115" s="3686"/>
      <c r="D115" s="2699" t="s">
        <v>2222</v>
      </c>
      <c r="E115" s="3686"/>
      <c r="F115" s="3686"/>
      <c r="G115" s="2698" t="s">
        <v>167</v>
      </c>
      <c r="H115" s="2700">
        <f>+VLOOKUP(D115,VCKD!C84:H165,6,0)</f>
        <v>0</v>
      </c>
      <c r="I115" s="3618">
        <f>+VLOOKUP(D115,VCKD!C84:M165,11,0)</f>
        <v>367589</v>
      </c>
      <c r="J115" s="2700">
        <f>+VLOOKUP(D115,VCKD!C84:S165,17,0)</f>
        <v>1464778.76</v>
      </c>
      <c r="K115" s="2700">
        <f t="shared" si="7"/>
        <v>1832367.76</v>
      </c>
      <c r="L115" s="2412"/>
      <c r="M115" s="2412"/>
      <c r="N115" s="2412"/>
      <c r="O115" s="2700">
        <f t="shared" si="8"/>
        <v>1832367.76</v>
      </c>
      <c r="P115" s="2412"/>
      <c r="Q115" s="2412"/>
      <c r="R115" s="2700">
        <f>+VLOOKUP(D115,VCKD!C84:V165,20,0)</f>
        <v>1832367.76</v>
      </c>
      <c r="S115" s="2412"/>
      <c r="T115" s="3529"/>
      <c r="V115" s="2650"/>
      <c r="X115" s="2650"/>
    </row>
    <row r="116" spans="1:24" s="41" customFormat="1" ht="23.25" customHeight="1">
      <c r="A116" s="2698">
        <v>101</v>
      </c>
      <c r="B116" s="2698">
        <v>68</v>
      </c>
      <c r="C116" s="3686"/>
      <c r="D116" s="2699" t="s">
        <v>1910</v>
      </c>
      <c r="E116" s="3686"/>
      <c r="F116" s="3686"/>
      <c r="G116" s="2698" t="s">
        <v>167</v>
      </c>
      <c r="H116" s="2700">
        <f>+VLOOKUP(D116,VCKD!C85:H166,6,0)</f>
        <v>0</v>
      </c>
      <c r="I116" s="3618">
        <f>+VLOOKUP(D116,VCKD!C85:M166,11,0)</f>
        <v>333553</v>
      </c>
      <c r="J116" s="2700">
        <f>+VLOOKUP(D116,VCKD!C85:S166,17,0)</f>
        <v>1464778.76</v>
      </c>
      <c r="K116" s="2700">
        <f t="shared" si="7"/>
        <v>1798331.76</v>
      </c>
      <c r="L116" s="2412"/>
      <c r="M116" s="2412"/>
      <c r="N116" s="2412"/>
      <c r="O116" s="2700">
        <f t="shared" si="8"/>
        <v>1798331.76</v>
      </c>
      <c r="P116" s="2412"/>
      <c r="Q116" s="2412"/>
      <c r="R116" s="2700">
        <f>+VLOOKUP(D116,VCKD!C85:V166,20,0)</f>
        <v>1798331.76</v>
      </c>
      <c r="S116" s="2412"/>
      <c r="T116" s="3529"/>
      <c r="V116" s="2650"/>
      <c r="X116" s="2650"/>
    </row>
    <row r="117" spans="1:24" s="41" customFormat="1" ht="23.25" customHeight="1">
      <c r="A117" s="2698">
        <v>102</v>
      </c>
      <c r="B117" s="2698">
        <v>69</v>
      </c>
      <c r="C117" s="3686"/>
      <c r="D117" s="2699" t="s">
        <v>2223</v>
      </c>
      <c r="E117" s="3686"/>
      <c r="F117" s="3686"/>
      <c r="G117" s="2698" t="s">
        <v>167</v>
      </c>
      <c r="H117" s="2700">
        <f>+VLOOKUP(D117,VCKD!C86:H167,6,0)</f>
        <v>0</v>
      </c>
      <c r="I117" s="3618">
        <f>+VLOOKUP(D117,VCKD!C86:M167,11,0)</f>
        <v>344898</v>
      </c>
      <c r="J117" s="2700">
        <f>+VLOOKUP(D117,VCKD!C86:S167,17,0)</f>
        <v>1464778.76</v>
      </c>
      <c r="K117" s="2700">
        <f t="shared" si="7"/>
        <v>1809676.76</v>
      </c>
      <c r="L117" s="2412"/>
      <c r="M117" s="2412"/>
      <c r="N117" s="2412"/>
      <c r="O117" s="2700">
        <f t="shared" si="8"/>
        <v>1809676.76</v>
      </c>
      <c r="P117" s="2412"/>
      <c r="Q117" s="2412"/>
      <c r="R117" s="2700">
        <f>+VLOOKUP(D117,VCKD!C86:V167,20,0)</f>
        <v>1809676.76</v>
      </c>
      <c r="S117" s="2412"/>
      <c r="T117" s="3529"/>
      <c r="V117" s="2650"/>
      <c r="X117" s="2650"/>
    </row>
    <row r="118" spans="1:24" s="41" customFormat="1" ht="23.25" customHeight="1">
      <c r="A118" s="2698">
        <v>103</v>
      </c>
      <c r="B118" s="2698">
        <v>70</v>
      </c>
      <c r="C118" s="3686"/>
      <c r="D118" s="2699" t="s">
        <v>2224</v>
      </c>
      <c r="E118" s="3686"/>
      <c r="F118" s="3686"/>
      <c r="G118" s="2698" t="s">
        <v>167</v>
      </c>
      <c r="H118" s="2700">
        <f>+VLOOKUP(D118,VCKD!C87:H168,6,0)</f>
        <v>0</v>
      </c>
      <c r="I118" s="3618">
        <f>+VLOOKUP(D118,VCKD!C87:M168,11,0)</f>
        <v>428854</v>
      </c>
      <c r="J118" s="2700">
        <f>+VLOOKUP(D118,VCKD!C87:S168,17,0)</f>
        <v>1464778.76</v>
      </c>
      <c r="K118" s="2700">
        <f t="shared" si="7"/>
        <v>1893632.76</v>
      </c>
      <c r="L118" s="2412"/>
      <c r="M118" s="2412"/>
      <c r="N118" s="2412"/>
      <c r="O118" s="2700">
        <f t="shared" si="8"/>
        <v>1893632.76</v>
      </c>
      <c r="P118" s="2412"/>
      <c r="Q118" s="2412"/>
      <c r="R118" s="2700">
        <f>+VLOOKUP(D118,VCKD!C87:V168,20,0)</f>
        <v>1893632.76</v>
      </c>
      <c r="S118" s="2412"/>
      <c r="T118" s="3529"/>
      <c r="V118" s="2650"/>
      <c r="X118" s="2650"/>
    </row>
    <row r="119" spans="1:24" s="41" customFormat="1" ht="23.25" customHeight="1">
      <c r="A119" s="2698">
        <v>104</v>
      </c>
      <c r="B119" s="2698">
        <v>71</v>
      </c>
      <c r="C119" s="3686"/>
      <c r="D119" s="2699" t="s">
        <v>2225</v>
      </c>
      <c r="E119" s="3686"/>
      <c r="F119" s="3686"/>
      <c r="G119" s="2698" t="s">
        <v>167</v>
      </c>
      <c r="H119" s="2700">
        <f>+VLOOKUP(D119,VCKD!C88:H169,6,0)</f>
        <v>0</v>
      </c>
      <c r="I119" s="3618">
        <f>+VLOOKUP(D119,VCKD!C88:M169,11,0)</f>
        <v>453814</v>
      </c>
      <c r="J119" s="2700">
        <f>+VLOOKUP(D119,VCKD!C88:S169,17,0)</f>
        <v>1364314</v>
      </c>
      <c r="K119" s="2700">
        <f t="shared" si="7"/>
        <v>1818128</v>
      </c>
      <c r="L119" s="2412"/>
      <c r="M119" s="2412"/>
      <c r="N119" s="2412"/>
      <c r="O119" s="2700">
        <f t="shared" si="8"/>
        <v>1818128</v>
      </c>
      <c r="P119" s="2412"/>
      <c r="Q119" s="2412"/>
      <c r="R119" s="2700">
        <f>+VLOOKUP(D119,VCKD!C88:V169,20,0)</f>
        <v>1818128</v>
      </c>
      <c r="S119" s="2412"/>
      <c r="T119" s="3529"/>
      <c r="V119" s="2650"/>
      <c r="X119" s="2650"/>
    </row>
    <row r="120" spans="1:24" s="41" customFormat="1" ht="23.25" customHeight="1">
      <c r="A120" s="2698">
        <v>105</v>
      </c>
      <c r="B120" s="2698">
        <v>72</v>
      </c>
      <c r="C120" s="3686"/>
      <c r="D120" s="2699" t="s">
        <v>2226</v>
      </c>
      <c r="E120" s="3686"/>
      <c r="F120" s="3686"/>
      <c r="G120" s="2698" t="s">
        <v>167</v>
      </c>
      <c r="H120" s="2700">
        <f>+VLOOKUP(D120,VCKD!C89:H170,6,0)</f>
        <v>0</v>
      </c>
      <c r="I120" s="3618">
        <f>+VLOOKUP(D120,VCKD!C89:M170,11,0)</f>
        <v>374396</v>
      </c>
      <c r="J120" s="2700">
        <f>+VLOOKUP(D120,VCKD!C89:S170,17,0)</f>
        <v>1525513.44</v>
      </c>
      <c r="K120" s="2700">
        <f t="shared" si="7"/>
        <v>1899909.44</v>
      </c>
      <c r="L120" s="2412"/>
      <c r="M120" s="2412"/>
      <c r="N120" s="2412"/>
      <c r="O120" s="2700">
        <f t="shared" si="8"/>
        <v>1899909.44</v>
      </c>
      <c r="P120" s="2412"/>
      <c r="Q120" s="2412"/>
      <c r="R120" s="2700">
        <f>+VLOOKUP(D120,VCKD!C89:V170,20,0)</f>
        <v>1899909.44</v>
      </c>
      <c r="S120" s="2412"/>
      <c r="T120" s="3529"/>
      <c r="V120" s="2650"/>
      <c r="X120" s="2650"/>
    </row>
    <row r="121" spans="1:24" s="41" customFormat="1" ht="23.25" customHeight="1">
      <c r="A121" s="2698">
        <v>106</v>
      </c>
      <c r="B121" s="2698">
        <v>73</v>
      </c>
      <c r="C121" s="3686"/>
      <c r="D121" s="2699" t="s">
        <v>2227</v>
      </c>
      <c r="E121" s="3686"/>
      <c r="F121" s="3686"/>
      <c r="G121" s="2698" t="s">
        <v>167</v>
      </c>
      <c r="H121" s="2700">
        <f>+VLOOKUP(D121,VCKD!C90:H171,6,0)</f>
        <v>0</v>
      </c>
      <c r="I121" s="3618">
        <f>+VLOOKUP(D121,VCKD!C90:M171,11,0)</f>
        <v>383473</v>
      </c>
      <c r="J121" s="2700">
        <f>+VLOOKUP(D121,VCKD!C90:S171,17,0)</f>
        <v>1525513.44</v>
      </c>
      <c r="K121" s="2700">
        <f t="shared" si="7"/>
        <v>1908986.44</v>
      </c>
      <c r="L121" s="2412"/>
      <c r="M121" s="2412"/>
      <c r="N121" s="2412"/>
      <c r="O121" s="2700">
        <f t="shared" si="8"/>
        <v>1908986.44</v>
      </c>
      <c r="P121" s="2412"/>
      <c r="Q121" s="2412"/>
      <c r="R121" s="2700">
        <f>+VLOOKUP(D121,VCKD!C90:V171,20,0)</f>
        <v>1908986.44</v>
      </c>
      <c r="S121" s="2412"/>
      <c r="T121" s="3529"/>
      <c r="V121" s="2650"/>
      <c r="X121" s="2650"/>
    </row>
    <row r="122" spans="1:24" s="41" customFormat="1" ht="23.25" customHeight="1">
      <c r="A122" s="2698">
        <v>107</v>
      </c>
      <c r="B122" s="2698">
        <v>74</v>
      </c>
      <c r="C122" s="3686"/>
      <c r="D122" s="2699" t="s">
        <v>2228</v>
      </c>
      <c r="E122" s="3686"/>
      <c r="F122" s="3686"/>
      <c r="G122" s="2698" t="s">
        <v>167</v>
      </c>
      <c r="H122" s="2700">
        <f>+VLOOKUP(D122,VCKD!C91:H172,6,0)</f>
        <v>0</v>
      </c>
      <c r="I122" s="3618">
        <f>+VLOOKUP(D122,VCKD!C91:M172,11,0)</f>
        <v>265481</v>
      </c>
      <c r="J122" s="2700">
        <f>+VLOOKUP(D122,VCKD!C91:S172,17,0)</f>
        <v>1525513.44</v>
      </c>
      <c r="K122" s="2700">
        <f t="shared" si="7"/>
        <v>1790994.44</v>
      </c>
      <c r="L122" s="2412"/>
      <c r="M122" s="2412"/>
      <c r="N122" s="2412"/>
      <c r="O122" s="2700">
        <f t="shared" si="8"/>
        <v>1790994.44</v>
      </c>
      <c r="P122" s="2412"/>
      <c r="Q122" s="2412"/>
      <c r="R122" s="2700">
        <f>+VLOOKUP(D122,VCKD!C91:V172,20,0)</f>
        <v>1790994.44</v>
      </c>
      <c r="S122" s="2412"/>
      <c r="T122" s="3529"/>
      <c r="V122" s="2650"/>
      <c r="X122" s="2650"/>
    </row>
    <row r="123" spans="1:24" s="41" customFormat="1" ht="23.25" customHeight="1">
      <c r="A123" s="2698">
        <v>108</v>
      </c>
      <c r="B123" s="2698">
        <v>75</v>
      </c>
      <c r="C123" s="3686"/>
      <c r="D123" s="2699" t="s">
        <v>2229</v>
      </c>
      <c r="E123" s="3686"/>
      <c r="F123" s="3686"/>
      <c r="G123" s="2698" t="s">
        <v>167</v>
      </c>
      <c r="H123" s="2700">
        <f>+VLOOKUP(D123,VCKD!C92:H173,6,0)</f>
        <v>0</v>
      </c>
      <c r="I123" s="3618">
        <f>+VLOOKUP(D123,VCKD!C92:M173,11,0)</f>
        <v>249598</v>
      </c>
      <c r="J123" s="2700">
        <f>+VLOOKUP(D123,VCKD!C92:S173,17,0)</f>
        <v>1525513.44</v>
      </c>
      <c r="K123" s="2700">
        <f t="shared" si="7"/>
        <v>1775111.44</v>
      </c>
      <c r="L123" s="2412"/>
      <c r="M123" s="2412"/>
      <c r="N123" s="2412"/>
      <c r="O123" s="2700">
        <f t="shared" si="8"/>
        <v>1775111.44</v>
      </c>
      <c r="P123" s="2412"/>
      <c r="Q123" s="2412"/>
      <c r="R123" s="2700">
        <f>+VLOOKUP(D123,VCKD!C92:V173,20,0)</f>
        <v>1775111.44</v>
      </c>
      <c r="S123" s="2412"/>
      <c r="T123" s="3529"/>
      <c r="V123" s="2650"/>
      <c r="X123" s="2650"/>
    </row>
    <row r="124" spans="1:24" s="41" customFormat="1" ht="23.25" customHeight="1">
      <c r="A124" s="2698">
        <v>109</v>
      </c>
      <c r="B124" s="2698">
        <v>76</v>
      </c>
      <c r="C124" s="3686"/>
      <c r="D124" s="2699" t="s">
        <v>2230</v>
      </c>
      <c r="E124" s="3686"/>
      <c r="F124" s="3686"/>
      <c r="G124" s="2698" t="s">
        <v>167</v>
      </c>
      <c r="H124" s="2700">
        <f>+VLOOKUP(D124,VCKD!C93:H174,6,0)</f>
        <v>0</v>
      </c>
      <c r="I124" s="3618">
        <f>+VLOOKUP(D124,VCKD!C93:M174,11,0)</f>
        <v>0</v>
      </c>
      <c r="J124" s="2700">
        <f>+VLOOKUP(D124,VCKD!C93:S174,17,0)</f>
        <v>942391.28</v>
      </c>
      <c r="K124" s="2700">
        <f t="shared" si="7"/>
        <v>942391.28</v>
      </c>
      <c r="L124" s="2412"/>
      <c r="M124" s="2412"/>
      <c r="N124" s="2412"/>
      <c r="O124" s="2700">
        <f t="shared" si="8"/>
        <v>942391.28</v>
      </c>
      <c r="P124" s="2412"/>
      <c r="Q124" s="2412"/>
      <c r="R124" s="2700">
        <f>+VLOOKUP(D124,VCKD!C93:V174,20,0)</f>
        <v>442391.28</v>
      </c>
      <c r="S124" s="2412"/>
      <c r="T124" s="3529"/>
      <c r="V124" s="2650"/>
      <c r="X124" s="2650"/>
    </row>
    <row r="125" spans="1:24" s="41" customFormat="1" ht="23.25" customHeight="1">
      <c r="A125" s="2698">
        <v>110</v>
      </c>
      <c r="B125" s="2698">
        <v>77</v>
      </c>
      <c r="C125" s="3686"/>
      <c r="D125" s="2699" t="s">
        <v>2231</v>
      </c>
      <c r="E125" s="3686"/>
      <c r="F125" s="3686"/>
      <c r="G125" s="2698" t="s">
        <v>167</v>
      </c>
      <c r="H125" s="2700">
        <f>+VLOOKUP(D125,VCKD!C94:H175,6,0)</f>
        <v>0</v>
      </c>
      <c r="I125" s="3618">
        <f>+VLOOKUP(D125,VCKD!C94:M175,11,0)</f>
        <v>0</v>
      </c>
      <c r="J125" s="2700">
        <f>+VLOOKUP(D125,VCKD!C94:S175,17,0)</f>
        <v>942391.28</v>
      </c>
      <c r="K125" s="2700">
        <f t="shared" si="7"/>
        <v>942391.28</v>
      </c>
      <c r="L125" s="2412"/>
      <c r="M125" s="2412"/>
      <c r="N125" s="2412"/>
      <c r="O125" s="2700">
        <f t="shared" si="8"/>
        <v>942391.28</v>
      </c>
      <c r="P125" s="2412"/>
      <c r="Q125" s="2412"/>
      <c r="R125" s="2700">
        <f>+VLOOKUP(D125,VCKD!C94:V175,20,0)</f>
        <v>442391.28</v>
      </c>
      <c r="S125" s="2412"/>
      <c r="T125" s="3529"/>
      <c r="V125" s="2650"/>
      <c r="X125" s="2650"/>
    </row>
    <row r="126" spans="1:24" s="41" customFormat="1" ht="23.25" customHeight="1">
      <c r="A126" s="2698">
        <v>111</v>
      </c>
      <c r="B126" s="2698">
        <v>78</v>
      </c>
      <c r="C126" s="3686"/>
      <c r="D126" s="2699" t="s">
        <v>1461</v>
      </c>
      <c r="E126" s="3686"/>
      <c r="F126" s="3686"/>
      <c r="G126" s="2698" t="s">
        <v>167</v>
      </c>
      <c r="H126" s="2700">
        <f>+VLOOKUP(D126,VCKD!C95:H176,6,0)</f>
        <v>0</v>
      </c>
      <c r="I126" s="3618">
        <f>+VLOOKUP(D126,VCKD!C95:M176,11,0)</f>
        <v>0</v>
      </c>
      <c r="J126" s="2700">
        <f>+VLOOKUP(D126,VCKD!C95:S176,17,0)</f>
        <v>0</v>
      </c>
      <c r="K126" s="2700">
        <f t="shared" si="7"/>
        <v>0</v>
      </c>
      <c r="L126" s="2412"/>
      <c r="M126" s="2412"/>
      <c r="N126" s="2412"/>
      <c r="O126" s="2700">
        <f t="shared" si="8"/>
        <v>0</v>
      </c>
      <c r="P126" s="2412"/>
      <c r="Q126" s="2412"/>
      <c r="R126" s="2700">
        <f>+VLOOKUP(D126,VCKD!C95:V176,20,0)</f>
        <v>0</v>
      </c>
      <c r="S126" s="2412"/>
      <c r="T126" s="3529"/>
      <c r="V126" s="2650"/>
      <c r="X126" s="2650"/>
    </row>
    <row r="127" spans="1:24" s="41" customFormat="1" ht="23.25" customHeight="1">
      <c r="A127" s="2698">
        <v>112</v>
      </c>
      <c r="B127" s="2698">
        <v>79</v>
      </c>
      <c r="C127" s="3686"/>
      <c r="D127" s="2699" t="s">
        <v>1462</v>
      </c>
      <c r="E127" s="3686"/>
      <c r="F127" s="3686"/>
      <c r="G127" s="2698" t="s">
        <v>167</v>
      </c>
      <c r="H127" s="2700">
        <f>+VLOOKUP(D127,VCKD!C96:H177,6,0)</f>
        <v>0</v>
      </c>
      <c r="I127" s="3618">
        <f>+VLOOKUP(D127,VCKD!C96:M177,11,0)</f>
        <v>0</v>
      </c>
      <c r="J127" s="2700">
        <f>+VLOOKUP(D127,VCKD!C96:S177,17,0)</f>
        <v>0</v>
      </c>
      <c r="K127" s="2700">
        <f t="shared" si="7"/>
        <v>0</v>
      </c>
      <c r="L127" s="2412"/>
      <c r="M127" s="2412"/>
      <c r="N127" s="2412"/>
      <c r="O127" s="2700">
        <f t="shared" si="8"/>
        <v>0</v>
      </c>
      <c r="P127" s="2412"/>
      <c r="Q127" s="2412"/>
      <c r="R127" s="2700">
        <f>+VLOOKUP(D127,VCKD!C96:V177,20,0)</f>
        <v>0</v>
      </c>
      <c r="S127" s="2412"/>
      <c r="T127" s="3529"/>
      <c r="V127" s="2650"/>
      <c r="X127" s="2650"/>
    </row>
    <row r="128" spans="1:24" s="41" customFormat="1" ht="23.25" customHeight="1">
      <c r="A128" s="2698">
        <v>113</v>
      </c>
      <c r="B128" s="2698">
        <v>80</v>
      </c>
      <c r="C128" s="3686"/>
      <c r="D128" s="2699" t="s">
        <v>1095</v>
      </c>
      <c r="E128" s="3686"/>
      <c r="F128" s="3686"/>
      <c r="G128" s="2698" t="s">
        <v>167</v>
      </c>
      <c r="H128" s="2700">
        <f>+VLOOKUP(D128,VCKD!C97:H178,6,0)</f>
        <v>0</v>
      </c>
      <c r="I128" s="3618">
        <f>+VLOOKUP(D128,VCKD!C97:M178,11,0)</f>
        <v>0</v>
      </c>
      <c r="J128" s="2700">
        <f>+VLOOKUP(D128,VCKD!C97:S178,17,0)</f>
        <v>0</v>
      </c>
      <c r="K128" s="2700">
        <f t="shared" si="7"/>
        <v>0</v>
      </c>
      <c r="L128" s="2412"/>
      <c r="M128" s="2412"/>
      <c r="N128" s="2412"/>
      <c r="O128" s="2700">
        <f t="shared" si="8"/>
        <v>0</v>
      </c>
      <c r="P128" s="2412"/>
      <c r="Q128" s="2412"/>
      <c r="R128" s="2700">
        <f>+VLOOKUP(D128,VCKD!C97:V178,20,0)</f>
        <v>0</v>
      </c>
      <c r="S128" s="2412"/>
      <c r="T128" s="3529"/>
      <c r="V128" s="2650"/>
      <c r="X128" s="2650"/>
    </row>
    <row r="129" spans="1:24" s="41" customFormat="1" ht="23.25" customHeight="1">
      <c r="A129" s="2698">
        <v>114</v>
      </c>
      <c r="B129" s="2698">
        <v>81</v>
      </c>
      <c r="C129" s="3686"/>
      <c r="D129" s="2699" t="s">
        <v>994</v>
      </c>
      <c r="E129" s="3686"/>
      <c r="F129" s="3686"/>
      <c r="G129" s="2698" t="s">
        <v>167</v>
      </c>
      <c r="H129" s="2700">
        <f>+VLOOKUP(D129,VCKD!C98:H179,6,0)</f>
        <v>0</v>
      </c>
      <c r="I129" s="3618">
        <f>+VLOOKUP(D129,VCKD!C98:M179,11,0)</f>
        <v>0</v>
      </c>
      <c r="J129" s="2700">
        <f>+VLOOKUP(D129,VCKD!C98:S179,17,0)</f>
        <v>0</v>
      </c>
      <c r="K129" s="2700">
        <f t="shared" si="7"/>
        <v>0</v>
      </c>
      <c r="L129" s="2412"/>
      <c r="M129" s="2412"/>
      <c r="N129" s="2412"/>
      <c r="O129" s="2700">
        <f t="shared" si="8"/>
        <v>0</v>
      </c>
      <c r="P129" s="2412"/>
      <c r="Q129" s="2412"/>
      <c r="R129" s="2700">
        <f>+VLOOKUP(D129,VCKD!C98:V179,20,0)</f>
        <v>0</v>
      </c>
      <c r="S129" s="2412"/>
      <c r="T129" s="3529"/>
      <c r="V129" s="2650"/>
      <c r="X129" s="2650"/>
    </row>
    <row r="130" spans="1:24" s="41" customFormat="1" ht="23.25" customHeight="1">
      <c r="A130" s="2698">
        <v>115</v>
      </c>
      <c r="B130" s="2698">
        <v>82</v>
      </c>
      <c r="C130" s="3686"/>
      <c r="D130" s="2699" t="s">
        <v>993</v>
      </c>
      <c r="E130" s="3686"/>
      <c r="F130" s="3686"/>
      <c r="G130" s="2698" t="s">
        <v>167</v>
      </c>
      <c r="H130" s="2700">
        <f>+VLOOKUP(D130,VCKD!C99:H180,6,0)</f>
        <v>0</v>
      </c>
      <c r="I130" s="3618">
        <f>+VLOOKUP(D130,VCKD!C99:M180,11,0)</f>
        <v>0</v>
      </c>
      <c r="J130" s="2700">
        <f>+VLOOKUP(D130,VCKD!C99:S180,17,0)</f>
        <v>0</v>
      </c>
      <c r="K130" s="2700">
        <f t="shared" si="7"/>
        <v>0</v>
      </c>
      <c r="L130" s="2412"/>
      <c r="M130" s="2412"/>
      <c r="N130" s="2412"/>
      <c r="O130" s="2700">
        <f t="shared" si="8"/>
        <v>0</v>
      </c>
      <c r="P130" s="2412"/>
      <c r="Q130" s="2412"/>
      <c r="R130" s="2700">
        <f>+VLOOKUP(D130,VCKD!C99:V180,20,0)</f>
        <v>0</v>
      </c>
      <c r="S130" s="2412"/>
      <c r="T130" s="3529"/>
      <c r="V130" s="2650"/>
      <c r="X130" s="2650"/>
    </row>
    <row r="131" spans="1:24" s="41" customFormat="1" ht="23.25" customHeight="1">
      <c r="A131" s="3686"/>
      <c r="B131" s="3686"/>
      <c r="C131" s="3686"/>
      <c r="D131" s="3686" t="s">
        <v>1393</v>
      </c>
      <c r="E131" s="3686"/>
      <c r="F131" s="3686"/>
      <c r="G131" s="3686"/>
      <c r="H131" s="2412">
        <f>+SUBTOTAL(9,H132:H217)</f>
        <v>0</v>
      </c>
      <c r="I131" s="2412">
        <f t="shared" ref="I131:R131" si="9">+SUBTOTAL(9,I132:I217)</f>
        <v>13554016</v>
      </c>
      <c r="J131" s="2412">
        <f t="shared" si="9"/>
        <v>105378134.39999998</v>
      </c>
      <c r="K131" s="2412">
        <f t="shared" si="9"/>
        <v>118932150.39999998</v>
      </c>
      <c r="L131" s="2412">
        <f t="shared" si="9"/>
        <v>0</v>
      </c>
      <c r="M131" s="2412">
        <f t="shared" si="9"/>
        <v>0</v>
      </c>
      <c r="N131" s="2412">
        <f t="shared" si="9"/>
        <v>0</v>
      </c>
      <c r="O131" s="2412">
        <f t="shared" si="9"/>
        <v>0</v>
      </c>
      <c r="P131" s="2412">
        <f t="shared" si="9"/>
        <v>0</v>
      </c>
      <c r="Q131" s="2412">
        <f t="shared" si="9"/>
        <v>0</v>
      </c>
      <c r="R131" s="2412">
        <f t="shared" si="9"/>
        <v>118932150.39999998</v>
      </c>
      <c r="S131" s="2412"/>
      <c r="T131" s="3719"/>
      <c r="U131" s="41">
        <f>+VCKD!V100</f>
        <v>118932150.39999998</v>
      </c>
      <c r="V131" s="2650"/>
      <c r="X131" s="2650"/>
    </row>
    <row r="132" spans="1:24" s="41" customFormat="1" ht="23.25" customHeight="1">
      <c r="A132" s="2698">
        <v>116</v>
      </c>
      <c r="B132" s="2698">
        <v>1</v>
      </c>
      <c r="C132" s="3686"/>
      <c r="D132" s="2699" t="s">
        <v>2232</v>
      </c>
      <c r="E132" s="3686"/>
      <c r="F132" s="3686"/>
      <c r="G132" s="2698" t="s">
        <v>167</v>
      </c>
      <c r="H132" s="2700">
        <f>+VLOOKUP(D132,'Đội 2'!C18:G103,5,0)</f>
        <v>0</v>
      </c>
      <c r="I132" s="2700">
        <f>+VLOOKUP(D132,VCKD!C101:M186,11,0)</f>
        <v>134909</v>
      </c>
      <c r="J132" s="2700">
        <f>+VLOOKUP(D132,VCKD!C101:S186,17,0)</f>
        <v>1143185.8400000001</v>
      </c>
      <c r="K132" s="2700">
        <f>+H132+I132+J132</f>
        <v>1278094.8400000001</v>
      </c>
      <c r="L132" s="2412"/>
      <c r="M132" s="2412"/>
      <c r="N132" s="2412"/>
      <c r="O132" s="2412"/>
      <c r="P132" s="2412"/>
      <c r="Q132" s="2412"/>
      <c r="R132" s="2700">
        <f>+K132</f>
        <v>1278094.8400000001</v>
      </c>
      <c r="S132" s="2412"/>
      <c r="T132" s="3529"/>
      <c r="V132" s="2650"/>
      <c r="X132" s="2650"/>
    </row>
    <row r="133" spans="1:24" s="41" customFormat="1" ht="23.25" customHeight="1">
      <c r="A133" s="2698">
        <v>117</v>
      </c>
      <c r="B133" s="2698">
        <v>2</v>
      </c>
      <c r="C133" s="3686"/>
      <c r="D133" s="2699" t="s">
        <v>2233</v>
      </c>
      <c r="E133" s="3686"/>
      <c r="F133" s="3686"/>
      <c r="G133" s="2698" t="s">
        <v>167</v>
      </c>
      <c r="H133" s="2700">
        <f>+VLOOKUP(D133,'Đội 2'!C19:G104,5,0)</f>
        <v>0</v>
      </c>
      <c r="I133" s="2700">
        <f>+VLOOKUP(D133,VCKD!C102:M187,11,0)</f>
        <v>148629</v>
      </c>
      <c r="J133" s="2700">
        <f>+VLOOKUP(D133,VCKD!C102:S187,17,0)</f>
        <v>1143185.8400000001</v>
      </c>
      <c r="K133" s="2700">
        <f t="shared" ref="K133:K196" si="10">+H133+I133+J133</f>
        <v>1291814.8400000001</v>
      </c>
      <c r="L133" s="2412"/>
      <c r="M133" s="2412"/>
      <c r="N133" s="2412"/>
      <c r="O133" s="2412"/>
      <c r="P133" s="2412"/>
      <c r="Q133" s="2412"/>
      <c r="R133" s="2700">
        <f t="shared" ref="R133:R196" si="11">+K133</f>
        <v>1291814.8400000001</v>
      </c>
      <c r="S133" s="2412"/>
      <c r="T133" s="3529"/>
      <c r="V133" s="2650"/>
      <c r="X133" s="2650"/>
    </row>
    <row r="134" spans="1:24" s="41" customFormat="1" ht="23.25" customHeight="1">
      <c r="A134" s="2698">
        <v>118</v>
      </c>
      <c r="B134" s="2698">
        <v>3</v>
      </c>
      <c r="C134" s="3686"/>
      <c r="D134" s="2699" t="s">
        <v>2234</v>
      </c>
      <c r="E134" s="3686"/>
      <c r="F134" s="3686"/>
      <c r="G134" s="2698" t="s">
        <v>167</v>
      </c>
      <c r="H134" s="2700">
        <f>+VLOOKUP(D134,'Đội 2'!C20:G105,5,0)</f>
        <v>0</v>
      </c>
      <c r="I134" s="2700">
        <f>+VLOOKUP(D134,VCKD!C103:M188,11,0)</f>
        <v>139483</v>
      </c>
      <c r="J134" s="2700">
        <f>+VLOOKUP(D134,VCKD!C103:S188,17,0)</f>
        <v>1414546.38</v>
      </c>
      <c r="K134" s="2700">
        <f t="shared" si="10"/>
        <v>1554029.38</v>
      </c>
      <c r="L134" s="2412"/>
      <c r="M134" s="2412"/>
      <c r="N134" s="2412"/>
      <c r="O134" s="2412"/>
      <c r="P134" s="2412"/>
      <c r="Q134" s="2412"/>
      <c r="R134" s="2700">
        <f t="shared" si="11"/>
        <v>1554029.38</v>
      </c>
      <c r="S134" s="2412"/>
      <c r="T134" s="3529"/>
      <c r="V134" s="2650"/>
      <c r="X134" s="2650"/>
    </row>
    <row r="135" spans="1:24" s="41" customFormat="1" ht="23.25" customHeight="1">
      <c r="A135" s="2698">
        <v>119</v>
      </c>
      <c r="B135" s="2698">
        <v>4</v>
      </c>
      <c r="C135" s="3686"/>
      <c r="D135" s="2699" t="s">
        <v>2235</v>
      </c>
      <c r="E135" s="3686"/>
      <c r="F135" s="3686"/>
      <c r="G135" s="2698" t="s">
        <v>167</v>
      </c>
      <c r="H135" s="2700">
        <f>+VLOOKUP(D135,'Đội 2'!C21:G106,5,0)</f>
        <v>0</v>
      </c>
      <c r="I135" s="2700">
        <f>+VLOOKUP(D135,VCKD!C104:M189,11,0)</f>
        <v>139483</v>
      </c>
      <c r="J135" s="2700">
        <f>+VLOOKUP(D135,VCKD!C104:S189,17,0)</f>
        <v>1414546.38</v>
      </c>
      <c r="K135" s="2700">
        <f t="shared" si="10"/>
        <v>1554029.38</v>
      </c>
      <c r="L135" s="2412"/>
      <c r="M135" s="2412"/>
      <c r="N135" s="2412"/>
      <c r="O135" s="2412"/>
      <c r="P135" s="2412"/>
      <c r="Q135" s="2412"/>
      <c r="R135" s="2700">
        <f t="shared" si="11"/>
        <v>1554029.38</v>
      </c>
      <c r="S135" s="2412"/>
      <c r="T135" s="3529"/>
      <c r="V135" s="2650"/>
      <c r="X135" s="2650"/>
    </row>
    <row r="136" spans="1:24" s="41" customFormat="1" ht="23.25" customHeight="1">
      <c r="A136" s="2698">
        <v>120</v>
      </c>
      <c r="B136" s="2698">
        <v>5</v>
      </c>
      <c r="C136" s="3686"/>
      <c r="D136" s="2699" t="s">
        <v>2236</v>
      </c>
      <c r="E136" s="3686"/>
      <c r="F136" s="3686"/>
      <c r="G136" s="2698" t="s">
        <v>167</v>
      </c>
      <c r="H136" s="2700">
        <f>+VLOOKUP(D136,'Đội 2'!C22:G107,5,0)</f>
        <v>0</v>
      </c>
      <c r="I136" s="2700">
        <f>+VLOOKUP(D136,VCKD!C105:M190,11,0)</f>
        <v>64025</v>
      </c>
      <c r="J136" s="2700">
        <f>+VLOOKUP(D136,VCKD!C105:S190,17,0)</f>
        <v>1414546.38</v>
      </c>
      <c r="K136" s="2700">
        <f t="shared" si="10"/>
        <v>1478571.38</v>
      </c>
      <c r="L136" s="2412"/>
      <c r="M136" s="2412"/>
      <c r="N136" s="2412"/>
      <c r="O136" s="2412"/>
      <c r="P136" s="2412"/>
      <c r="Q136" s="2412"/>
      <c r="R136" s="2700">
        <f t="shared" si="11"/>
        <v>1478571.38</v>
      </c>
      <c r="S136" s="2412"/>
      <c r="T136" s="3529"/>
      <c r="V136" s="2650"/>
      <c r="X136" s="2650"/>
    </row>
    <row r="137" spans="1:24" s="41" customFormat="1" ht="23.25" customHeight="1">
      <c r="A137" s="2698">
        <v>121</v>
      </c>
      <c r="B137" s="2698">
        <v>6</v>
      </c>
      <c r="C137" s="3686"/>
      <c r="D137" s="2699" t="s">
        <v>2237</v>
      </c>
      <c r="E137" s="3686"/>
      <c r="F137" s="3686"/>
      <c r="G137" s="2698" t="s">
        <v>167</v>
      </c>
      <c r="H137" s="2700">
        <f>+VLOOKUP(D137,'Đội 2'!C23:G108,5,0)</f>
        <v>0</v>
      </c>
      <c r="I137" s="2700">
        <f>+VLOOKUP(D137,VCKD!C106:M191,11,0)</f>
        <v>64025</v>
      </c>
      <c r="J137" s="2700">
        <f>+VLOOKUP(D137,VCKD!C106:S191,17,0)</f>
        <v>1414546.38</v>
      </c>
      <c r="K137" s="2700">
        <f t="shared" si="10"/>
        <v>1478571.38</v>
      </c>
      <c r="L137" s="2412"/>
      <c r="M137" s="2412"/>
      <c r="N137" s="2412"/>
      <c r="O137" s="2412"/>
      <c r="P137" s="2412"/>
      <c r="Q137" s="2412"/>
      <c r="R137" s="2700">
        <f t="shared" si="11"/>
        <v>1478571.38</v>
      </c>
      <c r="S137" s="2412"/>
      <c r="T137" s="3529"/>
      <c r="V137" s="2650"/>
      <c r="X137" s="2650"/>
    </row>
    <row r="138" spans="1:24" s="41" customFormat="1" ht="23.25" customHeight="1">
      <c r="A138" s="2698">
        <v>122</v>
      </c>
      <c r="B138" s="2698">
        <v>7</v>
      </c>
      <c r="C138" s="3686"/>
      <c r="D138" s="2699" t="s">
        <v>2238</v>
      </c>
      <c r="E138" s="3686"/>
      <c r="F138" s="3686"/>
      <c r="G138" s="2698" t="s">
        <v>167</v>
      </c>
      <c r="H138" s="2700">
        <f>+VLOOKUP(D138,'Đội 2'!C24:G109,5,0)</f>
        <v>0</v>
      </c>
      <c r="I138" s="2700">
        <f>+VLOOKUP(D138,VCKD!C107:M192,11,0)</f>
        <v>205794</v>
      </c>
      <c r="J138" s="2700">
        <f>+VLOOKUP(D138,VCKD!C107:S192,17,0)</f>
        <v>1414546.38</v>
      </c>
      <c r="K138" s="2700">
        <f t="shared" si="10"/>
        <v>1620340.38</v>
      </c>
      <c r="L138" s="2412"/>
      <c r="M138" s="2412"/>
      <c r="N138" s="2412"/>
      <c r="O138" s="2412"/>
      <c r="P138" s="2412"/>
      <c r="Q138" s="2412"/>
      <c r="R138" s="2700">
        <f t="shared" si="11"/>
        <v>1620340.38</v>
      </c>
      <c r="S138" s="2412"/>
      <c r="T138" s="3529"/>
      <c r="V138" s="2650"/>
      <c r="X138" s="2650"/>
    </row>
    <row r="139" spans="1:24" s="41" customFormat="1" ht="23.25" customHeight="1">
      <c r="A139" s="2698">
        <v>123</v>
      </c>
      <c r="B139" s="2698">
        <v>8</v>
      </c>
      <c r="C139" s="3686"/>
      <c r="D139" s="2699" t="s">
        <v>2239</v>
      </c>
      <c r="E139" s="3686"/>
      <c r="F139" s="3686"/>
      <c r="G139" s="2698" t="s">
        <v>167</v>
      </c>
      <c r="H139" s="2700">
        <f>+VLOOKUP(D139,'Đội 2'!C25:G110,5,0)</f>
        <v>0</v>
      </c>
      <c r="I139" s="2700">
        <f>+VLOOKUP(D139,VCKD!C108:M193,11,0)</f>
        <v>194361</v>
      </c>
      <c r="J139" s="2700">
        <f>+VLOOKUP(D139,VCKD!C108:S193,17,0)</f>
        <v>1414546.38</v>
      </c>
      <c r="K139" s="2700">
        <f t="shared" si="10"/>
        <v>1608907.38</v>
      </c>
      <c r="L139" s="2412"/>
      <c r="M139" s="2412"/>
      <c r="N139" s="2412"/>
      <c r="O139" s="2412"/>
      <c r="P139" s="2412"/>
      <c r="Q139" s="2412"/>
      <c r="R139" s="2700">
        <f t="shared" si="11"/>
        <v>1608907.38</v>
      </c>
      <c r="S139" s="2412"/>
      <c r="T139" s="3529"/>
      <c r="V139" s="2650"/>
      <c r="X139" s="2650"/>
    </row>
    <row r="140" spans="1:24" s="41" customFormat="1" ht="23.25" customHeight="1">
      <c r="A140" s="2698">
        <v>124</v>
      </c>
      <c r="B140" s="2698">
        <v>9</v>
      </c>
      <c r="C140" s="3686"/>
      <c r="D140" s="2699" t="s">
        <v>2240</v>
      </c>
      <c r="E140" s="3686"/>
      <c r="F140" s="3686"/>
      <c r="G140" s="2698" t="s">
        <v>167</v>
      </c>
      <c r="H140" s="2700">
        <f>+VLOOKUP(D140,'Đội 2'!C26:G111,5,0)</f>
        <v>0</v>
      </c>
      <c r="I140" s="2700">
        <f>+VLOOKUP(D140,VCKD!C109:M194,11,0)</f>
        <v>0</v>
      </c>
      <c r="J140" s="2700">
        <f>+VLOOKUP(D140,VCKD!C109:S194,17,0)</f>
        <v>1173219.58</v>
      </c>
      <c r="K140" s="2700">
        <f t="shared" si="10"/>
        <v>1173219.58</v>
      </c>
      <c r="L140" s="2412"/>
      <c r="M140" s="2412"/>
      <c r="N140" s="2412"/>
      <c r="O140" s="2412"/>
      <c r="P140" s="2412"/>
      <c r="Q140" s="2412"/>
      <c r="R140" s="2700">
        <f t="shared" si="11"/>
        <v>1173219.58</v>
      </c>
      <c r="S140" s="2412"/>
      <c r="T140" s="3529"/>
      <c r="V140" s="2650"/>
      <c r="X140" s="2650"/>
    </row>
    <row r="141" spans="1:24" s="41" customFormat="1" ht="23.25" customHeight="1">
      <c r="A141" s="2698">
        <v>125</v>
      </c>
      <c r="B141" s="2698">
        <v>10</v>
      </c>
      <c r="C141" s="3686"/>
      <c r="D141" s="2699" t="s">
        <v>2241</v>
      </c>
      <c r="E141" s="3686"/>
      <c r="F141" s="3686"/>
      <c r="G141" s="2698" t="s">
        <v>167</v>
      </c>
      <c r="H141" s="2700">
        <f>+VLOOKUP(D141,'Đội 2'!C27:G112,5,0)</f>
        <v>0</v>
      </c>
      <c r="I141" s="2700">
        <f>+VLOOKUP(D141,VCKD!C110:M195,11,0)</f>
        <v>0</v>
      </c>
      <c r="J141" s="2700">
        <f>+VLOOKUP(D141,VCKD!C110:S195,17,0)</f>
        <v>1243650.6000000001</v>
      </c>
      <c r="K141" s="2700">
        <f t="shared" si="10"/>
        <v>1243650.6000000001</v>
      </c>
      <c r="L141" s="2412"/>
      <c r="M141" s="2412"/>
      <c r="N141" s="2412"/>
      <c r="O141" s="2412"/>
      <c r="P141" s="2412"/>
      <c r="Q141" s="2412"/>
      <c r="R141" s="2700">
        <f t="shared" si="11"/>
        <v>1243650.6000000001</v>
      </c>
      <c r="S141" s="2412"/>
      <c r="T141" s="3529"/>
      <c r="V141" s="2650"/>
      <c r="X141" s="2650"/>
    </row>
    <row r="142" spans="1:24" s="41" customFormat="1" ht="23.25" customHeight="1">
      <c r="A142" s="2698">
        <v>126</v>
      </c>
      <c r="B142" s="2698">
        <v>11</v>
      </c>
      <c r="C142" s="3686"/>
      <c r="D142" s="2699" t="s">
        <v>2242</v>
      </c>
      <c r="E142" s="3686"/>
      <c r="F142" s="3686"/>
      <c r="G142" s="2698" t="s">
        <v>167</v>
      </c>
      <c r="H142" s="2700">
        <f>+VLOOKUP(D142,'Đội 2'!C28:G113,5,0)</f>
        <v>0</v>
      </c>
      <c r="I142" s="2700">
        <f>+VLOOKUP(D142,VCKD!C111:M196,11,0)</f>
        <v>221800</v>
      </c>
      <c r="J142" s="2700">
        <f>+VLOOKUP(D142,VCKD!C111:S196,17,0)</f>
        <v>1464778.76</v>
      </c>
      <c r="K142" s="2700">
        <f t="shared" si="10"/>
        <v>1686578.76</v>
      </c>
      <c r="L142" s="2412"/>
      <c r="M142" s="2412"/>
      <c r="N142" s="2412"/>
      <c r="O142" s="2412"/>
      <c r="P142" s="2412"/>
      <c r="Q142" s="2412"/>
      <c r="R142" s="2700">
        <f t="shared" si="11"/>
        <v>1686578.76</v>
      </c>
      <c r="S142" s="2412"/>
      <c r="T142" s="3529"/>
      <c r="V142" s="2650"/>
      <c r="X142" s="2650"/>
    </row>
    <row r="143" spans="1:24" s="41" customFormat="1" ht="23.25" customHeight="1">
      <c r="A143" s="2698">
        <v>127</v>
      </c>
      <c r="B143" s="2698">
        <v>12</v>
      </c>
      <c r="C143" s="3686"/>
      <c r="D143" s="2699" t="s">
        <v>488</v>
      </c>
      <c r="E143" s="3686"/>
      <c r="F143" s="3686"/>
      <c r="G143" s="2698" t="s">
        <v>167</v>
      </c>
      <c r="H143" s="2700">
        <f>+VLOOKUP(D143,'Đội 2'!C29:G114,5,0)</f>
        <v>0</v>
      </c>
      <c r="I143" s="2700">
        <f>+VLOOKUP(D143,VCKD!C112:M197,11,0)</f>
        <v>224087</v>
      </c>
      <c r="J143" s="2700">
        <f>+VLOOKUP(D143,VCKD!C112:S197,17,0)</f>
        <v>1464778.76</v>
      </c>
      <c r="K143" s="2700">
        <f t="shared" si="10"/>
        <v>1688865.76</v>
      </c>
      <c r="L143" s="2412"/>
      <c r="M143" s="2412"/>
      <c r="N143" s="2412"/>
      <c r="O143" s="2412"/>
      <c r="P143" s="2412"/>
      <c r="Q143" s="2412"/>
      <c r="R143" s="2700">
        <f t="shared" si="11"/>
        <v>1688865.76</v>
      </c>
      <c r="S143" s="2412"/>
      <c r="T143" s="3529"/>
      <c r="V143" s="2650"/>
      <c r="X143" s="2650"/>
    </row>
    <row r="144" spans="1:24" s="41" customFormat="1" ht="23.25" customHeight="1">
      <c r="A144" s="2698">
        <v>128</v>
      </c>
      <c r="B144" s="2698">
        <v>13</v>
      </c>
      <c r="C144" s="3686"/>
      <c r="D144" s="2699" t="s">
        <v>2243</v>
      </c>
      <c r="E144" s="3686"/>
      <c r="F144" s="3686"/>
      <c r="G144" s="2698" t="s">
        <v>167</v>
      </c>
      <c r="H144" s="2700">
        <f>+VLOOKUP(D144,'Đội 2'!C30:G115,5,0)</f>
        <v>0</v>
      </c>
      <c r="I144" s="2700">
        <f>+VLOOKUP(D144,VCKD!C113:M198,11,0)</f>
        <v>155489</v>
      </c>
      <c r="J144" s="2700">
        <f>+VLOOKUP(D144,VCKD!C113:S198,17,0)</f>
        <v>1364314</v>
      </c>
      <c r="K144" s="2700">
        <f t="shared" si="10"/>
        <v>1519803</v>
      </c>
      <c r="L144" s="2412"/>
      <c r="M144" s="2412"/>
      <c r="N144" s="2412"/>
      <c r="O144" s="2412"/>
      <c r="P144" s="2412"/>
      <c r="Q144" s="2412"/>
      <c r="R144" s="2700">
        <f t="shared" si="11"/>
        <v>1519803</v>
      </c>
      <c r="S144" s="2412"/>
      <c r="T144" s="3529"/>
      <c r="V144" s="2650"/>
      <c r="X144" s="2650"/>
    </row>
    <row r="145" spans="1:24" s="41" customFormat="1" ht="23.25" customHeight="1">
      <c r="A145" s="2698">
        <v>129</v>
      </c>
      <c r="B145" s="2698">
        <v>14</v>
      </c>
      <c r="C145" s="3686"/>
      <c r="D145" s="2699" t="s">
        <v>2244</v>
      </c>
      <c r="E145" s="3686"/>
      <c r="F145" s="3686"/>
      <c r="G145" s="2698" t="s">
        <v>167</v>
      </c>
      <c r="H145" s="2700">
        <f>+VLOOKUP(D145,'Đội 2'!C31:G116,5,0)</f>
        <v>0</v>
      </c>
      <c r="I145" s="2700">
        <f>+VLOOKUP(D145,VCKD!C114:M199,11,0)</f>
        <v>128050</v>
      </c>
      <c r="J145" s="2700">
        <f>+VLOOKUP(D145,VCKD!C114:S199,17,0)</f>
        <v>1414546.38</v>
      </c>
      <c r="K145" s="2700">
        <f t="shared" si="10"/>
        <v>1542596.38</v>
      </c>
      <c r="L145" s="2412"/>
      <c r="M145" s="2412"/>
      <c r="N145" s="2412"/>
      <c r="O145" s="2412"/>
      <c r="P145" s="2412"/>
      <c r="Q145" s="2412"/>
      <c r="R145" s="2700">
        <f t="shared" si="11"/>
        <v>1542596.38</v>
      </c>
      <c r="S145" s="2412"/>
      <c r="T145" s="3529"/>
      <c r="V145" s="2650"/>
      <c r="X145" s="2650"/>
    </row>
    <row r="146" spans="1:24" s="41" customFormat="1" ht="23.25" customHeight="1">
      <c r="A146" s="2698">
        <v>130</v>
      </c>
      <c r="B146" s="2698">
        <v>15</v>
      </c>
      <c r="C146" s="3686"/>
      <c r="D146" s="2699" t="s">
        <v>2245</v>
      </c>
      <c r="E146" s="3686"/>
      <c r="F146" s="3686"/>
      <c r="G146" s="2698" t="s">
        <v>167</v>
      </c>
      <c r="H146" s="2700">
        <f>+VLOOKUP(D146,'Đội 2'!C32:G117,5,0)</f>
        <v>0</v>
      </c>
      <c r="I146" s="2700">
        <f>+VLOOKUP(D146,VCKD!C115:M200,11,0)</f>
        <v>86891</v>
      </c>
      <c r="J146" s="2700">
        <f>+VLOOKUP(D146,VCKD!C115:S200,17,0)</f>
        <v>1364314</v>
      </c>
      <c r="K146" s="2700">
        <f t="shared" si="10"/>
        <v>1451205</v>
      </c>
      <c r="L146" s="2412"/>
      <c r="M146" s="2412"/>
      <c r="N146" s="2412"/>
      <c r="O146" s="2412"/>
      <c r="P146" s="2412"/>
      <c r="Q146" s="2412"/>
      <c r="R146" s="2700">
        <f t="shared" si="11"/>
        <v>1451205</v>
      </c>
      <c r="S146" s="2412"/>
      <c r="T146" s="3529"/>
      <c r="V146" s="2650"/>
      <c r="X146" s="2650"/>
    </row>
    <row r="147" spans="1:24" s="41" customFormat="1" ht="23.25" customHeight="1">
      <c r="A147" s="2698">
        <v>131</v>
      </c>
      <c r="B147" s="2698">
        <v>16</v>
      </c>
      <c r="C147" s="3686"/>
      <c r="D147" s="2699" t="s">
        <v>2246</v>
      </c>
      <c r="E147" s="3686"/>
      <c r="F147" s="3686"/>
      <c r="G147" s="2698" t="s">
        <v>167</v>
      </c>
      <c r="H147" s="2700">
        <f>+VLOOKUP(D147,'Đội 2'!C33:G118,5,0)</f>
        <v>0</v>
      </c>
      <c r="I147" s="2700">
        <f>+VLOOKUP(D147,VCKD!C116:M201,11,0)</f>
        <v>89177</v>
      </c>
      <c r="J147" s="2700">
        <f>+VLOOKUP(D147,VCKD!C116:S201,17,0)</f>
        <v>1364314</v>
      </c>
      <c r="K147" s="2700">
        <f t="shared" si="10"/>
        <v>1453491</v>
      </c>
      <c r="L147" s="2412"/>
      <c r="M147" s="2412"/>
      <c r="N147" s="2412"/>
      <c r="O147" s="2412"/>
      <c r="P147" s="2412"/>
      <c r="Q147" s="2412"/>
      <c r="R147" s="2700">
        <f t="shared" si="11"/>
        <v>1453491</v>
      </c>
      <c r="S147" s="2412"/>
      <c r="T147" s="3529"/>
      <c r="V147" s="2650"/>
      <c r="X147" s="2650"/>
    </row>
    <row r="148" spans="1:24" s="41" customFormat="1" ht="23.25" customHeight="1">
      <c r="A148" s="2698">
        <v>132</v>
      </c>
      <c r="B148" s="2698">
        <v>17</v>
      </c>
      <c r="C148" s="3686"/>
      <c r="D148" s="2699" t="s">
        <v>2247</v>
      </c>
      <c r="E148" s="3686"/>
      <c r="F148" s="3686"/>
      <c r="G148" s="2698" t="s">
        <v>167</v>
      </c>
      <c r="H148" s="2700">
        <f>+VLOOKUP(D148,'Đội 2'!C34:G119,5,0)</f>
        <v>0</v>
      </c>
      <c r="I148" s="2700">
        <f>+VLOOKUP(D148,VCKD!C117:M202,11,0)</f>
        <v>121190</v>
      </c>
      <c r="J148" s="2700">
        <f>+VLOOKUP(D148,VCKD!C117:S202,17,0)</f>
        <v>1314081.6200000001</v>
      </c>
      <c r="K148" s="2700">
        <f t="shared" si="10"/>
        <v>1435271.62</v>
      </c>
      <c r="L148" s="2412"/>
      <c r="M148" s="2412"/>
      <c r="N148" s="2412"/>
      <c r="O148" s="2412"/>
      <c r="P148" s="2412"/>
      <c r="Q148" s="2412"/>
      <c r="R148" s="2700">
        <f t="shared" si="11"/>
        <v>1435271.62</v>
      </c>
      <c r="S148" s="2412"/>
      <c r="T148" s="3529"/>
      <c r="V148" s="2650"/>
      <c r="X148" s="2650"/>
    </row>
    <row r="149" spans="1:24" s="41" customFormat="1" ht="23.25" customHeight="1">
      <c r="A149" s="2698">
        <v>133</v>
      </c>
      <c r="B149" s="2698">
        <v>18</v>
      </c>
      <c r="C149" s="3686"/>
      <c r="D149" s="2699" t="s">
        <v>2248</v>
      </c>
      <c r="E149" s="3686"/>
      <c r="F149" s="3686"/>
      <c r="G149" s="2698" t="s">
        <v>167</v>
      </c>
      <c r="H149" s="2700">
        <f>+VLOOKUP(D149,'Đội 2'!C35:G120,5,0)</f>
        <v>0</v>
      </c>
      <c r="I149" s="2700">
        <f>+VLOOKUP(D149,VCKD!C118:M203,11,0)</f>
        <v>123476</v>
      </c>
      <c r="J149" s="2700">
        <f>+VLOOKUP(D149,VCKD!C118:S203,17,0)</f>
        <v>1314081.6200000001</v>
      </c>
      <c r="K149" s="2700">
        <f t="shared" si="10"/>
        <v>1437557.62</v>
      </c>
      <c r="L149" s="2412"/>
      <c r="M149" s="2412"/>
      <c r="N149" s="2412"/>
      <c r="O149" s="2412"/>
      <c r="P149" s="2412"/>
      <c r="Q149" s="2412"/>
      <c r="R149" s="2700">
        <f t="shared" si="11"/>
        <v>1437557.62</v>
      </c>
      <c r="S149" s="2412"/>
      <c r="T149" s="3529"/>
      <c r="V149" s="2650"/>
      <c r="X149" s="2650"/>
    </row>
    <row r="150" spans="1:24" s="41" customFormat="1" ht="23.25" customHeight="1">
      <c r="A150" s="2698">
        <v>134</v>
      </c>
      <c r="B150" s="2698">
        <v>19</v>
      </c>
      <c r="C150" s="3686"/>
      <c r="D150" s="2699" t="s">
        <v>2249</v>
      </c>
      <c r="E150" s="3686"/>
      <c r="F150" s="3686"/>
      <c r="G150" s="2698" t="s">
        <v>167</v>
      </c>
      <c r="H150" s="2700">
        <f>+VLOOKUP(D150,'Đội 2'!C36:G121,5,0)</f>
        <v>0</v>
      </c>
      <c r="I150" s="2700">
        <f>+VLOOKUP(D150,VCKD!C119:M204,11,0)</f>
        <v>128050</v>
      </c>
      <c r="J150" s="2700">
        <f>+VLOOKUP(D150,VCKD!C119:S204,17,0)</f>
        <v>1314081.6200000001</v>
      </c>
      <c r="K150" s="2700">
        <f t="shared" si="10"/>
        <v>1442131.62</v>
      </c>
      <c r="L150" s="2412"/>
      <c r="M150" s="2412"/>
      <c r="N150" s="2412"/>
      <c r="O150" s="2412"/>
      <c r="P150" s="2412"/>
      <c r="Q150" s="2412"/>
      <c r="R150" s="2700">
        <f t="shared" si="11"/>
        <v>1442131.62</v>
      </c>
      <c r="S150" s="2412"/>
      <c r="T150" s="3529"/>
      <c r="V150" s="2650"/>
      <c r="X150" s="2650"/>
    </row>
    <row r="151" spans="1:24" s="41" customFormat="1" ht="23.25" customHeight="1">
      <c r="A151" s="2698">
        <v>135</v>
      </c>
      <c r="B151" s="2698">
        <v>20</v>
      </c>
      <c r="C151" s="3686"/>
      <c r="D151" s="2699" t="s">
        <v>2250</v>
      </c>
      <c r="E151" s="3686"/>
      <c r="F151" s="3686"/>
      <c r="G151" s="2698" t="s">
        <v>167</v>
      </c>
      <c r="H151" s="2700">
        <f>+VLOOKUP(D151,'Đội 2'!C37:G122,5,0)</f>
        <v>0</v>
      </c>
      <c r="I151" s="2700">
        <f>+VLOOKUP(D151,VCKD!C120:M205,11,0)</f>
        <v>91464</v>
      </c>
      <c r="J151" s="2700">
        <f>+VLOOKUP(D151,VCKD!C120:S205,17,0)</f>
        <v>1143185.8400000001</v>
      </c>
      <c r="K151" s="2700">
        <f t="shared" si="10"/>
        <v>1234649.8400000001</v>
      </c>
      <c r="L151" s="2412"/>
      <c r="M151" s="2412"/>
      <c r="N151" s="2412"/>
      <c r="O151" s="2412"/>
      <c r="P151" s="2412"/>
      <c r="Q151" s="2412"/>
      <c r="R151" s="2700">
        <f t="shared" si="11"/>
        <v>1234649.8400000001</v>
      </c>
      <c r="S151" s="2412"/>
      <c r="T151" s="3529"/>
      <c r="V151" s="2650"/>
      <c r="X151" s="2650"/>
    </row>
    <row r="152" spans="1:24" s="41" customFormat="1" ht="23.25" customHeight="1">
      <c r="A152" s="2698">
        <v>136</v>
      </c>
      <c r="B152" s="2698">
        <v>21</v>
      </c>
      <c r="C152" s="3686"/>
      <c r="D152" s="2699" t="s">
        <v>2251</v>
      </c>
      <c r="E152" s="3686"/>
      <c r="F152" s="3686"/>
      <c r="G152" s="2698" t="s">
        <v>167</v>
      </c>
      <c r="H152" s="2700">
        <f>+VLOOKUP(D152,'Đội 2'!C38:G123,5,0)</f>
        <v>0</v>
      </c>
      <c r="I152" s="2700">
        <f>+VLOOKUP(D152,VCKD!C121:M206,11,0)</f>
        <v>91464</v>
      </c>
      <c r="J152" s="2700">
        <f>+VLOOKUP(D152,VCKD!C121:S206,17,0)</f>
        <v>1143185.8400000001</v>
      </c>
      <c r="K152" s="2700">
        <f t="shared" si="10"/>
        <v>1234649.8400000001</v>
      </c>
      <c r="L152" s="2412"/>
      <c r="M152" s="2412"/>
      <c r="N152" s="2412"/>
      <c r="O152" s="2412"/>
      <c r="P152" s="2412"/>
      <c r="Q152" s="2412"/>
      <c r="R152" s="2700">
        <f t="shared" si="11"/>
        <v>1234649.8400000001</v>
      </c>
      <c r="S152" s="2412"/>
      <c r="T152" s="3529"/>
      <c r="V152" s="2650"/>
      <c r="X152" s="2650"/>
    </row>
    <row r="153" spans="1:24" s="41" customFormat="1" ht="23.25" customHeight="1">
      <c r="A153" s="2698">
        <v>137</v>
      </c>
      <c r="B153" s="2698">
        <v>22</v>
      </c>
      <c r="C153" s="3686"/>
      <c r="D153" s="2699" t="s">
        <v>2252</v>
      </c>
      <c r="E153" s="3686"/>
      <c r="F153" s="3686"/>
      <c r="G153" s="2698" t="s">
        <v>167</v>
      </c>
      <c r="H153" s="2700">
        <f>+VLOOKUP(D153,'Đội 2'!C39:G124,5,0)</f>
        <v>0</v>
      </c>
      <c r="I153" s="2700">
        <f>+VLOOKUP(D153,VCKD!C122:M207,11,0)</f>
        <v>75458</v>
      </c>
      <c r="J153" s="2700">
        <f>+VLOOKUP(D153,VCKD!C122:S207,17,0)</f>
        <v>1143185.8400000001</v>
      </c>
      <c r="K153" s="2700">
        <f t="shared" si="10"/>
        <v>1218643.8400000001</v>
      </c>
      <c r="L153" s="2412"/>
      <c r="M153" s="2412"/>
      <c r="N153" s="2412"/>
      <c r="O153" s="2412"/>
      <c r="P153" s="2412"/>
      <c r="Q153" s="2412"/>
      <c r="R153" s="2700">
        <f t="shared" si="11"/>
        <v>1218643.8400000001</v>
      </c>
      <c r="S153" s="2412"/>
      <c r="T153" s="3529"/>
      <c r="V153" s="2650"/>
      <c r="X153" s="2650"/>
    </row>
    <row r="154" spans="1:24" s="41" customFormat="1" ht="23.25" customHeight="1">
      <c r="A154" s="2698">
        <v>138</v>
      </c>
      <c r="B154" s="2698">
        <v>23</v>
      </c>
      <c r="C154" s="3686"/>
      <c r="D154" s="2699" t="s">
        <v>2253</v>
      </c>
      <c r="E154" s="3686"/>
      <c r="F154" s="3686"/>
      <c r="G154" s="2698" t="s">
        <v>167</v>
      </c>
      <c r="H154" s="2700">
        <f>+VLOOKUP(D154,'Đội 2'!C40:G125,5,0)</f>
        <v>0</v>
      </c>
      <c r="I154" s="2700">
        <f>+VLOOKUP(D154,VCKD!C123:M208,11,0)</f>
        <v>91464</v>
      </c>
      <c r="J154" s="2700">
        <f>+VLOOKUP(D154,VCKD!C123:S208,17,0)</f>
        <v>1414546.38</v>
      </c>
      <c r="K154" s="2700">
        <f t="shared" si="10"/>
        <v>1506010.38</v>
      </c>
      <c r="L154" s="2412"/>
      <c r="M154" s="2412"/>
      <c r="N154" s="2412"/>
      <c r="O154" s="2412"/>
      <c r="P154" s="2412"/>
      <c r="Q154" s="2412"/>
      <c r="R154" s="2700">
        <f t="shared" si="11"/>
        <v>1506010.38</v>
      </c>
      <c r="S154" s="2412"/>
      <c r="T154" s="3529"/>
      <c r="V154" s="2650"/>
      <c r="X154" s="2650"/>
    </row>
    <row r="155" spans="1:24" s="41" customFormat="1" ht="23.25" customHeight="1">
      <c r="A155" s="2698">
        <v>139</v>
      </c>
      <c r="B155" s="2698">
        <v>24</v>
      </c>
      <c r="C155" s="3686"/>
      <c r="D155" s="2699" t="s">
        <v>2254</v>
      </c>
      <c r="E155" s="3686"/>
      <c r="F155" s="3686"/>
      <c r="G155" s="2698" t="s">
        <v>167</v>
      </c>
      <c r="H155" s="2700">
        <f>+VLOOKUP(D155,'Đội 2'!C41:G126,5,0)</f>
        <v>0</v>
      </c>
      <c r="I155" s="2700">
        <f>+VLOOKUP(D155,VCKD!C124:M209,11,0)</f>
        <v>91464</v>
      </c>
      <c r="J155" s="2700">
        <f>+VLOOKUP(D155,VCKD!C124:S209,17,0)</f>
        <v>1414546.38</v>
      </c>
      <c r="K155" s="2700">
        <f t="shared" si="10"/>
        <v>1506010.38</v>
      </c>
      <c r="L155" s="2412"/>
      <c r="M155" s="2412"/>
      <c r="N155" s="2412"/>
      <c r="O155" s="2412"/>
      <c r="P155" s="2412"/>
      <c r="Q155" s="2412"/>
      <c r="R155" s="2700">
        <f t="shared" si="11"/>
        <v>1506010.38</v>
      </c>
      <c r="S155" s="2412"/>
      <c r="T155" s="3529"/>
      <c r="V155" s="2650"/>
      <c r="X155" s="2650"/>
    </row>
    <row r="156" spans="1:24" s="41" customFormat="1" ht="23.25" customHeight="1">
      <c r="A156" s="2698">
        <v>140</v>
      </c>
      <c r="B156" s="2698">
        <v>25</v>
      </c>
      <c r="C156" s="3686"/>
      <c r="D156" s="2699" t="s">
        <v>2255</v>
      </c>
      <c r="E156" s="3686"/>
      <c r="F156" s="3686"/>
      <c r="G156" s="2698" t="s">
        <v>167</v>
      </c>
      <c r="H156" s="2700">
        <f>+VLOOKUP(D156,'Đội 2'!C42:G127,5,0)</f>
        <v>0</v>
      </c>
      <c r="I156" s="2700">
        <f>+VLOOKUP(D156,VCKD!C125:M210,11,0)</f>
        <v>148629</v>
      </c>
      <c r="J156" s="2700">
        <f>+VLOOKUP(D156,VCKD!C125:S210,17,0)</f>
        <v>1293882.98</v>
      </c>
      <c r="K156" s="2700">
        <f t="shared" si="10"/>
        <v>1442511.98</v>
      </c>
      <c r="L156" s="2412"/>
      <c r="M156" s="2412"/>
      <c r="N156" s="2412"/>
      <c r="O156" s="2412"/>
      <c r="P156" s="2412"/>
      <c r="Q156" s="2412"/>
      <c r="R156" s="2700">
        <f t="shared" si="11"/>
        <v>1442511.98</v>
      </c>
      <c r="S156" s="2412"/>
      <c r="T156" s="3529"/>
      <c r="V156" s="2650"/>
      <c r="X156" s="2650"/>
    </row>
    <row r="157" spans="1:24" s="41" customFormat="1" ht="23.25" customHeight="1">
      <c r="A157" s="2698">
        <v>141</v>
      </c>
      <c r="B157" s="2698">
        <v>26</v>
      </c>
      <c r="C157" s="3686"/>
      <c r="D157" s="2699" t="s">
        <v>2256</v>
      </c>
      <c r="E157" s="3686"/>
      <c r="F157" s="3686"/>
      <c r="G157" s="2698" t="s">
        <v>167</v>
      </c>
      <c r="H157" s="2700">
        <f>+VLOOKUP(D157,'Đội 2'!C43:G128,5,0)</f>
        <v>0</v>
      </c>
      <c r="I157" s="2700">
        <f>+VLOOKUP(D157,VCKD!C126:M211,11,0)</f>
        <v>148629</v>
      </c>
      <c r="J157" s="2700">
        <f>+VLOOKUP(D157,VCKD!C126:S211,17,0)</f>
        <v>1293882.98</v>
      </c>
      <c r="K157" s="2700">
        <f t="shared" si="10"/>
        <v>1442511.98</v>
      </c>
      <c r="L157" s="2412"/>
      <c r="M157" s="2412"/>
      <c r="N157" s="2412"/>
      <c r="O157" s="2412"/>
      <c r="P157" s="2412"/>
      <c r="Q157" s="2412"/>
      <c r="R157" s="2700">
        <f t="shared" si="11"/>
        <v>1442511.98</v>
      </c>
      <c r="S157" s="2412"/>
      <c r="T157" s="3529"/>
      <c r="V157" s="2650"/>
      <c r="X157" s="2650"/>
    </row>
    <row r="158" spans="1:24" s="41" customFormat="1" ht="23.25" customHeight="1">
      <c r="A158" s="2698">
        <v>142</v>
      </c>
      <c r="B158" s="2698">
        <v>27</v>
      </c>
      <c r="C158" s="3686"/>
      <c r="D158" s="2699" t="s">
        <v>2257</v>
      </c>
      <c r="E158" s="3686"/>
      <c r="F158" s="3686"/>
      <c r="G158" s="2698" t="s">
        <v>167</v>
      </c>
      <c r="H158" s="2700">
        <f>+VLOOKUP(D158,'Đội 2'!C44:G129,5,0)</f>
        <v>0</v>
      </c>
      <c r="I158" s="2700">
        <f>+VLOOKUP(D158,VCKD!C127:M212,11,0)</f>
        <v>450460</v>
      </c>
      <c r="J158" s="2700">
        <f>+VLOOKUP(D158,VCKD!C127:S212,17,0)</f>
        <v>1464778.76</v>
      </c>
      <c r="K158" s="2700">
        <f t="shared" si="10"/>
        <v>1915238.76</v>
      </c>
      <c r="L158" s="2412"/>
      <c r="M158" s="2412"/>
      <c r="N158" s="2412"/>
      <c r="O158" s="2412"/>
      <c r="P158" s="2412"/>
      <c r="Q158" s="2412"/>
      <c r="R158" s="2700">
        <f t="shared" si="11"/>
        <v>1915238.76</v>
      </c>
      <c r="S158" s="2412"/>
      <c r="T158" s="3529"/>
      <c r="V158" s="2650"/>
      <c r="X158" s="2650"/>
    </row>
    <row r="159" spans="1:24" s="41" customFormat="1" ht="23.25" customHeight="1">
      <c r="A159" s="2698">
        <v>143</v>
      </c>
      <c r="B159" s="2698">
        <v>28</v>
      </c>
      <c r="C159" s="3686"/>
      <c r="D159" s="2699" t="s">
        <v>488</v>
      </c>
      <c r="E159" s="3686"/>
      <c r="F159" s="3686"/>
      <c r="G159" s="2698" t="s">
        <v>167</v>
      </c>
      <c r="H159" s="2700">
        <f>+VLOOKUP(D159,'Đội 2'!C45:G130,5,0)</f>
        <v>0</v>
      </c>
      <c r="I159" s="2700">
        <f>+VLOOKUP(D159,VCKD!C128:M213,11,0)</f>
        <v>443600</v>
      </c>
      <c r="J159" s="2700">
        <f>+VLOOKUP(D159,VCKD!C128:S213,17,0)</f>
        <v>1464778.76</v>
      </c>
      <c r="K159" s="2700">
        <f t="shared" si="10"/>
        <v>1908378.76</v>
      </c>
      <c r="L159" s="2412"/>
      <c r="M159" s="2412"/>
      <c r="N159" s="2412"/>
      <c r="O159" s="2412"/>
      <c r="P159" s="2412"/>
      <c r="Q159" s="2412"/>
      <c r="R159" s="2700">
        <f t="shared" si="11"/>
        <v>1908378.76</v>
      </c>
      <c r="S159" s="2412"/>
      <c r="T159" s="3529"/>
      <c r="V159" s="2650"/>
      <c r="X159" s="2650"/>
    </row>
    <row r="160" spans="1:24" s="41" customFormat="1" ht="23.25" customHeight="1">
      <c r="A160" s="2698">
        <v>144</v>
      </c>
      <c r="B160" s="2698">
        <v>29</v>
      </c>
      <c r="C160" s="3686"/>
      <c r="D160" s="2699" t="s">
        <v>2258</v>
      </c>
      <c r="E160" s="3686"/>
      <c r="F160" s="3686"/>
      <c r="G160" s="2698" t="s">
        <v>167</v>
      </c>
      <c r="H160" s="2700">
        <f>+VLOOKUP(D160,'Đội 2'!C46:G131,5,0)</f>
        <v>0</v>
      </c>
      <c r="I160" s="2700">
        <f>+VLOOKUP(D160,VCKD!C129:M214,11,0)</f>
        <v>196648</v>
      </c>
      <c r="J160" s="2700">
        <f>+VLOOKUP(D160,VCKD!C129:S214,17,0)</f>
        <v>1464778.76</v>
      </c>
      <c r="K160" s="2700">
        <f t="shared" si="10"/>
        <v>1661426.76</v>
      </c>
      <c r="L160" s="2412"/>
      <c r="M160" s="2412"/>
      <c r="N160" s="2412"/>
      <c r="O160" s="2412"/>
      <c r="P160" s="2412"/>
      <c r="Q160" s="2412"/>
      <c r="R160" s="2700">
        <f t="shared" si="11"/>
        <v>1661426.76</v>
      </c>
      <c r="S160" s="2412"/>
      <c r="T160" s="3529"/>
      <c r="V160" s="2650"/>
      <c r="X160" s="2650"/>
    </row>
    <row r="161" spans="1:24" s="41" customFormat="1" ht="23.25" customHeight="1">
      <c r="A161" s="2698">
        <v>145</v>
      </c>
      <c r="B161" s="2698">
        <v>30</v>
      </c>
      <c r="C161" s="3686"/>
      <c r="D161" s="2699" t="s">
        <v>2259</v>
      </c>
      <c r="E161" s="3686"/>
      <c r="F161" s="3686"/>
      <c r="G161" s="2698" t="s">
        <v>167</v>
      </c>
      <c r="H161" s="2700">
        <f>+VLOOKUP(D161,'Đội 2'!C47:G132,5,0)</f>
        <v>0</v>
      </c>
      <c r="I161" s="2700">
        <f>+VLOOKUP(D161,VCKD!C130:M215,11,0)</f>
        <v>196648</v>
      </c>
      <c r="J161" s="2700">
        <f>+VLOOKUP(D161,VCKD!C130:S215,17,0)</f>
        <v>1464778.76</v>
      </c>
      <c r="K161" s="2700">
        <f t="shared" si="10"/>
        <v>1661426.76</v>
      </c>
      <c r="L161" s="2412"/>
      <c r="M161" s="2412"/>
      <c r="N161" s="2412"/>
      <c r="O161" s="2412"/>
      <c r="P161" s="2412"/>
      <c r="Q161" s="2412"/>
      <c r="R161" s="2700">
        <f t="shared" si="11"/>
        <v>1661426.76</v>
      </c>
      <c r="S161" s="2412"/>
      <c r="T161" s="3529"/>
      <c r="V161" s="2650"/>
      <c r="X161" s="2650"/>
    </row>
    <row r="162" spans="1:24" s="41" customFormat="1" ht="23.25" customHeight="1">
      <c r="A162" s="2698">
        <v>146</v>
      </c>
      <c r="B162" s="2698">
        <v>31</v>
      </c>
      <c r="C162" s="3686"/>
      <c r="D162" s="2699" t="s">
        <v>2260</v>
      </c>
      <c r="E162" s="3686"/>
      <c r="F162" s="3686"/>
      <c r="G162" s="2698" t="s">
        <v>167</v>
      </c>
      <c r="H162" s="2700">
        <f>+VLOOKUP(D162,'Đội 2'!C48:G133,5,0)</f>
        <v>0</v>
      </c>
      <c r="I162" s="2700">
        <f>+VLOOKUP(D162,VCKD!C131:M216,11,0)</f>
        <v>194361</v>
      </c>
      <c r="J162" s="2700">
        <f>+VLOOKUP(D162,VCKD!C131:S216,17,0)</f>
        <v>1464778.76</v>
      </c>
      <c r="K162" s="2700">
        <f t="shared" si="10"/>
        <v>1659139.76</v>
      </c>
      <c r="L162" s="2412"/>
      <c r="M162" s="2412"/>
      <c r="N162" s="2412"/>
      <c r="O162" s="2412"/>
      <c r="P162" s="2412"/>
      <c r="Q162" s="2412"/>
      <c r="R162" s="2700">
        <f t="shared" si="11"/>
        <v>1659139.76</v>
      </c>
      <c r="S162" s="2412"/>
      <c r="T162" s="3529"/>
      <c r="V162" s="2650"/>
      <c r="X162" s="2650"/>
    </row>
    <row r="163" spans="1:24" s="41" customFormat="1" ht="23.25" customHeight="1">
      <c r="A163" s="2698">
        <v>147</v>
      </c>
      <c r="B163" s="2698">
        <v>32</v>
      </c>
      <c r="C163" s="3686"/>
      <c r="D163" s="2699" t="s">
        <v>2261</v>
      </c>
      <c r="E163" s="3686"/>
      <c r="F163" s="3686"/>
      <c r="G163" s="2698" t="s">
        <v>167</v>
      </c>
      <c r="H163" s="2700">
        <f>+VLOOKUP(D163,'Đội 2'!C49:G134,5,0)</f>
        <v>0</v>
      </c>
      <c r="I163" s="2700">
        <f>+VLOOKUP(D163,VCKD!C132:M217,11,0)</f>
        <v>0</v>
      </c>
      <c r="J163" s="2700">
        <f>+VLOOKUP(D163,VCKD!C132:S217,17,0)</f>
        <v>1364314</v>
      </c>
      <c r="K163" s="2700">
        <f t="shared" si="10"/>
        <v>1364314</v>
      </c>
      <c r="L163" s="2412"/>
      <c r="M163" s="2412"/>
      <c r="N163" s="2412"/>
      <c r="O163" s="2412"/>
      <c r="P163" s="2412"/>
      <c r="Q163" s="2412"/>
      <c r="R163" s="2700">
        <f t="shared" si="11"/>
        <v>1364314</v>
      </c>
      <c r="S163" s="2412"/>
      <c r="T163" s="3529"/>
      <c r="V163" s="2650"/>
      <c r="X163" s="2650"/>
    </row>
    <row r="164" spans="1:24" s="41" customFormat="1" ht="23.25" customHeight="1">
      <c r="A164" s="2698">
        <v>148</v>
      </c>
      <c r="B164" s="2698">
        <v>33</v>
      </c>
      <c r="C164" s="3686"/>
      <c r="D164" s="2699" t="s">
        <v>1504</v>
      </c>
      <c r="E164" s="3686"/>
      <c r="F164" s="3686"/>
      <c r="G164" s="2698" t="s">
        <v>167</v>
      </c>
      <c r="H164" s="2700">
        <f>+VLOOKUP(D164,'Đội 2'!C50:G135,5,0)</f>
        <v>0</v>
      </c>
      <c r="I164" s="2700">
        <f>+VLOOKUP(D164,VCKD!C133:M218,11,0)</f>
        <v>477899</v>
      </c>
      <c r="J164" s="2700">
        <f>+VLOOKUP(D164,VCKD!C133:S218,17,0)</f>
        <v>1414546.38</v>
      </c>
      <c r="K164" s="2700">
        <f t="shared" si="10"/>
        <v>1892445.38</v>
      </c>
      <c r="L164" s="2412"/>
      <c r="M164" s="2412"/>
      <c r="N164" s="2412"/>
      <c r="O164" s="2412"/>
      <c r="P164" s="2412"/>
      <c r="Q164" s="2412"/>
      <c r="R164" s="2700">
        <f t="shared" si="11"/>
        <v>1892445.38</v>
      </c>
      <c r="S164" s="2412"/>
      <c r="T164" s="3529"/>
      <c r="V164" s="2650"/>
      <c r="X164" s="2650"/>
    </row>
    <row r="165" spans="1:24" s="41" customFormat="1" ht="23.25" customHeight="1">
      <c r="A165" s="2698">
        <v>149</v>
      </c>
      <c r="B165" s="2698">
        <v>34</v>
      </c>
      <c r="C165" s="3686"/>
      <c r="D165" s="2699" t="s">
        <v>2262</v>
      </c>
      <c r="E165" s="3686"/>
      <c r="F165" s="3686"/>
      <c r="G165" s="2698" t="s">
        <v>167</v>
      </c>
      <c r="H165" s="2700">
        <f>+VLOOKUP(D165,'Đội 2'!C51:G136,5,0)</f>
        <v>0</v>
      </c>
      <c r="I165" s="2700">
        <f>+VLOOKUP(D165,VCKD!C134:M219,11,0)</f>
        <v>189788</v>
      </c>
      <c r="J165" s="2700">
        <f>+VLOOKUP(D165,VCKD!C134:S219,17,0)</f>
        <v>1143185.8400000001</v>
      </c>
      <c r="K165" s="2700">
        <f t="shared" si="10"/>
        <v>1332973.8400000001</v>
      </c>
      <c r="L165" s="2412"/>
      <c r="M165" s="2412"/>
      <c r="N165" s="2412"/>
      <c r="O165" s="2412"/>
      <c r="P165" s="2412"/>
      <c r="Q165" s="2412"/>
      <c r="R165" s="2700">
        <f t="shared" si="11"/>
        <v>1332973.8400000001</v>
      </c>
      <c r="S165" s="2412"/>
      <c r="T165" s="3529"/>
      <c r="V165" s="2650"/>
      <c r="X165" s="2650"/>
    </row>
    <row r="166" spans="1:24" s="41" customFormat="1" ht="23.25" customHeight="1">
      <c r="A166" s="2698">
        <v>150</v>
      </c>
      <c r="B166" s="2698">
        <v>35</v>
      </c>
      <c r="C166" s="3686"/>
      <c r="D166" s="2699" t="s">
        <v>2263</v>
      </c>
      <c r="E166" s="3686"/>
      <c r="F166" s="3686"/>
      <c r="G166" s="2698" t="s">
        <v>167</v>
      </c>
      <c r="H166" s="2700">
        <f>+VLOOKUP(D166,'Đội 2'!C52:G137,5,0)</f>
        <v>0</v>
      </c>
      <c r="I166" s="2700">
        <f>+VLOOKUP(D166,VCKD!C135:M220,11,0)</f>
        <v>189788</v>
      </c>
      <c r="J166" s="2700">
        <f>+VLOOKUP(D166,VCKD!C135:S220,17,0)</f>
        <v>1143185.8400000001</v>
      </c>
      <c r="K166" s="2700">
        <f t="shared" si="10"/>
        <v>1332973.8400000001</v>
      </c>
      <c r="L166" s="2412"/>
      <c r="M166" s="2412"/>
      <c r="N166" s="2412"/>
      <c r="O166" s="2412"/>
      <c r="P166" s="2412"/>
      <c r="Q166" s="2412"/>
      <c r="R166" s="2700">
        <f t="shared" si="11"/>
        <v>1332973.8400000001</v>
      </c>
      <c r="S166" s="2412"/>
      <c r="T166" s="3529"/>
      <c r="V166" s="2650"/>
      <c r="X166" s="2650"/>
    </row>
    <row r="167" spans="1:24" s="41" customFormat="1" ht="23.25" customHeight="1">
      <c r="A167" s="2698">
        <v>151</v>
      </c>
      <c r="B167" s="2698">
        <v>36</v>
      </c>
      <c r="C167" s="3686"/>
      <c r="D167" s="2699" t="s">
        <v>1491</v>
      </c>
      <c r="E167" s="3686"/>
      <c r="F167" s="3686"/>
      <c r="G167" s="2698" t="s">
        <v>167</v>
      </c>
      <c r="H167" s="2700">
        <f>+VLOOKUP(D167,'Đội 2'!C53:G138,5,0)</f>
        <v>0</v>
      </c>
      <c r="I167" s="2700">
        <f>+VLOOKUP(D167,VCKD!C136:M221,11,0)</f>
        <v>541924</v>
      </c>
      <c r="J167" s="2700">
        <f>+VLOOKUP(D167,VCKD!C136:S221,17,0)</f>
        <v>1364314</v>
      </c>
      <c r="K167" s="2700">
        <f t="shared" si="10"/>
        <v>1906238</v>
      </c>
      <c r="L167" s="2412"/>
      <c r="M167" s="2412"/>
      <c r="N167" s="2412"/>
      <c r="O167" s="2412"/>
      <c r="P167" s="2412"/>
      <c r="Q167" s="2412"/>
      <c r="R167" s="2700">
        <f t="shared" si="11"/>
        <v>1906238</v>
      </c>
      <c r="S167" s="2412"/>
      <c r="T167" s="3529"/>
      <c r="V167" s="2650"/>
      <c r="X167" s="2650"/>
    </row>
    <row r="168" spans="1:24" s="41" customFormat="1" ht="23.25" customHeight="1">
      <c r="A168" s="2698">
        <v>152</v>
      </c>
      <c r="B168" s="2698">
        <v>37</v>
      </c>
      <c r="C168" s="3686"/>
      <c r="D168" s="2699" t="s">
        <v>1492</v>
      </c>
      <c r="E168" s="3686"/>
      <c r="F168" s="3686"/>
      <c r="G168" s="2698" t="s">
        <v>167</v>
      </c>
      <c r="H168" s="2700">
        <f>+VLOOKUP(D168,'Đội 2'!C54:G139,5,0)</f>
        <v>0</v>
      </c>
      <c r="I168" s="2700">
        <f>+VLOOKUP(D168,VCKD!C137:M222,11,0)</f>
        <v>640248</v>
      </c>
      <c r="J168" s="2700">
        <f>+VLOOKUP(D168,VCKD!C137:S222,17,0)</f>
        <v>1364314</v>
      </c>
      <c r="K168" s="2700">
        <f t="shared" si="10"/>
        <v>2004562</v>
      </c>
      <c r="L168" s="2412"/>
      <c r="M168" s="2412"/>
      <c r="N168" s="2412"/>
      <c r="O168" s="2412"/>
      <c r="P168" s="2412"/>
      <c r="Q168" s="2412"/>
      <c r="R168" s="2700">
        <f t="shared" si="11"/>
        <v>2004562</v>
      </c>
      <c r="S168" s="2412"/>
      <c r="T168" s="3529"/>
      <c r="V168" s="2650"/>
      <c r="X168" s="2650"/>
    </row>
    <row r="169" spans="1:24" s="41" customFormat="1" ht="23.25" customHeight="1">
      <c r="A169" s="2698">
        <v>153</v>
      </c>
      <c r="B169" s="2698">
        <v>38</v>
      </c>
      <c r="C169" s="3686"/>
      <c r="D169" s="2699" t="s">
        <v>1712</v>
      </c>
      <c r="E169" s="3686"/>
      <c r="F169" s="3686"/>
      <c r="G169" s="2698" t="s">
        <v>167</v>
      </c>
      <c r="H169" s="2700">
        <f>+VLOOKUP(D169,'Đội 2'!C55:G140,5,0)</f>
        <v>0</v>
      </c>
      <c r="I169" s="2700">
        <f>+VLOOKUP(D169,VCKD!C138:M223,11,0)</f>
        <v>57165</v>
      </c>
      <c r="J169" s="2700">
        <f>+VLOOKUP(D169,VCKD!C138:S223,17,0)</f>
        <v>1344115.36</v>
      </c>
      <c r="K169" s="2700">
        <f t="shared" si="10"/>
        <v>1401280.36</v>
      </c>
      <c r="L169" s="2412"/>
      <c r="M169" s="2412"/>
      <c r="N169" s="2412"/>
      <c r="O169" s="2412"/>
      <c r="P169" s="2412"/>
      <c r="Q169" s="2412"/>
      <c r="R169" s="2700">
        <f t="shared" si="11"/>
        <v>1401280.36</v>
      </c>
      <c r="S169" s="2412"/>
      <c r="T169" s="3529"/>
      <c r="V169" s="2650"/>
      <c r="X169" s="2650"/>
    </row>
    <row r="170" spans="1:24" s="41" customFormat="1" ht="23.25" customHeight="1">
      <c r="A170" s="2698">
        <v>154</v>
      </c>
      <c r="B170" s="2698">
        <v>39</v>
      </c>
      <c r="C170" s="3686"/>
      <c r="D170" s="2699" t="s">
        <v>1538</v>
      </c>
      <c r="E170" s="3686"/>
      <c r="F170" s="3686"/>
      <c r="G170" s="2698" t="s">
        <v>167</v>
      </c>
      <c r="H170" s="2700">
        <f>+VLOOKUP(D170,'Đội 2'!C56:G141,5,0)</f>
        <v>0</v>
      </c>
      <c r="I170" s="2700">
        <f>+VLOOKUP(D170,VCKD!C139:M224,11,0)</f>
        <v>384149</v>
      </c>
      <c r="J170" s="2700">
        <f>+VLOOKUP(D170,VCKD!C139:S224,17,0)</f>
        <v>1464778.76</v>
      </c>
      <c r="K170" s="2700">
        <f t="shared" si="10"/>
        <v>1848927.76</v>
      </c>
      <c r="L170" s="2412"/>
      <c r="M170" s="2412"/>
      <c r="N170" s="2412"/>
      <c r="O170" s="2412"/>
      <c r="P170" s="2412"/>
      <c r="Q170" s="2412"/>
      <c r="R170" s="2700">
        <f t="shared" si="11"/>
        <v>1848927.76</v>
      </c>
      <c r="S170" s="2412"/>
      <c r="T170" s="3529"/>
      <c r="V170" s="2650"/>
      <c r="X170" s="2650"/>
    </row>
    <row r="171" spans="1:24" s="41" customFormat="1" ht="23.25" customHeight="1">
      <c r="A171" s="2698">
        <v>155</v>
      </c>
      <c r="B171" s="2698">
        <v>40</v>
      </c>
      <c r="C171" s="3686"/>
      <c r="D171" s="2699" t="s">
        <v>2264</v>
      </c>
      <c r="E171" s="3686"/>
      <c r="F171" s="3686"/>
      <c r="G171" s="2698" t="s">
        <v>167</v>
      </c>
      <c r="H171" s="2700">
        <f>+VLOOKUP(D171,'Đội 2'!C57:G142,5,0)</f>
        <v>0</v>
      </c>
      <c r="I171" s="2700">
        <f>+VLOOKUP(D171,VCKD!C140:M225,11,0)</f>
        <v>423021</v>
      </c>
      <c r="J171" s="2700">
        <f>+VLOOKUP(D171,VCKD!C140:S225,17,0)</f>
        <v>1464778.76</v>
      </c>
      <c r="K171" s="2700">
        <f t="shared" si="10"/>
        <v>1887799.76</v>
      </c>
      <c r="L171" s="2412"/>
      <c r="M171" s="2412"/>
      <c r="N171" s="2412"/>
      <c r="O171" s="2412"/>
      <c r="P171" s="2412"/>
      <c r="Q171" s="2412"/>
      <c r="R171" s="2700">
        <f t="shared" si="11"/>
        <v>1887799.76</v>
      </c>
      <c r="S171" s="2412"/>
      <c r="T171" s="3529"/>
      <c r="V171" s="2650"/>
      <c r="X171" s="2650"/>
    </row>
    <row r="172" spans="1:24" s="41" customFormat="1" ht="23.25" customHeight="1">
      <c r="A172" s="2698">
        <v>156</v>
      </c>
      <c r="B172" s="2698">
        <v>41</v>
      </c>
      <c r="C172" s="3686"/>
      <c r="D172" s="2699" t="s">
        <v>2265</v>
      </c>
      <c r="E172" s="3686"/>
      <c r="F172" s="3686"/>
      <c r="G172" s="2698" t="s">
        <v>167</v>
      </c>
      <c r="H172" s="2700">
        <f>+VLOOKUP(D172,'Đội 2'!C58:G143,5,0)</f>
        <v>0</v>
      </c>
      <c r="I172" s="2700">
        <f>+VLOOKUP(D172,VCKD!C141:M226,11,0)</f>
        <v>338417</v>
      </c>
      <c r="J172" s="2700">
        <f>+VLOOKUP(D172,VCKD!C141:S226,17,0)</f>
        <v>1464778.76</v>
      </c>
      <c r="K172" s="2700">
        <f t="shared" si="10"/>
        <v>1803195.76</v>
      </c>
      <c r="L172" s="2412"/>
      <c r="M172" s="2412"/>
      <c r="N172" s="2412"/>
      <c r="O172" s="2412"/>
      <c r="P172" s="2412"/>
      <c r="Q172" s="2412"/>
      <c r="R172" s="2700">
        <f t="shared" si="11"/>
        <v>1803195.76</v>
      </c>
      <c r="S172" s="2412"/>
      <c r="T172" s="3529"/>
      <c r="V172" s="2650"/>
      <c r="X172" s="2650"/>
    </row>
    <row r="173" spans="1:24" s="41" customFormat="1" ht="23.25" customHeight="1">
      <c r="A173" s="2698">
        <v>157</v>
      </c>
      <c r="B173" s="2698">
        <v>42</v>
      </c>
      <c r="C173" s="3686"/>
      <c r="D173" s="2699" t="s">
        <v>2266</v>
      </c>
      <c r="E173" s="3686"/>
      <c r="F173" s="3686"/>
      <c r="G173" s="2698" t="s">
        <v>167</v>
      </c>
      <c r="H173" s="2700">
        <f>+VLOOKUP(D173,'Đội 2'!C59:G144,5,0)</f>
        <v>0</v>
      </c>
      <c r="I173" s="2700">
        <f>+VLOOKUP(D173,VCKD!C142:M227,11,0)</f>
        <v>340703</v>
      </c>
      <c r="J173" s="2700">
        <f>+VLOOKUP(D173,VCKD!C142:S227,17,0)</f>
        <v>1464778.76</v>
      </c>
      <c r="K173" s="2700">
        <f t="shared" si="10"/>
        <v>1805481.76</v>
      </c>
      <c r="L173" s="2412"/>
      <c r="M173" s="2412"/>
      <c r="N173" s="2412"/>
      <c r="O173" s="2412"/>
      <c r="P173" s="2412"/>
      <c r="Q173" s="2412"/>
      <c r="R173" s="2700">
        <f t="shared" si="11"/>
        <v>1805481.76</v>
      </c>
      <c r="S173" s="2412"/>
      <c r="T173" s="3529"/>
      <c r="V173" s="2650"/>
      <c r="X173" s="2650"/>
    </row>
    <row r="174" spans="1:24" s="41" customFormat="1" ht="23.25" customHeight="1">
      <c r="A174" s="2698">
        <v>158</v>
      </c>
      <c r="B174" s="2698">
        <v>43</v>
      </c>
      <c r="C174" s="3686"/>
      <c r="D174" s="2699" t="s">
        <v>2267</v>
      </c>
      <c r="E174" s="3686"/>
      <c r="F174" s="3686"/>
      <c r="G174" s="2698" t="s">
        <v>167</v>
      </c>
      <c r="H174" s="2700">
        <f>+VLOOKUP(D174,'Đội 2'!C60:G145,5,0)</f>
        <v>0</v>
      </c>
      <c r="I174" s="2700">
        <f>+VLOOKUP(D174,VCKD!C143:M228,11,0)</f>
        <v>0</v>
      </c>
      <c r="J174" s="2700">
        <f>+VLOOKUP(D174,VCKD!C143:S228,17,0)</f>
        <v>992488.7</v>
      </c>
      <c r="K174" s="2700">
        <f t="shared" si="10"/>
        <v>992488.7</v>
      </c>
      <c r="L174" s="2412"/>
      <c r="M174" s="2412"/>
      <c r="N174" s="2412"/>
      <c r="O174" s="2412"/>
      <c r="P174" s="2412"/>
      <c r="Q174" s="2412"/>
      <c r="R174" s="2700">
        <f t="shared" si="11"/>
        <v>992488.7</v>
      </c>
      <c r="S174" s="2412"/>
      <c r="T174" s="3529"/>
      <c r="V174" s="2650"/>
      <c r="X174" s="2650"/>
    </row>
    <row r="175" spans="1:24" s="41" customFormat="1" ht="23.25" customHeight="1">
      <c r="A175" s="2698">
        <v>159</v>
      </c>
      <c r="B175" s="2698">
        <v>44</v>
      </c>
      <c r="C175" s="3686"/>
      <c r="D175" s="2699" t="s">
        <v>2268</v>
      </c>
      <c r="E175" s="3686"/>
      <c r="F175" s="3686"/>
      <c r="G175" s="2698" t="s">
        <v>167</v>
      </c>
      <c r="H175" s="2700">
        <f>+VLOOKUP(D175,'Đội 2'!C61:G146,5,0)</f>
        <v>0</v>
      </c>
      <c r="I175" s="2700">
        <f>+VLOOKUP(D175,VCKD!C144:M229,11,0)</f>
        <v>249239</v>
      </c>
      <c r="J175" s="2700">
        <f>+VLOOKUP(D175,VCKD!C144:S229,17,0)</f>
        <v>1364314</v>
      </c>
      <c r="K175" s="2700">
        <f t="shared" si="10"/>
        <v>1613553</v>
      </c>
      <c r="L175" s="2412"/>
      <c r="M175" s="2412"/>
      <c r="N175" s="2412"/>
      <c r="O175" s="2412"/>
      <c r="P175" s="2412"/>
      <c r="Q175" s="2412"/>
      <c r="R175" s="2700">
        <f t="shared" si="11"/>
        <v>1613553</v>
      </c>
      <c r="S175" s="2412"/>
      <c r="T175" s="3529"/>
      <c r="V175" s="2650"/>
      <c r="X175" s="2650"/>
    </row>
    <row r="176" spans="1:24" s="41" customFormat="1" ht="23.25" customHeight="1">
      <c r="A176" s="2698">
        <v>160</v>
      </c>
      <c r="B176" s="2698">
        <v>45</v>
      </c>
      <c r="C176" s="3686"/>
      <c r="D176" s="2699" t="s">
        <v>2269</v>
      </c>
      <c r="E176" s="3686"/>
      <c r="F176" s="3686"/>
      <c r="G176" s="2698" t="s">
        <v>167</v>
      </c>
      <c r="H176" s="2700">
        <f>+VLOOKUP(D176,'Đội 2'!C62:G147,5,0)</f>
        <v>0</v>
      </c>
      <c r="I176" s="2700">
        <f>+VLOOKUP(D176,VCKD!C145:M230,11,0)</f>
        <v>102897</v>
      </c>
      <c r="J176" s="2700">
        <f>+VLOOKUP(D176,VCKD!C145:S230,17,0)</f>
        <v>1414546</v>
      </c>
      <c r="K176" s="2700">
        <f t="shared" si="10"/>
        <v>1517443</v>
      </c>
      <c r="L176" s="2412"/>
      <c r="M176" s="2412"/>
      <c r="N176" s="2412"/>
      <c r="O176" s="2412"/>
      <c r="P176" s="2412"/>
      <c r="Q176" s="2412"/>
      <c r="R176" s="2700">
        <f t="shared" si="11"/>
        <v>1517443</v>
      </c>
      <c r="S176" s="2412"/>
      <c r="T176" s="3529"/>
      <c r="V176" s="2650"/>
      <c r="X176" s="2650"/>
    </row>
    <row r="177" spans="1:24" s="41" customFormat="1" ht="23.25" customHeight="1">
      <c r="A177" s="2698">
        <v>161</v>
      </c>
      <c r="B177" s="2698">
        <v>46</v>
      </c>
      <c r="C177" s="3686"/>
      <c r="D177" s="2699" t="s">
        <v>2270</v>
      </c>
      <c r="E177" s="3686"/>
      <c r="F177" s="3686"/>
      <c r="G177" s="2698" t="s">
        <v>167</v>
      </c>
      <c r="H177" s="2700">
        <f>+VLOOKUP(D177,'Đội 2'!C63:G148,5,0)</f>
        <v>0</v>
      </c>
      <c r="I177" s="2700">
        <f>+VLOOKUP(D177,VCKD!C146:M231,11,0)</f>
        <v>308691</v>
      </c>
      <c r="J177" s="2700">
        <f>+VLOOKUP(D177,VCKD!C146:S231,17,0)</f>
        <v>1414546</v>
      </c>
      <c r="K177" s="2700">
        <f t="shared" si="10"/>
        <v>1723237</v>
      </c>
      <c r="L177" s="2412"/>
      <c r="M177" s="2412"/>
      <c r="N177" s="2412"/>
      <c r="O177" s="2412"/>
      <c r="P177" s="2412"/>
      <c r="Q177" s="2412"/>
      <c r="R177" s="2700">
        <f t="shared" si="11"/>
        <v>1723237</v>
      </c>
      <c r="S177" s="2412"/>
      <c r="T177" s="3529"/>
      <c r="V177" s="2650"/>
      <c r="X177" s="2650"/>
    </row>
    <row r="178" spans="1:24" s="41" customFormat="1" ht="23.25" customHeight="1">
      <c r="A178" s="2698">
        <v>162</v>
      </c>
      <c r="B178" s="2698">
        <v>47</v>
      </c>
      <c r="C178" s="3686"/>
      <c r="D178" s="2699" t="s">
        <v>486</v>
      </c>
      <c r="E178" s="3686"/>
      <c r="F178" s="3686"/>
      <c r="G178" s="2698" t="s">
        <v>167</v>
      </c>
      <c r="H178" s="2700">
        <f>+VLOOKUP(D178,'Đội 2'!C64:G149,5,0)</f>
        <v>0</v>
      </c>
      <c r="I178" s="2700">
        <f>+VLOOKUP(D178,VCKD!C147:M232,11,0)</f>
        <v>194361</v>
      </c>
      <c r="J178" s="2700">
        <f>+VLOOKUP(D178,VCKD!C147:S232,17,0)</f>
        <v>1193418</v>
      </c>
      <c r="K178" s="2700">
        <f t="shared" si="10"/>
        <v>1387779</v>
      </c>
      <c r="L178" s="2412"/>
      <c r="M178" s="2412"/>
      <c r="N178" s="2412"/>
      <c r="O178" s="2412"/>
      <c r="P178" s="2412"/>
      <c r="Q178" s="2412"/>
      <c r="R178" s="2700">
        <f t="shared" si="11"/>
        <v>1387779</v>
      </c>
      <c r="S178" s="2412"/>
      <c r="T178" s="3529"/>
      <c r="V178" s="2650"/>
      <c r="X178" s="2650"/>
    </row>
    <row r="179" spans="1:24" s="41" customFormat="1" ht="23.25" customHeight="1">
      <c r="A179" s="2698">
        <v>163</v>
      </c>
      <c r="B179" s="2698">
        <v>48</v>
      </c>
      <c r="C179" s="3686"/>
      <c r="D179" s="2699" t="s">
        <v>2271</v>
      </c>
      <c r="E179" s="3686"/>
      <c r="F179" s="3686"/>
      <c r="G179" s="2698" t="s">
        <v>167</v>
      </c>
      <c r="H179" s="2700">
        <f>+VLOOKUP(D179,'Đội 2'!C65:G150,5,0)</f>
        <v>0</v>
      </c>
      <c r="I179" s="2700">
        <f>+VLOOKUP(D179,VCKD!C148:M233,11,0)</f>
        <v>0</v>
      </c>
      <c r="J179" s="2700">
        <f>+VLOOKUP(D179,VCKD!C148:S233,17,0)</f>
        <v>1243651</v>
      </c>
      <c r="K179" s="2700">
        <f t="shared" si="10"/>
        <v>1243651</v>
      </c>
      <c r="L179" s="2412"/>
      <c r="M179" s="2412"/>
      <c r="N179" s="2412"/>
      <c r="O179" s="2412"/>
      <c r="P179" s="2412"/>
      <c r="Q179" s="2412"/>
      <c r="R179" s="2700">
        <f t="shared" si="11"/>
        <v>1243651</v>
      </c>
      <c r="S179" s="2412"/>
      <c r="T179" s="3529"/>
      <c r="V179" s="2650"/>
      <c r="X179" s="2650"/>
    </row>
    <row r="180" spans="1:24" s="41" customFormat="1" ht="23.25" customHeight="1">
      <c r="A180" s="2698">
        <v>164</v>
      </c>
      <c r="B180" s="2698">
        <v>49</v>
      </c>
      <c r="C180" s="3686"/>
      <c r="D180" s="2699" t="s">
        <v>1229</v>
      </c>
      <c r="E180" s="3686"/>
      <c r="F180" s="3686"/>
      <c r="G180" s="2698" t="s">
        <v>167</v>
      </c>
      <c r="H180" s="2700">
        <f>+VLOOKUP(D180,'Đội 2'!C66:G151,5,0)</f>
        <v>0</v>
      </c>
      <c r="I180" s="2700">
        <f>+VLOOKUP(D180,VCKD!C149:M234,11,0)</f>
        <v>265245</v>
      </c>
      <c r="J180" s="2700">
        <f>+VLOOKUP(D180,VCKD!C149:S234,17,0)</f>
        <v>1364314</v>
      </c>
      <c r="K180" s="2700">
        <f t="shared" si="10"/>
        <v>1629559</v>
      </c>
      <c r="L180" s="2412"/>
      <c r="M180" s="2412"/>
      <c r="N180" s="2412"/>
      <c r="O180" s="2412"/>
      <c r="P180" s="2412"/>
      <c r="Q180" s="2412"/>
      <c r="R180" s="2700">
        <f t="shared" si="11"/>
        <v>1629559</v>
      </c>
      <c r="S180" s="2412"/>
      <c r="T180" s="3529"/>
      <c r="V180" s="2650"/>
      <c r="X180" s="2650"/>
    </row>
    <row r="181" spans="1:24" s="41" customFormat="1" ht="23.25" customHeight="1">
      <c r="A181" s="2698">
        <v>165</v>
      </c>
      <c r="B181" s="2698">
        <v>50</v>
      </c>
      <c r="C181" s="3686"/>
      <c r="D181" s="2699" t="s">
        <v>1507</v>
      </c>
      <c r="E181" s="3686"/>
      <c r="F181" s="3686"/>
      <c r="G181" s="2698" t="s">
        <v>167</v>
      </c>
      <c r="H181" s="2700">
        <f>+VLOOKUP(D181,'Đội 2'!C67:G152,5,0)</f>
        <v>0</v>
      </c>
      <c r="I181" s="2700">
        <f>+VLOOKUP(D181,VCKD!C150:M235,11,0)</f>
        <v>198934</v>
      </c>
      <c r="J181" s="2700">
        <f>+VLOOKUP(D181,VCKD!C150:S235,17,0)</f>
        <v>1163384</v>
      </c>
      <c r="K181" s="2700">
        <f t="shared" si="10"/>
        <v>1362318</v>
      </c>
      <c r="L181" s="2412"/>
      <c r="M181" s="2412"/>
      <c r="N181" s="2412"/>
      <c r="O181" s="2412"/>
      <c r="P181" s="2412"/>
      <c r="Q181" s="2412"/>
      <c r="R181" s="2700">
        <f t="shared" si="11"/>
        <v>1362318</v>
      </c>
      <c r="S181" s="2412"/>
      <c r="T181" s="3529"/>
      <c r="V181" s="2650"/>
      <c r="X181" s="2650"/>
    </row>
    <row r="182" spans="1:24" s="41" customFormat="1" ht="23.25" customHeight="1">
      <c r="A182" s="2698">
        <v>166</v>
      </c>
      <c r="B182" s="2698">
        <v>51</v>
      </c>
      <c r="C182" s="3686"/>
      <c r="D182" s="2699" t="s">
        <v>1706</v>
      </c>
      <c r="E182" s="3686"/>
      <c r="F182" s="3686"/>
      <c r="G182" s="2698" t="s">
        <v>167</v>
      </c>
      <c r="H182" s="2700">
        <f>+VLOOKUP(D182,'Đội 2'!C68:G153,5,0)</f>
        <v>0</v>
      </c>
      <c r="I182" s="2700">
        <f>+VLOOKUP(D182,VCKD!C151:M236,11,0)</f>
        <v>0</v>
      </c>
      <c r="J182" s="2700">
        <f>+VLOOKUP(D182,VCKD!C151:S236,17,0)</f>
        <v>1293883</v>
      </c>
      <c r="K182" s="2700">
        <f t="shared" si="10"/>
        <v>1293883</v>
      </c>
      <c r="L182" s="2412"/>
      <c r="M182" s="2412"/>
      <c r="N182" s="2412"/>
      <c r="O182" s="2412"/>
      <c r="P182" s="2412"/>
      <c r="Q182" s="2412"/>
      <c r="R182" s="2700">
        <f t="shared" si="11"/>
        <v>1293883</v>
      </c>
      <c r="S182" s="2412"/>
      <c r="T182" s="3529"/>
      <c r="V182" s="2650"/>
      <c r="X182" s="2650"/>
    </row>
    <row r="183" spans="1:24" s="41" customFormat="1" ht="23.25" customHeight="1">
      <c r="A183" s="2698">
        <v>167</v>
      </c>
      <c r="B183" s="2698">
        <v>52</v>
      </c>
      <c r="C183" s="3686"/>
      <c r="D183" s="2699" t="s">
        <v>2272</v>
      </c>
      <c r="E183" s="3686"/>
      <c r="F183" s="3686"/>
      <c r="G183" s="2698" t="s">
        <v>167</v>
      </c>
      <c r="H183" s="2700">
        <f>+VLOOKUP(D183,'Đội 2'!C69:G154,5,0)</f>
        <v>0</v>
      </c>
      <c r="I183" s="2700">
        <f>+VLOOKUP(D183,VCKD!C152:M237,11,0)</f>
        <v>244666</v>
      </c>
      <c r="J183" s="2700">
        <f>+VLOOKUP(D183,VCKD!C152:S237,17,0)</f>
        <v>1293883</v>
      </c>
      <c r="K183" s="2700">
        <f t="shared" si="10"/>
        <v>1538549</v>
      </c>
      <c r="L183" s="2412"/>
      <c r="M183" s="2412"/>
      <c r="N183" s="2412"/>
      <c r="O183" s="2412"/>
      <c r="P183" s="2412"/>
      <c r="Q183" s="2412"/>
      <c r="R183" s="2700">
        <f t="shared" si="11"/>
        <v>1538549</v>
      </c>
      <c r="S183" s="2412"/>
      <c r="T183" s="3529"/>
      <c r="V183" s="2650"/>
      <c r="X183" s="2650"/>
    </row>
    <row r="184" spans="1:24" s="41" customFormat="1" ht="23.25" customHeight="1">
      <c r="A184" s="2698">
        <v>168</v>
      </c>
      <c r="B184" s="2698">
        <v>53</v>
      </c>
      <c r="C184" s="3686"/>
      <c r="D184" s="2699" t="s">
        <v>2273</v>
      </c>
      <c r="E184" s="3686"/>
      <c r="F184" s="3686"/>
      <c r="G184" s="2698" t="s">
        <v>167</v>
      </c>
      <c r="H184" s="2700">
        <f>+VLOOKUP(D184,'Đội 2'!C70:G155,5,0)</f>
        <v>0</v>
      </c>
      <c r="I184" s="2700">
        <f>+VLOOKUP(D184,VCKD!C153:M238,11,0)</f>
        <v>57165</v>
      </c>
      <c r="J184" s="2700">
        <f>+VLOOKUP(D184,VCKD!C153:S238,17,0)</f>
        <v>1243651</v>
      </c>
      <c r="K184" s="2700">
        <f t="shared" si="10"/>
        <v>1300816</v>
      </c>
      <c r="L184" s="2412"/>
      <c r="M184" s="2412"/>
      <c r="N184" s="2412"/>
      <c r="O184" s="2412"/>
      <c r="P184" s="2412"/>
      <c r="Q184" s="2412"/>
      <c r="R184" s="2700">
        <f t="shared" si="11"/>
        <v>1300816</v>
      </c>
      <c r="S184" s="2412"/>
      <c r="T184" s="3529"/>
      <c r="V184" s="2650"/>
      <c r="X184" s="2650"/>
    </row>
    <row r="185" spans="1:24" s="41" customFormat="1" ht="23.25" customHeight="1">
      <c r="A185" s="2698">
        <v>169</v>
      </c>
      <c r="B185" s="2698">
        <v>54</v>
      </c>
      <c r="C185" s="3686"/>
      <c r="D185" s="2699" t="s">
        <v>2274</v>
      </c>
      <c r="E185" s="3686"/>
      <c r="F185" s="3686"/>
      <c r="G185" s="2698" t="s">
        <v>167</v>
      </c>
      <c r="H185" s="2700">
        <f>+VLOOKUP(D185,'Đội 2'!C71:G156,5,0)</f>
        <v>0</v>
      </c>
      <c r="I185" s="2700">
        <f>+VLOOKUP(D185,VCKD!C154:M239,11,0)</f>
        <v>219514</v>
      </c>
      <c r="J185" s="2700">
        <f>+VLOOKUP(D185,VCKD!C154:S239,17,0)</f>
        <v>1314082</v>
      </c>
      <c r="K185" s="2700">
        <f t="shared" si="10"/>
        <v>1533596</v>
      </c>
      <c r="L185" s="2412"/>
      <c r="M185" s="2412"/>
      <c r="N185" s="2412"/>
      <c r="O185" s="2412"/>
      <c r="P185" s="2412"/>
      <c r="Q185" s="2412"/>
      <c r="R185" s="2700">
        <f t="shared" si="11"/>
        <v>1533596</v>
      </c>
      <c r="S185" s="2412"/>
      <c r="T185" s="3529"/>
      <c r="V185" s="2650"/>
      <c r="X185" s="2650"/>
    </row>
    <row r="186" spans="1:24" s="41" customFormat="1" ht="23.25" customHeight="1">
      <c r="A186" s="2698">
        <v>170</v>
      </c>
      <c r="B186" s="2698">
        <v>55</v>
      </c>
      <c r="C186" s="3686"/>
      <c r="D186" s="2699" t="s">
        <v>2275</v>
      </c>
      <c r="E186" s="3686"/>
      <c r="F186" s="3686"/>
      <c r="G186" s="2698" t="s">
        <v>167</v>
      </c>
      <c r="H186" s="2700">
        <f>+VLOOKUP(D186,'Đội 2'!C72:G157,5,0)</f>
        <v>0</v>
      </c>
      <c r="I186" s="2700">
        <f>+VLOOKUP(D186,VCKD!C155:M240,11,0)</f>
        <v>564790</v>
      </c>
      <c r="J186" s="2700">
        <f>+VLOOKUP(D186,VCKD!C155:S240,17,0)</f>
        <v>1464779</v>
      </c>
      <c r="K186" s="2700">
        <f t="shared" si="10"/>
        <v>2029569</v>
      </c>
      <c r="L186" s="2412"/>
      <c r="M186" s="2412"/>
      <c r="N186" s="2412"/>
      <c r="O186" s="2412"/>
      <c r="P186" s="2412"/>
      <c r="Q186" s="2412"/>
      <c r="R186" s="2700">
        <f t="shared" si="11"/>
        <v>2029569</v>
      </c>
      <c r="S186" s="2412"/>
      <c r="T186" s="3529"/>
      <c r="V186" s="2650"/>
      <c r="X186" s="2650"/>
    </row>
    <row r="187" spans="1:24" s="41" customFormat="1" ht="23.25" customHeight="1">
      <c r="A187" s="2698">
        <v>171</v>
      </c>
      <c r="B187" s="2698">
        <v>56</v>
      </c>
      <c r="C187" s="3686"/>
      <c r="D187" s="2699" t="s">
        <v>2276</v>
      </c>
      <c r="E187" s="3686"/>
      <c r="F187" s="3686"/>
      <c r="G187" s="2698" t="s">
        <v>167</v>
      </c>
      <c r="H187" s="2700">
        <f>+VLOOKUP(D187,'Đội 2'!C73:G158,5,0)</f>
        <v>0</v>
      </c>
      <c r="I187" s="2700">
        <f>+VLOOKUP(D187,VCKD!C156:M241,11,0)</f>
        <v>656254</v>
      </c>
      <c r="J187" s="2700">
        <f>+VLOOKUP(D187,VCKD!C156:S241,17,0)</f>
        <v>1464779</v>
      </c>
      <c r="K187" s="2700">
        <f t="shared" si="10"/>
        <v>2121033</v>
      </c>
      <c r="L187" s="2412"/>
      <c r="M187" s="2412"/>
      <c r="N187" s="2412"/>
      <c r="O187" s="2412"/>
      <c r="P187" s="2412"/>
      <c r="Q187" s="2412"/>
      <c r="R187" s="2700">
        <f t="shared" si="11"/>
        <v>2121033</v>
      </c>
      <c r="S187" s="2412"/>
      <c r="T187" s="3529"/>
      <c r="V187" s="2650"/>
      <c r="X187" s="2650"/>
    </row>
    <row r="188" spans="1:24" s="41" customFormat="1" ht="23.25" customHeight="1">
      <c r="A188" s="2698">
        <v>172</v>
      </c>
      <c r="B188" s="2698">
        <v>57</v>
      </c>
      <c r="C188" s="3686"/>
      <c r="D188" s="2699" t="s">
        <v>281</v>
      </c>
      <c r="E188" s="3686"/>
      <c r="F188" s="3686"/>
      <c r="G188" s="2698" t="s">
        <v>167</v>
      </c>
      <c r="H188" s="2700">
        <f>+VLOOKUP(D188,'Đội 2'!C74:G159,5,0)</f>
        <v>0</v>
      </c>
      <c r="I188" s="2700">
        <f>+VLOOKUP(D188,VCKD!C157:M242,11,0)</f>
        <v>0</v>
      </c>
      <c r="J188" s="2700">
        <f>+VLOOKUP(D188,VCKD!C157:S242,17,0)</f>
        <v>972290</v>
      </c>
      <c r="K188" s="2700">
        <f t="shared" si="10"/>
        <v>972290</v>
      </c>
      <c r="L188" s="2412"/>
      <c r="M188" s="2412"/>
      <c r="N188" s="2412"/>
      <c r="O188" s="2412"/>
      <c r="P188" s="2412"/>
      <c r="Q188" s="2412"/>
      <c r="R188" s="2700">
        <f t="shared" si="11"/>
        <v>972290</v>
      </c>
      <c r="S188" s="2412"/>
      <c r="T188" s="3529"/>
      <c r="V188" s="2650"/>
      <c r="X188" s="2650"/>
    </row>
    <row r="189" spans="1:24" s="41" customFormat="1" ht="23.25" customHeight="1">
      <c r="A189" s="2698">
        <v>173</v>
      </c>
      <c r="B189" s="2698">
        <v>58</v>
      </c>
      <c r="C189" s="3686"/>
      <c r="D189" s="2699" t="s">
        <v>2277</v>
      </c>
      <c r="E189" s="3686"/>
      <c r="F189" s="3686"/>
      <c r="G189" s="2698" t="s">
        <v>167</v>
      </c>
      <c r="H189" s="2700">
        <f>+VLOOKUP(D189,'Đội 2'!C75:G160,5,0)</f>
        <v>0</v>
      </c>
      <c r="I189" s="2700">
        <f>+VLOOKUP(D189,VCKD!C158:M243,11,0)</f>
        <v>0</v>
      </c>
      <c r="J189" s="2700">
        <f>+VLOOKUP(D189,VCKD!C158:S243,17,0)</f>
        <v>550232</v>
      </c>
      <c r="K189" s="2700">
        <f t="shared" si="10"/>
        <v>550232</v>
      </c>
      <c r="L189" s="2412"/>
      <c r="M189" s="2412"/>
      <c r="N189" s="2412"/>
      <c r="O189" s="2412"/>
      <c r="P189" s="2412"/>
      <c r="Q189" s="2412"/>
      <c r="R189" s="2700">
        <f t="shared" si="11"/>
        <v>550232</v>
      </c>
      <c r="S189" s="2412"/>
      <c r="T189" s="3529"/>
      <c r="V189" s="2650"/>
      <c r="X189" s="2650"/>
    </row>
    <row r="190" spans="1:24" s="41" customFormat="1" ht="23.25" customHeight="1">
      <c r="A190" s="2698">
        <v>174</v>
      </c>
      <c r="B190" s="2698">
        <v>59</v>
      </c>
      <c r="C190" s="3686"/>
      <c r="D190" s="2699" t="s">
        <v>1698</v>
      </c>
      <c r="E190" s="3686"/>
      <c r="F190" s="3686"/>
      <c r="G190" s="2698" t="s">
        <v>167</v>
      </c>
      <c r="H190" s="2700">
        <f>+VLOOKUP(D190,'Đội 2'!C76:G161,5,0)</f>
        <v>0</v>
      </c>
      <c r="I190" s="2700">
        <f>+VLOOKUP(D190,VCKD!C159:M244,11,0)</f>
        <v>132623</v>
      </c>
      <c r="J190" s="2700">
        <f>+VLOOKUP(D190,VCKD!C159:S244,17,0)</f>
        <v>1344115</v>
      </c>
      <c r="K190" s="2700">
        <f t="shared" si="10"/>
        <v>1476738</v>
      </c>
      <c r="L190" s="2412"/>
      <c r="M190" s="2412"/>
      <c r="N190" s="2412"/>
      <c r="O190" s="2412"/>
      <c r="P190" s="2412"/>
      <c r="Q190" s="2412"/>
      <c r="R190" s="2700">
        <f t="shared" si="11"/>
        <v>1476738</v>
      </c>
      <c r="S190" s="2412"/>
      <c r="T190" s="3529"/>
      <c r="V190" s="2650"/>
      <c r="X190" s="2650"/>
    </row>
    <row r="191" spans="1:24" s="41" customFormat="1" ht="23.25" customHeight="1">
      <c r="A191" s="2698">
        <v>175</v>
      </c>
      <c r="B191" s="2698">
        <v>60</v>
      </c>
      <c r="C191" s="3686"/>
      <c r="D191" s="2699" t="s">
        <v>2278</v>
      </c>
      <c r="E191" s="3686"/>
      <c r="F191" s="3686"/>
      <c r="G191" s="2698" t="s">
        <v>167</v>
      </c>
      <c r="H191" s="2700">
        <f>+VLOOKUP(D191,'Đội 2'!C77:G162,5,0)</f>
        <v>0</v>
      </c>
      <c r="I191" s="2700">
        <f>+VLOOKUP(D191,VCKD!C160:M245,11,0)</f>
        <v>180641</v>
      </c>
      <c r="J191" s="2700">
        <f>+VLOOKUP(D191,VCKD!C160:S245,17,0)</f>
        <v>1243651</v>
      </c>
      <c r="K191" s="2700">
        <f t="shared" si="10"/>
        <v>1424292</v>
      </c>
      <c r="L191" s="2412"/>
      <c r="M191" s="2412"/>
      <c r="N191" s="2412"/>
      <c r="O191" s="2412"/>
      <c r="P191" s="2412"/>
      <c r="Q191" s="2412"/>
      <c r="R191" s="2700">
        <f t="shared" si="11"/>
        <v>1424292</v>
      </c>
      <c r="S191" s="2412"/>
      <c r="T191" s="3529"/>
      <c r="V191" s="2650"/>
      <c r="X191" s="2650"/>
    </row>
    <row r="192" spans="1:24" s="41" customFormat="1" ht="23.25" customHeight="1">
      <c r="A192" s="2698">
        <v>176</v>
      </c>
      <c r="B192" s="2698">
        <v>61</v>
      </c>
      <c r="C192" s="3686"/>
      <c r="D192" s="2699" t="s">
        <v>243</v>
      </c>
      <c r="E192" s="3686"/>
      <c r="F192" s="3686"/>
      <c r="G192" s="2698" t="s">
        <v>167</v>
      </c>
      <c r="H192" s="2700">
        <f>+VLOOKUP(D192,'Đội 2'!C78:G163,5,0)</f>
        <v>0</v>
      </c>
      <c r="I192" s="2700">
        <f>+VLOOKUP(D192,VCKD!C161:M246,11,0)</f>
        <v>0</v>
      </c>
      <c r="J192" s="2700">
        <f>+VLOOKUP(D192,VCKD!C161:S246,17,0)</f>
        <v>1143186</v>
      </c>
      <c r="K192" s="2700">
        <f t="shared" si="10"/>
        <v>1143186</v>
      </c>
      <c r="L192" s="2412"/>
      <c r="M192" s="2412"/>
      <c r="N192" s="2412"/>
      <c r="O192" s="2412"/>
      <c r="P192" s="2412"/>
      <c r="Q192" s="2412"/>
      <c r="R192" s="2700">
        <f t="shared" si="11"/>
        <v>1143186</v>
      </c>
      <c r="S192" s="2412"/>
      <c r="T192" s="3529"/>
      <c r="V192" s="2650"/>
      <c r="X192" s="2650"/>
    </row>
    <row r="193" spans="1:24" s="41" customFormat="1" ht="23.25" customHeight="1">
      <c r="A193" s="2698">
        <v>177</v>
      </c>
      <c r="B193" s="2698">
        <v>62</v>
      </c>
      <c r="C193" s="3686"/>
      <c r="D193" s="2699" t="s">
        <v>842</v>
      </c>
      <c r="E193" s="3686"/>
      <c r="F193" s="3686"/>
      <c r="G193" s="2698" t="s">
        <v>167</v>
      </c>
      <c r="H193" s="2700">
        <f>+VLOOKUP(D193,'Đội 2'!C79:G164,5,0)</f>
        <v>0</v>
      </c>
      <c r="I193" s="2700">
        <f>+VLOOKUP(D193,VCKD!C162:M247,11,0)</f>
        <v>0</v>
      </c>
      <c r="J193" s="2700">
        <f>+VLOOKUP(D193,VCKD!C162:S247,17,0)</f>
        <v>922058</v>
      </c>
      <c r="K193" s="2700">
        <f t="shared" si="10"/>
        <v>922058</v>
      </c>
      <c r="L193" s="2412"/>
      <c r="M193" s="2412"/>
      <c r="N193" s="2412"/>
      <c r="O193" s="2412"/>
      <c r="P193" s="2412"/>
      <c r="Q193" s="2412"/>
      <c r="R193" s="2700">
        <f t="shared" si="11"/>
        <v>922058</v>
      </c>
      <c r="S193" s="2412"/>
      <c r="T193" s="3529"/>
      <c r="V193" s="2650"/>
      <c r="X193" s="2650"/>
    </row>
    <row r="194" spans="1:24" s="41" customFormat="1" ht="23.25" customHeight="1">
      <c r="A194" s="2698">
        <v>178</v>
      </c>
      <c r="B194" s="2698">
        <v>63</v>
      </c>
      <c r="C194" s="3686"/>
      <c r="D194" s="2699" t="s">
        <v>2279</v>
      </c>
      <c r="E194" s="3686"/>
      <c r="F194" s="3686"/>
      <c r="G194" s="2698" t="s">
        <v>167</v>
      </c>
      <c r="H194" s="2700">
        <f>+VLOOKUP(D194,'Đội 2'!C80:G165,5,0)</f>
        <v>0</v>
      </c>
      <c r="I194" s="2700">
        <f>+VLOOKUP(D194,VCKD!C163:M248,11,0)</f>
        <v>0</v>
      </c>
      <c r="J194" s="2700">
        <f>+VLOOKUP(D194,VCKD!C163:S248,17,0)</f>
        <v>700930</v>
      </c>
      <c r="K194" s="2700">
        <f t="shared" si="10"/>
        <v>700930</v>
      </c>
      <c r="L194" s="2412"/>
      <c r="M194" s="2412"/>
      <c r="N194" s="2412"/>
      <c r="O194" s="2412"/>
      <c r="P194" s="2412"/>
      <c r="Q194" s="2412"/>
      <c r="R194" s="2700">
        <f t="shared" si="11"/>
        <v>700930</v>
      </c>
      <c r="S194" s="2412"/>
      <c r="T194" s="3529"/>
      <c r="V194" s="2650"/>
      <c r="X194" s="2650"/>
    </row>
    <row r="195" spans="1:24" s="41" customFormat="1" ht="23.25" customHeight="1">
      <c r="A195" s="2698">
        <v>179</v>
      </c>
      <c r="B195" s="2698">
        <v>64</v>
      </c>
      <c r="C195" s="3686"/>
      <c r="D195" s="2699" t="s">
        <v>1514</v>
      </c>
      <c r="E195" s="3686"/>
      <c r="F195" s="3686"/>
      <c r="G195" s="2698" t="s">
        <v>167</v>
      </c>
      <c r="H195" s="2700">
        <f>+VLOOKUP(D195,'Đội 2'!C81:G166,5,0)</f>
        <v>0</v>
      </c>
      <c r="I195" s="2700">
        <f>+VLOOKUP(D195,VCKD!C164:M249,11,0)</f>
        <v>26423</v>
      </c>
      <c r="J195" s="2700">
        <f>+VLOOKUP(D195,VCKD!C164:S249,17,0)</f>
        <v>922058</v>
      </c>
      <c r="K195" s="2700">
        <f t="shared" si="10"/>
        <v>948481</v>
      </c>
      <c r="L195" s="2412"/>
      <c r="M195" s="2412"/>
      <c r="N195" s="2412"/>
      <c r="O195" s="2412"/>
      <c r="P195" s="2412"/>
      <c r="Q195" s="2412"/>
      <c r="R195" s="2700">
        <f t="shared" si="11"/>
        <v>948481</v>
      </c>
      <c r="S195" s="2412"/>
      <c r="T195" s="3529"/>
      <c r="V195" s="2650"/>
      <c r="X195" s="2650"/>
    </row>
    <row r="196" spans="1:24" s="41" customFormat="1" ht="23.25" customHeight="1">
      <c r="A196" s="2698">
        <v>180</v>
      </c>
      <c r="B196" s="2698">
        <v>65</v>
      </c>
      <c r="C196" s="3686"/>
      <c r="D196" s="2699" t="s">
        <v>2280</v>
      </c>
      <c r="E196" s="3686"/>
      <c r="F196" s="3686"/>
      <c r="G196" s="2698" t="s">
        <v>167</v>
      </c>
      <c r="H196" s="2700">
        <f>+VLOOKUP(D196,'Đội 2'!C82:G167,5,0)</f>
        <v>0</v>
      </c>
      <c r="I196" s="2700">
        <f>+VLOOKUP(D196,VCKD!C165:M250,11,0)</f>
        <v>0</v>
      </c>
      <c r="J196" s="2700">
        <f>+VLOOKUP(D196,VCKD!C165:S250,17,0)</f>
        <v>1002324</v>
      </c>
      <c r="K196" s="2700">
        <f t="shared" si="10"/>
        <v>1002324</v>
      </c>
      <c r="L196" s="2412"/>
      <c r="M196" s="2412"/>
      <c r="N196" s="2412"/>
      <c r="O196" s="2412"/>
      <c r="P196" s="2412"/>
      <c r="Q196" s="2412"/>
      <c r="R196" s="2700">
        <f t="shared" si="11"/>
        <v>1002324</v>
      </c>
      <c r="S196" s="2412"/>
      <c r="T196" s="3529"/>
      <c r="V196" s="2650"/>
      <c r="X196" s="2650"/>
    </row>
    <row r="197" spans="1:24" s="41" customFormat="1" ht="23.25" customHeight="1">
      <c r="A197" s="2698">
        <v>181</v>
      </c>
      <c r="B197" s="2698">
        <v>66</v>
      </c>
      <c r="C197" s="3686"/>
      <c r="D197" s="2699" t="s">
        <v>2281</v>
      </c>
      <c r="E197" s="3686"/>
      <c r="F197" s="3686"/>
      <c r="G197" s="2698" t="s">
        <v>167</v>
      </c>
      <c r="H197" s="2700">
        <f>+VLOOKUP(D197,'Đội 2'!C83:G168,5,0)</f>
        <v>0</v>
      </c>
      <c r="I197" s="2700">
        <f>+VLOOKUP(D197,VCKD!C166:M251,11,0)</f>
        <v>23158</v>
      </c>
      <c r="J197" s="2700">
        <f>+VLOOKUP(D197,VCKD!C166:S251,17,0)</f>
        <v>972290</v>
      </c>
      <c r="K197" s="2700">
        <f t="shared" ref="K197:K217" si="12">+H197+I197+J197</f>
        <v>995448</v>
      </c>
      <c r="L197" s="2412"/>
      <c r="M197" s="2412"/>
      <c r="N197" s="2412"/>
      <c r="O197" s="2412"/>
      <c r="P197" s="2412"/>
      <c r="Q197" s="2412"/>
      <c r="R197" s="2700">
        <f t="shared" ref="R197:R217" si="13">+K197</f>
        <v>995448</v>
      </c>
      <c r="S197" s="2412"/>
      <c r="T197" s="3529"/>
      <c r="V197" s="2650"/>
      <c r="X197" s="2650"/>
    </row>
    <row r="198" spans="1:24" s="41" customFormat="1" ht="23.25" customHeight="1">
      <c r="A198" s="2698">
        <v>182</v>
      </c>
      <c r="B198" s="2698">
        <v>67</v>
      </c>
      <c r="C198" s="3686"/>
      <c r="D198" s="2699" t="s">
        <v>2282</v>
      </c>
      <c r="E198" s="3686"/>
      <c r="F198" s="3686"/>
      <c r="G198" s="2698" t="s">
        <v>167</v>
      </c>
      <c r="H198" s="2700">
        <f>+VLOOKUP(D198,'Đội 2'!C84:G169,5,0)</f>
        <v>0</v>
      </c>
      <c r="I198" s="2700">
        <f>+VLOOKUP(D198,VCKD!C167:M252,11,0)</f>
        <v>71789</v>
      </c>
      <c r="J198" s="2700">
        <f>+VLOOKUP(D198,VCKD!C167:S252,17,0)</f>
        <v>922058</v>
      </c>
      <c r="K198" s="2700">
        <f t="shared" si="12"/>
        <v>993847</v>
      </c>
      <c r="L198" s="2412"/>
      <c r="M198" s="2412"/>
      <c r="N198" s="2412"/>
      <c r="O198" s="2412"/>
      <c r="P198" s="2412"/>
      <c r="Q198" s="2412"/>
      <c r="R198" s="2700">
        <f t="shared" si="13"/>
        <v>993847</v>
      </c>
      <c r="S198" s="2412"/>
      <c r="T198" s="3529"/>
      <c r="V198" s="2650"/>
      <c r="X198" s="2650"/>
    </row>
    <row r="199" spans="1:24" s="41" customFormat="1" ht="23.25" customHeight="1">
      <c r="A199" s="2698">
        <v>183</v>
      </c>
      <c r="B199" s="2698">
        <v>68</v>
      </c>
      <c r="C199" s="3686"/>
      <c r="D199" s="2699" t="s">
        <v>2283</v>
      </c>
      <c r="E199" s="3686"/>
      <c r="F199" s="3686"/>
      <c r="G199" s="2698" t="s">
        <v>167</v>
      </c>
      <c r="H199" s="2700">
        <f>+VLOOKUP(D199,'Đội 2'!C85:G170,5,0)</f>
        <v>0</v>
      </c>
      <c r="I199" s="2700">
        <f>+VLOOKUP(D199,VCKD!C168:M253,11,0)</f>
        <v>20842</v>
      </c>
      <c r="J199" s="2700">
        <f>+VLOOKUP(D199,VCKD!C168:S253,17,0)</f>
        <v>922058</v>
      </c>
      <c r="K199" s="2700">
        <f t="shared" si="12"/>
        <v>942900</v>
      </c>
      <c r="L199" s="2412"/>
      <c r="M199" s="2412"/>
      <c r="N199" s="2412"/>
      <c r="O199" s="2412"/>
      <c r="P199" s="2412"/>
      <c r="Q199" s="2412"/>
      <c r="R199" s="2700">
        <f t="shared" si="13"/>
        <v>942900</v>
      </c>
      <c r="S199" s="2412"/>
      <c r="T199" s="3529"/>
      <c r="V199" s="2650"/>
      <c r="X199" s="2650"/>
    </row>
    <row r="200" spans="1:24" s="41" customFormat="1" ht="23.25" customHeight="1">
      <c r="A200" s="2698">
        <v>184</v>
      </c>
      <c r="B200" s="2698">
        <v>69</v>
      </c>
      <c r="C200" s="3686"/>
      <c r="D200" s="2699" t="s">
        <v>847</v>
      </c>
      <c r="E200" s="3686"/>
      <c r="F200" s="3686"/>
      <c r="G200" s="2698" t="s">
        <v>167</v>
      </c>
      <c r="H200" s="2700">
        <f>+VLOOKUP(D200,'Đội 2'!C86:G171,5,0)</f>
        <v>0</v>
      </c>
      <c r="I200" s="2700">
        <f>+VLOOKUP(D200,VCKD!C169:M254,11,0)</f>
        <v>34737</v>
      </c>
      <c r="J200" s="2700">
        <f>+VLOOKUP(D200,VCKD!C169:S254,17,0)</f>
        <v>1092953</v>
      </c>
      <c r="K200" s="2700">
        <f t="shared" si="12"/>
        <v>1127690</v>
      </c>
      <c r="L200" s="2412"/>
      <c r="M200" s="2412"/>
      <c r="N200" s="2412"/>
      <c r="O200" s="2412"/>
      <c r="P200" s="2412"/>
      <c r="Q200" s="2412"/>
      <c r="R200" s="2700">
        <f t="shared" si="13"/>
        <v>1127690</v>
      </c>
      <c r="S200" s="2412"/>
      <c r="T200" s="3529"/>
      <c r="V200" s="2650"/>
      <c r="X200" s="2650"/>
    </row>
    <row r="201" spans="1:24" s="41" customFormat="1" ht="23.25" customHeight="1">
      <c r="A201" s="2698">
        <v>185</v>
      </c>
      <c r="B201" s="2698">
        <v>70</v>
      </c>
      <c r="C201" s="3686"/>
      <c r="D201" s="2699" t="s">
        <v>288</v>
      </c>
      <c r="E201" s="3686"/>
      <c r="F201" s="3686"/>
      <c r="G201" s="2698" t="s">
        <v>167</v>
      </c>
      <c r="H201" s="2700">
        <f>+VLOOKUP(D201,'Đội 2'!C87:G172,5,0)</f>
        <v>0</v>
      </c>
      <c r="I201" s="2700">
        <f>+VLOOKUP(D201,VCKD!C170:M255,11,0)</f>
        <v>11579</v>
      </c>
      <c r="J201" s="2700">
        <f>+VLOOKUP(D201,VCKD!C170:S255,17,0)</f>
        <v>1042721</v>
      </c>
      <c r="K201" s="2700">
        <f t="shared" si="12"/>
        <v>1054300</v>
      </c>
      <c r="L201" s="2412"/>
      <c r="M201" s="2412"/>
      <c r="N201" s="2412"/>
      <c r="O201" s="2412"/>
      <c r="P201" s="2412"/>
      <c r="Q201" s="2412"/>
      <c r="R201" s="2700">
        <f t="shared" si="13"/>
        <v>1054300</v>
      </c>
      <c r="S201" s="2412"/>
      <c r="T201" s="3529"/>
      <c r="V201" s="2650"/>
      <c r="X201" s="2650"/>
    </row>
    <row r="202" spans="1:24" s="41" customFormat="1" ht="23.25" customHeight="1">
      <c r="A202" s="2698">
        <v>186</v>
      </c>
      <c r="B202" s="2698">
        <v>71</v>
      </c>
      <c r="C202" s="3686"/>
      <c r="D202" s="2699" t="s">
        <v>1206</v>
      </c>
      <c r="E202" s="3686"/>
      <c r="F202" s="3686"/>
      <c r="G202" s="2698" t="s">
        <v>167</v>
      </c>
      <c r="H202" s="2700">
        <f>+VLOOKUP(D202,'Đội 2'!C88:G173,5,0)</f>
        <v>0</v>
      </c>
      <c r="I202" s="2700">
        <f>+VLOOKUP(D202,VCKD!C171:M256,11,0)</f>
        <v>127368</v>
      </c>
      <c r="J202" s="2700">
        <f>+VLOOKUP(D202,VCKD!C171:S256,17,0)</f>
        <v>1092953</v>
      </c>
      <c r="K202" s="2700">
        <f t="shared" si="12"/>
        <v>1220321</v>
      </c>
      <c r="L202" s="2412"/>
      <c r="M202" s="2412"/>
      <c r="N202" s="2412"/>
      <c r="O202" s="2412"/>
      <c r="P202" s="2412"/>
      <c r="Q202" s="2412"/>
      <c r="R202" s="2700">
        <f t="shared" si="13"/>
        <v>1220321</v>
      </c>
      <c r="S202" s="2412"/>
      <c r="T202" s="3529"/>
      <c r="V202" s="2650"/>
      <c r="X202" s="2650"/>
    </row>
    <row r="203" spans="1:24" s="41" customFormat="1" ht="23.25" customHeight="1">
      <c r="A203" s="2698">
        <v>187</v>
      </c>
      <c r="B203" s="2698">
        <v>72</v>
      </c>
      <c r="C203" s="3686"/>
      <c r="D203" s="2699" t="s">
        <v>2284</v>
      </c>
      <c r="E203" s="3686"/>
      <c r="F203" s="3686"/>
      <c r="G203" s="2698" t="s">
        <v>167</v>
      </c>
      <c r="H203" s="2700">
        <f>+VLOOKUP(D203,'Đội 2'!C89:G174,5,0)</f>
        <v>0</v>
      </c>
      <c r="I203" s="2700">
        <f>+VLOOKUP(D203,VCKD!C172:M257,11,0)</f>
        <v>83368</v>
      </c>
      <c r="J203" s="2700">
        <f>+VLOOKUP(D203,VCKD!C172:S257,17,0)</f>
        <v>1022522</v>
      </c>
      <c r="K203" s="2700">
        <f t="shared" si="12"/>
        <v>1105890</v>
      </c>
      <c r="L203" s="2412"/>
      <c r="M203" s="2412"/>
      <c r="N203" s="2412"/>
      <c r="O203" s="2412"/>
      <c r="P203" s="2412"/>
      <c r="Q203" s="2412"/>
      <c r="R203" s="2700">
        <f t="shared" si="13"/>
        <v>1105890</v>
      </c>
      <c r="S203" s="2412"/>
      <c r="T203" s="3529"/>
      <c r="V203" s="2650"/>
      <c r="X203" s="2650"/>
    </row>
    <row r="204" spans="1:24" s="41" customFormat="1" ht="23.25" customHeight="1">
      <c r="A204" s="2698">
        <v>188</v>
      </c>
      <c r="B204" s="2698">
        <v>73</v>
      </c>
      <c r="C204" s="3686"/>
      <c r="D204" s="2699" t="s">
        <v>2285</v>
      </c>
      <c r="E204" s="3686"/>
      <c r="F204" s="3686"/>
      <c r="G204" s="2698" t="s">
        <v>167</v>
      </c>
      <c r="H204" s="2700">
        <f>+VLOOKUP(D204,'Đội 2'!C90:G175,5,0)</f>
        <v>0</v>
      </c>
      <c r="I204" s="2700">
        <f>+VLOOKUP(D204,VCKD!C173:M258,11,0)</f>
        <v>226947</v>
      </c>
      <c r="J204" s="2700">
        <f>+VLOOKUP(D204,VCKD!C173:S258,17,0)</f>
        <v>1092953</v>
      </c>
      <c r="K204" s="2700">
        <f t="shared" si="12"/>
        <v>1319900</v>
      </c>
      <c r="L204" s="2412"/>
      <c r="M204" s="2412"/>
      <c r="N204" s="2412"/>
      <c r="O204" s="2412"/>
      <c r="P204" s="2412"/>
      <c r="Q204" s="2412"/>
      <c r="R204" s="2700">
        <f t="shared" si="13"/>
        <v>1319900</v>
      </c>
      <c r="S204" s="2412"/>
      <c r="T204" s="3529"/>
      <c r="V204" s="2650"/>
      <c r="X204" s="2650"/>
    </row>
    <row r="205" spans="1:24" s="41" customFormat="1" ht="23.25" customHeight="1">
      <c r="A205" s="2698">
        <v>189</v>
      </c>
      <c r="B205" s="2698">
        <v>74</v>
      </c>
      <c r="C205" s="3686"/>
      <c r="D205" s="2699" t="s">
        <v>2286</v>
      </c>
      <c r="E205" s="3686"/>
      <c r="F205" s="3686"/>
      <c r="G205" s="2698" t="s">
        <v>167</v>
      </c>
      <c r="H205" s="2700">
        <f>+VLOOKUP(D205,'Đội 2'!C91:G176,5,0)</f>
        <v>0</v>
      </c>
      <c r="I205" s="2700">
        <f>+VLOOKUP(D205,VCKD!C174:M259,11,0)</f>
        <v>270947</v>
      </c>
      <c r="J205" s="2700">
        <f>+VLOOKUP(D205,VCKD!C174:S259,17,0)</f>
        <v>1092953</v>
      </c>
      <c r="K205" s="2700">
        <f t="shared" si="12"/>
        <v>1363900</v>
      </c>
      <c r="L205" s="2412"/>
      <c r="M205" s="2412"/>
      <c r="N205" s="2412"/>
      <c r="O205" s="2412"/>
      <c r="P205" s="2412"/>
      <c r="Q205" s="2412"/>
      <c r="R205" s="2700">
        <f t="shared" si="13"/>
        <v>1363900</v>
      </c>
      <c r="S205" s="2412"/>
      <c r="T205" s="3529"/>
      <c r="V205" s="2650"/>
      <c r="X205" s="2650"/>
    </row>
    <row r="206" spans="1:24" s="41" customFormat="1" ht="23.25" customHeight="1">
      <c r="A206" s="2698">
        <v>190</v>
      </c>
      <c r="B206" s="2698">
        <v>75</v>
      </c>
      <c r="C206" s="3686"/>
      <c r="D206" s="2699" t="s">
        <v>2287</v>
      </c>
      <c r="E206" s="3686"/>
      <c r="F206" s="3686"/>
      <c r="G206" s="2698" t="s">
        <v>167</v>
      </c>
      <c r="H206" s="2700">
        <f>+VLOOKUP(D206,'Đội 2'!C92:G177,5,0)</f>
        <v>0</v>
      </c>
      <c r="I206" s="2700">
        <f>+VLOOKUP(D206,VCKD!C175:M260,11,0)</f>
        <v>118105</v>
      </c>
      <c r="J206" s="2700">
        <f>+VLOOKUP(D206,VCKD!C175:S260,17,0)</f>
        <v>1072755.18</v>
      </c>
      <c r="K206" s="2700">
        <f t="shared" si="12"/>
        <v>1190860.18</v>
      </c>
      <c r="L206" s="2412"/>
      <c r="M206" s="2412"/>
      <c r="N206" s="2412"/>
      <c r="O206" s="2412"/>
      <c r="P206" s="2412"/>
      <c r="Q206" s="2412"/>
      <c r="R206" s="2700">
        <f t="shared" si="13"/>
        <v>1190860.18</v>
      </c>
      <c r="S206" s="2412"/>
      <c r="T206" s="3529"/>
      <c r="V206" s="2650"/>
      <c r="X206" s="2650"/>
    </row>
    <row r="207" spans="1:24" s="41" customFormat="1" ht="23.25" customHeight="1">
      <c r="A207" s="2698">
        <v>191</v>
      </c>
      <c r="B207" s="2698">
        <v>76</v>
      </c>
      <c r="C207" s="3686"/>
      <c r="D207" s="2699" t="s">
        <v>1207</v>
      </c>
      <c r="E207" s="3686"/>
      <c r="F207" s="3686"/>
      <c r="G207" s="2698" t="s">
        <v>167</v>
      </c>
      <c r="H207" s="2700">
        <f>+VLOOKUP(D207,'Đội 2'!C93:G178,5,0)</f>
        <v>0</v>
      </c>
      <c r="I207" s="2700">
        <f>+VLOOKUP(D207,VCKD!C176:M261,11,0)</f>
        <v>4632</v>
      </c>
      <c r="J207" s="2700">
        <f>+VLOOKUP(D207,VCKD!C176:S261,17,0)</f>
        <v>972290.06</v>
      </c>
      <c r="K207" s="2700">
        <f t="shared" si="12"/>
        <v>976922.06</v>
      </c>
      <c r="L207" s="2412"/>
      <c r="M207" s="2412"/>
      <c r="N207" s="2412"/>
      <c r="O207" s="2412"/>
      <c r="P207" s="2412"/>
      <c r="Q207" s="2412"/>
      <c r="R207" s="2700">
        <f t="shared" si="13"/>
        <v>976922.06</v>
      </c>
      <c r="S207" s="2412"/>
      <c r="T207" s="3529"/>
      <c r="V207" s="2650"/>
      <c r="X207" s="2650"/>
    </row>
    <row r="208" spans="1:24" s="41" customFormat="1" ht="23.25" customHeight="1">
      <c r="A208" s="2698">
        <v>192</v>
      </c>
      <c r="B208" s="2698">
        <v>77</v>
      </c>
      <c r="C208" s="3686"/>
      <c r="D208" s="2699" t="s">
        <v>2288</v>
      </c>
      <c r="E208" s="3686"/>
      <c r="F208" s="3686"/>
      <c r="G208" s="2698" t="s">
        <v>167</v>
      </c>
      <c r="H208" s="2700">
        <f>+VLOOKUP(D208,'Đội 2'!C94:G179,5,0)</f>
        <v>0</v>
      </c>
      <c r="I208" s="2700">
        <f>+VLOOKUP(D208,VCKD!C177:M262,11,0)</f>
        <v>39634</v>
      </c>
      <c r="J208" s="2700">
        <f>+VLOOKUP(D208,VCKD!C177:S262,17,0)</f>
        <v>871825.3</v>
      </c>
      <c r="K208" s="2700">
        <f t="shared" si="12"/>
        <v>911459.3</v>
      </c>
      <c r="L208" s="2412"/>
      <c r="M208" s="2412"/>
      <c r="N208" s="2412"/>
      <c r="O208" s="2412"/>
      <c r="P208" s="2412"/>
      <c r="Q208" s="2412"/>
      <c r="R208" s="2700">
        <f t="shared" si="13"/>
        <v>911459.3</v>
      </c>
      <c r="S208" s="2412"/>
      <c r="T208" s="3529"/>
      <c r="V208" s="2650"/>
      <c r="X208" s="2650"/>
    </row>
    <row r="209" spans="1:24" s="41" customFormat="1" ht="23.25" customHeight="1">
      <c r="A209" s="2698">
        <v>193</v>
      </c>
      <c r="B209" s="2698">
        <v>78</v>
      </c>
      <c r="C209" s="3686"/>
      <c r="D209" s="2699" t="s">
        <v>1511</v>
      </c>
      <c r="E209" s="3686"/>
      <c r="F209" s="3686"/>
      <c r="G209" s="2698" t="s">
        <v>167</v>
      </c>
      <c r="H209" s="2700">
        <f>+VLOOKUP(D209,'Đội 2'!C95:G180,5,0)</f>
        <v>0</v>
      </c>
      <c r="I209" s="2700">
        <f>+VLOOKUP(D209,VCKD!C178:M263,11,0)</f>
        <v>231579</v>
      </c>
      <c r="J209" s="2700">
        <f>+VLOOKUP(D209,VCKD!C178:S263,17,0)</f>
        <v>1072754.82</v>
      </c>
      <c r="K209" s="2700">
        <f t="shared" si="12"/>
        <v>1304333.82</v>
      </c>
      <c r="L209" s="2412"/>
      <c r="M209" s="2412"/>
      <c r="N209" s="2412"/>
      <c r="O209" s="2412"/>
      <c r="P209" s="2412"/>
      <c r="Q209" s="2412"/>
      <c r="R209" s="2700">
        <f t="shared" si="13"/>
        <v>1304333.82</v>
      </c>
      <c r="S209" s="2412"/>
      <c r="T209" s="3529"/>
      <c r="V209" s="2650"/>
      <c r="X209" s="2650"/>
    </row>
    <row r="210" spans="1:24" s="41" customFormat="1" ht="23.25" customHeight="1">
      <c r="A210" s="2698">
        <v>194</v>
      </c>
      <c r="B210" s="2698">
        <v>79</v>
      </c>
      <c r="C210" s="3686"/>
      <c r="D210" s="2699" t="s">
        <v>1513</v>
      </c>
      <c r="E210" s="3686"/>
      <c r="F210" s="3686"/>
      <c r="G210" s="2698" t="s">
        <v>167</v>
      </c>
      <c r="H210" s="2700">
        <f>+VLOOKUP(D210,'Đội 2'!C96:G181,5,0)</f>
        <v>0</v>
      </c>
      <c r="I210" s="2700">
        <f>+VLOOKUP(D210,VCKD!C179:M264,11,0)</f>
        <v>148210</v>
      </c>
      <c r="J210" s="2700">
        <f>+VLOOKUP(D210,VCKD!C179:S264,17,0)</f>
        <v>1042721.08</v>
      </c>
      <c r="K210" s="2700">
        <f t="shared" si="12"/>
        <v>1190931.08</v>
      </c>
      <c r="L210" s="2412"/>
      <c r="M210" s="2412"/>
      <c r="N210" s="2412"/>
      <c r="O210" s="2412"/>
      <c r="P210" s="2412"/>
      <c r="Q210" s="2412"/>
      <c r="R210" s="2700">
        <f t="shared" si="13"/>
        <v>1190931.08</v>
      </c>
      <c r="S210" s="2412"/>
      <c r="T210" s="3529"/>
      <c r="V210" s="2650"/>
      <c r="X210" s="2650"/>
    </row>
    <row r="211" spans="1:24" s="41" customFormat="1" ht="23.25" customHeight="1">
      <c r="A211" s="2698">
        <v>195</v>
      </c>
      <c r="B211" s="2698">
        <v>80</v>
      </c>
      <c r="C211" s="3686"/>
      <c r="D211" s="2699" t="s">
        <v>1268</v>
      </c>
      <c r="E211" s="3686"/>
      <c r="F211" s="3686"/>
      <c r="G211" s="2698" t="s">
        <v>167</v>
      </c>
      <c r="H211" s="2700">
        <f>+VLOOKUP(D211,'Đội 2'!C97:G182,5,0)</f>
        <v>0</v>
      </c>
      <c r="I211" s="2700">
        <f>+VLOOKUP(D211,VCKD!C180:M265,11,0)</f>
        <v>0</v>
      </c>
      <c r="J211" s="2700">
        <f>+VLOOKUP(D211,VCKD!C180:S265,17,0)</f>
        <v>1002323.8</v>
      </c>
      <c r="K211" s="2700">
        <f t="shared" si="12"/>
        <v>1002323.8</v>
      </c>
      <c r="L211" s="2412"/>
      <c r="M211" s="2412"/>
      <c r="N211" s="2412"/>
      <c r="O211" s="2412"/>
      <c r="P211" s="2412"/>
      <c r="Q211" s="2412"/>
      <c r="R211" s="2700">
        <f t="shared" si="13"/>
        <v>1002323.8</v>
      </c>
      <c r="S211" s="2412"/>
      <c r="T211" s="3529"/>
      <c r="V211" s="2650"/>
      <c r="X211" s="2650"/>
    </row>
    <row r="212" spans="1:24" s="41" customFormat="1" ht="23.25" customHeight="1">
      <c r="A212" s="2698">
        <v>196</v>
      </c>
      <c r="B212" s="2698">
        <v>81</v>
      </c>
      <c r="C212" s="3686"/>
      <c r="D212" s="2699" t="s">
        <v>2289</v>
      </c>
      <c r="E212" s="3686"/>
      <c r="F212" s="3686"/>
      <c r="G212" s="2698" t="s">
        <v>167</v>
      </c>
      <c r="H212" s="2700">
        <f>+VLOOKUP(D212,'Đội 2'!C98:G183,5,0)</f>
        <v>0</v>
      </c>
      <c r="I212" s="2700">
        <f>+VLOOKUP(D212,VCKD!C181:M266,11,0)</f>
        <v>78737</v>
      </c>
      <c r="J212" s="2700">
        <f>+VLOOKUP(D212,VCKD!C181:S266,17,0)</f>
        <v>1092953.46</v>
      </c>
      <c r="K212" s="2700">
        <f t="shared" si="12"/>
        <v>1171690.46</v>
      </c>
      <c r="L212" s="2412"/>
      <c r="M212" s="2412"/>
      <c r="N212" s="2412"/>
      <c r="O212" s="2412"/>
      <c r="P212" s="2412"/>
      <c r="Q212" s="2412"/>
      <c r="R212" s="2700">
        <f t="shared" si="13"/>
        <v>1171690.46</v>
      </c>
      <c r="S212" s="2412"/>
      <c r="T212" s="3529"/>
      <c r="V212" s="2650"/>
      <c r="X212" s="2650"/>
    </row>
    <row r="213" spans="1:24" s="41" customFormat="1" ht="23.25" customHeight="1">
      <c r="A213" s="2698">
        <v>197</v>
      </c>
      <c r="B213" s="2698">
        <v>82</v>
      </c>
      <c r="C213" s="3686"/>
      <c r="D213" s="2699" t="s">
        <v>2290</v>
      </c>
      <c r="E213" s="3686"/>
      <c r="F213" s="3686"/>
      <c r="G213" s="2698" t="s">
        <v>167</v>
      </c>
      <c r="H213" s="2700">
        <f>+VLOOKUP(D213,'Đội 2'!C99:G184,5,0)</f>
        <v>0</v>
      </c>
      <c r="I213" s="2700">
        <f>+VLOOKUP(D213,VCKD!C182:M267,11,0)</f>
        <v>0</v>
      </c>
      <c r="J213" s="2700">
        <f>+VLOOKUP(D213,VCKD!C182:S267,17,0)</f>
        <v>922057.68</v>
      </c>
      <c r="K213" s="2700">
        <f t="shared" si="12"/>
        <v>922057.68</v>
      </c>
      <c r="L213" s="2412"/>
      <c r="M213" s="2412"/>
      <c r="N213" s="2412"/>
      <c r="O213" s="2412"/>
      <c r="P213" s="2412"/>
      <c r="Q213" s="2412"/>
      <c r="R213" s="2700">
        <f t="shared" si="13"/>
        <v>922057.68</v>
      </c>
      <c r="S213" s="2412"/>
      <c r="T213" s="3529"/>
      <c r="V213" s="2650"/>
      <c r="X213" s="2650"/>
    </row>
    <row r="214" spans="1:24" s="41" customFormat="1" ht="23.25" customHeight="1">
      <c r="A214" s="2698">
        <v>198</v>
      </c>
      <c r="B214" s="2698">
        <v>83</v>
      </c>
      <c r="C214" s="3686"/>
      <c r="D214" s="2699" t="s">
        <v>2291</v>
      </c>
      <c r="E214" s="3686"/>
      <c r="F214" s="3686"/>
      <c r="G214" s="2698" t="s">
        <v>167</v>
      </c>
      <c r="H214" s="2700">
        <f>+VLOOKUP(D214,'Đội 2'!C100:G185,5,0)</f>
        <v>0</v>
      </c>
      <c r="I214" s="2700">
        <f>+VLOOKUP(D214,VCKD!C183:M268,11,0)</f>
        <v>254737</v>
      </c>
      <c r="J214" s="2700">
        <f>+VLOOKUP(D214,VCKD!C183:S268,17,0)</f>
        <v>1072754.82</v>
      </c>
      <c r="K214" s="2700">
        <f t="shared" si="12"/>
        <v>1327491.82</v>
      </c>
      <c r="L214" s="2412"/>
      <c r="M214" s="2412"/>
      <c r="N214" s="2412"/>
      <c r="O214" s="2412"/>
      <c r="P214" s="2412"/>
      <c r="Q214" s="2412"/>
      <c r="R214" s="2700">
        <f t="shared" si="13"/>
        <v>1327491.82</v>
      </c>
      <c r="S214" s="2412"/>
      <c r="T214" s="3529"/>
      <c r="V214" s="2650"/>
      <c r="X214" s="2650"/>
    </row>
    <row r="215" spans="1:24" s="41" customFormat="1" ht="23.25" customHeight="1">
      <c r="A215" s="2698">
        <v>199</v>
      </c>
      <c r="B215" s="2698">
        <v>84</v>
      </c>
      <c r="C215" s="3686"/>
      <c r="D215" s="2699" t="s">
        <v>2292</v>
      </c>
      <c r="E215" s="3686"/>
      <c r="F215" s="3686"/>
      <c r="G215" s="2698" t="s">
        <v>167</v>
      </c>
      <c r="H215" s="2700">
        <f>+VLOOKUP(D215,'Đội 2'!C101:G186,5,0)</f>
        <v>0</v>
      </c>
      <c r="I215" s="2700">
        <f>+VLOOKUP(D215,VCKD!C184:M269,11,0)</f>
        <v>20842</v>
      </c>
      <c r="J215" s="2700">
        <f>+VLOOKUP(D215,VCKD!C184:S269,17,0)</f>
        <v>1092953.46</v>
      </c>
      <c r="K215" s="2700">
        <f t="shared" si="12"/>
        <v>1113795.46</v>
      </c>
      <c r="L215" s="2412"/>
      <c r="M215" s="2412"/>
      <c r="N215" s="2412"/>
      <c r="O215" s="2412"/>
      <c r="P215" s="2412"/>
      <c r="Q215" s="2412"/>
      <c r="R215" s="2700">
        <f t="shared" si="13"/>
        <v>1113795.46</v>
      </c>
      <c r="S215" s="2412"/>
      <c r="T215" s="3529"/>
      <c r="V215" s="2650"/>
      <c r="X215" s="2650"/>
    </row>
    <row r="216" spans="1:24" s="41" customFormat="1" ht="23.25" customHeight="1">
      <c r="A216" s="2698">
        <v>200</v>
      </c>
      <c r="B216" s="2698">
        <v>85</v>
      </c>
      <c r="C216" s="3686"/>
      <c r="D216" s="2699" t="s">
        <v>2293</v>
      </c>
      <c r="E216" s="3686"/>
      <c r="F216" s="3686"/>
      <c r="G216" s="2698" t="s">
        <v>167</v>
      </c>
      <c r="H216" s="2700">
        <f>+VLOOKUP(D216,'Đội 2'!C102:G187,5,0)</f>
        <v>0</v>
      </c>
      <c r="I216" s="2700">
        <f>+VLOOKUP(D216,VCKD!C185:M270,11,0)</f>
        <v>213052</v>
      </c>
      <c r="J216" s="2700">
        <f>+VLOOKUP(D216,VCKD!C185:S270,17,0)</f>
        <v>1143185.8400000001</v>
      </c>
      <c r="K216" s="2700">
        <f t="shared" si="12"/>
        <v>1356237.84</v>
      </c>
      <c r="L216" s="2412"/>
      <c r="M216" s="2412"/>
      <c r="N216" s="2412"/>
      <c r="O216" s="2412"/>
      <c r="P216" s="2412"/>
      <c r="Q216" s="2412"/>
      <c r="R216" s="2700">
        <f t="shared" si="13"/>
        <v>1356237.84</v>
      </c>
      <c r="S216" s="2412"/>
      <c r="T216" s="3529"/>
      <c r="V216" s="2650"/>
      <c r="X216" s="2650"/>
    </row>
    <row r="217" spans="1:24" s="41" customFormat="1" ht="23.25" customHeight="1">
      <c r="A217" s="2698">
        <v>201</v>
      </c>
      <c r="B217" s="2698">
        <v>86</v>
      </c>
      <c r="C217" s="3686"/>
      <c r="D217" s="2699" t="s">
        <v>1253</v>
      </c>
      <c r="E217" s="3686"/>
      <c r="F217" s="3686"/>
      <c r="G217" s="2698" t="s">
        <v>167</v>
      </c>
      <c r="H217" s="2700">
        <f>+VLOOKUP(D217,'Đội 2'!C103:G188,5,0)</f>
        <v>0</v>
      </c>
      <c r="I217" s="2700">
        <f>+VLOOKUP(D217,VCKD!C186:M271,11,0)</f>
        <v>0</v>
      </c>
      <c r="J217" s="2700">
        <f>+VLOOKUP(D217,VCKD!C186:S271,17,0)</f>
        <v>1002323.8</v>
      </c>
      <c r="K217" s="2700">
        <f t="shared" si="12"/>
        <v>1002323.8</v>
      </c>
      <c r="L217" s="2412"/>
      <c r="M217" s="2412"/>
      <c r="N217" s="2412"/>
      <c r="O217" s="2412"/>
      <c r="P217" s="2412"/>
      <c r="Q217" s="2412"/>
      <c r="R217" s="2700">
        <f t="shared" si="13"/>
        <v>1002323.8</v>
      </c>
      <c r="S217" s="2412"/>
      <c r="T217" s="3529"/>
      <c r="V217" s="2650"/>
      <c r="X217" s="2650"/>
    </row>
    <row r="218" spans="1:24" s="41" customFormat="1" ht="23.25" customHeight="1">
      <c r="A218" s="2698"/>
      <c r="B218" s="2698"/>
      <c r="C218" s="3686"/>
      <c r="D218" s="3686" t="s">
        <v>1372</v>
      </c>
      <c r="E218" s="3686"/>
      <c r="F218" s="3686"/>
      <c r="G218" s="3686"/>
      <c r="H218" s="2412">
        <f>+SUBTOTAL(9,H219:H249)</f>
        <v>0</v>
      </c>
      <c r="I218" s="2412">
        <f t="shared" ref="I218:R218" si="14">+SUBTOTAL(9,I219:I249)</f>
        <v>7803442</v>
      </c>
      <c r="J218" s="2412">
        <f t="shared" si="14"/>
        <v>32204957</v>
      </c>
      <c r="K218" s="2412">
        <f t="shared" si="14"/>
        <v>40008399</v>
      </c>
      <c r="L218" s="2412">
        <f t="shared" si="14"/>
        <v>0</v>
      </c>
      <c r="M218" s="2412">
        <f t="shared" si="14"/>
        <v>0</v>
      </c>
      <c r="N218" s="2412">
        <f t="shared" si="14"/>
        <v>0</v>
      </c>
      <c r="O218" s="2412">
        <f t="shared" si="14"/>
        <v>0</v>
      </c>
      <c r="P218" s="2412">
        <f t="shared" si="14"/>
        <v>0</v>
      </c>
      <c r="Q218" s="2412">
        <f t="shared" si="14"/>
        <v>0</v>
      </c>
      <c r="R218" s="2412">
        <f t="shared" si="14"/>
        <v>40008399</v>
      </c>
      <c r="S218" s="2412"/>
      <c r="T218" s="3529"/>
      <c r="V218" s="2650"/>
      <c r="X218" s="2650"/>
    </row>
    <row r="219" spans="1:24" s="41" customFormat="1" ht="23.25" customHeight="1">
      <c r="A219" s="2698">
        <v>202</v>
      </c>
      <c r="B219" s="2698">
        <v>1</v>
      </c>
      <c r="C219" s="3686"/>
      <c r="D219" s="2699" t="s">
        <v>1216</v>
      </c>
      <c r="E219" s="3686"/>
      <c r="F219" s="3686"/>
      <c r="G219" s="2698" t="s">
        <v>167</v>
      </c>
      <c r="H219" s="2700">
        <f>+VLOOKUP(D219,VCKD!C188:H218,6,0)</f>
        <v>0</v>
      </c>
      <c r="I219" s="2700">
        <f>+VLOOKUP(D219,VCKD!C188:M218,11,0)</f>
        <v>60210</v>
      </c>
      <c r="J219" s="2700">
        <f>+VLOOKUP(D219,VCKD!C188:S217,17,0)</f>
        <v>801394</v>
      </c>
      <c r="K219" s="2700">
        <f>+H219+I219+J219</f>
        <v>861604</v>
      </c>
      <c r="L219" s="2412"/>
      <c r="M219" s="2412"/>
      <c r="N219" s="2412"/>
      <c r="O219" s="2412"/>
      <c r="P219" s="2412"/>
      <c r="Q219" s="2412"/>
      <c r="R219" s="2700">
        <f>+K219</f>
        <v>861604</v>
      </c>
      <c r="S219" s="2412"/>
      <c r="T219" s="3529"/>
      <c r="V219" s="2650"/>
      <c r="X219" s="2650"/>
    </row>
    <row r="220" spans="1:24" s="41" customFormat="1" ht="23.25" customHeight="1">
      <c r="A220" s="2698">
        <v>203</v>
      </c>
      <c r="B220" s="2698">
        <v>2</v>
      </c>
      <c r="C220" s="3686"/>
      <c r="D220" s="2699" t="s">
        <v>351</v>
      </c>
      <c r="E220" s="3686"/>
      <c r="F220" s="3686"/>
      <c r="G220" s="2698" t="s">
        <v>167</v>
      </c>
      <c r="H220" s="2700">
        <f>+VLOOKUP(D220,VCKD!C189:H219,6,0)</f>
        <v>0</v>
      </c>
      <c r="I220" s="2700">
        <f>+VLOOKUP(D220,VCKD!C189:M219,11,0)</f>
        <v>66057</v>
      </c>
      <c r="J220" s="2700">
        <f>+VLOOKUP(D220,VCKD!C189:S218,17,0)</f>
        <v>1193418</v>
      </c>
      <c r="K220" s="2700">
        <f t="shared" ref="K220:K249" si="15">+H220+I220+J220</f>
        <v>1259475</v>
      </c>
      <c r="L220" s="2412"/>
      <c r="M220" s="2412"/>
      <c r="N220" s="2412"/>
      <c r="O220" s="2412"/>
      <c r="P220" s="2412"/>
      <c r="Q220" s="2412"/>
      <c r="R220" s="2700">
        <f t="shared" ref="R220:R249" si="16">+K220</f>
        <v>1259475</v>
      </c>
      <c r="S220" s="2412"/>
      <c r="T220" s="3529"/>
      <c r="V220" s="2650"/>
      <c r="X220" s="2650"/>
    </row>
    <row r="221" spans="1:24" s="41" customFormat="1" ht="23.25" customHeight="1">
      <c r="A221" s="2698">
        <v>204</v>
      </c>
      <c r="B221" s="2698">
        <v>3</v>
      </c>
      <c r="C221" s="3686"/>
      <c r="D221" s="2699" t="s">
        <v>334</v>
      </c>
      <c r="E221" s="3686"/>
      <c r="F221" s="3686"/>
      <c r="G221" s="2698" t="s">
        <v>167</v>
      </c>
      <c r="H221" s="2700">
        <f>+VLOOKUP(D221,VCKD!C190:H220,6,0)</f>
        <v>0</v>
      </c>
      <c r="I221" s="2700">
        <f>+VLOOKUP(D221,VCKD!C190:M220,11,0)</f>
        <v>555789</v>
      </c>
      <c r="J221" s="2700">
        <f>+VLOOKUP(D221,VCKD!C190:S219,17,0)</f>
        <v>1494813</v>
      </c>
      <c r="K221" s="2700">
        <f t="shared" si="15"/>
        <v>2050602</v>
      </c>
      <c r="L221" s="2412"/>
      <c r="M221" s="2412"/>
      <c r="N221" s="2412"/>
      <c r="O221" s="2412"/>
      <c r="P221" s="2412"/>
      <c r="Q221" s="2412"/>
      <c r="R221" s="2700">
        <f t="shared" si="16"/>
        <v>2050602</v>
      </c>
      <c r="S221" s="2412"/>
      <c r="T221" s="3529"/>
      <c r="V221" s="2650"/>
      <c r="X221" s="2650"/>
    </row>
    <row r="222" spans="1:24" s="41" customFormat="1" ht="23.25" customHeight="1">
      <c r="A222" s="2698">
        <v>205</v>
      </c>
      <c r="B222" s="2698">
        <v>4</v>
      </c>
      <c r="C222" s="3686"/>
      <c r="D222" s="2699" t="s">
        <v>1218</v>
      </c>
      <c r="E222" s="3686"/>
      <c r="F222" s="3686"/>
      <c r="G222" s="2698" t="s">
        <v>167</v>
      </c>
      <c r="H222" s="2700">
        <f>+VLOOKUP(D222,VCKD!C191:H221,6,0)</f>
        <v>0</v>
      </c>
      <c r="I222" s="2700">
        <f>+VLOOKUP(D222,VCKD!C191:M221,11,0)</f>
        <v>324210</v>
      </c>
      <c r="J222" s="2700">
        <f>+VLOOKUP(D222,VCKD!C191:S220,17,0)</f>
        <v>1394348</v>
      </c>
      <c r="K222" s="2700">
        <f t="shared" si="15"/>
        <v>1718558</v>
      </c>
      <c r="L222" s="2412"/>
      <c r="M222" s="2412"/>
      <c r="N222" s="2412"/>
      <c r="O222" s="2412"/>
      <c r="P222" s="2412"/>
      <c r="Q222" s="2412"/>
      <c r="R222" s="2700">
        <f t="shared" si="16"/>
        <v>1718558</v>
      </c>
      <c r="S222" s="2412"/>
      <c r="T222" s="3529"/>
      <c r="V222" s="2650"/>
      <c r="X222" s="2650"/>
    </row>
    <row r="223" spans="1:24" s="41" customFormat="1" ht="23.25" customHeight="1">
      <c r="A223" s="2698">
        <v>206</v>
      </c>
      <c r="B223" s="2698">
        <v>5</v>
      </c>
      <c r="C223" s="3686"/>
      <c r="D223" s="2699" t="s">
        <v>1517</v>
      </c>
      <c r="E223" s="3686"/>
      <c r="F223" s="3686"/>
      <c r="G223" s="2698" t="s">
        <v>167</v>
      </c>
      <c r="H223" s="2700">
        <f>+VLOOKUP(D223,VCKD!C192:H222,6,0)</f>
        <v>0</v>
      </c>
      <c r="I223" s="2700">
        <f>+VLOOKUP(D223,VCKD!C192:M222,11,0)</f>
        <v>17615</v>
      </c>
      <c r="J223" s="2700">
        <f>+VLOOKUP(D223,VCKD!C192:S221,17,0)</f>
        <v>871825</v>
      </c>
      <c r="K223" s="2700">
        <f t="shared" si="15"/>
        <v>889440</v>
      </c>
      <c r="L223" s="2412"/>
      <c r="M223" s="2412"/>
      <c r="N223" s="2412"/>
      <c r="O223" s="2412"/>
      <c r="P223" s="2412"/>
      <c r="Q223" s="2412"/>
      <c r="R223" s="2700">
        <f t="shared" si="16"/>
        <v>889440</v>
      </c>
      <c r="S223" s="2412"/>
      <c r="T223" s="3529"/>
      <c r="V223" s="2650"/>
      <c r="X223" s="2650"/>
    </row>
    <row r="224" spans="1:24" s="41" customFormat="1" ht="23.25" customHeight="1">
      <c r="A224" s="2698">
        <v>207</v>
      </c>
      <c r="B224" s="2698">
        <v>6</v>
      </c>
      <c r="C224" s="3686"/>
      <c r="D224" s="2699" t="s">
        <v>1217</v>
      </c>
      <c r="E224" s="3686"/>
      <c r="F224" s="3686"/>
      <c r="G224" s="2698" t="s">
        <v>167</v>
      </c>
      <c r="H224" s="2700">
        <f>+VLOOKUP(D224,VCKD!C193:H223,6,0)</f>
        <v>0</v>
      </c>
      <c r="I224" s="2700">
        <f>+VLOOKUP(D224,VCKD!C193:M223,11,0)</f>
        <v>20842</v>
      </c>
      <c r="J224" s="2700">
        <f>+VLOOKUP(D224,VCKD!C193:S222,17,0)</f>
        <v>992489</v>
      </c>
      <c r="K224" s="2700">
        <f t="shared" si="15"/>
        <v>1013331</v>
      </c>
      <c r="L224" s="2412"/>
      <c r="M224" s="2412"/>
      <c r="N224" s="2412"/>
      <c r="O224" s="2412"/>
      <c r="P224" s="2412"/>
      <c r="Q224" s="2412"/>
      <c r="R224" s="2700">
        <f t="shared" si="16"/>
        <v>1013331</v>
      </c>
      <c r="S224" s="2412"/>
      <c r="T224" s="3529"/>
      <c r="V224" s="2650"/>
      <c r="X224" s="2650"/>
    </row>
    <row r="225" spans="1:24" s="41" customFormat="1" ht="23.25" customHeight="1">
      <c r="A225" s="2698">
        <v>208</v>
      </c>
      <c r="B225" s="2698">
        <v>7</v>
      </c>
      <c r="C225" s="3686"/>
      <c r="D225" s="2699" t="s">
        <v>1545</v>
      </c>
      <c r="E225" s="3686"/>
      <c r="F225" s="3686"/>
      <c r="G225" s="2698" t="s">
        <v>167</v>
      </c>
      <c r="H225" s="2700">
        <f>+VLOOKUP(D225,VCKD!C194:H224,6,0)</f>
        <v>0</v>
      </c>
      <c r="I225" s="2700">
        <f>+VLOOKUP(D225,VCKD!C194:M224,11,0)</f>
        <v>19817</v>
      </c>
      <c r="J225" s="2700">
        <f>+VLOOKUP(D225,VCKD!C194:S223,17,0)</f>
        <v>871825</v>
      </c>
      <c r="K225" s="2700">
        <f t="shared" si="15"/>
        <v>891642</v>
      </c>
      <c r="L225" s="2412"/>
      <c r="M225" s="2412"/>
      <c r="N225" s="2412"/>
      <c r="O225" s="2412"/>
      <c r="P225" s="2412"/>
      <c r="Q225" s="2412"/>
      <c r="R225" s="2700">
        <f t="shared" si="16"/>
        <v>891642</v>
      </c>
      <c r="S225" s="2412"/>
      <c r="T225" s="3529"/>
      <c r="V225" s="2650"/>
      <c r="X225" s="2650"/>
    </row>
    <row r="226" spans="1:24" s="41" customFormat="1" ht="23.25" customHeight="1">
      <c r="A226" s="2698">
        <v>209</v>
      </c>
      <c r="B226" s="2698">
        <v>8</v>
      </c>
      <c r="C226" s="3686"/>
      <c r="D226" s="2699" t="s">
        <v>152</v>
      </c>
      <c r="E226" s="3686"/>
      <c r="F226" s="3686"/>
      <c r="G226" s="2698" t="s">
        <v>167</v>
      </c>
      <c r="H226" s="2700">
        <f>+VLOOKUP(D226,VCKD!C195:H225,6,0)</f>
        <v>0</v>
      </c>
      <c r="I226" s="2700">
        <f>+VLOOKUP(D226,VCKD!C195:M225,11,0)</f>
        <v>79268</v>
      </c>
      <c r="J226" s="2700">
        <f>+VLOOKUP(D226,VCKD!C195:S224,17,0)</f>
        <v>721128</v>
      </c>
      <c r="K226" s="2700">
        <f t="shared" si="15"/>
        <v>800396</v>
      </c>
      <c r="L226" s="2412"/>
      <c r="M226" s="2412"/>
      <c r="N226" s="2412"/>
      <c r="O226" s="2412"/>
      <c r="P226" s="2412"/>
      <c r="Q226" s="2412"/>
      <c r="R226" s="2700">
        <f t="shared" si="16"/>
        <v>800396</v>
      </c>
      <c r="S226" s="2412"/>
      <c r="T226" s="3529"/>
      <c r="V226" s="2650"/>
      <c r="X226" s="2650"/>
    </row>
    <row r="227" spans="1:24" s="41" customFormat="1" ht="23.25" customHeight="1">
      <c r="A227" s="2698">
        <v>210</v>
      </c>
      <c r="B227" s="2698">
        <v>9</v>
      </c>
      <c r="C227" s="3686"/>
      <c r="D227" s="2699" t="s">
        <v>571</v>
      </c>
      <c r="E227" s="3686"/>
      <c r="F227" s="3686"/>
      <c r="G227" s="2698" t="s">
        <v>167</v>
      </c>
      <c r="H227" s="2700">
        <f>+VLOOKUP(D227,VCKD!C196:H226,6,0)</f>
        <v>0</v>
      </c>
      <c r="I227" s="2700">
        <f>+VLOOKUP(D227,VCKD!C196:M226,11,0)</f>
        <v>252421</v>
      </c>
      <c r="J227" s="2700">
        <f>+VLOOKUP(D227,VCKD!C196:S225,17,0)</f>
        <v>992489</v>
      </c>
      <c r="K227" s="2700">
        <f t="shared" si="15"/>
        <v>1244910</v>
      </c>
      <c r="L227" s="2412"/>
      <c r="M227" s="2412"/>
      <c r="N227" s="2412"/>
      <c r="O227" s="2412"/>
      <c r="P227" s="2412"/>
      <c r="Q227" s="2412"/>
      <c r="R227" s="2700">
        <f t="shared" si="16"/>
        <v>1244910</v>
      </c>
      <c r="S227" s="2412"/>
      <c r="T227" s="3529"/>
      <c r="V227" s="2650"/>
      <c r="X227" s="2650"/>
    </row>
    <row r="228" spans="1:24" s="41" customFormat="1" ht="23.25" customHeight="1">
      <c r="A228" s="2698">
        <v>211</v>
      </c>
      <c r="B228" s="2698">
        <v>10</v>
      </c>
      <c r="C228" s="3686"/>
      <c r="D228" s="2699" t="s">
        <v>1219</v>
      </c>
      <c r="E228" s="3686"/>
      <c r="F228" s="3686"/>
      <c r="G228" s="2698" t="s">
        <v>167</v>
      </c>
      <c r="H228" s="2700">
        <f>+VLOOKUP(D228,VCKD!C197:H227,6,0)</f>
        <v>0</v>
      </c>
      <c r="I228" s="2700">
        <f>+VLOOKUP(D228,VCKD!C197:M227,11,0)</f>
        <v>145895</v>
      </c>
      <c r="J228" s="2700">
        <f>+VLOOKUP(D228,VCKD!C197:S226,17,0)</f>
        <v>1243651</v>
      </c>
      <c r="K228" s="2700">
        <f t="shared" si="15"/>
        <v>1389546</v>
      </c>
      <c r="L228" s="2412"/>
      <c r="M228" s="2412"/>
      <c r="N228" s="2412"/>
      <c r="O228" s="2412"/>
      <c r="P228" s="2412"/>
      <c r="Q228" s="2412"/>
      <c r="R228" s="2700">
        <f t="shared" si="16"/>
        <v>1389546</v>
      </c>
      <c r="S228" s="2412"/>
      <c r="T228" s="3529"/>
      <c r="V228" s="2650"/>
      <c r="X228" s="2650"/>
    </row>
    <row r="229" spans="1:24" s="41" customFormat="1" ht="23.25" customHeight="1">
      <c r="A229" s="2698">
        <v>212</v>
      </c>
      <c r="B229" s="2698">
        <v>11</v>
      </c>
      <c r="C229" s="3686"/>
      <c r="D229" s="2699" t="s">
        <v>853</v>
      </c>
      <c r="E229" s="3686"/>
      <c r="F229" s="3686"/>
      <c r="G229" s="2698" t="s">
        <v>167</v>
      </c>
      <c r="H229" s="2700">
        <f>+VLOOKUP(D229,VCKD!C198:H228,6,0)</f>
        <v>0</v>
      </c>
      <c r="I229" s="2700">
        <f>+VLOOKUP(D229,VCKD!C198:M228,11,0)</f>
        <v>72663</v>
      </c>
      <c r="J229" s="2700">
        <f>+VLOOKUP(D229,VCKD!C198:S227,17,0)</f>
        <v>771361</v>
      </c>
      <c r="K229" s="2700">
        <f t="shared" si="15"/>
        <v>844024</v>
      </c>
      <c r="L229" s="2412"/>
      <c r="M229" s="2412"/>
      <c r="N229" s="2412"/>
      <c r="O229" s="2412"/>
      <c r="P229" s="2412"/>
      <c r="Q229" s="2412"/>
      <c r="R229" s="2700">
        <f t="shared" si="16"/>
        <v>844024</v>
      </c>
      <c r="S229" s="2412"/>
      <c r="T229" s="3529"/>
      <c r="V229" s="2650"/>
      <c r="X229" s="2650"/>
    </row>
    <row r="230" spans="1:24" s="41" customFormat="1" ht="23.25" customHeight="1">
      <c r="A230" s="2698">
        <v>213</v>
      </c>
      <c r="B230" s="2698">
        <v>12</v>
      </c>
      <c r="C230" s="3686"/>
      <c r="D230" s="2699" t="s">
        <v>1220</v>
      </c>
      <c r="E230" s="3686"/>
      <c r="F230" s="3686"/>
      <c r="G230" s="2698" t="s">
        <v>167</v>
      </c>
      <c r="H230" s="2700">
        <f>+VLOOKUP(D230,VCKD!C199:H229,6,0)</f>
        <v>0</v>
      </c>
      <c r="I230" s="2700">
        <f>+VLOOKUP(D230,VCKD!C199:M229,11,0)</f>
        <v>252421</v>
      </c>
      <c r="J230" s="2700">
        <f>+VLOOKUP(D230,VCKD!C199:S228,17,0)</f>
        <v>1344115</v>
      </c>
      <c r="K230" s="2700">
        <f t="shared" si="15"/>
        <v>1596536</v>
      </c>
      <c r="L230" s="2412"/>
      <c r="M230" s="2412"/>
      <c r="N230" s="2412"/>
      <c r="O230" s="2412"/>
      <c r="P230" s="2412"/>
      <c r="Q230" s="2412"/>
      <c r="R230" s="2700">
        <f t="shared" si="16"/>
        <v>1596536</v>
      </c>
      <c r="S230" s="2412"/>
      <c r="T230" s="3529"/>
      <c r="V230" s="2650"/>
      <c r="X230" s="2650"/>
    </row>
    <row r="231" spans="1:24" s="41" customFormat="1" ht="23.25" customHeight="1">
      <c r="A231" s="2698">
        <v>214</v>
      </c>
      <c r="B231" s="2698">
        <v>13</v>
      </c>
      <c r="C231" s="3686"/>
      <c r="D231" s="2699" t="s">
        <v>1221</v>
      </c>
      <c r="E231" s="3686"/>
      <c r="F231" s="3686"/>
      <c r="G231" s="2698" t="s">
        <v>167</v>
      </c>
      <c r="H231" s="2700">
        <f>+VLOOKUP(D231,VCKD!C200:H230,6,0)</f>
        <v>0</v>
      </c>
      <c r="I231" s="2700">
        <f>+VLOOKUP(D231,VCKD!C200:M230,11,0)</f>
        <v>171368</v>
      </c>
      <c r="J231" s="2700">
        <f>+VLOOKUP(D231,VCKD!C200:S229,17,0)</f>
        <v>1213617</v>
      </c>
      <c r="K231" s="2700">
        <f t="shared" si="15"/>
        <v>1384985</v>
      </c>
      <c r="L231" s="2412"/>
      <c r="M231" s="2412"/>
      <c r="N231" s="2412"/>
      <c r="O231" s="2412"/>
      <c r="P231" s="2412"/>
      <c r="Q231" s="2412"/>
      <c r="R231" s="2700">
        <f t="shared" si="16"/>
        <v>1384985</v>
      </c>
      <c r="S231" s="2412"/>
      <c r="T231" s="3529"/>
      <c r="V231" s="2650"/>
      <c r="X231" s="2650"/>
    </row>
    <row r="232" spans="1:24" s="41" customFormat="1" ht="23.25" customHeight="1">
      <c r="A232" s="2698">
        <v>215</v>
      </c>
      <c r="B232" s="2698">
        <v>14</v>
      </c>
      <c r="C232" s="3686"/>
      <c r="D232" s="2699" t="s">
        <v>1222</v>
      </c>
      <c r="E232" s="3686"/>
      <c r="F232" s="3686"/>
      <c r="G232" s="2698" t="s">
        <v>167</v>
      </c>
      <c r="H232" s="2700">
        <f>+VLOOKUP(D232,VCKD!C201:H231,6,0)</f>
        <v>0</v>
      </c>
      <c r="I232" s="2700">
        <f>+VLOOKUP(D232,VCKD!C201:M231,11,0)</f>
        <v>85874</v>
      </c>
      <c r="J232" s="2700">
        <f>+VLOOKUP(D232,VCKD!C201:S230,17,0)</f>
        <v>771361</v>
      </c>
      <c r="K232" s="2700">
        <f t="shared" si="15"/>
        <v>857235</v>
      </c>
      <c r="L232" s="2412"/>
      <c r="M232" s="2412"/>
      <c r="N232" s="2412"/>
      <c r="O232" s="2412"/>
      <c r="P232" s="2412"/>
      <c r="Q232" s="2412"/>
      <c r="R232" s="2700">
        <f t="shared" si="16"/>
        <v>857235</v>
      </c>
      <c r="S232" s="2412"/>
      <c r="T232" s="3529"/>
      <c r="V232" s="2650"/>
      <c r="X232" s="2650"/>
    </row>
    <row r="233" spans="1:24" s="41" customFormat="1" ht="23.25" customHeight="1">
      <c r="A233" s="2698">
        <v>216</v>
      </c>
      <c r="B233" s="2698">
        <v>15</v>
      </c>
      <c r="C233" s="3686"/>
      <c r="D233" s="2699" t="s">
        <v>1223</v>
      </c>
      <c r="E233" s="3686"/>
      <c r="F233" s="3686"/>
      <c r="G233" s="2698" t="s">
        <v>167</v>
      </c>
      <c r="H233" s="2700">
        <f>+VLOOKUP(D233,VCKD!C202:H232,6,0)</f>
        <v>0</v>
      </c>
      <c r="I233" s="2700">
        <f>+VLOOKUP(D233,VCKD!C202:M232,11,0)</f>
        <v>115789</v>
      </c>
      <c r="J233" s="2700">
        <f>+VLOOKUP(D233,VCKD!C202:S231,17,0)</f>
        <v>1193418</v>
      </c>
      <c r="K233" s="2700">
        <f t="shared" si="15"/>
        <v>1309207</v>
      </c>
      <c r="L233" s="2412"/>
      <c r="M233" s="2412"/>
      <c r="N233" s="2412"/>
      <c r="O233" s="2412"/>
      <c r="P233" s="2412"/>
      <c r="Q233" s="2412"/>
      <c r="R233" s="2700">
        <f t="shared" si="16"/>
        <v>1309207</v>
      </c>
      <c r="S233" s="2412"/>
      <c r="T233" s="3529"/>
      <c r="V233" s="2650"/>
      <c r="X233" s="2650"/>
    </row>
    <row r="234" spans="1:24" s="41" customFormat="1" ht="23.25" customHeight="1">
      <c r="A234" s="2698">
        <v>217</v>
      </c>
      <c r="B234" s="2698">
        <v>16</v>
      </c>
      <c r="C234" s="3686"/>
      <c r="D234" s="2699" t="s">
        <v>1224</v>
      </c>
      <c r="E234" s="3686"/>
      <c r="F234" s="3686"/>
      <c r="G234" s="2698" t="s">
        <v>167</v>
      </c>
      <c r="H234" s="2700">
        <f>+VLOOKUP(D234,VCKD!C203:H233,6,0)</f>
        <v>0</v>
      </c>
      <c r="I234" s="2700">
        <f>+VLOOKUP(D234,VCKD!C203:M233,11,0)</f>
        <v>194526</v>
      </c>
      <c r="J234" s="2700">
        <f>+VLOOKUP(D234,VCKD!C203:S232,17,0)</f>
        <v>821593</v>
      </c>
      <c r="K234" s="2700">
        <f t="shared" si="15"/>
        <v>1016119</v>
      </c>
      <c r="L234" s="2412"/>
      <c r="M234" s="2412"/>
      <c r="N234" s="2412"/>
      <c r="O234" s="2412"/>
      <c r="P234" s="2412"/>
      <c r="Q234" s="2412"/>
      <c r="R234" s="2700">
        <f t="shared" si="16"/>
        <v>1016119</v>
      </c>
      <c r="S234" s="2412"/>
      <c r="T234" s="3529"/>
      <c r="V234" s="2650"/>
      <c r="X234" s="2650"/>
    </row>
    <row r="235" spans="1:24" s="41" customFormat="1" ht="23.25" customHeight="1">
      <c r="A235" s="2698">
        <v>218</v>
      </c>
      <c r="B235" s="2698">
        <v>17</v>
      </c>
      <c r="C235" s="3686"/>
      <c r="D235" s="2699" t="s">
        <v>1546</v>
      </c>
      <c r="E235" s="3686"/>
      <c r="F235" s="3686"/>
      <c r="G235" s="2698" t="s">
        <v>167</v>
      </c>
      <c r="H235" s="2700">
        <f>+VLOOKUP(D235,VCKD!C204:H234,6,0)</f>
        <v>0</v>
      </c>
      <c r="I235" s="2700">
        <f>+VLOOKUP(D235,VCKD!C204:M234,11,0)</f>
        <v>226795</v>
      </c>
      <c r="J235" s="2700">
        <f>+VLOOKUP(D235,VCKD!C204:S233,17,0)</f>
        <v>1193418</v>
      </c>
      <c r="K235" s="2700">
        <f t="shared" si="15"/>
        <v>1420213</v>
      </c>
      <c r="L235" s="2412"/>
      <c r="M235" s="2412"/>
      <c r="N235" s="2412"/>
      <c r="O235" s="2412"/>
      <c r="P235" s="2412"/>
      <c r="Q235" s="2412"/>
      <c r="R235" s="2700">
        <f t="shared" si="16"/>
        <v>1420213</v>
      </c>
      <c r="S235" s="2412"/>
      <c r="T235" s="3529"/>
      <c r="V235" s="2650"/>
      <c r="X235" s="2650"/>
    </row>
    <row r="236" spans="1:24" s="41" customFormat="1" ht="23.25" customHeight="1">
      <c r="A236" s="2698">
        <v>219</v>
      </c>
      <c r="B236" s="2698">
        <v>18</v>
      </c>
      <c r="C236" s="3686"/>
      <c r="D236" s="2699" t="s">
        <v>1226</v>
      </c>
      <c r="E236" s="3686"/>
      <c r="F236" s="3686"/>
      <c r="G236" s="2698" t="s">
        <v>167</v>
      </c>
      <c r="H236" s="2700">
        <f>+VLOOKUP(D236,VCKD!C205:H235,6,0)</f>
        <v>0</v>
      </c>
      <c r="I236" s="2700">
        <f>+VLOOKUP(D236,VCKD!C205:M235,11,0)</f>
        <v>85684</v>
      </c>
      <c r="J236" s="2700">
        <f>+VLOOKUP(D236,VCKD!C205:S234,17,0)</f>
        <v>1193418</v>
      </c>
      <c r="K236" s="2700">
        <f t="shared" si="15"/>
        <v>1279102</v>
      </c>
      <c r="L236" s="2412"/>
      <c r="M236" s="2412"/>
      <c r="N236" s="2412"/>
      <c r="O236" s="2412"/>
      <c r="P236" s="2412"/>
      <c r="Q236" s="2412"/>
      <c r="R236" s="2700">
        <f t="shared" si="16"/>
        <v>1279102</v>
      </c>
      <c r="S236" s="2412"/>
      <c r="T236" s="3529"/>
      <c r="V236" s="2650"/>
      <c r="X236" s="2650"/>
    </row>
    <row r="237" spans="1:24" s="41" customFormat="1" ht="23.25" customHeight="1">
      <c r="A237" s="2698">
        <v>220</v>
      </c>
      <c r="B237" s="2698">
        <v>19</v>
      </c>
      <c r="C237" s="3686"/>
      <c r="D237" s="2699" t="s">
        <v>861</v>
      </c>
      <c r="E237" s="3686"/>
      <c r="F237" s="3686"/>
      <c r="G237" s="2698" t="s">
        <v>167</v>
      </c>
      <c r="H237" s="2700">
        <f>+VLOOKUP(D237,VCKD!C206:H236,6,0)</f>
        <v>0</v>
      </c>
      <c r="I237" s="2700">
        <f>+VLOOKUP(D237,VCKD!C206:M236,11,0)</f>
        <v>78737</v>
      </c>
      <c r="J237" s="2700">
        <f>+VLOOKUP(D237,VCKD!C206:S235,17,0)</f>
        <v>871825</v>
      </c>
      <c r="K237" s="2700">
        <f t="shared" si="15"/>
        <v>950562</v>
      </c>
      <c r="L237" s="2412"/>
      <c r="M237" s="2412"/>
      <c r="N237" s="2412"/>
      <c r="O237" s="2412"/>
      <c r="P237" s="2412"/>
      <c r="Q237" s="2412"/>
      <c r="R237" s="2700">
        <f t="shared" si="16"/>
        <v>950562</v>
      </c>
      <c r="S237" s="2412"/>
      <c r="T237" s="3529"/>
      <c r="V237" s="2650"/>
      <c r="X237" s="2650"/>
    </row>
    <row r="238" spans="1:24" s="41" customFormat="1" ht="23.25" customHeight="1">
      <c r="A238" s="2698">
        <v>221</v>
      </c>
      <c r="B238" s="2698">
        <v>20</v>
      </c>
      <c r="C238" s="3686"/>
      <c r="D238" s="2699" t="s">
        <v>486</v>
      </c>
      <c r="E238" s="3686"/>
      <c r="F238" s="3686"/>
      <c r="G238" s="2698" t="s">
        <v>167</v>
      </c>
      <c r="H238" s="2700">
        <f>+VLOOKUP(D238,VCKD!C207:H237,6,0)</f>
        <v>0</v>
      </c>
      <c r="I238" s="2700">
        <f>+VLOOKUP(D238,VCKD!C207:M237,11,0)</f>
        <v>169052</v>
      </c>
      <c r="J238" s="2700">
        <f>+VLOOKUP(D238,VCKD!C207:S236,17,0)</f>
        <v>1143186</v>
      </c>
      <c r="K238" s="2700">
        <f t="shared" si="15"/>
        <v>1312238</v>
      </c>
      <c r="L238" s="2412"/>
      <c r="M238" s="2412"/>
      <c r="N238" s="2412"/>
      <c r="O238" s="2412"/>
      <c r="P238" s="2412"/>
      <c r="Q238" s="2412"/>
      <c r="R238" s="2700">
        <f t="shared" si="16"/>
        <v>1312238</v>
      </c>
      <c r="S238" s="2412"/>
      <c r="T238" s="3529"/>
      <c r="V238" s="2650"/>
      <c r="X238" s="2650"/>
    </row>
    <row r="239" spans="1:24" s="41" customFormat="1" ht="23.25" customHeight="1">
      <c r="A239" s="2698">
        <v>222</v>
      </c>
      <c r="B239" s="2698">
        <v>21</v>
      </c>
      <c r="C239" s="3686"/>
      <c r="D239" s="2699" t="s">
        <v>836</v>
      </c>
      <c r="E239" s="3686"/>
      <c r="F239" s="3686"/>
      <c r="G239" s="2698" t="s">
        <v>167</v>
      </c>
      <c r="H239" s="2700">
        <f>+VLOOKUP(D239,VCKD!C208:H238,6,0)</f>
        <v>0</v>
      </c>
      <c r="I239" s="2700">
        <f>+VLOOKUP(D239,VCKD!C208:M238,11,0)</f>
        <v>55047</v>
      </c>
      <c r="J239" s="2700">
        <f>+VLOOKUP(D239,VCKD!C208:S237,17,0)</f>
        <v>550232</v>
      </c>
      <c r="K239" s="2700">
        <f t="shared" si="15"/>
        <v>605279</v>
      </c>
      <c r="L239" s="2412"/>
      <c r="M239" s="2412"/>
      <c r="N239" s="2412"/>
      <c r="O239" s="2412"/>
      <c r="P239" s="2412"/>
      <c r="Q239" s="2412"/>
      <c r="R239" s="2700">
        <f t="shared" si="16"/>
        <v>605279</v>
      </c>
      <c r="S239" s="2412"/>
      <c r="T239" s="3529"/>
      <c r="V239" s="2650"/>
      <c r="X239" s="2650"/>
    </row>
    <row r="240" spans="1:24" s="41" customFormat="1" ht="23.25" customHeight="1">
      <c r="A240" s="2698">
        <v>223</v>
      </c>
      <c r="B240" s="2698">
        <v>22</v>
      </c>
      <c r="C240" s="3686"/>
      <c r="D240" s="2699" t="s">
        <v>1227</v>
      </c>
      <c r="E240" s="3686"/>
      <c r="F240" s="3686"/>
      <c r="G240" s="2698" t="s">
        <v>167</v>
      </c>
      <c r="H240" s="2700">
        <f>+VLOOKUP(D240,VCKD!C209:H239,6,0)</f>
        <v>0</v>
      </c>
      <c r="I240" s="2700">
        <f>+VLOOKUP(D240,VCKD!C209:M239,11,0)</f>
        <v>220000</v>
      </c>
      <c r="J240" s="2700">
        <f>+VLOOKUP(D240,VCKD!C209:S238,17,0)</f>
        <v>1143186</v>
      </c>
      <c r="K240" s="2700">
        <f t="shared" si="15"/>
        <v>1363186</v>
      </c>
      <c r="L240" s="2412"/>
      <c r="M240" s="2412"/>
      <c r="N240" s="2412"/>
      <c r="O240" s="2412"/>
      <c r="P240" s="2412"/>
      <c r="Q240" s="2412"/>
      <c r="R240" s="2700">
        <f t="shared" si="16"/>
        <v>1363186</v>
      </c>
      <c r="S240" s="2412"/>
      <c r="T240" s="3529"/>
      <c r="V240" s="2650"/>
      <c r="X240" s="2650"/>
    </row>
    <row r="241" spans="1:24" s="41" customFormat="1" ht="23.25" customHeight="1">
      <c r="A241" s="2698">
        <v>224</v>
      </c>
      <c r="B241" s="2698">
        <v>23</v>
      </c>
      <c r="C241" s="3686"/>
      <c r="D241" s="2699" t="s">
        <v>1228</v>
      </c>
      <c r="E241" s="3686"/>
      <c r="F241" s="3686"/>
      <c r="G241" s="2698" t="s">
        <v>167</v>
      </c>
      <c r="H241" s="2700">
        <f>+VLOOKUP(D241,VCKD!C210:H240,6,0)</f>
        <v>0</v>
      </c>
      <c r="I241" s="2700">
        <f>+VLOOKUP(D241,VCKD!C210:M240,11,0)</f>
        <v>176000</v>
      </c>
      <c r="J241" s="2700">
        <f>+VLOOKUP(D241,VCKD!C210:S239,17,0)</f>
        <v>1193418</v>
      </c>
      <c r="K241" s="2700">
        <f t="shared" si="15"/>
        <v>1369418</v>
      </c>
      <c r="L241" s="2412"/>
      <c r="M241" s="2412"/>
      <c r="N241" s="2412"/>
      <c r="O241" s="2412"/>
      <c r="P241" s="2412"/>
      <c r="Q241" s="2412"/>
      <c r="R241" s="2700">
        <f t="shared" si="16"/>
        <v>1369418</v>
      </c>
      <c r="S241" s="2412"/>
      <c r="T241" s="3529"/>
      <c r="V241" s="2650"/>
      <c r="X241" s="2650"/>
    </row>
    <row r="242" spans="1:24" s="41" customFormat="1" ht="23.25" customHeight="1">
      <c r="A242" s="2698">
        <v>225</v>
      </c>
      <c r="B242" s="2698">
        <v>24</v>
      </c>
      <c r="C242" s="3686"/>
      <c r="D242" s="2699" t="s">
        <v>1229</v>
      </c>
      <c r="E242" s="3686"/>
      <c r="F242" s="3686"/>
      <c r="G242" s="2698" t="s">
        <v>167</v>
      </c>
      <c r="H242" s="2700">
        <f>+VLOOKUP(D242,VCKD!C211:H241,6,0)</f>
        <v>0</v>
      </c>
      <c r="I242" s="2700">
        <f>+VLOOKUP(D242,VCKD!C211:M241,11,0)</f>
        <v>64842</v>
      </c>
      <c r="J242" s="2700">
        <f>+VLOOKUP(D242,VCKD!C211:S240,17,0)</f>
        <v>942256</v>
      </c>
      <c r="K242" s="2700">
        <f t="shared" si="15"/>
        <v>1007098</v>
      </c>
      <c r="L242" s="2412"/>
      <c r="M242" s="2412"/>
      <c r="N242" s="2412"/>
      <c r="O242" s="2412"/>
      <c r="P242" s="2412"/>
      <c r="Q242" s="2412"/>
      <c r="R242" s="2700">
        <f t="shared" si="16"/>
        <v>1007098</v>
      </c>
      <c r="S242" s="2412"/>
      <c r="T242" s="3529"/>
      <c r="V242" s="2650"/>
      <c r="X242" s="2650"/>
    </row>
    <row r="243" spans="1:24" s="41" customFormat="1" ht="23.25" customHeight="1">
      <c r="A243" s="2698">
        <v>226</v>
      </c>
      <c r="B243" s="2698">
        <v>25</v>
      </c>
      <c r="C243" s="3686"/>
      <c r="D243" s="2699" t="s">
        <v>1518</v>
      </c>
      <c r="E243" s="3686"/>
      <c r="F243" s="3686"/>
      <c r="G243" s="2698" t="s">
        <v>167</v>
      </c>
      <c r="H243" s="2700">
        <f>+VLOOKUP(D243,VCKD!C212:H242,6,0)</f>
        <v>0</v>
      </c>
      <c r="I243" s="2700">
        <f>+VLOOKUP(D243,VCKD!C212:M242,11,0)</f>
        <v>347368</v>
      </c>
      <c r="J243" s="2700">
        <f>+VLOOKUP(D243,VCKD!C212:S241,17,0)</f>
        <v>1163384</v>
      </c>
      <c r="K243" s="2700">
        <f t="shared" si="15"/>
        <v>1510752</v>
      </c>
      <c r="L243" s="2412"/>
      <c r="M243" s="2412"/>
      <c r="N243" s="2412"/>
      <c r="O243" s="2412"/>
      <c r="P243" s="2412"/>
      <c r="Q243" s="2412"/>
      <c r="R243" s="2700">
        <f t="shared" si="16"/>
        <v>1510752</v>
      </c>
      <c r="S243" s="2412"/>
      <c r="T243" s="3529"/>
      <c r="V243" s="2650"/>
      <c r="X243" s="2650"/>
    </row>
    <row r="244" spans="1:24" s="41" customFormat="1" ht="23.25" customHeight="1">
      <c r="A244" s="2698">
        <v>227</v>
      </c>
      <c r="B244" s="2698">
        <v>26</v>
      </c>
      <c r="C244" s="3686"/>
      <c r="D244" s="2699" t="s">
        <v>1519</v>
      </c>
      <c r="E244" s="3686"/>
      <c r="F244" s="3686"/>
      <c r="G244" s="2698" t="s">
        <v>167</v>
      </c>
      <c r="H244" s="2700">
        <f>+VLOOKUP(D244,VCKD!C213:H243,6,0)</f>
        <v>0</v>
      </c>
      <c r="I244" s="2700">
        <f>+VLOOKUP(D244,VCKD!C213:M243,11,0)</f>
        <v>349684</v>
      </c>
      <c r="J244" s="2700">
        <f>+VLOOKUP(D244,VCKD!C213:S242,17,0)</f>
        <v>1122987</v>
      </c>
      <c r="K244" s="2700">
        <f t="shared" si="15"/>
        <v>1472671</v>
      </c>
      <c r="L244" s="2412"/>
      <c r="M244" s="2412"/>
      <c r="N244" s="2412"/>
      <c r="O244" s="2412"/>
      <c r="P244" s="2412"/>
      <c r="Q244" s="2412"/>
      <c r="R244" s="2700">
        <f t="shared" si="16"/>
        <v>1472671</v>
      </c>
      <c r="S244" s="2412"/>
      <c r="T244" s="3529"/>
      <c r="V244" s="2650"/>
      <c r="X244" s="2650"/>
    </row>
    <row r="245" spans="1:24" s="41" customFormat="1" ht="23.25" customHeight="1">
      <c r="A245" s="2698">
        <v>228</v>
      </c>
      <c r="B245" s="2698">
        <v>27</v>
      </c>
      <c r="C245" s="3686"/>
      <c r="D245" s="2699" t="s">
        <v>1520</v>
      </c>
      <c r="E245" s="3686"/>
      <c r="F245" s="3686"/>
      <c r="G245" s="2698" t="s">
        <v>167</v>
      </c>
      <c r="H245" s="2700">
        <f>+VLOOKUP(D245,VCKD!C214:H244,6,0)</f>
        <v>0</v>
      </c>
      <c r="I245" s="2700">
        <f>+VLOOKUP(D245,VCKD!C214:M244,11,0)</f>
        <v>550474</v>
      </c>
      <c r="J245" s="2700">
        <f>+VLOOKUP(D245,VCKD!C214:S243,17,0)</f>
        <v>1243651</v>
      </c>
      <c r="K245" s="2700">
        <f t="shared" si="15"/>
        <v>1794125</v>
      </c>
      <c r="L245" s="2412"/>
      <c r="M245" s="2412"/>
      <c r="N245" s="2412"/>
      <c r="O245" s="2412"/>
      <c r="P245" s="2412"/>
      <c r="Q245" s="2412"/>
      <c r="R245" s="2700">
        <f t="shared" si="16"/>
        <v>1794125</v>
      </c>
      <c r="S245" s="2412"/>
      <c r="T245" s="3529"/>
      <c r="V245" s="2650"/>
      <c r="X245" s="2650"/>
    </row>
    <row r="246" spans="1:24" s="41" customFormat="1" ht="23.25" customHeight="1">
      <c r="A246" s="2698">
        <v>229</v>
      </c>
      <c r="B246" s="2698">
        <v>28</v>
      </c>
      <c r="C246" s="3686"/>
      <c r="D246" s="2699" t="s">
        <v>1521</v>
      </c>
      <c r="E246" s="3686"/>
      <c r="F246" s="3686"/>
      <c r="G246" s="2698" t="s">
        <v>167</v>
      </c>
      <c r="H246" s="2700">
        <f>+VLOOKUP(D246,VCKD!C215:H245,6,0)</f>
        <v>0</v>
      </c>
      <c r="I246" s="2700">
        <f>+VLOOKUP(D246,VCKD!C215:M245,11,0)</f>
        <v>649559</v>
      </c>
      <c r="J246" s="2700">
        <f>+VLOOKUP(D246,VCKD!C215:S244,17,0)</f>
        <v>1042721</v>
      </c>
      <c r="K246" s="2700">
        <f t="shared" si="15"/>
        <v>1692280</v>
      </c>
      <c r="L246" s="2412"/>
      <c r="M246" s="2412"/>
      <c r="N246" s="2412"/>
      <c r="O246" s="2412"/>
      <c r="P246" s="2412"/>
      <c r="Q246" s="2412"/>
      <c r="R246" s="2700">
        <f t="shared" si="16"/>
        <v>1692280</v>
      </c>
      <c r="S246" s="2412"/>
      <c r="T246" s="3529"/>
      <c r="V246" s="2650"/>
      <c r="X246" s="2650"/>
    </row>
    <row r="247" spans="1:24" s="41" customFormat="1" ht="23.25" customHeight="1">
      <c r="A247" s="2698">
        <v>230</v>
      </c>
      <c r="B247" s="2698">
        <v>29</v>
      </c>
      <c r="C247" s="3686"/>
      <c r="D247" s="2699" t="s">
        <v>1522</v>
      </c>
      <c r="E247" s="3686"/>
      <c r="F247" s="3686"/>
      <c r="G247" s="2698" t="s">
        <v>167</v>
      </c>
      <c r="H247" s="2700">
        <f>+VLOOKUP(D247,VCKD!C216:H246,6,0)</f>
        <v>0</v>
      </c>
      <c r="I247" s="2700">
        <f>+VLOOKUP(D247,VCKD!C216:M246,11,0)</f>
        <v>933262</v>
      </c>
      <c r="J247" s="2700">
        <f>+VLOOKUP(D247,VCKD!C216:S245,17,0)</f>
        <v>1314082</v>
      </c>
      <c r="K247" s="2700">
        <f t="shared" si="15"/>
        <v>2247344</v>
      </c>
      <c r="L247" s="2412"/>
      <c r="M247" s="2412"/>
      <c r="N247" s="2412"/>
      <c r="O247" s="2412"/>
      <c r="P247" s="2412"/>
      <c r="Q247" s="2412"/>
      <c r="R247" s="2700">
        <f t="shared" si="16"/>
        <v>2247344</v>
      </c>
      <c r="S247" s="2412"/>
      <c r="T247" s="3529"/>
      <c r="V247" s="2650"/>
      <c r="X247" s="2650"/>
    </row>
    <row r="248" spans="1:24" s="41" customFormat="1" ht="23.25" customHeight="1">
      <c r="A248" s="2698">
        <v>231</v>
      </c>
      <c r="B248" s="2698">
        <v>30</v>
      </c>
      <c r="C248" s="3686"/>
      <c r="D248" s="2699" t="s">
        <v>1230</v>
      </c>
      <c r="E248" s="3686"/>
      <c r="F248" s="3686"/>
      <c r="G248" s="2698" t="s">
        <v>167</v>
      </c>
      <c r="H248" s="2700">
        <f>+VLOOKUP(D248,VCKD!C217:H247,6,0)</f>
        <v>0</v>
      </c>
      <c r="I248" s="2700">
        <f>+VLOOKUP(D248,VCKD!C217:M247,11,0)</f>
        <v>1072210</v>
      </c>
      <c r="J248" s="2700">
        <f>+VLOOKUP(D248,VCKD!C217:S246,17,0)</f>
        <v>1394348</v>
      </c>
      <c r="K248" s="2700">
        <f t="shared" si="15"/>
        <v>2466558</v>
      </c>
      <c r="L248" s="2412"/>
      <c r="M248" s="2412"/>
      <c r="N248" s="2412"/>
      <c r="O248" s="2412"/>
      <c r="P248" s="2412"/>
      <c r="Q248" s="2412"/>
      <c r="R248" s="2700">
        <f t="shared" si="16"/>
        <v>2466558</v>
      </c>
      <c r="S248" s="2412"/>
      <c r="T248" s="3529"/>
      <c r="V248" s="2650"/>
      <c r="X248" s="2650"/>
    </row>
    <row r="249" spans="1:24" s="41" customFormat="1" ht="23.25" customHeight="1">
      <c r="A249" s="2698">
        <v>232</v>
      </c>
      <c r="B249" s="2698">
        <v>31</v>
      </c>
      <c r="C249" s="3686"/>
      <c r="D249" s="2699" t="s">
        <v>1572</v>
      </c>
      <c r="E249" s="3686"/>
      <c r="F249" s="3686"/>
      <c r="G249" s="2698" t="s">
        <v>167</v>
      </c>
      <c r="H249" s="2412">
        <f>+VLOOKUP(D249,VCKD!C218:H248,6,0)</f>
        <v>0</v>
      </c>
      <c r="I249" s="2700">
        <f>+VLOOKUP(D249,VCKD!C218:M248,11,0)</f>
        <v>389963</v>
      </c>
      <c r="J249" s="2700">
        <f>+VLOOKUP(D249,VCKD!C218:S247,17,0)</f>
        <v>0</v>
      </c>
      <c r="K249" s="2700">
        <f t="shared" si="15"/>
        <v>389963</v>
      </c>
      <c r="L249" s="2412"/>
      <c r="M249" s="2412"/>
      <c r="N249" s="2412"/>
      <c r="O249" s="2412"/>
      <c r="P249" s="2412"/>
      <c r="Q249" s="2412"/>
      <c r="R249" s="2700">
        <f t="shared" si="16"/>
        <v>389963</v>
      </c>
      <c r="S249" s="2412"/>
      <c r="T249" s="3529"/>
      <c r="V249" s="2650"/>
      <c r="X249" s="2650"/>
    </row>
    <row r="250" spans="1:24" s="1455" customFormat="1" ht="23.25" customHeight="1">
      <c r="A250" s="4102" t="s">
        <v>119</v>
      </c>
      <c r="B250" s="4103"/>
      <c r="C250" s="4103"/>
      <c r="D250" s="4103"/>
      <c r="E250" s="4103"/>
      <c r="F250" s="4103"/>
      <c r="G250" s="4104"/>
      <c r="H250" s="1882">
        <f t="shared" ref="H250:K250" si="17">+SUBTOTAL(9,H251:H254)</f>
        <v>0</v>
      </c>
      <c r="I250" s="1414">
        <f t="shared" si="17"/>
        <v>0</v>
      </c>
      <c r="J250" s="1414">
        <f t="shared" si="17"/>
        <v>0</v>
      </c>
      <c r="K250" s="1882">
        <f t="shared" si="17"/>
        <v>0</v>
      </c>
      <c r="L250" s="1882">
        <f t="shared" ref="L250:R250" si="18">+SUBTOTAL(9,L251:L254)</f>
        <v>0</v>
      </c>
      <c r="M250" s="1882">
        <f t="shared" si="18"/>
        <v>0</v>
      </c>
      <c r="N250" s="1882">
        <f t="shared" si="18"/>
        <v>0</v>
      </c>
      <c r="O250" s="1882">
        <f t="shared" si="18"/>
        <v>0</v>
      </c>
      <c r="P250" s="1882">
        <f t="shared" si="18"/>
        <v>0</v>
      </c>
      <c r="Q250" s="1882">
        <f t="shared" si="18"/>
        <v>0</v>
      </c>
      <c r="R250" s="1882">
        <f t="shared" si="18"/>
        <v>0</v>
      </c>
      <c r="S250" s="1882"/>
      <c r="T250" s="2244"/>
      <c r="U250" s="1475" t="e">
        <f>+VCKD!#REF!</f>
        <v>#REF!</v>
      </c>
      <c r="V250" s="2080" t="e">
        <f>+U250-R250</f>
        <v>#REF!</v>
      </c>
    </row>
    <row r="251" spans="1:24" s="2366" customFormat="1" ht="23.25" customHeight="1">
      <c r="A251" s="2137">
        <v>233</v>
      </c>
      <c r="B251" s="2137">
        <v>1</v>
      </c>
      <c r="C251" s="2413"/>
      <c r="D251" s="2703" t="str">
        <f>+KTCB!B9</f>
        <v>Nguyễn Thanh Sơn</v>
      </c>
      <c r="E251" s="2413"/>
      <c r="F251" s="2413"/>
      <c r="G251" s="2137" t="s">
        <v>119</v>
      </c>
      <c r="H251" s="1887">
        <f>+KTCB!M9</f>
        <v>0</v>
      </c>
      <c r="I251" s="1414"/>
      <c r="J251" s="1414"/>
      <c r="K251" s="1887">
        <f>+H251+I251+J251</f>
        <v>0</v>
      </c>
      <c r="L251" s="1887"/>
      <c r="M251" s="1887"/>
      <c r="N251" s="1887"/>
      <c r="O251" s="2701">
        <f t="shared" ref="O251:O254" si="19">+K251-L251</f>
        <v>0</v>
      </c>
      <c r="P251" s="1887"/>
      <c r="Q251" s="1887"/>
      <c r="R251" s="2701">
        <f>+O251-P251</f>
        <v>0</v>
      </c>
      <c r="S251" s="1882"/>
      <c r="T251" s="2244"/>
      <c r="U251" s="2615"/>
      <c r="V251" s="2616"/>
    </row>
    <row r="252" spans="1:24" s="2367" customFormat="1" ht="23.25" customHeight="1">
      <c r="A252" s="2137">
        <v>234</v>
      </c>
      <c r="B252" s="2137">
        <v>2</v>
      </c>
      <c r="C252" s="2413"/>
      <c r="D252" s="2703" t="str">
        <f>+KTCB!B10</f>
        <v>Phò Văn</v>
      </c>
      <c r="E252" s="2413"/>
      <c r="F252" s="2413"/>
      <c r="G252" s="2137" t="s">
        <v>119</v>
      </c>
      <c r="H252" s="1887">
        <f>+KTCB!M10</f>
        <v>0</v>
      </c>
      <c r="I252" s="1414"/>
      <c r="J252" s="1414"/>
      <c r="K252" s="1887">
        <f>+H252+I252+J252</f>
        <v>0</v>
      </c>
      <c r="L252" s="1887"/>
      <c r="M252" s="1887"/>
      <c r="N252" s="1887"/>
      <c r="O252" s="2701">
        <f t="shared" si="19"/>
        <v>0</v>
      </c>
      <c r="P252" s="1887"/>
      <c r="Q252" s="1887"/>
      <c r="R252" s="2701">
        <f>+O252-P252</f>
        <v>0</v>
      </c>
      <c r="S252" s="1882"/>
      <c r="T252" s="2244"/>
      <c r="U252" s="2617"/>
      <c r="V252" s="2618"/>
    </row>
    <row r="253" spans="1:24" s="2621" customFormat="1" ht="23.25" hidden="1" customHeight="1">
      <c r="A253" s="2137"/>
      <c r="B253" s="2137">
        <v>3</v>
      </c>
      <c r="C253" s="2413"/>
      <c r="D253" s="2703" t="str">
        <f>+KTCB!B11</f>
        <v>Nguyễn Thanh Giang</v>
      </c>
      <c r="E253" s="2413"/>
      <c r="F253" s="2413"/>
      <c r="G253" s="2137" t="s">
        <v>119</v>
      </c>
      <c r="H253" s="1887">
        <v>0</v>
      </c>
      <c r="I253" s="1414"/>
      <c r="J253" s="1414"/>
      <c r="K253" s="3615">
        <f>+H253+I253+J253</f>
        <v>0</v>
      </c>
      <c r="L253" s="1887"/>
      <c r="M253" s="1887"/>
      <c r="N253" s="1887"/>
      <c r="O253" s="2701">
        <f t="shared" ref="O253" si="20">+K253-L253</f>
        <v>0</v>
      </c>
      <c r="P253" s="1887"/>
      <c r="Q253" s="1887"/>
      <c r="R253" s="2701">
        <f>+O253-P253</f>
        <v>0</v>
      </c>
      <c r="S253" s="1882"/>
      <c r="T253" s="2244"/>
      <c r="U253" s="2619"/>
      <c r="V253" s="2620"/>
    </row>
    <row r="254" spans="1:24" s="2621" customFormat="1" ht="23.25" hidden="1" customHeight="1">
      <c r="A254" s="2137">
        <v>199</v>
      </c>
      <c r="B254" s="2137">
        <v>4</v>
      </c>
      <c r="C254" s="2413"/>
      <c r="D254" s="2703" t="str">
        <f>+KTCB!B12</f>
        <v>Thảo E</v>
      </c>
      <c r="E254" s="2413"/>
      <c r="F254" s="2413"/>
      <c r="G254" s="2137" t="s">
        <v>119</v>
      </c>
      <c r="H254" s="1887">
        <v>0</v>
      </c>
      <c r="I254" s="1414"/>
      <c r="J254" s="1414"/>
      <c r="K254" s="3615">
        <f>+H254+I254+J254</f>
        <v>0</v>
      </c>
      <c r="L254" s="1887"/>
      <c r="M254" s="1887"/>
      <c r="N254" s="1887"/>
      <c r="O254" s="2701">
        <f t="shared" si="19"/>
        <v>0</v>
      </c>
      <c r="P254" s="1887"/>
      <c r="Q254" s="1887"/>
      <c r="R254" s="2701">
        <f>+O254-P254</f>
        <v>0</v>
      </c>
      <c r="S254" s="1882"/>
      <c r="T254" s="2244"/>
      <c r="U254" s="2619"/>
      <c r="V254" s="2620"/>
    </row>
    <row r="255" spans="1:24" s="1455" customFormat="1" ht="23.25" customHeight="1">
      <c r="A255" s="4102" t="s">
        <v>1669</v>
      </c>
      <c r="B255" s="4103"/>
      <c r="C255" s="4103"/>
      <c r="D255" s="4104"/>
      <c r="E255" s="2413"/>
      <c r="F255" s="2413"/>
      <c r="G255" s="2413"/>
      <c r="H255" s="1882">
        <f>+SUBTOTAL(9,H256:H259)</f>
        <v>20490900</v>
      </c>
      <c r="I255" s="1414">
        <f t="shared" ref="I255:R255" si="21">+SUBTOTAL(9,I256:I259)</f>
        <v>0</v>
      </c>
      <c r="J255" s="1414">
        <f t="shared" si="21"/>
        <v>0</v>
      </c>
      <c r="K255" s="1882">
        <f>+SUBTOTAL(9,K256:K259)</f>
        <v>20490900</v>
      </c>
      <c r="L255" s="1882">
        <f t="shared" si="21"/>
        <v>939090</v>
      </c>
      <c r="M255" s="1882">
        <f t="shared" si="21"/>
        <v>0</v>
      </c>
      <c r="N255" s="1882">
        <f t="shared" si="21"/>
        <v>0</v>
      </c>
      <c r="O255" s="1882">
        <f t="shared" si="21"/>
        <v>0</v>
      </c>
      <c r="P255" s="1882">
        <f t="shared" si="21"/>
        <v>0</v>
      </c>
      <c r="Q255" s="1882">
        <f t="shared" si="21"/>
        <v>0</v>
      </c>
      <c r="R255" s="1882">
        <f t="shared" si="21"/>
        <v>19551810</v>
      </c>
      <c r="S255" s="1882"/>
      <c r="T255" s="2244"/>
      <c r="U255" s="1475"/>
      <c r="V255" s="2080"/>
    </row>
    <row r="256" spans="1:24" s="1455" customFormat="1" ht="23.25" customHeight="1">
      <c r="A256" s="2137">
        <v>235</v>
      </c>
      <c r="B256" s="2137">
        <v>1</v>
      </c>
      <c r="C256" s="2413"/>
      <c r="D256" s="2440" t="s">
        <v>1075</v>
      </c>
      <c r="E256" s="2440" t="s">
        <v>1104</v>
      </c>
      <c r="F256" s="2137"/>
      <c r="G256" s="2137" t="s">
        <v>1104</v>
      </c>
      <c r="H256" s="1887">
        <f>+VLOOKUP(D256,'Trạm cán'!E16:K20,7,0)</f>
        <v>5873580</v>
      </c>
      <c r="I256" s="3619"/>
      <c r="J256" s="3619"/>
      <c r="K256" s="1887">
        <f>+H256+I256+J256</f>
        <v>5873580</v>
      </c>
      <c r="L256" s="1887">
        <f>+VLOOKUP(D256,'Trạm cán'!E16:L20,8,0)</f>
        <v>272358</v>
      </c>
      <c r="M256" s="1887"/>
      <c r="N256" s="1887"/>
      <c r="O256" s="2701">
        <v>0</v>
      </c>
      <c r="P256" s="1887"/>
      <c r="Q256" s="1887"/>
      <c r="R256" s="1887">
        <f>+K256-L256</f>
        <v>5601222</v>
      </c>
      <c r="S256" s="1887"/>
      <c r="T256" s="2248"/>
      <c r="U256" s="1475"/>
      <c r="V256" s="2080"/>
    </row>
    <row r="257" spans="1:23" s="1455" customFormat="1" ht="23.25" customHeight="1">
      <c r="A257" s="2137">
        <v>236</v>
      </c>
      <c r="B257" s="2137">
        <v>2</v>
      </c>
      <c r="C257" s="2413"/>
      <c r="D257" s="2440" t="s">
        <v>1102</v>
      </c>
      <c r="E257" s="2440" t="s">
        <v>1104</v>
      </c>
      <c r="F257" s="2137"/>
      <c r="G257" s="2137" t="s">
        <v>1104</v>
      </c>
      <c r="H257" s="1887">
        <f>+VLOOKUP(D257,'Trạm cán'!E17:K21,7,0)</f>
        <v>6743740</v>
      </c>
      <c r="I257" s="3619"/>
      <c r="J257" s="3619"/>
      <c r="K257" s="1887">
        <f>+H257+I257+J257</f>
        <v>6743740</v>
      </c>
      <c r="L257" s="1887">
        <f>+VLOOKUP(D257,'Trạm cán'!E17:L21,8,0)</f>
        <v>359374</v>
      </c>
      <c r="M257" s="1887"/>
      <c r="N257" s="1887"/>
      <c r="O257" s="2701">
        <v>0</v>
      </c>
      <c r="P257" s="1887"/>
      <c r="Q257" s="1887"/>
      <c r="R257" s="1887">
        <f>+K257-L257</f>
        <v>6384366</v>
      </c>
      <c r="S257" s="1887"/>
      <c r="T257" s="2248"/>
      <c r="U257" s="1475"/>
      <c r="V257" s="2080"/>
    </row>
    <row r="258" spans="1:23" s="1455" customFormat="1" ht="23.25" customHeight="1">
      <c r="A258" s="2137">
        <v>237</v>
      </c>
      <c r="B258" s="2137">
        <v>3</v>
      </c>
      <c r="C258" s="2413"/>
      <c r="D258" s="2440" t="s">
        <v>1280</v>
      </c>
      <c r="E258" s="2440" t="s">
        <v>1104</v>
      </c>
      <c r="F258" s="2137"/>
      <c r="G258" s="2137" t="s">
        <v>1104</v>
      </c>
      <c r="H258" s="1887">
        <f>+VLOOKUP(D258,'Trạm cán'!E18:K22,7,0)</f>
        <v>5873580</v>
      </c>
      <c r="I258" s="3619"/>
      <c r="J258" s="3619"/>
      <c r="K258" s="1887">
        <f>+H258+I258+J258</f>
        <v>5873580</v>
      </c>
      <c r="L258" s="1887">
        <f>+VLOOKUP(D258,'Trạm cán'!E18:L22,8,0)</f>
        <v>272358</v>
      </c>
      <c r="M258" s="1887"/>
      <c r="N258" s="1887"/>
      <c r="O258" s="2701">
        <v>0</v>
      </c>
      <c r="P258" s="1887"/>
      <c r="Q258" s="1887"/>
      <c r="R258" s="1887">
        <f>+K258-L258</f>
        <v>5601222</v>
      </c>
      <c r="S258" s="1887"/>
      <c r="T258" s="2248"/>
      <c r="U258" s="1475"/>
      <c r="V258" s="2080"/>
    </row>
    <row r="259" spans="1:23" s="1455" customFormat="1" ht="23.25" customHeight="1">
      <c r="A259" s="2137">
        <v>238</v>
      </c>
      <c r="B259" s="2137">
        <v>4</v>
      </c>
      <c r="C259" s="2413"/>
      <c r="D259" s="2440" t="s">
        <v>1579</v>
      </c>
      <c r="E259" s="2440" t="s">
        <v>1578</v>
      </c>
      <c r="F259" s="2137"/>
      <c r="G259" s="2137" t="s">
        <v>1472</v>
      </c>
      <c r="H259" s="1887">
        <f>+VLOOKUP(D259,'Trạm cán'!E19:K23,7,0)</f>
        <v>2000000</v>
      </c>
      <c r="I259" s="3619"/>
      <c r="J259" s="3619"/>
      <c r="K259" s="1887">
        <f>+H259+I259+J259</f>
        <v>2000000</v>
      </c>
      <c r="L259" s="1887">
        <f>+VLOOKUP(D259,'Trạm cán'!E19:L23,8,0)</f>
        <v>35000</v>
      </c>
      <c r="M259" s="1887"/>
      <c r="N259" s="1887"/>
      <c r="O259" s="2701">
        <v>0</v>
      </c>
      <c r="P259" s="1887"/>
      <c r="Q259" s="1887"/>
      <c r="R259" s="1887">
        <f>+K259-L259</f>
        <v>1965000</v>
      </c>
      <c r="S259" s="1887"/>
      <c r="T259" s="2248"/>
      <c r="U259" s="1475"/>
      <c r="V259" s="2080"/>
    </row>
    <row r="260" spans="1:23" s="1455" customFormat="1" ht="23.25" customHeight="1">
      <c r="A260" s="4099" t="s">
        <v>240</v>
      </c>
      <c r="B260" s="4100"/>
      <c r="C260" s="4100"/>
      <c r="D260" s="4100"/>
      <c r="E260" s="4100"/>
      <c r="F260" s="4100"/>
      <c r="G260" s="4101"/>
      <c r="H260" s="1882">
        <f>SUBTOTAL(9,H14:H259)</f>
        <v>106290900</v>
      </c>
      <c r="I260" s="1882">
        <f t="shared" ref="I260:S260" si="22">SUBTOTAL(9,I14:I259)</f>
        <v>40288061</v>
      </c>
      <c r="J260" s="1882">
        <f t="shared" si="22"/>
        <v>241631446.75999996</v>
      </c>
      <c r="K260" s="1882">
        <f t="shared" si="22"/>
        <v>388210407.75999963</v>
      </c>
      <c r="L260" s="1882">
        <f t="shared" si="22"/>
        <v>939090</v>
      </c>
      <c r="M260" s="1882">
        <f t="shared" si="22"/>
        <v>0</v>
      </c>
      <c r="N260" s="1882">
        <f t="shared" si="22"/>
        <v>0</v>
      </c>
      <c r="O260" s="1882">
        <v>0</v>
      </c>
      <c r="P260" s="1882">
        <f t="shared" si="22"/>
        <v>0</v>
      </c>
      <c r="Q260" s="1882">
        <f t="shared" si="22"/>
        <v>0</v>
      </c>
      <c r="R260" s="1882">
        <f t="shared" si="22"/>
        <v>386271317.75999963</v>
      </c>
      <c r="S260" s="1882">
        <f t="shared" si="22"/>
        <v>0</v>
      </c>
      <c r="T260" s="2244"/>
      <c r="U260" s="1455" t="e">
        <f>+'Đội 1'!W100+'Đội 2'!#REF!+'Đội 3'!W47</f>
        <v>#REF!</v>
      </c>
    </row>
    <row r="261" spans="1:23" s="1470" customFormat="1" ht="24.6" customHeight="1">
      <c r="A261" s="4086" t="s">
        <v>2508</v>
      </c>
      <c r="B261" s="4086"/>
      <c r="C261" s="4086"/>
      <c r="D261" s="4086"/>
      <c r="E261" s="4086"/>
      <c r="F261" s="4086"/>
      <c r="G261" s="4086"/>
      <c r="H261" s="4086"/>
      <c r="I261" s="4086"/>
      <c r="J261" s="4086"/>
      <c r="K261" s="4086"/>
      <c r="L261" s="4086"/>
      <c r="M261" s="4086"/>
      <c r="N261" s="4086"/>
      <c r="O261" s="4086"/>
      <c r="P261" s="4086"/>
      <c r="Q261" s="4086"/>
      <c r="R261" s="4086"/>
      <c r="S261" s="4086"/>
      <c r="T261" s="4086"/>
      <c r="U261" s="1498">
        <f>+'Trạm cán'!K21+BVNT!K46</f>
        <v>106290900</v>
      </c>
      <c r="V261" s="1882" t="e">
        <f>SUBTOTAL(9,V15:V260)</f>
        <v>#REF!</v>
      </c>
    </row>
    <row r="262" spans="1:23" s="38" customFormat="1" ht="24.6" customHeight="1">
      <c r="A262" s="2306"/>
      <c r="B262" s="2306"/>
      <c r="C262" s="4"/>
      <c r="D262" s="4"/>
      <c r="E262" s="2305"/>
      <c r="F262" s="2299"/>
      <c r="G262" s="2299"/>
      <c r="H262" s="115"/>
      <c r="I262" s="6"/>
      <c r="J262" s="2351"/>
      <c r="K262" s="19"/>
      <c r="L262" s="4089" t="s">
        <v>2162</v>
      </c>
      <c r="M262" s="4089"/>
      <c r="N262" s="4089"/>
      <c r="O262" s="4089"/>
      <c r="P262" s="4089"/>
      <c r="Q262" s="4089"/>
      <c r="R262" s="4089"/>
      <c r="S262" s="4089"/>
      <c r="T262" s="4089"/>
      <c r="U262" s="1457" t="e">
        <f>+U261+U260</f>
        <v>#REF!</v>
      </c>
    </row>
    <row r="263" spans="1:23" s="2116" customFormat="1" ht="24.6" customHeight="1">
      <c r="A263" s="4088" t="s">
        <v>19</v>
      </c>
      <c r="B263" s="4088"/>
      <c r="C263" s="4088"/>
      <c r="D263" s="4088"/>
      <c r="E263" s="4088"/>
      <c r="F263" s="4088"/>
      <c r="G263" s="4088"/>
      <c r="H263" s="4088" t="s">
        <v>177</v>
      </c>
      <c r="I263" s="4088"/>
      <c r="J263" s="4088"/>
      <c r="K263" s="4088" t="s">
        <v>513</v>
      </c>
      <c r="L263" s="4088"/>
      <c r="M263" s="4088"/>
      <c r="N263" s="4088"/>
      <c r="O263" s="4088"/>
      <c r="P263" s="4087" t="s">
        <v>21</v>
      </c>
      <c r="Q263" s="4087"/>
      <c r="R263" s="4087"/>
      <c r="S263" s="4087"/>
      <c r="T263" s="4087"/>
      <c r="U263" s="2117" t="e">
        <f>+K260-U262</f>
        <v>#REF!</v>
      </c>
    </row>
    <row r="264" spans="1:23" s="38" customFormat="1" ht="24.6" customHeight="1">
      <c r="A264" s="913"/>
      <c r="B264" s="913"/>
      <c r="C264" s="4"/>
      <c r="D264" s="19"/>
      <c r="E264" s="2305"/>
      <c r="F264" s="2299"/>
      <c r="G264" s="2299"/>
      <c r="H264" s="115"/>
      <c r="I264" s="6"/>
      <c r="J264" s="2351"/>
      <c r="K264" s="2358"/>
      <c r="L264" s="19"/>
      <c r="M264" s="4"/>
      <c r="N264" s="19"/>
      <c r="O264" s="19"/>
      <c r="P264" s="4"/>
      <c r="Q264" s="4"/>
      <c r="R264" s="4"/>
      <c r="S264" s="4"/>
      <c r="T264" s="2359"/>
      <c r="W264" s="38">
        <v>112</v>
      </c>
    </row>
    <row r="265" spans="1:23" s="38" customFormat="1" ht="32.25" customHeight="1">
      <c r="A265" s="912"/>
      <c r="B265" s="912"/>
      <c r="C265" s="4"/>
      <c r="D265" s="19"/>
      <c r="E265" s="2305"/>
      <c r="F265" s="2299"/>
      <c r="G265" s="2299"/>
      <c r="H265" s="8"/>
      <c r="I265" s="6"/>
      <c r="J265" s="2351"/>
      <c r="K265" s="479"/>
      <c r="L265" s="4"/>
      <c r="M265" s="4"/>
      <c r="N265" s="4"/>
      <c r="O265" s="4"/>
      <c r="P265" s="4"/>
      <c r="Q265" s="4"/>
      <c r="R265" s="4"/>
      <c r="S265" s="4"/>
      <c r="T265" s="2357"/>
    </row>
    <row r="266" spans="1:23" s="38" customFormat="1" ht="24.6" customHeight="1">
      <c r="A266" s="913"/>
      <c r="B266" s="913"/>
      <c r="C266" s="4"/>
      <c r="D266" s="19"/>
      <c r="E266" s="2305"/>
      <c r="F266" s="2299"/>
      <c r="G266" s="2299"/>
      <c r="H266" s="19"/>
      <c r="I266" s="4084"/>
      <c r="J266" s="4084"/>
      <c r="K266" s="4094"/>
      <c r="L266" s="4094"/>
      <c r="M266" s="4"/>
      <c r="N266" s="19"/>
      <c r="O266" s="19"/>
      <c r="P266" s="4"/>
      <c r="Q266" s="4"/>
      <c r="R266" s="6"/>
      <c r="S266" s="6"/>
      <c r="T266" s="2357"/>
    </row>
    <row r="267" spans="1:23" s="905" customFormat="1" ht="24.6" customHeight="1">
      <c r="A267" s="912"/>
      <c r="B267" s="912"/>
      <c r="C267" s="4"/>
      <c r="D267" s="19"/>
      <c r="E267" s="2305"/>
      <c r="F267" s="914"/>
      <c r="G267" s="2299"/>
      <c r="H267" s="4"/>
      <c r="I267" s="4085"/>
      <c r="J267" s="4085"/>
      <c r="K267" s="4094"/>
      <c r="L267" s="4094"/>
      <c r="M267" s="4"/>
      <c r="N267" s="19"/>
      <c r="O267" s="19"/>
      <c r="P267" s="4"/>
      <c r="Q267" s="218"/>
      <c r="R267" s="2360"/>
      <c r="S267" s="2360"/>
      <c r="T267" s="218"/>
    </row>
    <row r="268" spans="1:23" s="905" customFormat="1" ht="24.6" customHeight="1">
      <c r="A268" s="4083"/>
      <c r="B268" s="4083"/>
      <c r="C268" s="4083"/>
      <c r="D268" s="4083"/>
      <c r="E268" s="4083"/>
      <c r="F268" s="4083"/>
      <c r="G268" s="4083"/>
      <c r="H268" s="4082"/>
      <c r="I268" s="4082"/>
      <c r="J268" s="4082"/>
      <c r="K268" s="4094"/>
      <c r="L268" s="4094"/>
      <c r="M268" s="4"/>
      <c r="N268" s="19"/>
      <c r="O268" s="19"/>
      <c r="P268" s="4"/>
      <c r="Q268" s="4092"/>
      <c r="R268" s="4093"/>
      <c r="S268" s="2387"/>
      <c r="T268" s="218"/>
    </row>
    <row r="269" spans="1:23" s="905" customFormat="1" ht="24.6" customHeight="1">
      <c r="A269" s="913"/>
      <c r="B269" s="913"/>
      <c r="C269" s="4"/>
      <c r="D269" s="19"/>
      <c r="E269" s="2305"/>
      <c r="F269" s="914"/>
      <c r="G269" s="2304"/>
      <c r="H269" s="4"/>
      <c r="I269" s="6"/>
      <c r="J269" s="2351"/>
      <c r="K269" s="8"/>
      <c r="L269" s="4"/>
      <c r="M269" s="4"/>
      <c r="N269" s="19"/>
      <c r="O269" s="19"/>
      <c r="P269" s="4"/>
      <c r="Q269" s="4"/>
      <c r="R269" s="921"/>
      <c r="S269" s="921"/>
      <c r="T269" s="2361"/>
    </row>
    <row r="270" spans="1:23" s="905" customFormat="1" ht="24.6" customHeight="1">
      <c r="A270" s="912"/>
      <c r="B270" s="912"/>
      <c r="C270" s="4"/>
      <c r="D270" s="19"/>
      <c r="E270" s="2305"/>
      <c r="F270" s="915"/>
      <c r="G270" s="2304"/>
      <c r="H270" s="4"/>
      <c r="I270" s="6"/>
      <c r="J270" s="2351"/>
      <c r="K270" s="8"/>
      <c r="L270" s="19"/>
      <c r="M270" s="19"/>
      <c r="N270" s="19"/>
      <c r="O270" s="19"/>
      <c r="P270" s="4091"/>
      <c r="Q270" s="4091"/>
      <c r="R270" s="19"/>
      <c r="S270" s="19"/>
      <c r="T270" s="218"/>
    </row>
    <row r="271" spans="1:23" s="905" customFormat="1" ht="24.6" customHeight="1">
      <c r="A271" s="913"/>
      <c r="B271" s="913"/>
      <c r="C271" s="4"/>
      <c r="D271" s="19"/>
      <c r="E271" s="2305"/>
      <c r="F271" s="2299"/>
      <c r="G271" s="2299"/>
      <c r="H271" s="4"/>
      <c r="I271" s="6"/>
      <c r="J271" s="2351"/>
      <c r="K271" s="8"/>
      <c r="L271" s="19"/>
      <c r="M271" s="19"/>
      <c r="N271" s="19"/>
      <c r="O271" s="19"/>
      <c r="P271" s="19"/>
      <c r="Q271" s="19"/>
      <c r="R271" s="4"/>
      <c r="S271" s="4"/>
      <c r="T271" s="218"/>
    </row>
    <row r="272" spans="1:23" s="905" customFormat="1" ht="24.6" customHeight="1">
      <c r="A272" s="913"/>
      <c r="B272" s="913"/>
      <c r="C272" s="4"/>
      <c r="D272" s="4"/>
      <c r="E272" s="2305"/>
      <c r="F272" s="2299"/>
      <c r="G272" s="2299"/>
      <c r="H272" s="4"/>
      <c r="I272" s="6"/>
      <c r="J272" s="2351"/>
      <c r="K272" s="19"/>
      <c r="L272" s="19"/>
      <c r="M272" s="19"/>
      <c r="N272" s="19"/>
      <c r="O272" s="19"/>
      <c r="P272" s="19"/>
      <c r="Q272" s="19"/>
      <c r="R272" s="4"/>
      <c r="S272" s="4"/>
      <c r="T272" s="218"/>
    </row>
    <row r="273" spans="1:20" s="905" customFormat="1" ht="24.6" customHeight="1">
      <c r="A273" s="912"/>
      <c r="B273" s="912"/>
      <c r="C273" s="4"/>
      <c r="D273" s="4"/>
      <c r="E273" s="2305"/>
      <c r="F273" s="2299"/>
      <c r="G273" s="2299"/>
      <c r="H273" s="4"/>
      <c r="I273" s="6"/>
      <c r="J273" s="2351"/>
      <c r="K273" s="19"/>
      <c r="L273" s="4090"/>
      <c r="M273" s="4090"/>
      <c r="N273" s="4090"/>
      <c r="O273" s="4090"/>
      <c r="P273" s="4090"/>
      <c r="Q273" s="2302"/>
      <c r="R273" s="2302"/>
      <c r="S273" s="2384"/>
      <c r="T273" s="218"/>
    </row>
    <row r="274" spans="1:20" s="905" customFormat="1" ht="24.6" customHeight="1">
      <c r="A274" s="912"/>
      <c r="B274" s="912"/>
      <c r="C274" s="4"/>
      <c r="D274" s="4"/>
      <c r="E274" s="2305"/>
      <c r="F274" s="2299"/>
      <c r="G274" s="2299"/>
      <c r="H274" s="4"/>
      <c r="I274" s="6"/>
      <c r="J274" s="2351"/>
      <c r="K274" s="8"/>
      <c r="L274" s="4"/>
      <c r="M274" s="4"/>
      <c r="N274" s="4"/>
      <c r="O274" s="4"/>
      <c r="P274" s="4"/>
      <c r="Q274" s="4"/>
      <c r="R274" s="4"/>
      <c r="S274" s="4"/>
      <c r="T274" s="218"/>
    </row>
    <row r="275" spans="1:20" s="905" customFormat="1" ht="24.6" customHeight="1">
      <c r="A275" s="912"/>
      <c r="B275" s="912"/>
      <c r="C275" s="4"/>
      <c r="D275" s="4"/>
      <c r="E275" s="2305"/>
      <c r="F275" s="2299"/>
      <c r="G275" s="2299"/>
      <c r="H275" s="4"/>
      <c r="I275" s="6"/>
      <c r="J275" s="2351"/>
      <c r="K275" s="4"/>
      <c r="L275" s="4"/>
      <c r="M275" s="4"/>
      <c r="N275" s="4"/>
      <c r="O275" s="4"/>
      <c r="P275" s="4"/>
      <c r="Q275" s="4"/>
      <c r="R275" s="4"/>
      <c r="S275" s="4"/>
      <c r="T275" s="218"/>
    </row>
    <row r="276" spans="1:20" s="38" customFormat="1" ht="24.6" customHeight="1">
      <c r="A276" s="4"/>
      <c r="B276" s="4"/>
      <c r="C276" s="4"/>
      <c r="D276" s="4"/>
      <c r="E276" s="2305"/>
      <c r="F276" s="2299"/>
      <c r="G276" s="2299"/>
      <c r="H276" s="4"/>
      <c r="I276" s="6"/>
      <c r="J276" s="2351"/>
      <c r="K276" s="4"/>
      <c r="L276" s="4"/>
      <c r="M276" s="4"/>
      <c r="N276" s="4"/>
      <c r="O276" s="4"/>
      <c r="P276" s="4"/>
      <c r="Q276" s="4"/>
      <c r="R276" s="4"/>
      <c r="S276" s="4"/>
      <c r="T276" s="2357"/>
    </row>
    <row r="277" spans="1:20" s="38" customFormat="1" ht="30" customHeight="1">
      <c r="A277" s="9"/>
      <c r="B277" s="9"/>
      <c r="C277" s="4"/>
      <c r="D277" s="4"/>
      <c r="E277" s="2305"/>
      <c r="F277" s="2299"/>
      <c r="G277" s="2299"/>
      <c r="H277" s="4"/>
      <c r="I277" s="6"/>
      <c r="J277" s="2351"/>
      <c r="K277" s="4"/>
      <c r="L277" s="4"/>
      <c r="M277" s="4"/>
      <c r="N277" s="4"/>
      <c r="O277" s="4"/>
      <c r="P277" s="4"/>
      <c r="Q277" s="4"/>
      <c r="R277" s="4"/>
      <c r="S277" s="4"/>
      <c r="T277" s="2357"/>
    </row>
    <row r="278" spans="1:20" ht="21" customHeight="1">
      <c r="K278" s="8"/>
      <c r="R278" s="2303"/>
      <c r="S278" s="2385"/>
    </row>
    <row r="279" spans="1:20" s="9" customFormat="1" ht="21.75" customHeight="1">
      <c r="A279" s="4"/>
      <c r="B279" s="4"/>
      <c r="C279" s="4"/>
      <c r="D279" s="4"/>
      <c r="E279" s="2305"/>
      <c r="F279" s="2299"/>
      <c r="G279" s="2299"/>
      <c r="H279" s="4"/>
      <c r="I279" s="6"/>
      <c r="J279" s="2351"/>
      <c r="K279" s="8"/>
      <c r="L279" s="4"/>
      <c r="M279" s="4"/>
      <c r="N279" s="4"/>
      <c r="O279" s="4"/>
      <c r="P279" s="4"/>
      <c r="Q279" s="4"/>
      <c r="R279" s="4"/>
      <c r="S279" s="4"/>
    </row>
    <row r="281" spans="1:20">
      <c r="E281" s="4"/>
      <c r="F281" s="4"/>
      <c r="G281" s="4"/>
      <c r="J281" s="6"/>
      <c r="K281" s="19"/>
      <c r="N281" s="19"/>
      <c r="O281" s="19"/>
    </row>
    <row r="284" spans="1:20">
      <c r="E284" s="4"/>
      <c r="F284" s="4"/>
      <c r="G284" s="4"/>
      <c r="J284" s="6"/>
    </row>
    <row r="289" spans="5:10">
      <c r="E289" s="4"/>
      <c r="F289" s="4"/>
      <c r="G289" s="4"/>
      <c r="J289" s="6"/>
    </row>
    <row r="294" spans="5:10">
      <c r="E294" s="4"/>
      <c r="F294" s="4"/>
      <c r="G294" s="4"/>
      <c r="J294" s="6"/>
    </row>
  </sheetData>
  <sortState ref="D16:E66">
    <sortCondition ref="D25:D79"/>
  </sortState>
  <mergeCells count="52">
    <mergeCell ref="A48:G48"/>
    <mergeCell ref="A14:G14"/>
    <mergeCell ref="A260:G260"/>
    <mergeCell ref="A250:G250"/>
    <mergeCell ref="A255:D255"/>
    <mergeCell ref="L273:P273"/>
    <mergeCell ref="P270:Q270"/>
    <mergeCell ref="Q268:R268"/>
    <mergeCell ref="K266:L266"/>
    <mergeCell ref="K267:L267"/>
    <mergeCell ref="K268:L268"/>
    <mergeCell ref="H268:J268"/>
    <mergeCell ref="A268:G268"/>
    <mergeCell ref="I266:J266"/>
    <mergeCell ref="I267:J267"/>
    <mergeCell ref="A261:T261"/>
    <mergeCell ref="P263:T263"/>
    <mergeCell ref="K263:O263"/>
    <mergeCell ref="A263:G263"/>
    <mergeCell ref="H263:J263"/>
    <mergeCell ref="L262:T262"/>
    <mergeCell ref="F12:F13"/>
    <mergeCell ref="A7:T7"/>
    <mergeCell ref="A8:T8"/>
    <mergeCell ref="K12:K13"/>
    <mergeCell ref="C10:D10"/>
    <mergeCell ref="G12:G13"/>
    <mergeCell ref="S12:S13"/>
    <mergeCell ref="A12:B13"/>
    <mergeCell ref="R12:R13"/>
    <mergeCell ref="L12:L13"/>
    <mergeCell ref="P12:P13"/>
    <mergeCell ref="O12:O13"/>
    <mergeCell ref="H12:H13"/>
    <mergeCell ref="I12:I13"/>
    <mergeCell ref="J12:J13"/>
    <mergeCell ref="A1:T1"/>
    <mergeCell ref="A2:T2"/>
    <mergeCell ref="T12:T13"/>
    <mergeCell ref="A3:T3"/>
    <mergeCell ref="E9:G9"/>
    <mergeCell ref="E10:G10"/>
    <mergeCell ref="N12:N13"/>
    <mergeCell ref="M12:M13"/>
    <mergeCell ref="R11:T11"/>
    <mergeCell ref="C12:C13"/>
    <mergeCell ref="D12:D13"/>
    <mergeCell ref="A4:H4"/>
    <mergeCell ref="A5:H5"/>
    <mergeCell ref="Q12:Q13"/>
    <mergeCell ref="E12:E13"/>
    <mergeCell ref="F11:G11"/>
  </mergeCells>
  <phoneticPr fontId="36" type="noConversion"/>
  <printOptions horizontalCentered="1"/>
  <pageMargins left="0.23622047244094491" right="0.23622047244094491" top="0.59055118110236227" bottom="0.35433070866141736" header="0.31496062992125984" footer="0.27559055118110237"/>
  <pageSetup paperSize="9" scale="7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1"/>
  <sheetViews>
    <sheetView topLeftCell="A138" workbookViewId="0">
      <selection activeCell="E131" sqref="E131"/>
    </sheetView>
  </sheetViews>
  <sheetFormatPr defaultRowHeight="12.75"/>
  <cols>
    <col min="1" max="1" width="5.5703125" style="31" customWidth="1"/>
    <col min="2" max="2" width="4.7109375" style="31" customWidth="1"/>
    <col min="3" max="3" width="25" style="31" customWidth="1"/>
    <col min="4" max="5" width="12.28515625" style="31" customWidth="1"/>
    <col min="6" max="6" width="14.140625" style="31" customWidth="1"/>
    <col min="7" max="7" width="17.42578125" style="31" customWidth="1"/>
    <col min="8" max="8" width="14.28515625" style="31" customWidth="1"/>
    <col min="9" max="9" width="9.140625" style="31"/>
    <col min="10" max="10" width="12" style="31" bestFit="1" customWidth="1"/>
    <col min="11" max="11" width="12.85546875" style="31" customWidth="1"/>
    <col min="12" max="16384" width="9.140625" style="31"/>
  </cols>
  <sheetData>
    <row r="1" spans="1:14" ht="16.5">
      <c r="A1" s="4105" t="s">
        <v>23</v>
      </c>
      <c r="B1" s="4105"/>
      <c r="C1" s="4105"/>
      <c r="D1" s="4105"/>
      <c r="E1" s="4105"/>
      <c r="F1" s="4105"/>
      <c r="G1" s="4105"/>
      <c r="H1" s="4105"/>
      <c r="I1" s="3411"/>
      <c r="J1" s="3411"/>
      <c r="K1" s="3411"/>
      <c r="L1" s="3411"/>
      <c r="M1" s="3411"/>
      <c r="N1" s="3411"/>
    </row>
    <row r="2" spans="1:14" ht="16.5">
      <c r="A2" s="4105" t="s">
        <v>45</v>
      </c>
      <c r="B2" s="4105"/>
      <c r="C2" s="4105"/>
      <c r="D2" s="4105"/>
      <c r="E2" s="4105"/>
      <c r="F2" s="4105"/>
      <c r="G2" s="4105"/>
      <c r="H2" s="4105"/>
      <c r="I2" s="3411"/>
      <c r="J2" s="3411"/>
      <c r="K2" s="3411"/>
      <c r="L2" s="3411"/>
      <c r="M2" s="3411"/>
      <c r="N2" s="3411"/>
    </row>
    <row r="3" spans="1:14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2096"/>
      <c r="J3" s="2096"/>
      <c r="K3" s="2096"/>
      <c r="L3" s="2096"/>
      <c r="M3" s="2096"/>
      <c r="N3" s="2096"/>
    </row>
    <row r="4" spans="1:14" ht="16.5">
      <c r="A4" s="4106" t="s">
        <v>1482</v>
      </c>
      <c r="B4" s="4106"/>
      <c r="C4" s="4106"/>
      <c r="D4" s="4106"/>
      <c r="E4" s="4106"/>
      <c r="F4" s="4106"/>
      <c r="G4" s="3410"/>
      <c r="H4" s="3410"/>
      <c r="I4" s="3410"/>
      <c r="J4" s="3410"/>
      <c r="K4" s="3410"/>
      <c r="L4" s="2116"/>
      <c r="M4" s="3410"/>
      <c r="N4" s="3410"/>
    </row>
    <row r="5" spans="1:14" ht="16.5">
      <c r="A5" s="4105" t="s">
        <v>1153</v>
      </c>
      <c r="B5" s="4105"/>
      <c r="C5" s="4105"/>
      <c r="D5" s="4105"/>
      <c r="E5" s="4105"/>
      <c r="F5" s="4105"/>
      <c r="G5" s="3411"/>
      <c r="H5" s="3411"/>
      <c r="I5" s="3411"/>
      <c r="J5" s="3411"/>
      <c r="K5" s="3411"/>
      <c r="L5" s="2116"/>
      <c r="M5" s="3410"/>
      <c r="N5" s="3410"/>
    </row>
    <row r="6" spans="1:14" ht="16.5">
      <c r="B6" s="3410"/>
      <c r="C6" s="3410"/>
      <c r="D6" s="3410"/>
      <c r="E6" s="3410"/>
      <c r="F6" s="3410"/>
      <c r="G6" s="3410"/>
      <c r="H6" s="3410"/>
      <c r="I6" s="3410"/>
      <c r="J6" s="3410"/>
      <c r="K6" s="3410"/>
      <c r="L6" s="2116"/>
      <c r="M6" s="3410"/>
      <c r="N6" s="3410"/>
    </row>
    <row r="7" spans="1:14" ht="59.25" customHeight="1">
      <c r="A7" s="4112" t="s">
        <v>2107</v>
      </c>
      <c r="B7" s="4112"/>
      <c r="C7" s="4112"/>
      <c r="D7" s="4112"/>
      <c r="E7" s="4112"/>
      <c r="F7" s="4112"/>
      <c r="G7" s="4112"/>
      <c r="H7" s="4112"/>
      <c r="I7" s="3412"/>
      <c r="J7" s="3412"/>
      <c r="K7" s="3412"/>
      <c r="L7" s="3412"/>
      <c r="M7" s="3412"/>
      <c r="N7" s="3412"/>
    </row>
    <row r="8" spans="1:14" ht="16.5">
      <c r="B8" s="4113"/>
      <c r="C8" s="4113"/>
      <c r="D8" s="4113"/>
      <c r="E8" s="4113"/>
      <c r="F8" s="4113"/>
      <c r="G8" s="4113"/>
      <c r="H8" s="4113"/>
      <c r="I8" s="4113"/>
      <c r="J8" s="4113"/>
      <c r="K8" s="4113"/>
      <c r="L8" s="4113"/>
      <c r="M8" s="4113"/>
      <c r="N8" s="4113"/>
    </row>
    <row r="9" spans="1:14" ht="33">
      <c r="A9" s="4114" t="s">
        <v>0</v>
      </c>
      <c r="B9" s="4114"/>
      <c r="C9" s="3424" t="s">
        <v>1</v>
      </c>
      <c r="D9" s="3424" t="s">
        <v>2014</v>
      </c>
      <c r="E9" s="3426" t="s">
        <v>2103</v>
      </c>
      <c r="F9" s="3426" t="s">
        <v>2105</v>
      </c>
      <c r="G9" s="3426" t="s">
        <v>2104</v>
      </c>
      <c r="H9" s="3424" t="s">
        <v>10</v>
      </c>
      <c r="I9" s="2270"/>
      <c r="J9" s="2270"/>
      <c r="K9" s="2270"/>
      <c r="L9" s="2270"/>
      <c r="M9" s="2270"/>
      <c r="N9" s="2270"/>
    </row>
    <row r="10" spans="1:14" ht="16.5">
      <c r="A10" s="2271">
        <v>1</v>
      </c>
      <c r="B10" s="2271">
        <v>1</v>
      </c>
      <c r="C10" s="2271" t="s">
        <v>1675</v>
      </c>
      <c r="D10" s="3425" t="s">
        <v>451</v>
      </c>
      <c r="E10" s="3425" t="e">
        <f>+VLOOKUP(C10,'Phụ cấp cây non'!#REF!,35,0)</f>
        <v>#REF!</v>
      </c>
      <c r="F10" s="2275">
        <v>120000</v>
      </c>
      <c r="G10" s="3428" t="e">
        <f>+E10*F10</f>
        <v>#REF!</v>
      </c>
      <c r="H10" s="2271"/>
    </row>
    <row r="11" spans="1:14" ht="16.5">
      <c r="A11" s="2271">
        <v>2</v>
      </c>
      <c r="B11" s="2271">
        <v>2</v>
      </c>
      <c r="C11" s="2271" t="s">
        <v>1304</v>
      </c>
      <c r="D11" s="3425" t="s">
        <v>451</v>
      </c>
      <c r="E11" s="3425" t="e">
        <f>+VLOOKUP(C11,'Phụ cấp cây non'!#REF!,35,0)</f>
        <v>#REF!</v>
      </c>
      <c r="F11" s="2275">
        <v>120000</v>
      </c>
      <c r="G11" s="3428" t="e">
        <f t="shared" ref="G11:G40" si="0">+E11*F11</f>
        <v>#REF!</v>
      </c>
      <c r="H11" s="2271"/>
    </row>
    <row r="12" spans="1:14" ht="16.5">
      <c r="A12" s="2271">
        <v>3</v>
      </c>
      <c r="B12" s="2271">
        <v>3</v>
      </c>
      <c r="C12" s="2271" t="s">
        <v>1925</v>
      </c>
      <c r="D12" s="3425" t="s">
        <v>451</v>
      </c>
      <c r="E12" s="3425" t="e">
        <f>+VLOOKUP(C12,'Phụ cấp cây non'!#REF!,35,0)</f>
        <v>#REF!</v>
      </c>
      <c r="F12" s="2275">
        <v>120000</v>
      </c>
      <c r="G12" s="3428" t="e">
        <f t="shared" si="0"/>
        <v>#REF!</v>
      </c>
      <c r="H12" s="2271"/>
    </row>
    <row r="13" spans="1:14" ht="16.5">
      <c r="A13" s="2271">
        <v>4</v>
      </c>
      <c r="B13" s="2271">
        <v>4</v>
      </c>
      <c r="C13" s="2271" t="s">
        <v>1918</v>
      </c>
      <c r="D13" s="3425" t="s">
        <v>451</v>
      </c>
      <c r="E13" s="3425" t="e">
        <f>+VLOOKUP(C13,'Phụ cấp cây non'!#REF!,35,0)</f>
        <v>#REF!</v>
      </c>
      <c r="F13" s="2275">
        <v>120000</v>
      </c>
      <c r="G13" s="3428" t="e">
        <f t="shared" si="0"/>
        <v>#REF!</v>
      </c>
      <c r="H13" s="2271"/>
    </row>
    <row r="14" spans="1:14" ht="16.5">
      <c r="A14" s="2271">
        <v>5</v>
      </c>
      <c r="B14" s="2271">
        <v>5</v>
      </c>
      <c r="C14" s="2271" t="s">
        <v>1926</v>
      </c>
      <c r="D14" s="3425" t="s">
        <v>451</v>
      </c>
      <c r="E14" s="3425" t="e">
        <f>+VLOOKUP(C14,'Phụ cấp cây non'!#REF!,35,0)</f>
        <v>#REF!</v>
      </c>
      <c r="F14" s="2275">
        <v>120000</v>
      </c>
      <c r="G14" s="3428" t="e">
        <f t="shared" si="0"/>
        <v>#REF!</v>
      </c>
      <c r="H14" s="2271"/>
    </row>
    <row r="15" spans="1:14" ht="16.5">
      <c r="A15" s="2271">
        <v>6</v>
      </c>
      <c r="B15" s="2271">
        <v>6</v>
      </c>
      <c r="C15" s="2271" t="s">
        <v>1238</v>
      </c>
      <c r="D15" s="3425" t="s">
        <v>451</v>
      </c>
      <c r="E15" s="3425" t="e">
        <f>+VLOOKUP(C15,'Phụ cấp cây non'!#REF!,35,0)</f>
        <v>#REF!</v>
      </c>
      <c r="F15" s="2275">
        <v>120000</v>
      </c>
      <c r="G15" s="3428" t="e">
        <f t="shared" si="0"/>
        <v>#REF!</v>
      </c>
      <c r="H15" s="2271"/>
    </row>
    <row r="16" spans="1:14" ht="16.5">
      <c r="A16" s="2271">
        <v>7</v>
      </c>
      <c r="B16" s="2271">
        <v>7</v>
      </c>
      <c r="C16" s="2271" t="s">
        <v>1552</v>
      </c>
      <c r="D16" s="3425" t="s">
        <v>451</v>
      </c>
      <c r="E16" s="3425" t="e">
        <f>+VLOOKUP(C16,'Phụ cấp cây non'!#REF!,35,0)</f>
        <v>#REF!</v>
      </c>
      <c r="F16" s="2275">
        <v>120000</v>
      </c>
      <c r="G16" s="3428" t="e">
        <f t="shared" si="0"/>
        <v>#REF!</v>
      </c>
      <c r="H16" s="2271"/>
    </row>
    <row r="17" spans="1:8" ht="16.5">
      <c r="A17" s="2271">
        <v>8</v>
      </c>
      <c r="B17" s="2271">
        <v>8</v>
      </c>
      <c r="C17" s="2271" t="s">
        <v>1525</v>
      </c>
      <c r="D17" s="3425" t="s">
        <v>451</v>
      </c>
      <c r="E17" s="3425" t="e">
        <f>+VLOOKUP(C17,'Phụ cấp cây non'!#REF!,35,0)</f>
        <v>#REF!</v>
      </c>
      <c r="F17" s="2275">
        <v>120000</v>
      </c>
      <c r="G17" s="3428" t="e">
        <f t="shared" si="0"/>
        <v>#REF!</v>
      </c>
      <c r="H17" s="2271"/>
    </row>
    <row r="18" spans="1:8" ht="16.5">
      <c r="A18" s="2271">
        <v>9</v>
      </c>
      <c r="B18" s="2271">
        <v>9</v>
      </c>
      <c r="C18" s="2271" t="s">
        <v>1554</v>
      </c>
      <c r="D18" s="3425" t="s">
        <v>451</v>
      </c>
      <c r="E18" s="3425" t="e">
        <f>+VLOOKUP(C18,'Phụ cấp cây non'!#REF!,35,0)</f>
        <v>#REF!</v>
      </c>
      <c r="F18" s="2275">
        <v>120000</v>
      </c>
      <c r="G18" s="3428" t="e">
        <f t="shared" si="0"/>
        <v>#REF!</v>
      </c>
      <c r="H18" s="2271"/>
    </row>
    <row r="19" spans="1:8" ht="16.5">
      <c r="A19" s="2271">
        <v>10</v>
      </c>
      <c r="B19" s="2271">
        <v>10</v>
      </c>
      <c r="C19" s="2271" t="s">
        <v>1919</v>
      </c>
      <c r="D19" s="3425" t="s">
        <v>451</v>
      </c>
      <c r="E19" s="3425" t="e">
        <f>+VLOOKUP(C19,'Phụ cấp cây non'!#REF!,35,0)</f>
        <v>#REF!</v>
      </c>
      <c r="F19" s="2275">
        <v>120000</v>
      </c>
      <c r="G19" s="3428" t="e">
        <f t="shared" si="0"/>
        <v>#REF!</v>
      </c>
      <c r="H19" s="2271"/>
    </row>
    <row r="20" spans="1:8" ht="16.5">
      <c r="A20" s="2271">
        <v>11</v>
      </c>
      <c r="B20" s="2271">
        <v>11</v>
      </c>
      <c r="C20" s="2271" t="s">
        <v>1555</v>
      </c>
      <c r="D20" s="3425" t="s">
        <v>451</v>
      </c>
      <c r="E20" s="3425" t="e">
        <f>+VLOOKUP(C20,'Phụ cấp cây non'!#REF!,35,0)</f>
        <v>#REF!</v>
      </c>
      <c r="F20" s="2275">
        <v>120000</v>
      </c>
      <c r="G20" s="3428" t="e">
        <f t="shared" si="0"/>
        <v>#REF!</v>
      </c>
      <c r="H20" s="2271"/>
    </row>
    <row r="21" spans="1:8" ht="16.5">
      <c r="A21" s="2271">
        <v>12</v>
      </c>
      <c r="B21" s="2271">
        <v>12</v>
      </c>
      <c r="C21" s="2271" t="s">
        <v>552</v>
      </c>
      <c r="D21" s="3425" t="s">
        <v>451</v>
      </c>
      <c r="E21" s="3425" t="e">
        <f>+VLOOKUP(C21,'Phụ cấp cây non'!#REF!,35,0)</f>
        <v>#REF!</v>
      </c>
      <c r="F21" s="2275">
        <v>120000</v>
      </c>
      <c r="G21" s="3428" t="e">
        <f t="shared" si="0"/>
        <v>#REF!</v>
      </c>
      <c r="H21" s="2271"/>
    </row>
    <row r="22" spans="1:8" ht="16.5">
      <c r="A22" s="2271">
        <v>13</v>
      </c>
      <c r="B22" s="2271">
        <v>13</v>
      </c>
      <c r="C22" s="2271" t="s">
        <v>1920</v>
      </c>
      <c r="D22" s="3425" t="s">
        <v>451</v>
      </c>
      <c r="E22" s="3425" t="e">
        <f>+VLOOKUP(C22,'Phụ cấp cây non'!#REF!,35,0)</f>
        <v>#REF!</v>
      </c>
      <c r="F22" s="2275">
        <v>120000</v>
      </c>
      <c r="G22" s="3428" t="e">
        <f t="shared" si="0"/>
        <v>#REF!</v>
      </c>
      <c r="H22" s="2271"/>
    </row>
    <row r="23" spans="1:8" ht="16.5">
      <c r="A23" s="2271">
        <v>14</v>
      </c>
      <c r="B23" s="2271">
        <v>14</v>
      </c>
      <c r="C23" s="2271" t="s">
        <v>1967</v>
      </c>
      <c r="D23" s="3425" t="s">
        <v>451</v>
      </c>
      <c r="E23" s="3425" t="e">
        <f>+VLOOKUP(C23,'Phụ cấp cây non'!#REF!,35,0)</f>
        <v>#REF!</v>
      </c>
      <c r="F23" s="2275">
        <v>120000</v>
      </c>
      <c r="G23" s="3428" t="e">
        <f t="shared" si="0"/>
        <v>#REF!</v>
      </c>
      <c r="H23" s="2271"/>
    </row>
    <row r="24" spans="1:8" ht="16.5">
      <c r="A24" s="2271">
        <v>15</v>
      </c>
      <c r="B24" s="2271">
        <v>15</v>
      </c>
      <c r="C24" s="2271" t="s">
        <v>1236</v>
      </c>
      <c r="D24" s="3425" t="s">
        <v>451</v>
      </c>
      <c r="E24" s="3425" t="e">
        <f>+VLOOKUP(C24,'Phụ cấp cây non'!#REF!,35,0)</f>
        <v>#REF!</v>
      </c>
      <c r="F24" s="2275">
        <v>120000</v>
      </c>
      <c r="G24" s="3428" t="e">
        <f t="shared" si="0"/>
        <v>#REF!</v>
      </c>
      <c r="H24" s="2271"/>
    </row>
    <row r="25" spans="1:8" ht="16.5">
      <c r="A25" s="2271">
        <v>16</v>
      </c>
      <c r="B25" s="2271">
        <v>16</v>
      </c>
      <c r="C25" s="2271" t="s">
        <v>1676</v>
      </c>
      <c r="D25" s="3425" t="s">
        <v>451</v>
      </c>
      <c r="E25" s="3425" t="e">
        <f>+VLOOKUP(C25,'Phụ cấp cây non'!#REF!,35,0)</f>
        <v>#REF!</v>
      </c>
      <c r="F25" s="2275">
        <v>120000</v>
      </c>
      <c r="G25" s="3428" t="e">
        <f t="shared" si="0"/>
        <v>#REF!</v>
      </c>
      <c r="H25" s="2271"/>
    </row>
    <row r="26" spans="1:8" ht="16.5">
      <c r="A26" s="2271">
        <v>17</v>
      </c>
      <c r="B26" s="2271">
        <v>17</v>
      </c>
      <c r="C26" s="2271" t="s">
        <v>289</v>
      </c>
      <c r="D26" s="3425" t="s">
        <v>451</v>
      </c>
      <c r="E26" s="3425" t="e">
        <f>+VLOOKUP(C26,'Phụ cấp cây non'!#REF!,35,0)</f>
        <v>#REF!</v>
      </c>
      <c r="F26" s="2275">
        <v>120000</v>
      </c>
      <c r="G26" s="3428" t="e">
        <f t="shared" si="0"/>
        <v>#REF!</v>
      </c>
      <c r="H26" s="2271"/>
    </row>
    <row r="27" spans="1:8" ht="16.5">
      <c r="A27" s="2271">
        <v>18</v>
      </c>
      <c r="B27" s="2271">
        <v>18</v>
      </c>
      <c r="C27" s="2271" t="s">
        <v>1557</v>
      </c>
      <c r="D27" s="3425" t="s">
        <v>451</v>
      </c>
      <c r="E27" s="3425" t="e">
        <f>+VLOOKUP(C27,'Phụ cấp cây non'!#REF!,35,0)</f>
        <v>#REF!</v>
      </c>
      <c r="F27" s="2275">
        <v>120000</v>
      </c>
      <c r="G27" s="3428" t="e">
        <f t="shared" si="0"/>
        <v>#REF!</v>
      </c>
      <c r="H27" s="2271"/>
    </row>
    <row r="28" spans="1:8" ht="16.5">
      <c r="A28" s="2271">
        <v>19</v>
      </c>
      <c r="B28" s="2271">
        <v>19</v>
      </c>
      <c r="C28" s="2271" t="s">
        <v>1921</v>
      </c>
      <c r="D28" s="3425" t="s">
        <v>451</v>
      </c>
      <c r="E28" s="3425" t="e">
        <f>+VLOOKUP(C28,'Phụ cấp cây non'!#REF!,35,0)</f>
        <v>#REF!</v>
      </c>
      <c r="F28" s="2275">
        <v>120000</v>
      </c>
      <c r="G28" s="3428" t="e">
        <f t="shared" si="0"/>
        <v>#REF!</v>
      </c>
      <c r="H28" s="2271"/>
    </row>
    <row r="29" spans="1:8" ht="16.5">
      <c r="A29" s="2271">
        <v>20</v>
      </c>
      <c r="B29" s="2271">
        <v>20</v>
      </c>
      <c r="C29" s="2271" t="s">
        <v>1558</v>
      </c>
      <c r="D29" s="3425" t="s">
        <v>451</v>
      </c>
      <c r="E29" s="3425" t="e">
        <f>+VLOOKUP(C29,'Phụ cấp cây non'!#REF!,35,0)</f>
        <v>#REF!</v>
      </c>
      <c r="F29" s="2275">
        <v>120000</v>
      </c>
      <c r="G29" s="3428" t="e">
        <f t="shared" si="0"/>
        <v>#REF!</v>
      </c>
      <c r="H29" s="2271"/>
    </row>
    <row r="30" spans="1:8" ht="16.5">
      <c r="A30" s="2271">
        <v>21</v>
      </c>
      <c r="B30" s="2271">
        <v>21</v>
      </c>
      <c r="C30" s="2271" t="s">
        <v>1524</v>
      </c>
      <c r="D30" s="3425" t="s">
        <v>451</v>
      </c>
      <c r="E30" s="3425" t="e">
        <f>+VLOOKUP(C30,'Phụ cấp cây non'!#REF!,35,0)</f>
        <v>#REF!</v>
      </c>
      <c r="F30" s="2275">
        <v>120000</v>
      </c>
      <c r="G30" s="3428" t="e">
        <f t="shared" si="0"/>
        <v>#REF!</v>
      </c>
      <c r="H30" s="2271"/>
    </row>
    <row r="31" spans="1:8" ht="16.5">
      <c r="A31" s="2271">
        <v>22</v>
      </c>
      <c r="B31" s="2271">
        <v>22</v>
      </c>
      <c r="C31" s="2271" t="s">
        <v>1678</v>
      </c>
      <c r="D31" s="3425" t="s">
        <v>451</v>
      </c>
      <c r="E31" s="3425" t="e">
        <f>+VLOOKUP(C31,'Phụ cấp cây non'!#REF!,35,0)</f>
        <v>#REF!</v>
      </c>
      <c r="F31" s="2275">
        <v>120000</v>
      </c>
      <c r="G31" s="3428" t="e">
        <f t="shared" si="0"/>
        <v>#REF!</v>
      </c>
      <c r="H31" s="2271"/>
    </row>
    <row r="32" spans="1:8" ht="16.5">
      <c r="A32" s="2271">
        <v>23</v>
      </c>
      <c r="B32" s="2271">
        <v>23</v>
      </c>
      <c r="C32" s="2271" t="s">
        <v>1528</v>
      </c>
      <c r="D32" s="3425" t="s">
        <v>451</v>
      </c>
      <c r="E32" s="3425" t="e">
        <f>+VLOOKUP(C32,'Phụ cấp cây non'!#REF!,35,0)</f>
        <v>#REF!</v>
      </c>
      <c r="F32" s="2275">
        <v>120000</v>
      </c>
      <c r="G32" s="3428" t="e">
        <f t="shared" si="0"/>
        <v>#REF!</v>
      </c>
      <c r="H32" s="2271"/>
    </row>
    <row r="33" spans="1:8" ht="16.5">
      <c r="A33" s="2271">
        <v>24</v>
      </c>
      <c r="B33" s="2271">
        <v>24</v>
      </c>
      <c r="C33" s="2271" t="s">
        <v>1527</v>
      </c>
      <c r="D33" s="3425" t="s">
        <v>451</v>
      </c>
      <c r="E33" s="3425" t="e">
        <f>+VLOOKUP(C33,'Phụ cấp cây non'!#REF!,35,0)</f>
        <v>#REF!</v>
      </c>
      <c r="F33" s="2275">
        <v>120000</v>
      </c>
      <c r="G33" s="3428" t="e">
        <f t="shared" si="0"/>
        <v>#REF!</v>
      </c>
      <c r="H33" s="2271"/>
    </row>
    <row r="34" spans="1:8" ht="16.5">
      <c r="A34" s="2271">
        <v>25</v>
      </c>
      <c r="B34" s="2271">
        <v>25</v>
      </c>
      <c r="C34" s="2271" t="s">
        <v>1529</v>
      </c>
      <c r="D34" s="3425" t="s">
        <v>451</v>
      </c>
      <c r="E34" s="3425" t="e">
        <f>+VLOOKUP(C34,'Phụ cấp cây non'!#REF!,35,0)</f>
        <v>#REF!</v>
      </c>
      <c r="F34" s="2275">
        <v>120000</v>
      </c>
      <c r="G34" s="3428" t="e">
        <f t="shared" si="0"/>
        <v>#REF!</v>
      </c>
      <c r="H34" s="2271"/>
    </row>
    <row r="35" spans="1:8" ht="16.5">
      <c r="A35" s="2271">
        <v>26</v>
      </c>
      <c r="B35" s="2271">
        <v>26</v>
      </c>
      <c r="C35" s="2271" t="s">
        <v>1922</v>
      </c>
      <c r="D35" s="3425" t="s">
        <v>451</v>
      </c>
      <c r="E35" s="3425" t="e">
        <f>+VLOOKUP(C35,'Phụ cấp cây non'!B12:AI17,35,0)</f>
        <v>#N/A</v>
      </c>
      <c r="F35" s="2275">
        <v>120000</v>
      </c>
      <c r="G35" s="3428" t="e">
        <f t="shared" si="0"/>
        <v>#N/A</v>
      </c>
      <c r="H35" s="2271"/>
    </row>
    <row r="36" spans="1:8" ht="16.5">
      <c r="A36" s="2271">
        <v>27</v>
      </c>
      <c r="B36" s="2271">
        <v>27</v>
      </c>
      <c r="C36" s="2271" t="s">
        <v>1559</v>
      </c>
      <c r="D36" s="3425" t="s">
        <v>451</v>
      </c>
      <c r="E36" s="3425" t="e">
        <f>+VLOOKUP(C36,'Phụ cấp cây non'!B12:AI17,35,0)</f>
        <v>#N/A</v>
      </c>
      <c r="F36" s="2275">
        <v>120000</v>
      </c>
      <c r="G36" s="3428" t="e">
        <f t="shared" si="0"/>
        <v>#N/A</v>
      </c>
      <c r="H36" s="2271"/>
    </row>
    <row r="37" spans="1:8" ht="16.5">
      <c r="A37" s="2271">
        <v>28</v>
      </c>
      <c r="B37" s="2271">
        <v>28</v>
      </c>
      <c r="C37" s="2271" t="s">
        <v>1923</v>
      </c>
      <c r="D37" s="3425" t="s">
        <v>451</v>
      </c>
      <c r="E37" s="3425" t="e">
        <f>+VLOOKUP(C37,'Phụ cấp cây non'!B12:AI17,35,0)</f>
        <v>#N/A</v>
      </c>
      <c r="F37" s="2275">
        <v>120000</v>
      </c>
      <c r="G37" s="3428" t="e">
        <f t="shared" si="0"/>
        <v>#N/A</v>
      </c>
      <c r="H37" s="2271"/>
    </row>
    <row r="38" spans="1:8" ht="16.5">
      <c r="A38" s="2271">
        <v>29</v>
      </c>
      <c r="B38" s="2271">
        <v>29</v>
      </c>
      <c r="C38" s="2271" t="s">
        <v>1488</v>
      </c>
      <c r="D38" s="3425" t="s">
        <v>451</v>
      </c>
      <c r="E38" s="3425" t="e">
        <f>+VLOOKUP(C38,'Phụ cấp cây non'!B12:AI17,35,0)</f>
        <v>#N/A</v>
      </c>
      <c r="F38" s="2275">
        <v>120000</v>
      </c>
      <c r="G38" s="3428" t="e">
        <f t="shared" si="0"/>
        <v>#N/A</v>
      </c>
      <c r="H38" s="2271"/>
    </row>
    <row r="39" spans="1:8" ht="16.5">
      <c r="A39" s="2271">
        <v>30</v>
      </c>
      <c r="B39" s="2271">
        <v>30</v>
      </c>
      <c r="C39" s="2271" t="s">
        <v>1927</v>
      </c>
      <c r="D39" s="3425" t="s">
        <v>451</v>
      </c>
      <c r="E39" s="3425" t="e">
        <f>+VLOOKUP(C39,'Phụ cấp cây non'!B12:AI17,35,0)</f>
        <v>#N/A</v>
      </c>
      <c r="F39" s="2275">
        <v>120000</v>
      </c>
      <c r="G39" s="3428" t="e">
        <f t="shared" si="0"/>
        <v>#N/A</v>
      </c>
      <c r="H39" s="2271"/>
    </row>
    <row r="40" spans="1:8" ht="16.5">
      <c r="A40" s="2271">
        <v>31</v>
      </c>
      <c r="B40" s="2271">
        <v>31</v>
      </c>
      <c r="C40" s="2271" t="s">
        <v>1681</v>
      </c>
      <c r="D40" s="3425" t="s">
        <v>451</v>
      </c>
      <c r="E40" s="3425" t="e">
        <f>+VLOOKUP(C40,'Phụ cấp cây non'!B12:AI17,35,0)</f>
        <v>#N/A</v>
      </c>
      <c r="F40" s="2275">
        <v>120000</v>
      </c>
      <c r="G40" s="3428" t="e">
        <f t="shared" si="0"/>
        <v>#N/A</v>
      </c>
      <c r="H40" s="2271"/>
    </row>
    <row r="41" spans="1:8" ht="16.5">
      <c r="A41" s="2271"/>
      <c r="B41" s="2272" t="s">
        <v>1883</v>
      </c>
      <c r="C41" s="2272"/>
      <c r="D41" s="2272"/>
      <c r="E41" s="3508" t="e">
        <f>SUM(E10:E40)</f>
        <v>#REF!</v>
      </c>
      <c r="F41" s="3551"/>
      <c r="G41" s="2276" t="e">
        <f>SUM(G10:G40)</f>
        <v>#REF!</v>
      </c>
      <c r="H41" s="2272"/>
    </row>
    <row r="42" spans="1:8" ht="16.5">
      <c r="A42" s="2271">
        <v>32</v>
      </c>
      <c r="B42" s="2271">
        <v>1</v>
      </c>
      <c r="C42" s="2271" t="s">
        <v>1081</v>
      </c>
      <c r="D42" s="3425" t="s">
        <v>451</v>
      </c>
      <c r="E42" s="3425" t="e">
        <f>+VLOOKUP(C42,'Phụ cấp cây non'!B12:AI17,35,0)</f>
        <v>#N/A</v>
      </c>
      <c r="F42" s="2275">
        <v>120000</v>
      </c>
      <c r="G42" s="3428" t="e">
        <f>+E42*F42</f>
        <v>#N/A</v>
      </c>
      <c r="H42" s="2271"/>
    </row>
    <row r="43" spans="1:8" ht="16.5">
      <c r="A43" s="2271">
        <v>33</v>
      </c>
      <c r="B43" s="2271">
        <v>2</v>
      </c>
      <c r="C43" s="2271" t="s">
        <v>1904</v>
      </c>
      <c r="D43" s="3425" t="s">
        <v>451</v>
      </c>
      <c r="E43" s="3425" t="e">
        <f>+VLOOKUP(C43,'Phụ cấp cây non'!B12:AI17,35,0)</f>
        <v>#N/A</v>
      </c>
      <c r="F43" s="2275">
        <v>120000</v>
      </c>
      <c r="G43" s="3428" t="e">
        <f t="shared" ref="G43:G70" si="1">+E43*F43</f>
        <v>#N/A</v>
      </c>
      <c r="H43" s="2271"/>
    </row>
    <row r="44" spans="1:8" ht="16.5">
      <c r="A44" s="2271">
        <v>34</v>
      </c>
      <c r="B44" s="2271">
        <v>3</v>
      </c>
      <c r="C44" s="2271" t="s">
        <v>1530</v>
      </c>
      <c r="D44" s="3425" t="s">
        <v>451</v>
      </c>
      <c r="E44" s="3425" t="e">
        <f>+VLOOKUP(C44,'Phụ cấp cây non'!B12:AI17,35,0)</f>
        <v>#N/A</v>
      </c>
      <c r="F44" s="2275">
        <v>120000</v>
      </c>
      <c r="G44" s="3428" t="e">
        <f t="shared" si="1"/>
        <v>#N/A</v>
      </c>
      <c r="H44" s="2271"/>
    </row>
    <row r="45" spans="1:8" ht="16.5">
      <c r="A45" s="2271">
        <v>35</v>
      </c>
      <c r="B45" s="2271">
        <v>4</v>
      </c>
      <c r="C45" s="2271" t="s">
        <v>1905</v>
      </c>
      <c r="D45" s="3425" t="s">
        <v>451</v>
      </c>
      <c r="E45" s="3425" t="e">
        <f>+VLOOKUP(C45,'Phụ cấp cây non'!B12:AI17,35,0)</f>
        <v>#N/A</v>
      </c>
      <c r="F45" s="2275">
        <v>120000</v>
      </c>
      <c r="G45" s="3428" t="e">
        <f t="shared" si="1"/>
        <v>#N/A</v>
      </c>
      <c r="H45" s="2271"/>
    </row>
    <row r="46" spans="1:8" ht="16.5">
      <c r="A46" s="2271">
        <v>36</v>
      </c>
      <c r="B46" s="2271">
        <v>5</v>
      </c>
      <c r="C46" s="2271" t="s">
        <v>1906</v>
      </c>
      <c r="D46" s="3425" t="s">
        <v>451</v>
      </c>
      <c r="E46" s="3425" t="e">
        <f>+VLOOKUP(C46,'Phụ cấp cây non'!B12:AI17,35,0)</f>
        <v>#N/A</v>
      </c>
      <c r="F46" s="2275">
        <v>120000</v>
      </c>
      <c r="G46" s="3428" t="e">
        <f t="shared" si="1"/>
        <v>#N/A</v>
      </c>
      <c r="H46" s="2271"/>
    </row>
    <row r="47" spans="1:8" ht="16.5">
      <c r="A47" s="2271">
        <v>37</v>
      </c>
      <c r="B47" s="2271">
        <v>6</v>
      </c>
      <c r="C47" s="2271" t="s">
        <v>1907</v>
      </c>
      <c r="D47" s="3425" t="s">
        <v>451</v>
      </c>
      <c r="E47" s="3425" t="e">
        <f>+VLOOKUP(C47,'Phụ cấp cây non'!B12:AI17,35,0)</f>
        <v>#N/A</v>
      </c>
      <c r="F47" s="2275">
        <v>120000</v>
      </c>
      <c r="G47" s="3428" t="e">
        <f t="shared" si="1"/>
        <v>#N/A</v>
      </c>
      <c r="H47" s="2271"/>
    </row>
    <row r="48" spans="1:8" ht="16.5">
      <c r="A48" s="2271">
        <v>38</v>
      </c>
      <c r="B48" s="2271">
        <v>7</v>
      </c>
      <c r="C48" s="2271" t="s">
        <v>1560</v>
      </c>
      <c r="D48" s="3425" t="s">
        <v>451</v>
      </c>
      <c r="E48" s="3425" t="e">
        <f>+VLOOKUP(C48,'Phụ cấp cây non'!B12:AI17,35,0)</f>
        <v>#N/A</v>
      </c>
      <c r="F48" s="2275">
        <v>120000</v>
      </c>
      <c r="G48" s="3428" t="e">
        <f t="shared" si="1"/>
        <v>#N/A</v>
      </c>
      <c r="H48" s="2271"/>
    </row>
    <row r="49" spans="1:8" ht="16.5">
      <c r="A49" s="2271">
        <v>39</v>
      </c>
      <c r="B49" s="2271">
        <v>8</v>
      </c>
      <c r="C49" s="2271" t="s">
        <v>1561</v>
      </c>
      <c r="D49" s="3425" t="s">
        <v>451</v>
      </c>
      <c r="E49" s="3425" t="e">
        <f>+VLOOKUP(C49,'Phụ cấp cây non'!B12:AI17,35,0)</f>
        <v>#N/A</v>
      </c>
      <c r="F49" s="2275">
        <v>120000</v>
      </c>
      <c r="G49" s="3428" t="e">
        <f t="shared" si="1"/>
        <v>#N/A</v>
      </c>
      <c r="H49" s="2271"/>
    </row>
    <row r="50" spans="1:8" ht="16.5">
      <c r="A50" s="2271">
        <v>40</v>
      </c>
      <c r="B50" s="2271">
        <v>9</v>
      </c>
      <c r="C50" s="2271" t="s">
        <v>1683</v>
      </c>
      <c r="D50" s="3425" t="s">
        <v>451</v>
      </c>
      <c r="E50" s="3425" t="e">
        <f>+VLOOKUP(C50,'Phụ cấp cây non'!B12:AI17,35,0)</f>
        <v>#N/A</v>
      </c>
      <c r="F50" s="2275">
        <v>120000</v>
      </c>
      <c r="G50" s="3428" t="e">
        <f t="shared" si="1"/>
        <v>#N/A</v>
      </c>
      <c r="H50" s="2271"/>
    </row>
    <row r="51" spans="1:8" ht="16.5">
      <c r="A51" s="2271">
        <v>41</v>
      </c>
      <c r="B51" s="2271">
        <v>10</v>
      </c>
      <c r="C51" s="2271" t="s">
        <v>1189</v>
      </c>
      <c r="D51" s="3425" t="s">
        <v>451</v>
      </c>
      <c r="E51" s="3425" t="e">
        <f>+VLOOKUP(C51,'Phụ cấp cây non'!B12:AI17,35,0)</f>
        <v>#N/A</v>
      </c>
      <c r="F51" s="2275">
        <v>120000</v>
      </c>
      <c r="G51" s="3428" t="e">
        <f t="shared" si="1"/>
        <v>#N/A</v>
      </c>
      <c r="H51" s="2271"/>
    </row>
    <row r="52" spans="1:8" ht="16.5">
      <c r="A52" s="2271">
        <v>42</v>
      </c>
      <c r="B52" s="2271">
        <v>11</v>
      </c>
      <c r="C52" s="2271" t="s">
        <v>1908</v>
      </c>
      <c r="D52" s="3425" t="s">
        <v>451</v>
      </c>
      <c r="E52" s="3425" t="e">
        <f>+VLOOKUP(C52,'Phụ cấp cây non'!B12:AI17,35,0)</f>
        <v>#N/A</v>
      </c>
      <c r="F52" s="2275">
        <v>120000</v>
      </c>
      <c r="G52" s="3428" t="e">
        <f t="shared" si="1"/>
        <v>#N/A</v>
      </c>
      <c r="H52" s="2271"/>
    </row>
    <row r="53" spans="1:8" ht="16.5">
      <c r="A53" s="2271">
        <v>43</v>
      </c>
      <c r="B53" s="2271">
        <v>12</v>
      </c>
      <c r="C53" s="2271" t="s">
        <v>1909</v>
      </c>
      <c r="D53" s="3425" t="s">
        <v>451</v>
      </c>
      <c r="E53" s="3425" t="e">
        <f>+VLOOKUP(C53,'Phụ cấp cây non'!B12:AI17,35,0)</f>
        <v>#N/A</v>
      </c>
      <c r="F53" s="2275">
        <v>120000</v>
      </c>
      <c r="G53" s="3428" t="e">
        <f t="shared" si="1"/>
        <v>#N/A</v>
      </c>
      <c r="H53" s="2271"/>
    </row>
    <row r="54" spans="1:8" ht="16.5">
      <c r="A54" s="2271">
        <v>44</v>
      </c>
      <c r="B54" s="2271">
        <v>13</v>
      </c>
      <c r="C54" s="2271" t="s">
        <v>1910</v>
      </c>
      <c r="D54" s="3425" t="s">
        <v>451</v>
      </c>
      <c r="E54" s="3425" t="e">
        <f>+VLOOKUP(C54,'Phụ cấp cây non'!B12:AI17,35,0)</f>
        <v>#N/A</v>
      </c>
      <c r="F54" s="2275">
        <v>120000</v>
      </c>
      <c r="G54" s="3428" t="e">
        <f t="shared" si="1"/>
        <v>#N/A</v>
      </c>
      <c r="H54" s="2271"/>
    </row>
    <row r="55" spans="1:8" ht="16.5">
      <c r="A55" s="2271">
        <v>45</v>
      </c>
      <c r="B55" s="2271">
        <v>14</v>
      </c>
      <c r="C55" s="2271" t="s">
        <v>1911</v>
      </c>
      <c r="D55" s="3425" t="s">
        <v>451</v>
      </c>
      <c r="E55" s="3425" t="e">
        <f>+VLOOKUP(C55,'Phụ cấp cây non'!B12:AI17,35,0)</f>
        <v>#N/A</v>
      </c>
      <c r="F55" s="2275">
        <v>120000</v>
      </c>
      <c r="G55" s="3428" t="e">
        <f t="shared" si="1"/>
        <v>#N/A</v>
      </c>
      <c r="H55" s="2271"/>
    </row>
    <row r="56" spans="1:8" ht="16.5">
      <c r="A56" s="2271">
        <v>46</v>
      </c>
      <c r="B56" s="2271">
        <v>15</v>
      </c>
      <c r="C56" s="2271" t="s">
        <v>1912</v>
      </c>
      <c r="D56" s="3425" t="s">
        <v>451</v>
      </c>
      <c r="E56" s="3425" t="e">
        <f>+VLOOKUP(C56,'Phụ cấp cây non'!B12:AI17,35,0)</f>
        <v>#N/A</v>
      </c>
      <c r="F56" s="2275">
        <v>120000</v>
      </c>
      <c r="G56" s="3428" t="e">
        <f t="shared" si="1"/>
        <v>#N/A</v>
      </c>
      <c r="H56" s="2271"/>
    </row>
    <row r="57" spans="1:8" ht="16.5">
      <c r="A57" s="2271">
        <v>47</v>
      </c>
      <c r="B57" s="2271">
        <v>16</v>
      </c>
      <c r="C57" s="2271" t="s">
        <v>1564</v>
      </c>
      <c r="D57" s="3425" t="s">
        <v>451</v>
      </c>
      <c r="E57" s="3425" t="e">
        <f>+VLOOKUP(C57,'Phụ cấp cây non'!B12:AI17,35,0)</f>
        <v>#N/A</v>
      </c>
      <c r="F57" s="2275">
        <v>120000</v>
      </c>
      <c r="G57" s="3428" t="e">
        <f t="shared" si="1"/>
        <v>#N/A</v>
      </c>
      <c r="H57" s="2271"/>
    </row>
    <row r="58" spans="1:8" ht="16.5">
      <c r="A58" s="2271">
        <v>48</v>
      </c>
      <c r="B58" s="2271">
        <v>17</v>
      </c>
      <c r="C58" s="2271" t="s">
        <v>1685</v>
      </c>
      <c r="D58" s="3425" t="s">
        <v>451</v>
      </c>
      <c r="E58" s="3425" t="e">
        <f>+VLOOKUP(C58,'Phụ cấp cây non'!B12:AI17,35,0)</f>
        <v>#N/A</v>
      </c>
      <c r="F58" s="2275">
        <v>120000</v>
      </c>
      <c r="G58" s="3428" t="e">
        <f t="shared" si="1"/>
        <v>#N/A</v>
      </c>
      <c r="H58" s="2271"/>
    </row>
    <row r="59" spans="1:8" ht="16.5">
      <c r="A59" s="2271">
        <v>49</v>
      </c>
      <c r="B59" s="2271">
        <v>18</v>
      </c>
      <c r="C59" s="2271" t="s">
        <v>1913</v>
      </c>
      <c r="D59" s="3425" t="s">
        <v>451</v>
      </c>
      <c r="E59" s="3425" t="e">
        <f>+VLOOKUP(C59,'Phụ cấp cây non'!B12:AI17,35,0)</f>
        <v>#N/A</v>
      </c>
      <c r="F59" s="2275">
        <v>120000</v>
      </c>
      <c r="G59" s="3428" t="e">
        <f t="shared" si="1"/>
        <v>#N/A</v>
      </c>
      <c r="H59" s="2271"/>
    </row>
    <row r="60" spans="1:8" ht="16.5">
      <c r="A60" s="2271">
        <v>50</v>
      </c>
      <c r="B60" s="2271">
        <v>19</v>
      </c>
      <c r="C60" s="2271" t="s">
        <v>1914</v>
      </c>
      <c r="D60" s="3425" t="s">
        <v>451</v>
      </c>
      <c r="E60" s="3425" t="e">
        <f>+VLOOKUP(C60,'Phụ cấp cây non'!B12:AI17,35,0)</f>
        <v>#N/A</v>
      </c>
      <c r="F60" s="2275">
        <v>120000</v>
      </c>
      <c r="G60" s="3428" t="e">
        <f t="shared" si="1"/>
        <v>#N/A</v>
      </c>
      <c r="H60" s="2271"/>
    </row>
    <row r="61" spans="1:8" ht="16.5">
      <c r="A61" s="2271">
        <v>51</v>
      </c>
      <c r="B61" s="2271">
        <v>20</v>
      </c>
      <c r="C61" s="2271" t="s">
        <v>1915</v>
      </c>
      <c r="D61" s="3425" t="s">
        <v>451</v>
      </c>
      <c r="E61" s="3425" t="e">
        <f>+VLOOKUP(C61,'Phụ cấp cây non'!B12:AI17,35,0)</f>
        <v>#N/A</v>
      </c>
      <c r="F61" s="2275">
        <v>120000</v>
      </c>
      <c r="G61" s="3428" t="e">
        <f t="shared" si="1"/>
        <v>#N/A</v>
      </c>
      <c r="H61" s="2271"/>
    </row>
    <row r="62" spans="1:8" ht="16.5">
      <c r="A62" s="2271">
        <v>52</v>
      </c>
      <c r="B62" s="2271">
        <v>21</v>
      </c>
      <c r="C62" s="2271" t="s">
        <v>1992</v>
      </c>
      <c r="D62" s="3425" t="s">
        <v>451</v>
      </c>
      <c r="E62" s="3425" t="e">
        <f>+VLOOKUP(C62,'Phụ cấp cây non'!B12:AI17,35,0)</f>
        <v>#N/A</v>
      </c>
      <c r="F62" s="2275">
        <v>120000</v>
      </c>
      <c r="G62" s="3428" t="e">
        <f t="shared" si="1"/>
        <v>#N/A</v>
      </c>
      <c r="H62" s="2271"/>
    </row>
    <row r="63" spans="1:8" ht="16.5">
      <c r="A63" s="2271">
        <v>53</v>
      </c>
      <c r="B63" s="2271">
        <v>22</v>
      </c>
      <c r="C63" s="2271" t="s">
        <v>1916</v>
      </c>
      <c r="D63" s="3425" t="s">
        <v>451</v>
      </c>
      <c r="E63" s="3425" t="e">
        <f>+VLOOKUP(C63,'Phụ cấp cây non'!B12:AI17,35,0)</f>
        <v>#N/A</v>
      </c>
      <c r="F63" s="2275">
        <v>120000</v>
      </c>
      <c r="G63" s="3428" t="e">
        <f t="shared" si="1"/>
        <v>#N/A</v>
      </c>
      <c r="H63" s="2271"/>
    </row>
    <row r="64" spans="1:8" ht="16.5">
      <c r="A64" s="2271">
        <v>54</v>
      </c>
      <c r="B64" s="2271">
        <v>23</v>
      </c>
      <c r="C64" s="2271" t="s">
        <v>1917</v>
      </c>
      <c r="D64" s="3425" t="s">
        <v>451</v>
      </c>
      <c r="E64" s="3425" t="e">
        <f>+VLOOKUP(C64,'Phụ cấp cây non'!B12:AI17,35,0)</f>
        <v>#N/A</v>
      </c>
      <c r="F64" s="2275">
        <v>120000</v>
      </c>
      <c r="G64" s="3428" t="e">
        <f t="shared" si="1"/>
        <v>#N/A</v>
      </c>
      <c r="H64" s="2271"/>
    </row>
    <row r="65" spans="1:10" ht="16.5">
      <c r="A65" s="2271">
        <v>55</v>
      </c>
      <c r="B65" s="2271">
        <v>24</v>
      </c>
      <c r="C65" s="2271" t="s">
        <v>1178</v>
      </c>
      <c r="D65" s="3425" t="s">
        <v>451</v>
      </c>
      <c r="E65" s="3425" t="e">
        <f>+VLOOKUP(C65,'Phụ cấp cây non'!B12:AI17,35,0)</f>
        <v>#N/A</v>
      </c>
      <c r="F65" s="2275">
        <v>120000</v>
      </c>
      <c r="G65" s="3428" t="e">
        <f t="shared" si="1"/>
        <v>#N/A</v>
      </c>
      <c r="H65" s="2271"/>
    </row>
    <row r="66" spans="1:10" ht="16.5">
      <c r="A66" s="2271">
        <v>56</v>
      </c>
      <c r="B66" s="2271">
        <v>25</v>
      </c>
      <c r="C66" s="2271" t="s">
        <v>1929</v>
      </c>
      <c r="D66" s="3425" t="s">
        <v>451</v>
      </c>
      <c r="E66" s="3425" t="e">
        <f>+VLOOKUP(C66,'Phụ cấp cây non'!B12:AI17,35,0)</f>
        <v>#N/A</v>
      </c>
      <c r="F66" s="2275">
        <v>120000</v>
      </c>
      <c r="G66" s="3428" t="e">
        <f t="shared" si="1"/>
        <v>#N/A</v>
      </c>
      <c r="H66" s="2271"/>
    </row>
    <row r="67" spans="1:10" ht="16.5">
      <c r="A67" s="2271">
        <v>57</v>
      </c>
      <c r="B67" s="2271">
        <v>26</v>
      </c>
      <c r="C67" s="2271" t="s">
        <v>1993</v>
      </c>
      <c r="D67" s="3425" t="s">
        <v>451</v>
      </c>
      <c r="E67" s="3425" t="e">
        <f>+VLOOKUP(C67,'Phụ cấp cây non'!B12:AI17,35,0)</f>
        <v>#N/A</v>
      </c>
      <c r="F67" s="2275">
        <v>120000</v>
      </c>
      <c r="G67" s="3428" t="e">
        <f t="shared" si="1"/>
        <v>#N/A</v>
      </c>
      <c r="H67" s="2271"/>
    </row>
    <row r="68" spans="1:10" ht="16.5">
      <c r="A68" s="2271">
        <v>58</v>
      </c>
      <c r="B68" s="2271">
        <v>27</v>
      </c>
      <c r="C68" s="2271" t="s">
        <v>1994</v>
      </c>
      <c r="D68" s="3425" t="s">
        <v>451</v>
      </c>
      <c r="E68" s="3425" t="e">
        <f>+VLOOKUP(C68,'Phụ cấp cây non'!B17:AI17,35,0)</f>
        <v>#N/A</v>
      </c>
      <c r="F68" s="2275">
        <v>120000</v>
      </c>
      <c r="G68" s="3428" t="e">
        <f t="shared" si="1"/>
        <v>#N/A</v>
      </c>
      <c r="H68" s="2271"/>
    </row>
    <row r="69" spans="1:10" ht="16.5">
      <c r="A69" s="2271">
        <v>59</v>
      </c>
      <c r="B69" s="2271">
        <v>28</v>
      </c>
      <c r="C69" s="2271" t="s">
        <v>1995</v>
      </c>
      <c r="D69" s="3425" t="s">
        <v>451</v>
      </c>
      <c r="E69" s="3425" t="e">
        <f>+VLOOKUP(C69,'Phụ cấp cây non'!#REF!,35,0)</f>
        <v>#REF!</v>
      </c>
      <c r="F69" s="2275">
        <v>120000</v>
      </c>
      <c r="G69" s="3428" t="e">
        <f t="shared" si="1"/>
        <v>#REF!</v>
      </c>
      <c r="H69" s="2271"/>
    </row>
    <row r="70" spans="1:10" ht="16.5">
      <c r="A70" s="2271">
        <v>60</v>
      </c>
      <c r="B70" s="2271">
        <v>29</v>
      </c>
      <c r="C70" s="2271" t="s">
        <v>1996</v>
      </c>
      <c r="D70" s="3425" t="s">
        <v>451</v>
      </c>
      <c r="E70" s="3425" t="e">
        <f>+VLOOKUP(C70,'Phụ cấp cây non'!#REF!,35,0)</f>
        <v>#REF!</v>
      </c>
      <c r="F70" s="2275">
        <v>120000</v>
      </c>
      <c r="G70" s="3428" t="e">
        <f t="shared" si="1"/>
        <v>#REF!</v>
      </c>
      <c r="H70" s="2271"/>
      <c r="J70" s="31">
        <f>33+36</f>
        <v>69</v>
      </c>
    </row>
    <row r="71" spans="1:10" ht="16.5">
      <c r="A71" s="2271"/>
      <c r="B71" s="2272" t="s">
        <v>1863</v>
      </c>
      <c r="C71" s="2272"/>
      <c r="D71" s="2272"/>
      <c r="E71" s="3508" t="e">
        <f>SUM(E42:E70)</f>
        <v>#N/A</v>
      </c>
      <c r="F71" s="3413"/>
      <c r="G71" s="3413" t="e">
        <f>SUM(G42:G70)</f>
        <v>#N/A</v>
      </c>
      <c r="H71" s="2272"/>
    </row>
    <row r="72" spans="1:10" ht="16.5">
      <c r="A72" s="2271">
        <v>61</v>
      </c>
      <c r="B72" s="2271">
        <v>1</v>
      </c>
      <c r="C72" s="2271" t="s">
        <v>1489</v>
      </c>
      <c r="D72" s="3425" t="s">
        <v>452</v>
      </c>
      <c r="E72" s="3425" t="e">
        <f>+VLOOKUP(C72,'Phụ cấp cây non'!#REF!,35,0)</f>
        <v>#REF!</v>
      </c>
      <c r="F72" s="2275">
        <v>120000</v>
      </c>
      <c r="G72" s="3428" t="e">
        <f>+E72*F72</f>
        <v>#REF!</v>
      </c>
      <c r="H72" s="2271"/>
    </row>
    <row r="73" spans="1:10" ht="16.5">
      <c r="A73" s="2271">
        <v>62</v>
      </c>
      <c r="B73" s="2271">
        <v>2</v>
      </c>
      <c r="C73" s="2271" t="s">
        <v>1532</v>
      </c>
      <c r="D73" s="3425" t="s">
        <v>452</v>
      </c>
      <c r="E73" s="3425" t="e">
        <f>+VLOOKUP(C73,'Phụ cấp cây non'!#REF!,35,0)</f>
        <v>#REF!</v>
      </c>
      <c r="F73" s="2275">
        <v>120000</v>
      </c>
      <c r="G73" s="3428" t="e">
        <f t="shared" ref="G73:G129" si="2">+E73*F73</f>
        <v>#REF!</v>
      </c>
      <c r="H73" s="2271"/>
    </row>
    <row r="74" spans="1:10" ht="16.5">
      <c r="A74" s="2271">
        <v>63</v>
      </c>
      <c r="B74" s="2271">
        <v>3</v>
      </c>
      <c r="C74" s="2271" t="s">
        <v>1691</v>
      </c>
      <c r="D74" s="3425" t="s">
        <v>452</v>
      </c>
      <c r="E74" s="3425" t="e">
        <f>+VLOOKUP(C74,'Phụ cấp cây non'!#REF!,35,0)</f>
        <v>#REF!</v>
      </c>
      <c r="F74" s="2275">
        <v>120000</v>
      </c>
      <c r="G74" s="3428" t="e">
        <f t="shared" si="2"/>
        <v>#REF!</v>
      </c>
      <c r="H74" s="2271"/>
    </row>
    <row r="75" spans="1:10" ht="16.5">
      <c r="A75" s="2271">
        <v>64</v>
      </c>
      <c r="B75" s="2271">
        <v>4</v>
      </c>
      <c r="C75" s="2271" t="s">
        <v>1692</v>
      </c>
      <c r="D75" s="3425" t="s">
        <v>452</v>
      </c>
      <c r="E75" s="3425" t="e">
        <f>+VLOOKUP(C75,'Phụ cấp cây non'!#REF!,35,0)</f>
        <v>#REF!</v>
      </c>
      <c r="F75" s="2275">
        <v>120000</v>
      </c>
      <c r="G75" s="3428" t="e">
        <f t="shared" si="2"/>
        <v>#REF!</v>
      </c>
      <c r="H75" s="2271"/>
    </row>
    <row r="76" spans="1:10" ht="16.5">
      <c r="A76" s="2271">
        <v>65</v>
      </c>
      <c r="B76" s="2271">
        <v>5</v>
      </c>
      <c r="C76" s="2271" t="s">
        <v>1693</v>
      </c>
      <c r="D76" s="3425" t="s">
        <v>452</v>
      </c>
      <c r="E76" s="3425" t="e">
        <f>+VLOOKUP(C76,'Phụ cấp cây non'!#REF!,35,0)</f>
        <v>#REF!</v>
      </c>
      <c r="F76" s="2275">
        <v>120000</v>
      </c>
      <c r="G76" s="3428" t="e">
        <f t="shared" si="2"/>
        <v>#REF!</v>
      </c>
      <c r="H76" s="2271"/>
    </row>
    <row r="77" spans="1:10" ht="16.5">
      <c r="A77" s="2271">
        <v>66</v>
      </c>
      <c r="B77" s="2271">
        <v>6</v>
      </c>
      <c r="C77" s="2271" t="s">
        <v>281</v>
      </c>
      <c r="D77" s="3425" t="s">
        <v>452</v>
      </c>
      <c r="E77" s="3425">
        <v>5</v>
      </c>
      <c r="F77" s="2275">
        <v>120000</v>
      </c>
      <c r="G77" s="3428">
        <f t="shared" si="2"/>
        <v>600000</v>
      </c>
      <c r="H77" s="2271"/>
    </row>
    <row r="78" spans="1:10" ht="16.5">
      <c r="A78" s="2271">
        <v>67</v>
      </c>
      <c r="B78" s="2271">
        <v>7</v>
      </c>
      <c r="C78" s="2271" t="s">
        <v>1183</v>
      </c>
      <c r="D78" s="3425" t="s">
        <v>452</v>
      </c>
      <c r="E78" s="3425" t="e">
        <f>+VLOOKUP(C78,'Phụ cấp cây non'!#REF!,35,0)</f>
        <v>#REF!</v>
      </c>
      <c r="F78" s="2275">
        <v>120000</v>
      </c>
      <c r="G78" s="3428" t="e">
        <f t="shared" si="2"/>
        <v>#REF!</v>
      </c>
      <c r="H78" s="2271"/>
    </row>
    <row r="79" spans="1:10" ht="16.5">
      <c r="A79" s="2271">
        <v>68</v>
      </c>
      <c r="B79" s="2271">
        <v>8</v>
      </c>
      <c r="C79" s="2271" t="s">
        <v>1184</v>
      </c>
      <c r="D79" s="3425" t="s">
        <v>452</v>
      </c>
      <c r="E79" s="3425" t="e">
        <f>+VLOOKUP(C79,'Phụ cấp cây non'!#REF!,35,0)</f>
        <v>#REF!</v>
      </c>
      <c r="F79" s="2275">
        <v>120000</v>
      </c>
      <c r="G79" s="3428" t="e">
        <f t="shared" si="2"/>
        <v>#REF!</v>
      </c>
      <c r="H79" s="2271"/>
    </row>
    <row r="80" spans="1:10" ht="16.5">
      <c r="A80" s="2271">
        <v>69</v>
      </c>
      <c r="B80" s="2271">
        <v>9</v>
      </c>
      <c r="C80" s="2271" t="s">
        <v>1615</v>
      </c>
      <c r="D80" s="3425" t="s">
        <v>452</v>
      </c>
      <c r="E80" s="3425" t="e">
        <f>+VLOOKUP(C80,'Phụ cấp cây non'!#REF!,35,0)</f>
        <v>#REF!</v>
      </c>
      <c r="F80" s="2275">
        <v>120000</v>
      </c>
      <c r="G80" s="3428" t="e">
        <f t="shared" si="2"/>
        <v>#REF!</v>
      </c>
      <c r="H80" s="2271"/>
    </row>
    <row r="81" spans="1:8" ht="16.5">
      <c r="A81" s="2271">
        <v>70</v>
      </c>
      <c r="B81" s="2271">
        <v>10</v>
      </c>
      <c r="C81" s="2271" t="s">
        <v>1490</v>
      </c>
      <c r="D81" s="3425" t="s">
        <v>452</v>
      </c>
      <c r="E81" s="3425" t="e">
        <f>+VLOOKUP(C81,'Phụ cấp cây non'!#REF!,35,0)</f>
        <v>#REF!</v>
      </c>
      <c r="F81" s="2275">
        <v>120000</v>
      </c>
      <c r="G81" s="3428" t="e">
        <f t="shared" si="2"/>
        <v>#REF!</v>
      </c>
      <c r="H81" s="2271"/>
    </row>
    <row r="82" spans="1:8" ht="16.5">
      <c r="A82" s="2271">
        <v>71</v>
      </c>
      <c r="B82" s="2271">
        <v>11</v>
      </c>
      <c r="C82" s="2271" t="s">
        <v>1491</v>
      </c>
      <c r="D82" s="3425" t="s">
        <v>452</v>
      </c>
      <c r="E82" s="3425" t="e">
        <f>+VLOOKUP(C82,'Phụ cấp cây non'!#REF!,35,0)</f>
        <v>#REF!</v>
      </c>
      <c r="F82" s="2275">
        <v>120000</v>
      </c>
      <c r="G82" s="3428" t="e">
        <f t="shared" si="2"/>
        <v>#REF!</v>
      </c>
      <c r="H82" s="2271"/>
    </row>
    <row r="83" spans="1:8" ht="16.5">
      <c r="A83" s="2271">
        <v>72</v>
      </c>
      <c r="B83" s="2271">
        <v>12</v>
      </c>
      <c r="C83" s="2271" t="s">
        <v>1492</v>
      </c>
      <c r="D83" s="3425" t="s">
        <v>452</v>
      </c>
      <c r="E83" s="3425" t="e">
        <f>+VLOOKUP(C83,'Phụ cấp cây non'!#REF!,35,0)</f>
        <v>#REF!</v>
      </c>
      <c r="F83" s="2275">
        <v>120000</v>
      </c>
      <c r="G83" s="3428" t="e">
        <f t="shared" si="2"/>
        <v>#REF!</v>
      </c>
      <c r="H83" s="2271"/>
    </row>
    <row r="84" spans="1:8" ht="16.5">
      <c r="A84" s="2271">
        <v>73</v>
      </c>
      <c r="B84" s="2271">
        <v>13</v>
      </c>
      <c r="C84" s="2271" t="s">
        <v>1694</v>
      </c>
      <c r="D84" s="3425" t="s">
        <v>452</v>
      </c>
      <c r="E84" s="3425" t="e">
        <f>+VLOOKUP(C84,'Phụ cấp cây non'!#REF!,35,0)</f>
        <v>#REF!</v>
      </c>
      <c r="F84" s="2275">
        <v>120000</v>
      </c>
      <c r="G84" s="3428" t="e">
        <f t="shared" si="2"/>
        <v>#REF!</v>
      </c>
      <c r="H84" s="2271"/>
    </row>
    <row r="85" spans="1:8" ht="16.5">
      <c r="A85" s="2271">
        <v>74</v>
      </c>
      <c r="B85" s="2271">
        <v>14</v>
      </c>
      <c r="C85" s="2271" t="s">
        <v>1616</v>
      </c>
      <c r="D85" s="3425" t="s">
        <v>452</v>
      </c>
      <c r="E85" s="3425" t="e">
        <f>+VLOOKUP(C85,'Phụ cấp cây non'!#REF!,35,0)</f>
        <v>#REF!</v>
      </c>
      <c r="F85" s="2275">
        <v>120000</v>
      </c>
      <c r="G85" s="3428" t="e">
        <f t="shared" si="2"/>
        <v>#REF!</v>
      </c>
      <c r="H85" s="2271"/>
    </row>
    <row r="86" spans="1:8" ht="16.5">
      <c r="A86" s="2271">
        <v>75</v>
      </c>
      <c r="B86" s="2271">
        <v>15</v>
      </c>
      <c r="C86" s="2271" t="s">
        <v>1229</v>
      </c>
      <c r="D86" s="3425" t="s">
        <v>452</v>
      </c>
      <c r="E86" s="3425">
        <v>5</v>
      </c>
      <c r="F86" s="2275">
        <v>120000</v>
      </c>
      <c r="G86" s="3428">
        <f t="shared" si="2"/>
        <v>600000</v>
      </c>
      <c r="H86" s="2271"/>
    </row>
    <row r="87" spans="1:8" ht="16.5">
      <c r="A87" s="2271">
        <v>76</v>
      </c>
      <c r="B87" s="2271">
        <v>16</v>
      </c>
      <c r="C87" s="2271" t="s">
        <v>1494</v>
      </c>
      <c r="D87" s="3425" t="s">
        <v>452</v>
      </c>
      <c r="E87" s="3425" t="e">
        <f>+VLOOKUP(C87,'Phụ cấp cây non'!#REF!,35,0)</f>
        <v>#REF!</v>
      </c>
      <c r="F87" s="2275">
        <v>120000</v>
      </c>
      <c r="G87" s="3428" t="e">
        <f t="shared" si="2"/>
        <v>#REF!</v>
      </c>
      <c r="H87" s="2271"/>
    </row>
    <row r="88" spans="1:8" ht="16.5">
      <c r="A88" s="2271">
        <v>77</v>
      </c>
      <c r="B88" s="2271">
        <v>17</v>
      </c>
      <c r="C88" s="2271" t="s">
        <v>243</v>
      </c>
      <c r="D88" s="3425" t="s">
        <v>452</v>
      </c>
      <c r="E88" s="3425" t="e">
        <f>+VLOOKUP(C88,'Phụ cấp cây non'!#REF!,35,0)</f>
        <v>#REF!</v>
      </c>
      <c r="F88" s="2275">
        <v>120000</v>
      </c>
      <c r="G88" s="3428" t="e">
        <f t="shared" si="2"/>
        <v>#REF!</v>
      </c>
      <c r="H88" s="2271"/>
    </row>
    <row r="89" spans="1:8" ht="16.5">
      <c r="A89" s="2271">
        <v>78</v>
      </c>
      <c r="B89" s="2271">
        <v>18</v>
      </c>
      <c r="C89" s="2271" t="s">
        <v>1533</v>
      </c>
      <c r="D89" s="3425" t="s">
        <v>452</v>
      </c>
      <c r="E89" s="3425" t="e">
        <f>+VLOOKUP(C89,'Phụ cấp cây non'!#REF!,35,0)</f>
        <v>#REF!</v>
      </c>
      <c r="F89" s="2275">
        <v>120000</v>
      </c>
      <c r="G89" s="3428" t="e">
        <f t="shared" si="2"/>
        <v>#REF!</v>
      </c>
      <c r="H89" s="2271"/>
    </row>
    <row r="90" spans="1:8" ht="16.5">
      <c r="A90" s="2271">
        <v>79</v>
      </c>
      <c r="B90" s="2271">
        <v>19</v>
      </c>
      <c r="C90" s="2271" t="s">
        <v>1534</v>
      </c>
      <c r="D90" s="3425" t="s">
        <v>452</v>
      </c>
      <c r="E90" s="3425" t="e">
        <f>+VLOOKUP(C90,'Phụ cấp cây non'!#REF!,35,0)</f>
        <v>#REF!</v>
      </c>
      <c r="F90" s="2275">
        <v>120000</v>
      </c>
      <c r="G90" s="3428" t="e">
        <f t="shared" si="2"/>
        <v>#REF!</v>
      </c>
      <c r="H90" s="2271"/>
    </row>
    <row r="91" spans="1:8" ht="16.5">
      <c r="A91" s="2271">
        <v>80</v>
      </c>
      <c r="B91" s="2271">
        <v>20</v>
      </c>
      <c r="C91" s="2271" t="s">
        <v>1695</v>
      </c>
      <c r="D91" s="3425" t="s">
        <v>452</v>
      </c>
      <c r="E91" s="3425" t="e">
        <f>+VLOOKUP(C91,'Phụ cấp cây non'!#REF!,35,0)</f>
        <v>#REF!</v>
      </c>
      <c r="F91" s="2275">
        <v>120000</v>
      </c>
      <c r="G91" s="3428" t="e">
        <f t="shared" si="2"/>
        <v>#REF!</v>
      </c>
      <c r="H91" s="2271"/>
    </row>
    <row r="92" spans="1:8" ht="16.5">
      <c r="A92" s="2271">
        <v>81</v>
      </c>
      <c r="B92" s="2271">
        <v>21</v>
      </c>
      <c r="C92" s="2271" t="s">
        <v>1535</v>
      </c>
      <c r="D92" s="3425" t="s">
        <v>452</v>
      </c>
      <c r="E92" s="3425" t="e">
        <f>+VLOOKUP(C92,'Phụ cấp cây non'!#REF!,35,0)</f>
        <v>#REF!</v>
      </c>
      <c r="F92" s="2275">
        <v>120000</v>
      </c>
      <c r="G92" s="3428" t="e">
        <f t="shared" si="2"/>
        <v>#REF!</v>
      </c>
      <c r="H92" s="2271"/>
    </row>
    <row r="93" spans="1:8" ht="16.5">
      <c r="A93" s="2271">
        <v>82</v>
      </c>
      <c r="B93" s="2271">
        <v>22</v>
      </c>
      <c r="C93" s="2271" t="s">
        <v>1696</v>
      </c>
      <c r="D93" s="3425" t="s">
        <v>452</v>
      </c>
      <c r="E93" s="3425" t="e">
        <f>+VLOOKUP(C93,'Phụ cấp cây non'!#REF!,35,0)</f>
        <v>#REF!</v>
      </c>
      <c r="F93" s="2275">
        <v>120000</v>
      </c>
      <c r="G93" s="3428" t="e">
        <f t="shared" si="2"/>
        <v>#REF!</v>
      </c>
      <c r="H93" s="2271"/>
    </row>
    <row r="94" spans="1:8" ht="16.5">
      <c r="A94" s="2271">
        <v>83</v>
      </c>
      <c r="B94" s="2271">
        <v>23</v>
      </c>
      <c r="C94" s="2271" t="s">
        <v>1495</v>
      </c>
      <c r="D94" s="3425" t="s">
        <v>452</v>
      </c>
      <c r="E94" s="3425" t="e">
        <f>+VLOOKUP(C94,'Phụ cấp cây non'!#REF!,35,0)</f>
        <v>#REF!</v>
      </c>
      <c r="F94" s="2275">
        <v>120000</v>
      </c>
      <c r="G94" s="3428" t="e">
        <f t="shared" si="2"/>
        <v>#REF!</v>
      </c>
      <c r="H94" s="2271"/>
    </row>
    <row r="95" spans="1:8" ht="16.5">
      <c r="A95" s="2271">
        <v>84</v>
      </c>
      <c r="B95" s="2271">
        <v>24</v>
      </c>
      <c r="C95" s="2271" t="s">
        <v>1496</v>
      </c>
      <c r="D95" s="3425" t="s">
        <v>452</v>
      </c>
      <c r="E95" s="3425" t="e">
        <f>+VLOOKUP(C95,'Phụ cấp cây non'!#REF!,35,0)</f>
        <v>#REF!</v>
      </c>
      <c r="F95" s="2275">
        <v>120000</v>
      </c>
      <c r="G95" s="3428" t="e">
        <f t="shared" si="2"/>
        <v>#REF!</v>
      </c>
      <c r="H95" s="2271"/>
    </row>
    <row r="96" spans="1:8" ht="16.5">
      <c r="A96" s="2271">
        <v>85</v>
      </c>
      <c r="B96" s="2271">
        <v>25</v>
      </c>
      <c r="C96" s="2271" t="s">
        <v>1697</v>
      </c>
      <c r="D96" s="3425" t="s">
        <v>452</v>
      </c>
      <c r="E96" s="3425" t="e">
        <f>+VLOOKUP(C96,'Phụ cấp cây non'!#REF!,35,0)</f>
        <v>#REF!</v>
      </c>
      <c r="F96" s="2275">
        <v>120000</v>
      </c>
      <c r="G96" s="3428" t="e">
        <f t="shared" si="2"/>
        <v>#REF!</v>
      </c>
      <c r="H96" s="2271"/>
    </row>
    <row r="97" spans="1:8" ht="16.5">
      <c r="A97" s="2271">
        <v>86</v>
      </c>
      <c r="B97" s="2271">
        <v>26</v>
      </c>
      <c r="C97" s="2271" t="s">
        <v>1698</v>
      </c>
      <c r="D97" s="3425" t="s">
        <v>452</v>
      </c>
      <c r="E97" s="3425" t="e">
        <f>+VLOOKUP(C97,'Phụ cấp cây non'!#REF!,35,0)</f>
        <v>#REF!</v>
      </c>
      <c r="F97" s="2275">
        <v>120000</v>
      </c>
      <c r="G97" s="3428" t="e">
        <f t="shared" si="2"/>
        <v>#REF!</v>
      </c>
      <c r="H97" s="2271"/>
    </row>
    <row r="98" spans="1:8" ht="16.5">
      <c r="A98" s="2271">
        <v>87</v>
      </c>
      <c r="B98" s="2271">
        <v>27</v>
      </c>
      <c r="C98" s="2271" t="s">
        <v>1699</v>
      </c>
      <c r="D98" s="3425" t="s">
        <v>452</v>
      </c>
      <c r="E98" s="3425" t="e">
        <f>+VLOOKUP(C98,'Phụ cấp cây non'!#REF!,35,0)</f>
        <v>#REF!</v>
      </c>
      <c r="F98" s="2275">
        <v>120000</v>
      </c>
      <c r="G98" s="3428" t="e">
        <f t="shared" si="2"/>
        <v>#REF!</v>
      </c>
      <c r="H98" s="2271"/>
    </row>
    <row r="99" spans="1:8" ht="16.5">
      <c r="A99" s="2271">
        <v>88</v>
      </c>
      <c r="B99" s="2271">
        <v>28</v>
      </c>
      <c r="C99" s="2271" t="s">
        <v>1700</v>
      </c>
      <c r="D99" s="3425" t="s">
        <v>452</v>
      </c>
      <c r="E99" s="3425" t="e">
        <f>+VLOOKUP(C99,'Phụ cấp cây non'!#REF!,35,0)</f>
        <v>#REF!</v>
      </c>
      <c r="F99" s="2275">
        <v>120000</v>
      </c>
      <c r="G99" s="3428" t="e">
        <f t="shared" si="2"/>
        <v>#REF!</v>
      </c>
      <c r="H99" s="2271"/>
    </row>
    <row r="100" spans="1:8" ht="16.5">
      <c r="A100" s="2271">
        <v>89</v>
      </c>
      <c r="B100" s="2271">
        <v>29</v>
      </c>
      <c r="C100" s="2271" t="s">
        <v>1702</v>
      </c>
      <c r="D100" s="3425" t="s">
        <v>452</v>
      </c>
      <c r="E100" s="3425" t="e">
        <f>+VLOOKUP(C100,'Phụ cấp cây non'!#REF!,35,0)</f>
        <v>#REF!</v>
      </c>
      <c r="F100" s="2275">
        <v>120000</v>
      </c>
      <c r="G100" s="3428" t="e">
        <f t="shared" si="2"/>
        <v>#REF!</v>
      </c>
      <c r="H100" s="2271"/>
    </row>
    <row r="101" spans="1:8" ht="16.5">
      <c r="A101" s="2271">
        <v>90</v>
      </c>
      <c r="B101" s="2271">
        <v>30</v>
      </c>
      <c r="C101" s="2271" t="s">
        <v>1536</v>
      </c>
      <c r="D101" s="3425" t="s">
        <v>452</v>
      </c>
      <c r="E101" s="3425" t="e">
        <f>+VLOOKUP(C101,'Phụ cấp cây non'!#REF!,35,0)</f>
        <v>#REF!</v>
      </c>
      <c r="F101" s="2275">
        <v>120000</v>
      </c>
      <c r="G101" s="3428" t="e">
        <f t="shared" si="2"/>
        <v>#REF!</v>
      </c>
      <c r="H101" s="2271"/>
    </row>
    <row r="102" spans="1:8" ht="16.5">
      <c r="A102" s="2271">
        <v>91</v>
      </c>
      <c r="B102" s="2271">
        <v>31</v>
      </c>
      <c r="C102" s="2271" t="s">
        <v>1703</v>
      </c>
      <c r="D102" s="3425" t="s">
        <v>452</v>
      </c>
      <c r="E102" s="3425" t="e">
        <f>+VLOOKUP(C102,'Phụ cấp cây non'!#REF!,35,0)</f>
        <v>#REF!</v>
      </c>
      <c r="F102" s="2275">
        <v>120000</v>
      </c>
      <c r="G102" s="3428" t="e">
        <f t="shared" si="2"/>
        <v>#REF!</v>
      </c>
      <c r="H102" s="2271"/>
    </row>
    <row r="103" spans="1:8" ht="16.5">
      <c r="A103" s="2271">
        <v>92</v>
      </c>
      <c r="B103" s="2271">
        <v>32</v>
      </c>
      <c r="C103" s="2271" t="s">
        <v>1500</v>
      </c>
      <c r="D103" s="3425" t="s">
        <v>452</v>
      </c>
      <c r="E103" s="3425" t="e">
        <f>+VLOOKUP(C103,'Phụ cấp cây non'!#REF!,35,0)</f>
        <v>#REF!</v>
      </c>
      <c r="F103" s="2275">
        <v>120000</v>
      </c>
      <c r="G103" s="3428" t="e">
        <f t="shared" si="2"/>
        <v>#REF!</v>
      </c>
      <c r="H103" s="2271"/>
    </row>
    <row r="104" spans="1:8" ht="16.5">
      <c r="A104" s="2271">
        <v>93</v>
      </c>
      <c r="B104" s="2271">
        <v>33</v>
      </c>
      <c r="C104" s="2271" t="s">
        <v>1704</v>
      </c>
      <c r="D104" s="3425" t="s">
        <v>452</v>
      </c>
      <c r="E104" s="3425" t="e">
        <f>+VLOOKUP(C104,'Phụ cấp cây non'!#REF!,35,0)</f>
        <v>#REF!</v>
      </c>
      <c r="F104" s="2275">
        <v>120000</v>
      </c>
      <c r="G104" s="3428" t="e">
        <f t="shared" si="2"/>
        <v>#REF!</v>
      </c>
      <c r="H104" s="2271"/>
    </row>
    <row r="105" spans="1:8" ht="16.5">
      <c r="A105" s="2271">
        <v>94</v>
      </c>
      <c r="B105" s="2271">
        <v>34</v>
      </c>
      <c r="C105" s="2271" t="s">
        <v>1504</v>
      </c>
      <c r="D105" s="3425" t="s">
        <v>452</v>
      </c>
      <c r="E105" s="3425" t="e">
        <f>+VLOOKUP(C105,'Phụ cấp cây non'!#REF!,35,0)</f>
        <v>#REF!</v>
      </c>
      <c r="F105" s="2275">
        <v>120000</v>
      </c>
      <c r="G105" s="3428" t="e">
        <f t="shared" si="2"/>
        <v>#REF!</v>
      </c>
      <c r="H105" s="2271"/>
    </row>
    <row r="106" spans="1:8" ht="16.5">
      <c r="A106" s="2271">
        <v>95</v>
      </c>
      <c r="B106" s="2271">
        <v>35</v>
      </c>
      <c r="C106" s="2271" t="s">
        <v>1537</v>
      </c>
      <c r="D106" s="3425" t="s">
        <v>452</v>
      </c>
      <c r="E106" s="3425" t="e">
        <f>+VLOOKUP(C106,'Phụ cấp cây non'!#REF!,35,0)</f>
        <v>#REF!</v>
      </c>
      <c r="F106" s="2275">
        <v>120000</v>
      </c>
      <c r="G106" s="3428" t="e">
        <f t="shared" si="2"/>
        <v>#REF!</v>
      </c>
      <c r="H106" s="2271"/>
    </row>
    <row r="107" spans="1:8" ht="16.5">
      <c r="A107" s="2271">
        <v>96</v>
      </c>
      <c r="B107" s="2271">
        <v>36</v>
      </c>
      <c r="C107" s="2271" t="s">
        <v>1501</v>
      </c>
      <c r="D107" s="3425" t="s">
        <v>452</v>
      </c>
      <c r="E107" s="3425" t="e">
        <f>+VLOOKUP(C107,'Phụ cấp cây non'!#REF!,35,0)</f>
        <v>#REF!</v>
      </c>
      <c r="F107" s="2275">
        <v>120000</v>
      </c>
      <c r="G107" s="3428" t="e">
        <f t="shared" si="2"/>
        <v>#REF!</v>
      </c>
      <c r="H107" s="2271"/>
    </row>
    <row r="108" spans="1:8" ht="16.5">
      <c r="A108" s="2271">
        <v>97</v>
      </c>
      <c r="B108" s="2271">
        <v>37</v>
      </c>
      <c r="C108" s="2271" t="s">
        <v>1705</v>
      </c>
      <c r="D108" s="3425" t="s">
        <v>452</v>
      </c>
      <c r="E108" s="3425" t="e">
        <f>+VLOOKUP(C108,'Phụ cấp cây non'!#REF!,35,0)</f>
        <v>#REF!</v>
      </c>
      <c r="F108" s="2275">
        <v>120000</v>
      </c>
      <c r="G108" s="3428" t="e">
        <f t="shared" si="2"/>
        <v>#REF!</v>
      </c>
      <c r="H108" s="2271"/>
    </row>
    <row r="109" spans="1:8" ht="16.5">
      <c r="A109" s="2271">
        <v>98</v>
      </c>
      <c r="B109" s="2271">
        <v>38</v>
      </c>
      <c r="C109" s="2271" t="s">
        <v>1706</v>
      </c>
      <c r="D109" s="3425" t="s">
        <v>452</v>
      </c>
      <c r="E109" s="3425" t="e">
        <f>+VLOOKUP(C109,'Phụ cấp cây non'!#REF!,35,0)</f>
        <v>#REF!</v>
      </c>
      <c r="F109" s="2275">
        <v>120000</v>
      </c>
      <c r="G109" s="3428" t="e">
        <f t="shared" si="2"/>
        <v>#REF!</v>
      </c>
      <c r="H109" s="2271"/>
    </row>
    <row r="110" spans="1:8" ht="16.5">
      <c r="A110" s="2271">
        <v>99</v>
      </c>
      <c r="B110" s="2271">
        <v>39</v>
      </c>
      <c r="C110" s="2271" t="s">
        <v>1707</v>
      </c>
      <c r="D110" s="3425" t="s">
        <v>452</v>
      </c>
      <c r="E110" s="3425" t="e">
        <f>+VLOOKUP(C110,'Phụ cấp cây non'!#REF!,35,0)</f>
        <v>#REF!</v>
      </c>
      <c r="F110" s="2275">
        <v>120000</v>
      </c>
      <c r="G110" s="3428" t="e">
        <f t="shared" si="2"/>
        <v>#REF!</v>
      </c>
      <c r="H110" s="2271"/>
    </row>
    <row r="111" spans="1:8" ht="16.5">
      <c r="A111" s="2271">
        <v>100</v>
      </c>
      <c r="B111" s="2271">
        <v>40</v>
      </c>
      <c r="C111" s="2271" t="s">
        <v>1505</v>
      </c>
      <c r="D111" s="3425" t="s">
        <v>452</v>
      </c>
      <c r="E111" s="3425" t="e">
        <f>+VLOOKUP(C111,'Phụ cấp cây non'!#REF!,35,0)</f>
        <v>#REF!</v>
      </c>
      <c r="F111" s="2275">
        <v>120000</v>
      </c>
      <c r="G111" s="3428" t="e">
        <f t="shared" si="2"/>
        <v>#REF!</v>
      </c>
      <c r="H111" s="2271"/>
    </row>
    <row r="112" spans="1:8" ht="16.5">
      <c r="A112" s="2271">
        <v>101</v>
      </c>
      <c r="B112" s="2271">
        <v>41</v>
      </c>
      <c r="C112" s="2271" t="s">
        <v>1075</v>
      </c>
      <c r="D112" s="3425" t="s">
        <v>452</v>
      </c>
      <c r="E112" s="3425" t="e">
        <f>+VLOOKUP(C112,'Phụ cấp cây non'!#REF!,35,0)</f>
        <v>#REF!</v>
      </c>
      <c r="F112" s="2275">
        <v>120000</v>
      </c>
      <c r="G112" s="3428" t="e">
        <f t="shared" si="2"/>
        <v>#REF!</v>
      </c>
      <c r="H112" s="2271"/>
    </row>
    <row r="113" spans="1:8" ht="16.5">
      <c r="A113" s="2271">
        <v>102</v>
      </c>
      <c r="B113" s="2271">
        <v>42</v>
      </c>
      <c r="C113" s="2271" t="s">
        <v>1506</v>
      </c>
      <c r="D113" s="3425" t="s">
        <v>452</v>
      </c>
      <c r="E113" s="3425" t="e">
        <f>+VLOOKUP(C113,'Phụ cấp cây non'!#REF!,35,0)</f>
        <v>#REF!</v>
      </c>
      <c r="F113" s="2275">
        <v>120000</v>
      </c>
      <c r="G113" s="3428" t="e">
        <f t="shared" si="2"/>
        <v>#REF!</v>
      </c>
      <c r="H113" s="2271"/>
    </row>
    <row r="114" spans="1:8" ht="16.5">
      <c r="A114" s="2271">
        <v>103</v>
      </c>
      <c r="B114" s="2271">
        <v>43</v>
      </c>
      <c r="C114" s="2271" t="s">
        <v>1622</v>
      </c>
      <c r="D114" s="3425" t="s">
        <v>452</v>
      </c>
      <c r="E114" s="3425" t="e">
        <f>+VLOOKUP(C114,'Phụ cấp cây non'!#REF!,35,0)</f>
        <v>#REF!</v>
      </c>
      <c r="F114" s="2275">
        <v>120000</v>
      </c>
      <c r="G114" s="3428" t="e">
        <f t="shared" si="2"/>
        <v>#REF!</v>
      </c>
      <c r="H114" s="2271"/>
    </row>
    <row r="115" spans="1:8" ht="16.5">
      <c r="A115" s="2271">
        <v>104</v>
      </c>
      <c r="B115" s="2271">
        <v>44</v>
      </c>
      <c r="C115" s="2271" t="s">
        <v>1507</v>
      </c>
      <c r="D115" s="3425" t="s">
        <v>452</v>
      </c>
      <c r="E115" s="3425" t="e">
        <f>+VLOOKUP(C115,'Phụ cấp cây non'!#REF!,35,0)</f>
        <v>#REF!</v>
      </c>
      <c r="F115" s="2275">
        <v>120000</v>
      </c>
      <c r="G115" s="3428" t="e">
        <f t="shared" si="2"/>
        <v>#REF!</v>
      </c>
      <c r="H115" s="2271"/>
    </row>
    <row r="116" spans="1:8" ht="16.5">
      <c r="A116" s="2271">
        <v>105</v>
      </c>
      <c r="B116" s="2271">
        <v>45</v>
      </c>
      <c r="C116" s="2271" t="s">
        <v>1538</v>
      </c>
      <c r="D116" s="3425" t="s">
        <v>452</v>
      </c>
      <c r="E116" s="3425" t="e">
        <f>+VLOOKUP(C116,'Phụ cấp cây non'!#REF!,35,0)</f>
        <v>#REF!</v>
      </c>
      <c r="F116" s="2275">
        <v>120000</v>
      </c>
      <c r="G116" s="3428" t="e">
        <f t="shared" si="2"/>
        <v>#REF!</v>
      </c>
      <c r="H116" s="2271"/>
    </row>
    <row r="117" spans="1:8" ht="16.5">
      <c r="A117" s="2271">
        <v>106</v>
      </c>
      <c r="B117" s="2271">
        <v>46</v>
      </c>
      <c r="C117" s="2271" t="s">
        <v>1539</v>
      </c>
      <c r="D117" s="3425" t="s">
        <v>452</v>
      </c>
      <c r="E117" s="3425" t="e">
        <f>+VLOOKUP(C117,'Phụ cấp cây non'!#REF!,35,0)</f>
        <v>#REF!</v>
      </c>
      <c r="F117" s="2275">
        <v>120000</v>
      </c>
      <c r="G117" s="3428" t="e">
        <f t="shared" si="2"/>
        <v>#REF!</v>
      </c>
      <c r="H117" s="2271"/>
    </row>
    <row r="118" spans="1:8" ht="16.5">
      <c r="A118" s="2271">
        <v>107</v>
      </c>
      <c r="B118" s="2271">
        <v>47</v>
      </c>
      <c r="C118" s="2271" t="s">
        <v>1508</v>
      </c>
      <c r="D118" s="3425" t="s">
        <v>452</v>
      </c>
      <c r="E118" s="3425" t="e">
        <f>+VLOOKUP(C118,'Phụ cấp cây non'!#REF!,35,0)</f>
        <v>#REF!</v>
      </c>
      <c r="F118" s="2275">
        <v>120000</v>
      </c>
      <c r="G118" s="3428" t="e">
        <f t="shared" si="2"/>
        <v>#REF!</v>
      </c>
      <c r="H118" s="2271"/>
    </row>
    <row r="119" spans="1:8" ht="16.5">
      <c r="A119" s="2271">
        <v>108</v>
      </c>
      <c r="B119" s="2271">
        <v>48</v>
      </c>
      <c r="C119" s="2271" t="s">
        <v>1540</v>
      </c>
      <c r="D119" s="3425" t="s">
        <v>452</v>
      </c>
      <c r="E119" s="3425" t="e">
        <f>+VLOOKUP(C119,'Phụ cấp cây non'!#REF!,35,0)</f>
        <v>#REF!</v>
      </c>
      <c r="F119" s="2275">
        <v>120000</v>
      </c>
      <c r="G119" s="3428" t="e">
        <f t="shared" si="2"/>
        <v>#REF!</v>
      </c>
      <c r="H119" s="2271"/>
    </row>
    <row r="120" spans="1:8" ht="16.5">
      <c r="A120" s="2271">
        <v>109</v>
      </c>
      <c r="B120" s="2271">
        <v>49</v>
      </c>
      <c r="C120" s="2271" t="s">
        <v>1709</v>
      </c>
      <c r="D120" s="3425" t="s">
        <v>452</v>
      </c>
      <c r="E120" s="3425" t="e">
        <f>+VLOOKUP(C120,'Phụ cấp cây non'!#REF!,35,0)</f>
        <v>#REF!</v>
      </c>
      <c r="F120" s="2275">
        <v>120000</v>
      </c>
      <c r="G120" s="3428" t="e">
        <f t="shared" si="2"/>
        <v>#REF!</v>
      </c>
      <c r="H120" s="2271"/>
    </row>
    <row r="121" spans="1:8" ht="16.5">
      <c r="A121" s="2271">
        <v>110</v>
      </c>
      <c r="B121" s="2271">
        <v>50</v>
      </c>
      <c r="C121" s="2271" t="s">
        <v>1710</v>
      </c>
      <c r="D121" s="3425" t="s">
        <v>452</v>
      </c>
      <c r="E121" s="3425" t="e">
        <f>+VLOOKUP(C121,'Phụ cấp cây non'!#REF!,35,0)</f>
        <v>#REF!</v>
      </c>
      <c r="F121" s="2275">
        <v>120000</v>
      </c>
      <c r="G121" s="3428" t="e">
        <f t="shared" si="2"/>
        <v>#REF!</v>
      </c>
      <c r="H121" s="2271"/>
    </row>
    <row r="122" spans="1:8" ht="16.5">
      <c r="A122" s="2271">
        <v>111</v>
      </c>
      <c r="B122" s="2271">
        <v>51</v>
      </c>
      <c r="C122" s="2271" t="s">
        <v>1711</v>
      </c>
      <c r="D122" s="3425" t="s">
        <v>452</v>
      </c>
      <c r="E122" s="3425" t="e">
        <f>+VLOOKUP(C122,'Phụ cấp cây non'!#REF!,35,0)</f>
        <v>#REF!</v>
      </c>
      <c r="F122" s="2275">
        <v>120000</v>
      </c>
      <c r="G122" s="3428" t="e">
        <f t="shared" si="2"/>
        <v>#REF!</v>
      </c>
      <c r="H122" s="2271"/>
    </row>
    <row r="123" spans="1:8" ht="16.5">
      <c r="A123" s="2271">
        <v>112</v>
      </c>
      <c r="B123" s="2271">
        <v>52</v>
      </c>
      <c r="C123" s="2271" t="s">
        <v>1624</v>
      </c>
      <c r="D123" s="3425" t="s">
        <v>452</v>
      </c>
      <c r="E123" s="3425" t="e">
        <f>+VLOOKUP(C123,'Phụ cấp cây non'!#REF!,35,0)</f>
        <v>#REF!</v>
      </c>
      <c r="F123" s="2275">
        <v>120000</v>
      </c>
      <c r="G123" s="3428" t="e">
        <f t="shared" si="2"/>
        <v>#REF!</v>
      </c>
      <c r="H123" s="2271"/>
    </row>
    <row r="124" spans="1:8" ht="16.5">
      <c r="A124" s="2271">
        <v>113</v>
      </c>
      <c r="B124" s="2271">
        <v>53</v>
      </c>
      <c r="C124" s="2271" t="s">
        <v>1625</v>
      </c>
      <c r="D124" s="3425" t="s">
        <v>452</v>
      </c>
      <c r="E124" s="3425" t="e">
        <f>+VLOOKUP(C124,'Phụ cấp cây non'!#REF!,35,0)</f>
        <v>#REF!</v>
      </c>
      <c r="F124" s="2275">
        <v>120000</v>
      </c>
      <c r="G124" s="3428" t="e">
        <f t="shared" si="2"/>
        <v>#REF!</v>
      </c>
      <c r="H124" s="2271"/>
    </row>
    <row r="125" spans="1:8" ht="16.5">
      <c r="A125" s="2271">
        <v>114</v>
      </c>
      <c r="B125" s="2271">
        <v>54</v>
      </c>
      <c r="C125" s="2271" t="s">
        <v>1968</v>
      </c>
      <c r="D125" s="3425" t="s">
        <v>452</v>
      </c>
      <c r="E125" s="3425" t="e">
        <f>+VLOOKUP(C125,'Phụ cấp cây non'!#REF!,35,0)</f>
        <v>#REF!</v>
      </c>
      <c r="F125" s="2275">
        <v>120000</v>
      </c>
      <c r="G125" s="3428" t="e">
        <f t="shared" si="2"/>
        <v>#REF!</v>
      </c>
      <c r="H125" s="2271"/>
    </row>
    <row r="126" spans="1:8" ht="16.5">
      <c r="A126" s="2271">
        <v>115</v>
      </c>
      <c r="B126" s="2271">
        <v>55</v>
      </c>
      <c r="C126" s="2271" t="s">
        <v>1969</v>
      </c>
      <c r="D126" s="3425" t="s">
        <v>452</v>
      </c>
      <c r="E126" s="3425" t="e">
        <f>+VLOOKUP(C126,'Phụ cấp cây non'!#REF!,35,0)</f>
        <v>#REF!</v>
      </c>
      <c r="F126" s="2275">
        <v>120000</v>
      </c>
      <c r="G126" s="3428" t="e">
        <f t="shared" si="2"/>
        <v>#REF!</v>
      </c>
      <c r="H126" s="2271"/>
    </row>
    <row r="127" spans="1:8" ht="16.5">
      <c r="A127" s="2271">
        <v>116</v>
      </c>
      <c r="B127" s="2271">
        <v>56</v>
      </c>
      <c r="C127" s="2271" t="s">
        <v>1712</v>
      </c>
      <c r="D127" s="3425" t="s">
        <v>452</v>
      </c>
      <c r="E127" s="3425" t="e">
        <f>+VLOOKUP(C127,'Phụ cấp cây non'!#REF!,35,0)</f>
        <v>#REF!</v>
      </c>
      <c r="F127" s="2275">
        <v>120000</v>
      </c>
      <c r="G127" s="3428" t="e">
        <f t="shared" si="2"/>
        <v>#REF!</v>
      </c>
      <c r="H127" s="2271"/>
    </row>
    <row r="128" spans="1:8" ht="16.5">
      <c r="A128" s="2271">
        <v>117</v>
      </c>
      <c r="B128" s="2271">
        <v>57</v>
      </c>
      <c r="C128" s="2271" t="s">
        <v>1713</v>
      </c>
      <c r="D128" s="3425" t="s">
        <v>452</v>
      </c>
      <c r="E128" s="3425" t="e">
        <f>+VLOOKUP(C128,'Phụ cấp cây non'!B18:AI18,35,0)</f>
        <v>#N/A</v>
      </c>
      <c r="F128" s="2275">
        <v>120000</v>
      </c>
      <c r="G128" s="3428" t="e">
        <f t="shared" si="2"/>
        <v>#N/A</v>
      </c>
      <c r="H128" s="2271"/>
    </row>
    <row r="129" spans="1:8" ht="16.5">
      <c r="A129" s="2271">
        <v>118</v>
      </c>
      <c r="B129" s="2271">
        <v>58</v>
      </c>
      <c r="C129" s="2271" t="s">
        <v>523</v>
      </c>
      <c r="D129" s="3425" t="s">
        <v>452</v>
      </c>
      <c r="E129" s="3425" t="e">
        <f>+VLOOKUP(C129,'Phụ cấp cây non'!B18:AI19,35,0)</f>
        <v>#N/A</v>
      </c>
      <c r="F129" s="2275">
        <v>120000</v>
      </c>
      <c r="G129" s="3428" t="e">
        <f t="shared" si="2"/>
        <v>#N/A</v>
      </c>
      <c r="H129" s="2271"/>
    </row>
    <row r="130" spans="1:8" ht="16.5">
      <c r="A130" s="2271"/>
      <c r="B130" s="2272" t="s">
        <v>1864</v>
      </c>
      <c r="C130" s="2272"/>
      <c r="D130" s="2272"/>
      <c r="E130" s="3552" t="e">
        <f>SUM(E72:E129)</f>
        <v>#REF!</v>
      </c>
      <c r="F130" s="2275"/>
      <c r="G130" s="3413" t="e">
        <f>SUM(G72:G129)</f>
        <v>#REF!</v>
      </c>
      <c r="H130" s="2272"/>
    </row>
    <row r="131" spans="1:8" ht="16.5">
      <c r="A131" s="2271">
        <v>119</v>
      </c>
      <c r="B131" s="2271">
        <v>1</v>
      </c>
      <c r="C131" s="2271" t="s">
        <v>1511</v>
      </c>
      <c r="D131" s="3425" t="s">
        <v>452</v>
      </c>
      <c r="E131" s="3425" t="e">
        <f>+VLOOKUP(C131,'Phụ cấp cây non'!#REF!,35,0)</f>
        <v>#REF!</v>
      </c>
      <c r="F131" s="2275">
        <v>120000</v>
      </c>
      <c r="G131" s="3428" t="e">
        <f>+E131*F131</f>
        <v>#REF!</v>
      </c>
      <c r="H131" s="2271"/>
    </row>
    <row r="132" spans="1:8" ht="16.5">
      <c r="A132" s="2271">
        <v>120</v>
      </c>
      <c r="B132" s="2271">
        <v>2</v>
      </c>
      <c r="C132" s="2271" t="s">
        <v>1206</v>
      </c>
      <c r="D132" s="3425" t="s">
        <v>452</v>
      </c>
      <c r="E132" s="3425" t="e">
        <f>+VLOOKUP(C132,'Phụ cấp cây non'!#REF!,35,0)</f>
        <v>#REF!</v>
      </c>
      <c r="F132" s="2275">
        <v>120000</v>
      </c>
      <c r="G132" s="3428" t="e">
        <f t="shared" ref="G132:G146" si="3">+E132*F132</f>
        <v>#REF!</v>
      </c>
      <c r="H132" s="2271"/>
    </row>
    <row r="133" spans="1:8" ht="16.5">
      <c r="A133" s="2271">
        <v>121</v>
      </c>
      <c r="B133" s="2271">
        <v>3</v>
      </c>
      <c r="C133" s="2271" t="s">
        <v>1207</v>
      </c>
      <c r="D133" s="3425" t="s">
        <v>452</v>
      </c>
      <c r="E133" s="3425" t="e">
        <f>+VLOOKUP(C133,'Phụ cấp cây non'!#REF!,35,0)</f>
        <v>#REF!</v>
      </c>
      <c r="F133" s="2275">
        <v>120000</v>
      </c>
      <c r="G133" s="3428" t="e">
        <f t="shared" si="3"/>
        <v>#REF!</v>
      </c>
      <c r="H133" s="2271"/>
    </row>
    <row r="134" spans="1:8" ht="16.5">
      <c r="A134" s="2271">
        <v>122</v>
      </c>
      <c r="B134" s="2271">
        <v>4</v>
      </c>
      <c r="C134" s="2271" t="s">
        <v>567</v>
      </c>
      <c r="D134" s="3425" t="s">
        <v>452</v>
      </c>
      <c r="E134" s="3425" t="e">
        <f>+VLOOKUP(C134,'Phụ cấp cây non'!#REF!,35,0)</f>
        <v>#REF!</v>
      </c>
      <c r="F134" s="2275">
        <v>120000</v>
      </c>
      <c r="G134" s="3428" t="e">
        <f t="shared" si="3"/>
        <v>#REF!</v>
      </c>
      <c r="H134" s="2271"/>
    </row>
    <row r="135" spans="1:8" ht="16.5">
      <c r="A135" s="2271">
        <v>123</v>
      </c>
      <c r="B135" s="2271">
        <v>5</v>
      </c>
      <c r="C135" s="2271" t="s">
        <v>1512</v>
      </c>
      <c r="D135" s="3425" t="s">
        <v>452</v>
      </c>
      <c r="E135" s="3425" t="e">
        <f>+VLOOKUP(C135,'Phụ cấp cây non'!#REF!,35,0)</f>
        <v>#REF!</v>
      </c>
      <c r="F135" s="2275">
        <v>120000</v>
      </c>
      <c r="G135" s="3428" t="e">
        <f t="shared" si="3"/>
        <v>#REF!</v>
      </c>
      <c r="H135" s="2271"/>
    </row>
    <row r="136" spans="1:8" ht="16.5">
      <c r="A136" s="2271">
        <v>124</v>
      </c>
      <c r="B136" s="2271">
        <v>6</v>
      </c>
      <c r="C136" s="2271" t="s">
        <v>1541</v>
      </c>
      <c r="D136" s="3425" t="s">
        <v>452</v>
      </c>
      <c r="E136" s="3425" t="e">
        <f>+VLOOKUP(C136,'Phụ cấp cây non'!#REF!,35,0)</f>
        <v>#REF!</v>
      </c>
      <c r="F136" s="2275">
        <v>120000</v>
      </c>
      <c r="G136" s="3428" t="e">
        <f t="shared" si="3"/>
        <v>#REF!</v>
      </c>
      <c r="H136" s="2271"/>
    </row>
    <row r="137" spans="1:8" ht="16.5">
      <c r="A137" s="2271">
        <v>125</v>
      </c>
      <c r="B137" s="2271">
        <v>7</v>
      </c>
      <c r="C137" s="2271" t="s">
        <v>1513</v>
      </c>
      <c r="D137" s="3425" t="s">
        <v>452</v>
      </c>
      <c r="E137" s="3425" t="e">
        <f>+VLOOKUP(C137,'Phụ cấp cây non'!#REF!,35,0)</f>
        <v>#REF!</v>
      </c>
      <c r="F137" s="2275">
        <v>120000</v>
      </c>
      <c r="G137" s="3428" t="e">
        <f t="shared" si="3"/>
        <v>#REF!</v>
      </c>
      <c r="H137" s="2271"/>
    </row>
    <row r="138" spans="1:8" ht="16.5">
      <c r="A138" s="2271">
        <v>126</v>
      </c>
      <c r="B138" s="2271">
        <v>8</v>
      </c>
      <c r="C138" s="2271" t="s">
        <v>1514</v>
      </c>
      <c r="D138" s="3425" t="s">
        <v>452</v>
      </c>
      <c r="E138" s="3425" t="e">
        <f>+VLOOKUP(C138,'Phụ cấp cây non'!#REF!,35,0)</f>
        <v>#REF!</v>
      </c>
      <c r="F138" s="2275">
        <v>120000</v>
      </c>
      <c r="G138" s="3428" t="e">
        <f t="shared" si="3"/>
        <v>#REF!</v>
      </c>
      <c r="H138" s="2271"/>
    </row>
    <row r="139" spans="1:8" ht="16.5">
      <c r="A139" s="2271">
        <v>127</v>
      </c>
      <c r="B139" s="2271">
        <v>9</v>
      </c>
      <c r="C139" s="2271" t="s">
        <v>850</v>
      </c>
      <c r="D139" s="3425" t="s">
        <v>452</v>
      </c>
      <c r="E139" s="3425" t="e">
        <f>+VLOOKUP(C139,'Phụ cấp cây non'!#REF!,35,0)</f>
        <v>#REF!</v>
      </c>
      <c r="F139" s="2275">
        <v>120000</v>
      </c>
      <c r="G139" s="3428" t="e">
        <f t="shared" si="3"/>
        <v>#REF!</v>
      </c>
      <c r="H139" s="2271"/>
    </row>
    <row r="140" spans="1:8" ht="16.5">
      <c r="A140" s="2271">
        <v>128</v>
      </c>
      <c r="B140" s="2271">
        <v>10</v>
      </c>
      <c r="C140" s="2271" t="s">
        <v>288</v>
      </c>
      <c r="D140" s="3425" t="s">
        <v>452</v>
      </c>
      <c r="E140" s="3425" t="e">
        <f>+VLOOKUP(C140,'Phụ cấp cây non'!#REF!,35,0)</f>
        <v>#REF!</v>
      </c>
      <c r="F140" s="2275">
        <v>120000</v>
      </c>
      <c r="G140" s="3428" t="e">
        <f t="shared" si="3"/>
        <v>#REF!</v>
      </c>
      <c r="H140" s="2271"/>
    </row>
    <row r="141" spans="1:8" ht="16.5">
      <c r="A141" s="2271">
        <v>129</v>
      </c>
      <c r="B141" s="2271">
        <v>11</v>
      </c>
      <c r="C141" s="2271" t="s">
        <v>1215</v>
      </c>
      <c r="D141" s="3425" t="s">
        <v>452</v>
      </c>
      <c r="E141" s="3425" t="e">
        <f>+VLOOKUP(C141,'Phụ cấp cây non'!#REF!,35,0)</f>
        <v>#REF!</v>
      </c>
      <c r="F141" s="2275">
        <v>120000</v>
      </c>
      <c r="G141" s="3428" t="e">
        <f t="shared" si="3"/>
        <v>#REF!</v>
      </c>
      <c r="H141" s="2271"/>
    </row>
    <row r="142" spans="1:8" ht="16.5">
      <c r="A142" s="2271">
        <v>130</v>
      </c>
      <c r="B142" s="2271">
        <v>12</v>
      </c>
      <c r="C142" s="2271" t="s">
        <v>1189</v>
      </c>
      <c r="D142" s="3425" t="s">
        <v>452</v>
      </c>
      <c r="E142" s="3425" t="e">
        <f>+VLOOKUP(C142,'Phụ cấp cây non'!#REF!,35,0)</f>
        <v>#REF!</v>
      </c>
      <c r="F142" s="2275">
        <v>120000</v>
      </c>
      <c r="G142" s="3428" t="e">
        <f t="shared" si="3"/>
        <v>#REF!</v>
      </c>
      <c r="H142" s="2271"/>
    </row>
    <row r="143" spans="1:8" ht="16.5">
      <c r="A143" s="2271">
        <v>131</v>
      </c>
      <c r="B143" s="2271">
        <v>13</v>
      </c>
      <c r="C143" s="2271" t="s">
        <v>1542</v>
      </c>
      <c r="D143" s="3425" t="s">
        <v>452</v>
      </c>
      <c r="E143" s="3425" t="e">
        <f>+VLOOKUP(C143,'Phụ cấp cây non'!#REF!,35,0)</f>
        <v>#REF!</v>
      </c>
      <c r="F143" s="2275">
        <v>120000</v>
      </c>
      <c r="G143" s="3428" t="e">
        <f t="shared" si="3"/>
        <v>#REF!</v>
      </c>
      <c r="H143" s="2271"/>
    </row>
    <row r="144" spans="1:8" ht="16.5">
      <c r="A144" s="2271">
        <v>132</v>
      </c>
      <c r="B144" s="2271">
        <v>14</v>
      </c>
      <c r="C144" s="2271" t="s">
        <v>1543</v>
      </c>
      <c r="D144" s="3425" t="s">
        <v>452</v>
      </c>
      <c r="E144" s="3425" t="e">
        <f>+VLOOKUP(C144,'Phụ cấp cây non'!#REF!,35,0)</f>
        <v>#REF!</v>
      </c>
      <c r="F144" s="2275">
        <v>120000</v>
      </c>
      <c r="G144" s="3428" t="e">
        <f t="shared" si="3"/>
        <v>#REF!</v>
      </c>
      <c r="H144" s="2271"/>
    </row>
    <row r="145" spans="1:8" ht="16.5">
      <c r="A145" s="2271">
        <v>133</v>
      </c>
      <c r="B145" s="2271">
        <v>15</v>
      </c>
      <c r="C145" s="2271" t="s">
        <v>1253</v>
      </c>
      <c r="D145" s="3425" t="s">
        <v>452</v>
      </c>
      <c r="E145" s="3425" t="e">
        <f>+VLOOKUP(C145,'Phụ cấp cây non'!#REF!,35,0)</f>
        <v>#REF!</v>
      </c>
      <c r="F145" s="2275">
        <v>120000</v>
      </c>
      <c r="G145" s="3428" t="e">
        <f t="shared" si="3"/>
        <v>#REF!</v>
      </c>
      <c r="H145" s="2271"/>
    </row>
    <row r="146" spans="1:8" ht="16.5">
      <c r="A146" s="2271">
        <v>134</v>
      </c>
      <c r="B146" s="2271">
        <v>16</v>
      </c>
      <c r="C146" s="2271" t="s">
        <v>1544</v>
      </c>
      <c r="D146" s="3425" t="s">
        <v>452</v>
      </c>
      <c r="E146" s="3425" t="e">
        <f>+VLOOKUP(C146,'Phụ cấp cây non'!#REF!,35,0)</f>
        <v>#REF!</v>
      </c>
      <c r="F146" s="2275">
        <v>120000</v>
      </c>
      <c r="G146" s="3428" t="e">
        <f t="shared" si="3"/>
        <v>#REF!</v>
      </c>
      <c r="H146" s="2271"/>
    </row>
    <row r="147" spans="1:8" ht="16.5">
      <c r="A147" s="2271"/>
      <c r="B147" s="2272" t="s">
        <v>1865</v>
      </c>
      <c r="C147" s="2272"/>
      <c r="D147" s="2272"/>
      <c r="E147" s="3508" t="e">
        <f>SUM(E131:E146)</f>
        <v>#REF!</v>
      </c>
      <c r="F147" s="3413"/>
      <c r="G147" s="3413" t="e">
        <f>SUM(G131:G146)</f>
        <v>#REF!</v>
      </c>
      <c r="H147" s="2272"/>
    </row>
    <row r="148" spans="1:8" ht="16.5">
      <c r="A148" s="2271">
        <v>135</v>
      </c>
      <c r="B148" s="2271">
        <v>1</v>
      </c>
      <c r="C148" s="2271" t="s">
        <v>1216</v>
      </c>
      <c r="D148" s="3425" t="s">
        <v>453</v>
      </c>
      <c r="E148" s="3425" t="e">
        <f>+VLOOKUP(C148,'Phụ cấp cây non'!#REF!,35,0)</f>
        <v>#REF!</v>
      </c>
      <c r="F148" s="2275">
        <v>120000</v>
      </c>
      <c r="G148" s="3428" t="e">
        <f>+E148*F148</f>
        <v>#REF!</v>
      </c>
      <c r="H148" s="2271"/>
    </row>
    <row r="149" spans="1:8" ht="16.5">
      <c r="A149" s="2271">
        <v>136</v>
      </c>
      <c r="B149" s="2271">
        <v>2</v>
      </c>
      <c r="C149" s="2271" t="s">
        <v>351</v>
      </c>
      <c r="D149" s="3425" t="s">
        <v>453</v>
      </c>
      <c r="E149" s="3425" t="e">
        <f>+VLOOKUP(C149,'Phụ cấp cây non'!#REF!,35,0)</f>
        <v>#REF!</v>
      </c>
      <c r="F149" s="2275">
        <v>120000</v>
      </c>
      <c r="G149" s="3428" t="e">
        <f t="shared" ref="G149:G172" si="4">+E149*F149</f>
        <v>#REF!</v>
      </c>
      <c r="H149" s="2271"/>
    </row>
    <row r="150" spans="1:8" ht="16.5">
      <c r="A150" s="2271">
        <v>137</v>
      </c>
      <c r="B150" s="2271">
        <v>3</v>
      </c>
      <c r="C150" s="2271" t="s">
        <v>334</v>
      </c>
      <c r="D150" s="3425" t="s">
        <v>453</v>
      </c>
      <c r="E150" s="3425" t="e">
        <f>+VLOOKUP(C150,'Phụ cấp cây non'!B18:AI18,35,0)</f>
        <v>#N/A</v>
      </c>
      <c r="F150" s="2275">
        <v>120000</v>
      </c>
      <c r="G150" s="3428" t="e">
        <f t="shared" si="4"/>
        <v>#N/A</v>
      </c>
      <c r="H150" s="2271"/>
    </row>
    <row r="151" spans="1:8" ht="16.5">
      <c r="A151" s="2271">
        <v>138</v>
      </c>
      <c r="B151" s="2271">
        <v>4</v>
      </c>
      <c r="C151" s="2271" t="s">
        <v>1218</v>
      </c>
      <c r="D151" s="3425" t="s">
        <v>453</v>
      </c>
      <c r="E151" s="3425" t="e">
        <f>+VLOOKUP(C151,'Phụ cấp cây non'!B18:AI19,35,0)</f>
        <v>#N/A</v>
      </c>
      <c r="F151" s="2275">
        <v>120000</v>
      </c>
      <c r="G151" s="3428" t="e">
        <f t="shared" si="4"/>
        <v>#N/A</v>
      </c>
      <c r="H151" s="2271"/>
    </row>
    <row r="152" spans="1:8" ht="16.5">
      <c r="A152" s="2271">
        <v>139</v>
      </c>
      <c r="B152" s="2271">
        <v>5</v>
      </c>
      <c r="C152" s="2271" t="s">
        <v>1517</v>
      </c>
      <c r="D152" s="3425" t="s">
        <v>453</v>
      </c>
      <c r="E152" s="3425" t="e">
        <f>+VLOOKUP(C152,'Phụ cấp cây non'!B18:AI20,35,0)</f>
        <v>#N/A</v>
      </c>
      <c r="F152" s="2275">
        <v>120000</v>
      </c>
      <c r="G152" s="3428" t="e">
        <f t="shared" si="4"/>
        <v>#N/A</v>
      </c>
      <c r="H152" s="2271"/>
    </row>
    <row r="153" spans="1:8" ht="16.5">
      <c r="A153" s="2271">
        <v>140</v>
      </c>
      <c r="B153" s="2271">
        <v>6</v>
      </c>
      <c r="C153" s="2271" t="s">
        <v>1217</v>
      </c>
      <c r="D153" s="3425" t="s">
        <v>453</v>
      </c>
      <c r="E153" s="3425" t="e">
        <f>+VLOOKUP(C153,'Phụ cấp cây non'!B18:AI21,35,0)</f>
        <v>#N/A</v>
      </c>
      <c r="F153" s="2275">
        <v>120000</v>
      </c>
      <c r="G153" s="3428" t="e">
        <f t="shared" si="4"/>
        <v>#N/A</v>
      </c>
      <c r="H153" s="2271"/>
    </row>
    <row r="154" spans="1:8" ht="16.5">
      <c r="A154" s="2271">
        <v>141</v>
      </c>
      <c r="B154" s="2271">
        <v>7</v>
      </c>
      <c r="C154" s="2271" t="s">
        <v>1545</v>
      </c>
      <c r="D154" s="3425" t="s">
        <v>453</v>
      </c>
      <c r="E154" s="3425" t="e">
        <f>+VLOOKUP(C154,'Phụ cấp cây non'!B18:AI22,35,0)</f>
        <v>#N/A</v>
      </c>
      <c r="F154" s="2275">
        <v>120000</v>
      </c>
      <c r="G154" s="3428" t="e">
        <f t="shared" si="4"/>
        <v>#N/A</v>
      </c>
      <c r="H154" s="2271"/>
    </row>
    <row r="155" spans="1:8" ht="16.5">
      <c r="A155" s="2271">
        <v>142</v>
      </c>
      <c r="B155" s="2271">
        <v>8</v>
      </c>
      <c r="C155" s="2271" t="s">
        <v>152</v>
      </c>
      <c r="D155" s="3425" t="s">
        <v>453</v>
      </c>
      <c r="E155" s="3425" t="e">
        <f>+VLOOKUP(C155,'Phụ cấp cây non'!B18:AI23,35,0)</f>
        <v>#N/A</v>
      </c>
      <c r="F155" s="2275">
        <v>120000</v>
      </c>
      <c r="G155" s="3428" t="e">
        <f t="shared" si="4"/>
        <v>#N/A</v>
      </c>
      <c r="H155" s="2271"/>
    </row>
    <row r="156" spans="1:8" ht="16.5">
      <c r="A156" s="2271">
        <v>143</v>
      </c>
      <c r="B156" s="2271">
        <v>9</v>
      </c>
      <c r="C156" s="2271" t="s">
        <v>571</v>
      </c>
      <c r="D156" s="3425" t="s">
        <v>453</v>
      </c>
      <c r="E156" s="3425" t="e">
        <f>+VLOOKUP(C156,'Phụ cấp cây non'!B18:AI24,35,0)</f>
        <v>#N/A</v>
      </c>
      <c r="F156" s="2275">
        <v>120000</v>
      </c>
      <c r="G156" s="3428" t="e">
        <f t="shared" si="4"/>
        <v>#N/A</v>
      </c>
      <c r="H156" s="2271"/>
    </row>
    <row r="157" spans="1:8" ht="16.5">
      <c r="A157" s="2271">
        <v>144</v>
      </c>
      <c r="B157" s="2271">
        <v>10</v>
      </c>
      <c r="C157" s="2271" t="s">
        <v>1219</v>
      </c>
      <c r="D157" s="3425" t="s">
        <v>453</v>
      </c>
      <c r="E157" s="3425" t="e">
        <f>+VLOOKUP(C157,'Phụ cấp cây non'!B18:AI25,35,0)</f>
        <v>#N/A</v>
      </c>
      <c r="F157" s="2275">
        <v>120000</v>
      </c>
      <c r="G157" s="3428" t="e">
        <f t="shared" si="4"/>
        <v>#N/A</v>
      </c>
      <c r="H157" s="2271"/>
    </row>
    <row r="158" spans="1:8" ht="16.5">
      <c r="A158" s="2271">
        <v>145</v>
      </c>
      <c r="B158" s="2271">
        <v>11</v>
      </c>
      <c r="C158" s="2271" t="s">
        <v>1220</v>
      </c>
      <c r="D158" s="3425" t="s">
        <v>453</v>
      </c>
      <c r="E158" s="3425" t="e">
        <f>+VLOOKUP(C158,'Phụ cấp cây non'!B18:AI27,35,0)</f>
        <v>#N/A</v>
      </c>
      <c r="F158" s="2275">
        <v>120000</v>
      </c>
      <c r="G158" s="3428" t="e">
        <f t="shared" si="4"/>
        <v>#N/A</v>
      </c>
      <c r="H158" s="2271"/>
    </row>
    <row r="159" spans="1:8" ht="16.5">
      <c r="A159" s="2271">
        <v>146</v>
      </c>
      <c r="B159" s="2271">
        <v>12</v>
      </c>
      <c r="C159" s="2271" t="s">
        <v>1223</v>
      </c>
      <c r="D159" s="3425" t="s">
        <v>453</v>
      </c>
      <c r="E159" s="3425" t="e">
        <f>+VLOOKUP(C159,'Phụ cấp cây non'!B18:AI30,35,0)</f>
        <v>#N/A</v>
      </c>
      <c r="F159" s="2275">
        <v>120000</v>
      </c>
      <c r="G159" s="3428" t="e">
        <f t="shared" si="4"/>
        <v>#N/A</v>
      </c>
      <c r="H159" s="2271"/>
    </row>
    <row r="160" spans="1:8" ht="16.5">
      <c r="A160" s="2271">
        <v>147</v>
      </c>
      <c r="B160" s="2271">
        <v>13</v>
      </c>
      <c r="C160" s="2271" t="s">
        <v>1224</v>
      </c>
      <c r="D160" s="3425" t="s">
        <v>453</v>
      </c>
      <c r="E160" s="3425" t="e">
        <f>+VLOOKUP(C160,'Phụ cấp cây non'!B18:AI31,35,0)</f>
        <v>#N/A</v>
      </c>
      <c r="F160" s="2275">
        <v>120000</v>
      </c>
      <c r="G160" s="3428" t="e">
        <f t="shared" si="4"/>
        <v>#N/A</v>
      </c>
      <c r="H160" s="2271"/>
    </row>
    <row r="161" spans="1:13" ht="16.5">
      <c r="A161" s="2271">
        <v>148</v>
      </c>
      <c r="B161" s="2271">
        <v>14</v>
      </c>
      <c r="C161" s="2271" t="s">
        <v>1546</v>
      </c>
      <c r="D161" s="3425" t="s">
        <v>453</v>
      </c>
      <c r="E161" s="3425" t="e">
        <f>+VLOOKUP(C161,'Phụ cấp cây non'!B18:AI32,35,0)</f>
        <v>#N/A</v>
      </c>
      <c r="F161" s="2275">
        <v>120000</v>
      </c>
      <c r="G161" s="3428" t="e">
        <f t="shared" si="4"/>
        <v>#N/A</v>
      </c>
      <c r="H161" s="2271"/>
    </row>
    <row r="162" spans="1:13" ht="16.5">
      <c r="A162" s="2271">
        <v>149</v>
      </c>
      <c r="B162" s="2271">
        <v>15</v>
      </c>
      <c r="C162" s="2271" t="s">
        <v>1226</v>
      </c>
      <c r="D162" s="3425" t="s">
        <v>453</v>
      </c>
      <c r="E162" s="3425" t="e">
        <f>+VLOOKUP(C162,'Phụ cấp cây non'!B18:AI33,35,0)</f>
        <v>#N/A</v>
      </c>
      <c r="F162" s="2275">
        <v>120000</v>
      </c>
      <c r="G162" s="3428" t="e">
        <f t="shared" si="4"/>
        <v>#N/A</v>
      </c>
      <c r="H162" s="2271"/>
    </row>
    <row r="163" spans="1:13" ht="16.5">
      <c r="A163" s="2271">
        <v>150</v>
      </c>
      <c r="B163" s="2271">
        <v>16</v>
      </c>
      <c r="C163" s="2271" t="s">
        <v>861</v>
      </c>
      <c r="D163" s="3425" t="s">
        <v>453</v>
      </c>
      <c r="E163" s="3425" t="e">
        <f>+VLOOKUP(C163,'Phụ cấp cây non'!B18:AI34,35,0)</f>
        <v>#N/A</v>
      </c>
      <c r="F163" s="2275">
        <v>120000</v>
      </c>
      <c r="G163" s="3428" t="e">
        <f t="shared" si="4"/>
        <v>#N/A</v>
      </c>
      <c r="H163" s="2271"/>
    </row>
    <row r="164" spans="1:13" ht="16.5">
      <c r="A164" s="2271">
        <v>151</v>
      </c>
      <c r="B164" s="2271">
        <v>17</v>
      </c>
      <c r="C164" s="2271" t="s">
        <v>486</v>
      </c>
      <c r="D164" s="3425" t="s">
        <v>453</v>
      </c>
      <c r="E164" s="3425" t="e">
        <f>+VLOOKUP(C164,'Phụ cấp cây non'!B18:AI35,35,0)</f>
        <v>#N/A</v>
      </c>
      <c r="F164" s="2275">
        <v>120000</v>
      </c>
      <c r="G164" s="3428" t="e">
        <f t="shared" si="4"/>
        <v>#N/A</v>
      </c>
      <c r="H164" s="2271"/>
    </row>
    <row r="165" spans="1:13" ht="16.5">
      <c r="A165" s="2271">
        <v>152</v>
      </c>
      <c r="B165" s="2271">
        <v>18</v>
      </c>
      <c r="C165" s="2271" t="s">
        <v>1227</v>
      </c>
      <c r="D165" s="3425" t="s">
        <v>453</v>
      </c>
      <c r="E165" s="3425" t="e">
        <f>+VLOOKUP(C165,'Phụ cấp cây non'!B18:AI37,35,0)</f>
        <v>#N/A</v>
      </c>
      <c r="F165" s="2275">
        <v>120000</v>
      </c>
      <c r="G165" s="3428" t="e">
        <f t="shared" si="4"/>
        <v>#N/A</v>
      </c>
      <c r="H165" s="2271"/>
    </row>
    <row r="166" spans="1:13" ht="16.5">
      <c r="A166" s="2271">
        <v>153</v>
      </c>
      <c r="B166" s="2271">
        <v>19</v>
      </c>
      <c r="C166" s="2271" t="s">
        <v>1228</v>
      </c>
      <c r="D166" s="3425" t="s">
        <v>453</v>
      </c>
      <c r="E166" s="3425" t="e">
        <f>+VLOOKUP(C166,'Phụ cấp cây non'!B18:AI38,35,0)</f>
        <v>#N/A</v>
      </c>
      <c r="F166" s="2275">
        <v>120000</v>
      </c>
      <c r="G166" s="3428" t="e">
        <f t="shared" si="4"/>
        <v>#N/A</v>
      </c>
      <c r="H166" s="2271"/>
    </row>
    <row r="167" spans="1:13" ht="16.5">
      <c r="A167" s="2271">
        <v>154</v>
      </c>
      <c r="B167" s="2271">
        <v>20</v>
      </c>
      <c r="C167" s="2271" t="s">
        <v>1229</v>
      </c>
      <c r="D167" s="3425" t="s">
        <v>453</v>
      </c>
      <c r="E167" s="3425" t="e">
        <f>+VLOOKUP(C167,'Phụ cấp cây non'!B18:AI39,35,0)</f>
        <v>#N/A</v>
      </c>
      <c r="F167" s="2275">
        <v>120000</v>
      </c>
      <c r="G167" s="3428" t="e">
        <f t="shared" si="4"/>
        <v>#N/A</v>
      </c>
      <c r="H167" s="2271"/>
    </row>
    <row r="168" spans="1:13" ht="16.5">
      <c r="A168" s="2271">
        <v>155</v>
      </c>
      <c r="B168" s="2271">
        <v>21</v>
      </c>
      <c r="C168" s="2271" t="s">
        <v>1518</v>
      </c>
      <c r="D168" s="3425" t="s">
        <v>453</v>
      </c>
      <c r="E168" s="3425" t="e">
        <f>+VLOOKUP(C168,'Phụ cấp cây non'!B18:AI40,35,0)</f>
        <v>#N/A</v>
      </c>
      <c r="F168" s="2275">
        <v>120000</v>
      </c>
      <c r="G168" s="3428" t="e">
        <f t="shared" si="4"/>
        <v>#N/A</v>
      </c>
      <c r="H168" s="2271"/>
    </row>
    <row r="169" spans="1:13" ht="16.5">
      <c r="A169" s="2271">
        <v>156</v>
      </c>
      <c r="B169" s="2271">
        <v>22</v>
      </c>
      <c r="C169" s="2271" t="s">
        <v>1519</v>
      </c>
      <c r="D169" s="3425" t="s">
        <v>453</v>
      </c>
      <c r="E169" s="3425" t="e">
        <f>+VLOOKUP(C169,'Phụ cấp cây non'!B18:AI41,35,0)</f>
        <v>#N/A</v>
      </c>
      <c r="F169" s="2275">
        <v>120000</v>
      </c>
      <c r="G169" s="3428" t="e">
        <f t="shared" si="4"/>
        <v>#N/A</v>
      </c>
      <c r="H169" s="2271"/>
    </row>
    <row r="170" spans="1:13" ht="16.5">
      <c r="A170" s="2271">
        <v>157</v>
      </c>
      <c r="B170" s="2271">
        <v>23</v>
      </c>
      <c r="C170" s="2271" t="s">
        <v>1520</v>
      </c>
      <c r="D170" s="3425" t="s">
        <v>453</v>
      </c>
      <c r="E170" s="3425" t="e">
        <f>+VLOOKUP(C170,'Phụ cấp cây non'!B18:AI42,35,0)</f>
        <v>#N/A</v>
      </c>
      <c r="F170" s="2275">
        <v>120000</v>
      </c>
      <c r="G170" s="3428" t="e">
        <f t="shared" si="4"/>
        <v>#N/A</v>
      </c>
      <c r="H170" s="2271"/>
    </row>
    <row r="171" spans="1:13" ht="16.5">
      <c r="A171" s="2271">
        <v>158</v>
      </c>
      <c r="B171" s="2271">
        <v>24</v>
      </c>
      <c r="C171" s="2271" t="s">
        <v>1521</v>
      </c>
      <c r="D171" s="3425" t="s">
        <v>453</v>
      </c>
      <c r="E171" s="3425" t="e">
        <f>+VLOOKUP(C171,'Phụ cấp cây non'!B18:AI43,35,0)</f>
        <v>#N/A</v>
      </c>
      <c r="F171" s="2275">
        <v>120000</v>
      </c>
      <c r="G171" s="3428" t="e">
        <f t="shared" si="4"/>
        <v>#N/A</v>
      </c>
      <c r="H171" s="2271"/>
    </row>
    <row r="172" spans="1:13" ht="16.5">
      <c r="A172" s="2271">
        <v>159</v>
      </c>
      <c r="B172" s="2271">
        <v>25</v>
      </c>
      <c r="C172" s="2271" t="s">
        <v>1522</v>
      </c>
      <c r="D172" s="3425" t="s">
        <v>453</v>
      </c>
      <c r="E172" s="3425" t="e">
        <f>+VLOOKUP(C172,'Phụ cấp cây non'!B18:AI44,35,0)</f>
        <v>#N/A</v>
      </c>
      <c r="F172" s="2275">
        <v>120000</v>
      </c>
      <c r="G172" s="3428" t="e">
        <f t="shared" si="4"/>
        <v>#N/A</v>
      </c>
      <c r="H172" s="2271"/>
    </row>
    <row r="173" spans="1:13" ht="16.5">
      <c r="A173" s="2271">
        <v>160</v>
      </c>
      <c r="B173" s="2271">
        <v>26</v>
      </c>
      <c r="C173" s="2271" t="s">
        <v>1230</v>
      </c>
      <c r="D173" s="3425" t="s">
        <v>453</v>
      </c>
      <c r="E173" s="3425"/>
      <c r="F173" s="2275"/>
      <c r="G173" s="3428">
        <v>89994.374125957489</v>
      </c>
      <c r="H173" s="2271"/>
    </row>
    <row r="174" spans="1:13" ht="16.5">
      <c r="A174" s="4109" t="s">
        <v>453</v>
      </c>
      <c r="B174" s="4110"/>
      <c r="C174" s="4111"/>
      <c r="D174" s="2272"/>
      <c r="E174" s="3555" t="e">
        <f>SUM(E148:E173)</f>
        <v>#REF!</v>
      </c>
      <c r="F174" s="3413"/>
      <c r="G174" s="3428" t="e">
        <f>SUM(G148:G173)</f>
        <v>#REF!</v>
      </c>
      <c r="H174" s="2271"/>
    </row>
    <row r="175" spans="1:13" ht="16.5">
      <c r="A175" s="4109" t="s">
        <v>61</v>
      </c>
      <c r="B175" s="4110"/>
      <c r="C175" s="4111"/>
      <c r="D175" s="2272"/>
      <c r="E175" s="3555" t="e">
        <f>+E174+E147+E130+E71+E41</f>
        <v>#REF!</v>
      </c>
      <c r="F175" s="3554">
        <f>+F174+F147+F130+F71+F41</f>
        <v>0</v>
      </c>
      <c r="G175" s="3553" t="e">
        <f>+G174+G147+G130+G71+G41</f>
        <v>#REF!</v>
      </c>
      <c r="H175" s="2272"/>
      <c r="J175" s="3543">
        <f>+VCKD!T227</f>
        <v>0</v>
      </c>
      <c r="K175" s="686">
        <f>+J175-F175</f>
        <v>0</v>
      </c>
      <c r="M175" s="31">
        <f>+J175/184</f>
        <v>0</v>
      </c>
    </row>
    <row r="176" spans="1:13" ht="30.75" customHeight="1">
      <c r="A176" s="4109" t="s">
        <v>2106</v>
      </c>
      <c r="B176" s="4110"/>
      <c r="C176" s="4110"/>
      <c r="D176" s="4110"/>
      <c r="E176" s="4110"/>
      <c r="F176" s="4110"/>
      <c r="G176" s="4110"/>
      <c r="H176" s="4111"/>
      <c r="J176" s="687" t="e">
        <f>+J175-G175</f>
        <v>#REF!</v>
      </c>
    </row>
    <row r="177" spans="1:9" ht="16.5">
      <c r="D177" s="4108" t="s">
        <v>2102</v>
      </c>
      <c r="E177" s="4108"/>
      <c r="F177" s="4108"/>
      <c r="G177" s="4108"/>
      <c r="H177" s="4108"/>
    </row>
    <row r="178" spans="1:9" ht="16.5">
      <c r="A178" s="4107" t="s">
        <v>20</v>
      </c>
      <c r="B178" s="4107"/>
      <c r="C178" s="4107"/>
      <c r="D178" s="4107"/>
      <c r="E178" s="3548"/>
      <c r="F178" s="4107" t="s">
        <v>21</v>
      </c>
      <c r="G178" s="4107"/>
      <c r="H178" s="4107"/>
    </row>
    <row r="179" spans="1:9">
      <c r="F179" s="34"/>
    </row>
    <row r="180" spans="1:9">
      <c r="F180" s="686"/>
    </row>
    <row r="188" spans="1:9" ht="14.25" hidden="1">
      <c r="A188" s="4115" t="s">
        <v>176</v>
      </c>
      <c r="B188" s="4115"/>
      <c r="C188" s="4115"/>
      <c r="D188" s="4115"/>
      <c r="E188" s="3549"/>
      <c r="F188" s="4115" t="s">
        <v>177</v>
      </c>
      <c r="G188" s="4115"/>
      <c r="H188" s="4115"/>
      <c r="I188" s="116"/>
    </row>
    <row r="191" spans="1:9" ht="16.5">
      <c r="A191" s="4107" t="s">
        <v>84</v>
      </c>
      <c r="B191" s="4107"/>
      <c r="C191" s="4107"/>
      <c r="D191" s="4107" t="s">
        <v>502</v>
      </c>
      <c r="E191" s="4107"/>
      <c r="F191" s="4107"/>
      <c r="G191" s="4107" t="s">
        <v>241</v>
      </c>
      <c r="H191" s="4107"/>
    </row>
  </sheetData>
  <mergeCells count="19">
    <mergeCell ref="G191:H191"/>
    <mergeCell ref="D191:F191"/>
    <mergeCell ref="A191:C191"/>
    <mergeCell ref="A188:D188"/>
    <mergeCell ref="F188:H188"/>
    <mergeCell ref="A178:D178"/>
    <mergeCell ref="F178:H178"/>
    <mergeCell ref="D177:H177"/>
    <mergeCell ref="A176:H176"/>
    <mergeCell ref="A7:H7"/>
    <mergeCell ref="B8:N8"/>
    <mergeCell ref="A9:B9"/>
    <mergeCell ref="A174:C174"/>
    <mergeCell ref="A175:C175"/>
    <mergeCell ref="A1:H1"/>
    <mergeCell ref="A2:H2"/>
    <mergeCell ref="A3:H3"/>
    <mergeCell ref="A4:F4"/>
    <mergeCell ref="A5:F5"/>
  </mergeCells>
  <pageMargins left="0.27559055118110237" right="0.35433070866141736" top="0.74803149606299213" bottom="0.74803149606299213" header="0.31496062992125984" footer="0.31496062992125984"/>
  <pageSetup paperSize="9" scale="10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7"/>
  <sheetViews>
    <sheetView topLeftCell="A25" zoomScale="89" zoomScaleNormal="89" workbookViewId="0">
      <selection activeCell="N10" sqref="N1:P1048576"/>
    </sheetView>
  </sheetViews>
  <sheetFormatPr defaultColWidth="9.140625" defaultRowHeight="15.75"/>
  <cols>
    <col min="1" max="1" width="6.5703125" style="4" customWidth="1"/>
    <col min="2" max="2" width="11.7109375" style="4" hidden="1" customWidth="1"/>
    <col min="3" max="3" width="18.140625" style="4" customWidth="1"/>
    <col min="4" max="4" width="16.28515625" style="4" customWidth="1"/>
    <col min="5" max="5" width="9.7109375" style="4" customWidth="1"/>
    <col min="6" max="6" width="9.42578125" style="4" customWidth="1"/>
    <col min="7" max="7" width="15.5703125" style="4" customWidth="1"/>
    <col min="8" max="8" width="15.7109375" style="4" customWidth="1"/>
    <col min="9" max="9" width="13.85546875" style="4" customWidth="1"/>
    <col min="10" max="10" width="14.7109375" style="4" hidden="1" customWidth="1"/>
    <col min="11" max="11" width="15.5703125" style="4" customWidth="1"/>
    <col min="12" max="12" width="18.140625" style="4" customWidth="1"/>
    <col min="13" max="13" width="2.140625" style="4" hidden="1" customWidth="1"/>
    <col min="14" max="14" width="20.42578125" style="4" hidden="1" customWidth="1"/>
    <col min="15" max="15" width="6.85546875" style="4" hidden="1" customWidth="1"/>
    <col min="16" max="16" width="11.28515625" style="4" hidden="1" customWidth="1"/>
    <col min="17" max="16384" width="9.140625" style="4"/>
  </cols>
  <sheetData>
    <row r="1" spans="1:18">
      <c r="A1" s="4116" t="s">
        <v>23</v>
      </c>
      <c r="B1" s="4116"/>
      <c r="C1" s="4116"/>
      <c r="D1" s="4116"/>
      <c r="E1" s="4116"/>
      <c r="F1" s="4116"/>
      <c r="G1" s="4116"/>
      <c r="H1" s="4116"/>
      <c r="I1" s="4116"/>
      <c r="J1" s="4116"/>
      <c r="K1" s="4116"/>
      <c r="L1" s="4116"/>
      <c r="M1" s="4116"/>
    </row>
    <row r="2" spans="1:18">
      <c r="A2" s="4116" t="s">
        <v>45</v>
      </c>
      <c r="B2" s="4116"/>
      <c r="C2" s="4116"/>
      <c r="D2" s="4116"/>
      <c r="E2" s="4116"/>
      <c r="F2" s="4116"/>
      <c r="G2" s="4116"/>
      <c r="H2" s="4116"/>
      <c r="I2" s="4116"/>
      <c r="J2" s="4116"/>
      <c r="K2" s="4116"/>
      <c r="L2" s="4116"/>
      <c r="M2" s="4116"/>
    </row>
    <row r="3" spans="1:18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2096"/>
      <c r="N3" s="2096"/>
      <c r="O3" s="2096"/>
      <c r="P3" s="2096"/>
      <c r="Q3" s="2096"/>
      <c r="R3" s="2096"/>
    </row>
    <row r="4" spans="1:18" ht="16.5">
      <c r="A4" s="4117" t="s">
        <v>929</v>
      </c>
      <c r="B4" s="4117"/>
      <c r="C4" s="4117"/>
      <c r="D4" s="4117"/>
      <c r="E4" s="4117"/>
      <c r="F4" s="4117"/>
      <c r="G4" s="4117"/>
      <c r="H4" s="4117"/>
      <c r="I4" s="2089"/>
      <c r="J4" s="1621"/>
      <c r="K4" s="2090"/>
      <c r="L4" s="2721"/>
      <c r="M4" s="79"/>
    </row>
    <row r="5" spans="1:18" ht="17.25">
      <c r="A5" s="4116" t="s">
        <v>90</v>
      </c>
      <c r="B5" s="4116"/>
      <c r="C5" s="4116"/>
      <c r="D5" s="4116"/>
      <c r="E5" s="4116"/>
      <c r="F5" s="4116"/>
      <c r="G5" s="4116"/>
      <c r="H5" s="4116"/>
      <c r="I5" s="2021"/>
      <c r="J5" s="1621"/>
      <c r="K5" s="2090"/>
      <c r="L5" s="2722"/>
      <c r="M5" s="87"/>
    </row>
    <row r="6" spans="1:18" ht="10.5" customHeight="1">
      <c r="A6" s="2021"/>
      <c r="B6" s="2021"/>
      <c r="C6" s="2021"/>
      <c r="D6" s="2021"/>
      <c r="E6" s="2021"/>
      <c r="F6" s="3497"/>
      <c r="G6" s="2021"/>
      <c r="H6" s="2021"/>
      <c r="I6" s="2021"/>
      <c r="J6" s="1606"/>
      <c r="K6" s="1628"/>
      <c r="L6" s="2022"/>
    </row>
    <row r="7" spans="1:18" s="10" customFormat="1" ht="30" customHeight="1">
      <c r="A7" s="4131" t="s">
        <v>2312</v>
      </c>
      <c r="B7" s="4131"/>
      <c r="C7" s="4131"/>
      <c r="D7" s="4131"/>
      <c r="E7" s="4131"/>
      <c r="F7" s="4131"/>
      <c r="G7" s="4131"/>
      <c r="H7" s="4131"/>
      <c r="I7" s="4131"/>
      <c r="J7" s="4131"/>
      <c r="K7" s="4131"/>
      <c r="L7" s="4131"/>
      <c r="M7" s="4131"/>
    </row>
    <row r="8" spans="1:18" ht="15.75" customHeight="1">
      <c r="A8" s="11"/>
      <c r="B8" s="250"/>
      <c r="C8" s="250"/>
      <c r="D8" s="250"/>
      <c r="E8" s="12"/>
      <c r="F8" s="12"/>
      <c r="G8" s="13"/>
      <c r="H8" s="13"/>
      <c r="I8" s="13"/>
      <c r="J8" s="13"/>
      <c r="K8" s="15"/>
      <c r="L8" s="2720"/>
      <c r="M8" s="11"/>
    </row>
    <row r="9" spans="1:18" s="838" customFormat="1" ht="17.25" customHeight="1">
      <c r="A9" s="4121" t="s">
        <v>0</v>
      </c>
      <c r="B9" s="4125" t="s">
        <v>163</v>
      </c>
      <c r="C9" s="4126" t="s">
        <v>1608</v>
      </c>
      <c r="D9" s="4121" t="s">
        <v>10</v>
      </c>
      <c r="E9" s="4133" t="s">
        <v>12</v>
      </c>
      <c r="F9" s="4133" t="s">
        <v>2014</v>
      </c>
      <c r="G9" s="4130" t="s">
        <v>1723</v>
      </c>
      <c r="H9" s="4122" t="s">
        <v>1724</v>
      </c>
      <c r="I9" s="4121" t="s">
        <v>14</v>
      </c>
      <c r="J9" s="4130" t="s">
        <v>222</v>
      </c>
      <c r="K9" s="4130" t="s">
        <v>1570</v>
      </c>
      <c r="L9" s="4132" t="s">
        <v>92</v>
      </c>
      <c r="M9" s="4129"/>
    </row>
    <row r="10" spans="1:18" s="54" customFormat="1" ht="45" customHeight="1">
      <c r="A10" s="4121"/>
      <c r="B10" s="4125"/>
      <c r="C10" s="4127"/>
      <c r="D10" s="4121"/>
      <c r="E10" s="4134"/>
      <c r="F10" s="4134"/>
      <c r="G10" s="4130"/>
      <c r="H10" s="4123"/>
      <c r="I10" s="4121"/>
      <c r="J10" s="4130"/>
      <c r="K10" s="4130"/>
      <c r="L10" s="4132"/>
      <c r="M10" s="4129"/>
      <c r="O10" s="54">
        <v>31</v>
      </c>
    </row>
    <row r="11" spans="1:18" s="56" customFormat="1" ht="41.25" hidden="1" customHeight="1">
      <c r="A11" s="840" t="s">
        <v>65</v>
      </c>
      <c r="B11" s="840" t="s">
        <v>66</v>
      </c>
      <c r="C11" s="840" t="s">
        <v>67</v>
      </c>
      <c r="D11" s="840" t="s">
        <v>116</v>
      </c>
      <c r="E11" s="840" t="s">
        <v>256</v>
      </c>
      <c r="F11" s="840"/>
      <c r="G11" s="840" t="s">
        <v>70</v>
      </c>
      <c r="H11" s="840"/>
      <c r="I11" s="840" t="s">
        <v>72</v>
      </c>
      <c r="J11" s="840"/>
      <c r="K11" s="840" t="s">
        <v>113</v>
      </c>
      <c r="L11" s="840" t="s">
        <v>77</v>
      </c>
      <c r="M11" s="840" t="s">
        <v>257</v>
      </c>
    </row>
    <row r="12" spans="1:18" s="54" customFormat="1" ht="18.75" hidden="1" customHeight="1">
      <c r="A12" s="836">
        <v>1</v>
      </c>
      <c r="B12" s="837">
        <v>2</v>
      </c>
      <c r="C12" s="836">
        <v>3</v>
      </c>
      <c r="D12" s="837">
        <v>4</v>
      </c>
      <c r="E12" s="836">
        <v>7</v>
      </c>
      <c r="F12" s="3496"/>
      <c r="G12" s="837">
        <v>8</v>
      </c>
      <c r="H12" s="836">
        <v>9</v>
      </c>
      <c r="I12" s="836">
        <v>11</v>
      </c>
      <c r="J12" s="836">
        <v>13</v>
      </c>
      <c r="K12" s="837">
        <v>14</v>
      </c>
      <c r="L12" s="836">
        <v>21</v>
      </c>
      <c r="M12" s="837">
        <v>22</v>
      </c>
    </row>
    <row r="13" spans="1:18" s="38" customFormat="1" ht="19.5" customHeight="1">
      <c r="A13" s="2279">
        <v>1</v>
      </c>
      <c r="B13" s="2280"/>
      <c r="C13" s="2281" t="s">
        <v>426</v>
      </c>
      <c r="D13" s="132"/>
      <c r="E13" s="1456">
        <v>30</v>
      </c>
      <c r="F13" s="1456" t="s">
        <v>1883</v>
      </c>
      <c r="G13" s="2282">
        <f>2000000*E13/30</f>
        <v>2000000</v>
      </c>
      <c r="H13" s="2765">
        <v>600000</v>
      </c>
      <c r="I13" s="2076">
        <f>SUM(G13:H13)</f>
        <v>2600000</v>
      </c>
      <c r="J13" s="65"/>
      <c r="K13" s="65">
        <f>+I13</f>
        <v>2600000</v>
      </c>
      <c r="L13" s="2283"/>
      <c r="M13" s="855" t="s">
        <v>156</v>
      </c>
      <c r="N13" s="165"/>
      <c r="O13" s="129"/>
    </row>
    <row r="14" spans="1:18" s="38" customFormat="1" ht="19.5" customHeight="1">
      <c r="A14" s="2279">
        <v>2</v>
      </c>
      <c r="B14" s="2280"/>
      <c r="C14" s="2281" t="s">
        <v>519</v>
      </c>
      <c r="D14" s="132"/>
      <c r="E14" s="1456">
        <v>30</v>
      </c>
      <c r="F14" s="1456" t="s">
        <v>453</v>
      </c>
      <c r="G14" s="2282">
        <f t="shared" ref="G14:G45" si="0">2000000*E14/30</f>
        <v>2000000</v>
      </c>
      <c r="H14" s="2765">
        <v>600000</v>
      </c>
      <c r="I14" s="2076">
        <f t="shared" ref="I14:I45" si="1">SUM(G14:H14)</f>
        <v>2600000</v>
      </c>
      <c r="J14" s="65"/>
      <c r="K14" s="65">
        <f t="shared" ref="K14:K45" si="2">+I14</f>
        <v>2600000</v>
      </c>
      <c r="L14" s="2283"/>
      <c r="M14" s="855" t="s">
        <v>156</v>
      </c>
      <c r="N14" s="165"/>
      <c r="O14" s="129"/>
      <c r="P14" s="906"/>
    </row>
    <row r="15" spans="1:18" s="1455" customFormat="1" ht="19.5" customHeight="1">
      <c r="A15" s="2279">
        <v>3</v>
      </c>
      <c r="B15" s="2280"/>
      <c r="C15" s="2281" t="s">
        <v>1483</v>
      </c>
      <c r="D15" s="132"/>
      <c r="E15" s="1456">
        <v>30</v>
      </c>
      <c r="F15" s="1456" t="s">
        <v>1863</v>
      </c>
      <c r="G15" s="2282">
        <f t="shared" si="0"/>
        <v>2000000</v>
      </c>
      <c r="H15" s="2765">
        <v>600000</v>
      </c>
      <c r="I15" s="2076">
        <f t="shared" si="1"/>
        <v>2600000</v>
      </c>
      <c r="J15" s="65"/>
      <c r="K15" s="65">
        <f t="shared" si="2"/>
        <v>2600000</v>
      </c>
      <c r="L15" s="2283"/>
      <c r="M15" s="855"/>
      <c r="N15" s="1457"/>
      <c r="O15" s="129"/>
    </row>
    <row r="16" spans="1:18" s="1455" customFormat="1" ht="19.5" customHeight="1">
      <c r="A16" s="2279">
        <v>4</v>
      </c>
      <c r="B16" s="2280"/>
      <c r="C16" s="2281" t="s">
        <v>1484</v>
      </c>
      <c r="D16" s="132"/>
      <c r="E16" s="1456">
        <v>30</v>
      </c>
      <c r="F16" s="1456" t="s">
        <v>2060</v>
      </c>
      <c r="G16" s="2282">
        <f t="shared" si="0"/>
        <v>2000000</v>
      </c>
      <c r="H16" s="2765">
        <v>600000</v>
      </c>
      <c r="I16" s="2076">
        <f t="shared" si="1"/>
        <v>2600000</v>
      </c>
      <c r="J16" s="65"/>
      <c r="K16" s="65">
        <f t="shared" si="2"/>
        <v>2600000</v>
      </c>
      <c r="L16" s="2283"/>
      <c r="M16" s="855"/>
      <c r="N16" s="1457"/>
      <c r="O16" s="129"/>
    </row>
    <row r="17" spans="1:15" s="1455" customFormat="1" ht="19.5" customHeight="1">
      <c r="A17" s="2279">
        <v>5</v>
      </c>
      <c r="B17" s="2280"/>
      <c r="C17" s="2281" t="s">
        <v>1434</v>
      </c>
      <c r="D17" s="132"/>
      <c r="E17" s="1456">
        <v>30</v>
      </c>
      <c r="F17" s="1456" t="s">
        <v>2060</v>
      </c>
      <c r="G17" s="2282">
        <f t="shared" si="0"/>
        <v>2000000</v>
      </c>
      <c r="H17" s="2765">
        <v>600000</v>
      </c>
      <c r="I17" s="2076">
        <f t="shared" si="1"/>
        <v>2600000</v>
      </c>
      <c r="J17" s="65"/>
      <c r="K17" s="65">
        <f t="shared" si="2"/>
        <v>2600000</v>
      </c>
      <c r="L17" s="2283"/>
      <c r="M17" s="855"/>
      <c r="N17" s="1457"/>
      <c r="O17" s="129"/>
    </row>
    <row r="18" spans="1:15" s="1455" customFormat="1" ht="19.5" customHeight="1">
      <c r="A18" s="2279">
        <v>6</v>
      </c>
      <c r="B18" s="2280"/>
      <c r="C18" s="2281" t="s">
        <v>169</v>
      </c>
      <c r="D18" s="132"/>
      <c r="E18" s="1456">
        <v>30</v>
      </c>
      <c r="F18" s="1456" t="s">
        <v>2060</v>
      </c>
      <c r="G18" s="2282">
        <f t="shared" si="0"/>
        <v>2000000</v>
      </c>
      <c r="H18" s="2765">
        <v>600000</v>
      </c>
      <c r="I18" s="2076">
        <f t="shared" si="1"/>
        <v>2600000</v>
      </c>
      <c r="J18" s="65"/>
      <c r="K18" s="65">
        <f t="shared" si="2"/>
        <v>2600000</v>
      </c>
      <c r="L18" s="2283"/>
      <c r="M18" s="855"/>
      <c r="N18" s="1457"/>
      <c r="O18" s="129"/>
    </row>
    <row r="19" spans="1:15" s="1455" customFormat="1" ht="19.5" customHeight="1">
      <c r="A19" s="2279">
        <v>7</v>
      </c>
      <c r="B19" s="2280"/>
      <c r="C19" s="2281" t="s">
        <v>1435</v>
      </c>
      <c r="D19" s="132"/>
      <c r="E19" s="1456">
        <v>30</v>
      </c>
      <c r="F19" s="1456" t="s">
        <v>2060</v>
      </c>
      <c r="G19" s="2282">
        <f t="shared" si="0"/>
        <v>2000000</v>
      </c>
      <c r="H19" s="2765">
        <v>600000</v>
      </c>
      <c r="I19" s="2076">
        <f t="shared" si="1"/>
        <v>2600000</v>
      </c>
      <c r="J19" s="65"/>
      <c r="K19" s="65">
        <f t="shared" si="2"/>
        <v>2600000</v>
      </c>
      <c r="L19" s="2283"/>
      <c r="M19" s="855"/>
      <c r="N19" s="1457"/>
      <c r="O19" s="129"/>
    </row>
    <row r="20" spans="1:15" s="1455" customFormat="1" ht="19.5" customHeight="1">
      <c r="A20" s="2279">
        <v>8</v>
      </c>
      <c r="B20" s="2280"/>
      <c r="C20" s="2281" t="s">
        <v>1485</v>
      </c>
      <c r="D20" s="132"/>
      <c r="E20" s="1456">
        <v>30</v>
      </c>
      <c r="F20" s="1456" t="s">
        <v>1865</v>
      </c>
      <c r="G20" s="2282">
        <f t="shared" si="0"/>
        <v>2000000</v>
      </c>
      <c r="H20" s="2765">
        <v>600000</v>
      </c>
      <c r="I20" s="2076">
        <f t="shared" si="1"/>
        <v>2600000</v>
      </c>
      <c r="J20" s="65"/>
      <c r="K20" s="65">
        <f t="shared" si="2"/>
        <v>2600000</v>
      </c>
      <c r="L20" s="2283"/>
      <c r="M20" s="855"/>
      <c r="N20" s="1457"/>
      <c r="O20" s="129"/>
    </row>
    <row r="21" spans="1:15" s="1455" customFormat="1" ht="19.5" customHeight="1">
      <c r="A21" s="2279">
        <v>9</v>
      </c>
      <c r="B21" s="2280"/>
      <c r="C21" s="2281" t="s">
        <v>1433</v>
      </c>
      <c r="D21" s="132"/>
      <c r="E21" s="1456">
        <v>30</v>
      </c>
      <c r="F21" s="1456" t="s">
        <v>453</v>
      </c>
      <c r="G21" s="2282">
        <f t="shared" si="0"/>
        <v>2000000</v>
      </c>
      <c r="H21" s="2765">
        <v>600000</v>
      </c>
      <c r="I21" s="2076">
        <f t="shared" si="1"/>
        <v>2600000</v>
      </c>
      <c r="J21" s="65"/>
      <c r="K21" s="65">
        <f t="shared" si="2"/>
        <v>2600000</v>
      </c>
      <c r="L21" s="2283"/>
      <c r="M21" s="855"/>
      <c r="N21" s="1457"/>
      <c r="O21" s="129"/>
    </row>
    <row r="22" spans="1:15" s="1455" customFormat="1" ht="19.5" customHeight="1">
      <c r="A22" s="2279">
        <v>10</v>
      </c>
      <c r="B22" s="2280"/>
      <c r="C22" s="2281" t="s">
        <v>1486</v>
      </c>
      <c r="D22" s="132"/>
      <c r="E22" s="1456">
        <v>30</v>
      </c>
      <c r="F22" s="1456" t="s">
        <v>453</v>
      </c>
      <c r="G22" s="2282">
        <f t="shared" si="0"/>
        <v>2000000</v>
      </c>
      <c r="H22" s="2765">
        <v>600000</v>
      </c>
      <c r="I22" s="2076">
        <f t="shared" si="1"/>
        <v>2600000</v>
      </c>
      <c r="J22" s="65"/>
      <c r="K22" s="65">
        <f t="shared" si="2"/>
        <v>2600000</v>
      </c>
      <c r="L22" s="2283"/>
      <c r="M22" s="855"/>
      <c r="N22" s="1457"/>
      <c r="O22" s="129"/>
    </row>
    <row r="23" spans="1:15" s="1455" customFormat="1" ht="19.5" customHeight="1">
      <c r="A23" s="2279">
        <v>11</v>
      </c>
      <c r="B23" s="2280"/>
      <c r="C23" s="2281" t="s">
        <v>2078</v>
      </c>
      <c r="D23" s="132"/>
      <c r="E23" s="1456">
        <v>30</v>
      </c>
      <c r="F23" s="1456" t="s">
        <v>1883</v>
      </c>
      <c r="G23" s="2282">
        <f t="shared" si="0"/>
        <v>2000000</v>
      </c>
      <c r="H23" s="2765">
        <f>E23*20000</f>
        <v>600000</v>
      </c>
      <c r="I23" s="2076">
        <f t="shared" si="1"/>
        <v>2600000</v>
      </c>
      <c r="J23" s="65"/>
      <c r="K23" s="65">
        <f t="shared" si="2"/>
        <v>2600000</v>
      </c>
      <c r="L23" s="2283"/>
      <c r="M23" s="3528"/>
      <c r="N23" s="1457"/>
      <c r="O23" s="129"/>
    </row>
    <row r="24" spans="1:15" s="1455" customFormat="1" ht="19.5" customHeight="1">
      <c r="A24" s="2279">
        <v>12</v>
      </c>
      <c r="B24" s="2280"/>
      <c r="C24" s="2281" t="s">
        <v>2079</v>
      </c>
      <c r="D24" s="132"/>
      <c r="E24" s="1456">
        <v>30</v>
      </c>
      <c r="F24" s="1456" t="s">
        <v>1883</v>
      </c>
      <c r="G24" s="2282">
        <f t="shared" si="0"/>
        <v>2000000</v>
      </c>
      <c r="H24" s="2765">
        <f t="shared" ref="H24:H45" si="3">E24*20000</f>
        <v>600000</v>
      </c>
      <c r="I24" s="2076">
        <f t="shared" si="1"/>
        <v>2600000</v>
      </c>
      <c r="J24" s="65"/>
      <c r="K24" s="65">
        <f t="shared" si="2"/>
        <v>2600000</v>
      </c>
      <c r="L24" s="2283"/>
      <c r="M24" s="3528"/>
      <c r="N24" s="1457"/>
      <c r="O24" s="129"/>
    </row>
    <row r="25" spans="1:15" s="1455" customFormat="1" ht="19.5" customHeight="1">
      <c r="A25" s="2279">
        <v>13</v>
      </c>
      <c r="B25" s="2280"/>
      <c r="C25" s="2281" t="s">
        <v>2080</v>
      </c>
      <c r="D25" s="132"/>
      <c r="E25" s="1456">
        <v>30</v>
      </c>
      <c r="F25" s="1456" t="s">
        <v>1863</v>
      </c>
      <c r="G25" s="2282">
        <f t="shared" si="0"/>
        <v>2000000</v>
      </c>
      <c r="H25" s="2765">
        <f t="shared" si="3"/>
        <v>600000</v>
      </c>
      <c r="I25" s="2076">
        <f t="shared" si="1"/>
        <v>2600000</v>
      </c>
      <c r="J25" s="65"/>
      <c r="K25" s="65">
        <f t="shared" si="2"/>
        <v>2600000</v>
      </c>
      <c r="L25" s="2283"/>
      <c r="M25" s="3528"/>
      <c r="N25" s="1457"/>
      <c r="O25" s="129"/>
    </row>
    <row r="26" spans="1:15" s="1455" customFormat="1" ht="19.5" customHeight="1">
      <c r="A26" s="2279">
        <v>14</v>
      </c>
      <c r="B26" s="2280"/>
      <c r="C26" s="2281" t="s">
        <v>1010</v>
      </c>
      <c r="D26" s="132"/>
      <c r="E26" s="1456">
        <v>30</v>
      </c>
      <c r="F26" s="1456" t="s">
        <v>1863</v>
      </c>
      <c r="G26" s="2282">
        <f t="shared" si="0"/>
        <v>2000000</v>
      </c>
      <c r="H26" s="2765">
        <f t="shared" si="3"/>
        <v>600000</v>
      </c>
      <c r="I26" s="2076">
        <f t="shared" si="1"/>
        <v>2600000</v>
      </c>
      <c r="J26" s="65"/>
      <c r="K26" s="65">
        <f t="shared" si="2"/>
        <v>2600000</v>
      </c>
      <c r="L26" s="2283"/>
      <c r="M26" s="3528"/>
      <c r="N26" s="1457"/>
      <c r="O26" s="129"/>
    </row>
    <row r="27" spans="1:15" s="1455" customFormat="1" ht="19.5" customHeight="1">
      <c r="A27" s="2279">
        <v>15</v>
      </c>
      <c r="B27" s="2280"/>
      <c r="C27" s="2281" t="s">
        <v>2081</v>
      </c>
      <c r="D27" s="132"/>
      <c r="E27" s="1456">
        <v>30</v>
      </c>
      <c r="F27" s="1456" t="s">
        <v>1863</v>
      </c>
      <c r="G27" s="2282">
        <f t="shared" si="0"/>
        <v>2000000</v>
      </c>
      <c r="H27" s="2765">
        <f t="shared" si="3"/>
        <v>600000</v>
      </c>
      <c r="I27" s="2076">
        <f t="shared" si="1"/>
        <v>2600000</v>
      </c>
      <c r="J27" s="65"/>
      <c r="K27" s="65">
        <f t="shared" si="2"/>
        <v>2600000</v>
      </c>
      <c r="L27" s="2283"/>
      <c r="M27" s="3528"/>
      <c r="N27" s="1457"/>
      <c r="O27" s="129"/>
    </row>
    <row r="28" spans="1:15" s="1455" customFormat="1" ht="19.5" customHeight="1">
      <c r="A28" s="2279">
        <v>16</v>
      </c>
      <c r="B28" s="2280"/>
      <c r="C28" s="2281" t="s">
        <v>2082</v>
      </c>
      <c r="D28" s="132"/>
      <c r="E28" s="1456">
        <v>30</v>
      </c>
      <c r="F28" s="1456" t="s">
        <v>1863</v>
      </c>
      <c r="G28" s="2282">
        <f t="shared" si="0"/>
        <v>2000000</v>
      </c>
      <c r="H28" s="2765">
        <f t="shared" si="3"/>
        <v>600000</v>
      </c>
      <c r="I28" s="2076">
        <f t="shared" si="1"/>
        <v>2600000</v>
      </c>
      <c r="J28" s="65"/>
      <c r="K28" s="65">
        <f t="shared" si="2"/>
        <v>2600000</v>
      </c>
      <c r="L28" s="2283"/>
      <c r="M28" s="3528"/>
      <c r="N28" s="1457"/>
      <c r="O28" s="129"/>
    </row>
    <row r="29" spans="1:15" s="1455" customFormat="1" ht="19.5" customHeight="1">
      <c r="A29" s="2279">
        <v>17</v>
      </c>
      <c r="B29" s="2280"/>
      <c r="C29" s="2281" t="s">
        <v>2083</v>
      </c>
      <c r="D29" s="132"/>
      <c r="E29" s="1456">
        <v>30</v>
      </c>
      <c r="F29" s="1456" t="s">
        <v>1863</v>
      </c>
      <c r="G29" s="2282">
        <f t="shared" si="0"/>
        <v>2000000</v>
      </c>
      <c r="H29" s="2765">
        <f t="shared" si="3"/>
        <v>600000</v>
      </c>
      <c r="I29" s="2076">
        <f t="shared" si="1"/>
        <v>2600000</v>
      </c>
      <c r="J29" s="65"/>
      <c r="K29" s="65">
        <f t="shared" si="2"/>
        <v>2600000</v>
      </c>
      <c r="L29" s="2283"/>
      <c r="M29" s="3528"/>
      <c r="N29" s="1457"/>
      <c r="O29" s="129"/>
    </row>
    <row r="30" spans="1:15" s="1455" customFormat="1" ht="19.5" customHeight="1">
      <c r="A30" s="2279">
        <v>18</v>
      </c>
      <c r="B30" s="2280"/>
      <c r="C30" s="2281" t="s">
        <v>2084</v>
      </c>
      <c r="D30" s="132"/>
      <c r="E30" s="1456">
        <v>30</v>
      </c>
      <c r="F30" s="1456" t="s">
        <v>1863</v>
      </c>
      <c r="G30" s="2282">
        <f t="shared" si="0"/>
        <v>2000000</v>
      </c>
      <c r="H30" s="2765">
        <f t="shared" si="3"/>
        <v>600000</v>
      </c>
      <c r="I30" s="2076">
        <f t="shared" si="1"/>
        <v>2600000</v>
      </c>
      <c r="J30" s="65"/>
      <c r="K30" s="65">
        <f t="shared" si="2"/>
        <v>2600000</v>
      </c>
      <c r="L30" s="2283"/>
      <c r="M30" s="3528"/>
      <c r="N30" s="1457"/>
      <c r="O30" s="129"/>
    </row>
    <row r="31" spans="1:15" s="1455" customFormat="1" ht="19.5" customHeight="1">
      <c r="A31" s="2279">
        <v>19</v>
      </c>
      <c r="B31" s="2280"/>
      <c r="C31" s="2281" t="s">
        <v>2085</v>
      </c>
      <c r="D31" s="132"/>
      <c r="E31" s="1456">
        <v>30</v>
      </c>
      <c r="F31" s="1456" t="s">
        <v>1863</v>
      </c>
      <c r="G31" s="2282">
        <f t="shared" si="0"/>
        <v>2000000</v>
      </c>
      <c r="H31" s="2765">
        <f t="shared" si="3"/>
        <v>600000</v>
      </c>
      <c r="I31" s="2076">
        <f t="shared" si="1"/>
        <v>2600000</v>
      </c>
      <c r="J31" s="65"/>
      <c r="K31" s="65">
        <f t="shared" si="2"/>
        <v>2600000</v>
      </c>
      <c r="L31" s="2283"/>
      <c r="M31" s="3528"/>
      <c r="N31" s="1457"/>
      <c r="O31" s="129"/>
    </row>
    <row r="32" spans="1:15" s="1455" customFormat="1" ht="19.5" customHeight="1">
      <c r="A32" s="2279">
        <v>20</v>
      </c>
      <c r="B32" s="2280"/>
      <c r="C32" s="2281" t="s">
        <v>237</v>
      </c>
      <c r="D32" s="132"/>
      <c r="E32" s="1456">
        <v>30</v>
      </c>
      <c r="F32" s="1456" t="s">
        <v>2060</v>
      </c>
      <c r="G32" s="2282">
        <f t="shared" si="0"/>
        <v>2000000</v>
      </c>
      <c r="H32" s="2765">
        <f t="shared" si="3"/>
        <v>600000</v>
      </c>
      <c r="I32" s="2076">
        <f t="shared" si="1"/>
        <v>2600000</v>
      </c>
      <c r="J32" s="65"/>
      <c r="K32" s="65">
        <f t="shared" si="2"/>
        <v>2600000</v>
      </c>
      <c r="L32" s="2283"/>
      <c r="M32" s="3528"/>
      <c r="N32" s="1457"/>
      <c r="O32" s="129"/>
    </row>
    <row r="33" spans="1:16" s="1455" customFormat="1" ht="19.5" customHeight="1">
      <c r="A33" s="2279">
        <v>21</v>
      </c>
      <c r="B33" s="2280"/>
      <c r="C33" s="2281" t="s">
        <v>523</v>
      </c>
      <c r="D33" s="132"/>
      <c r="E33" s="1456">
        <v>30</v>
      </c>
      <c r="F33" s="1456" t="s">
        <v>2060</v>
      </c>
      <c r="G33" s="2282">
        <f t="shared" si="0"/>
        <v>2000000</v>
      </c>
      <c r="H33" s="2765">
        <f t="shared" si="3"/>
        <v>600000</v>
      </c>
      <c r="I33" s="2076">
        <f t="shared" si="1"/>
        <v>2600000</v>
      </c>
      <c r="J33" s="65"/>
      <c r="K33" s="65">
        <f t="shared" si="2"/>
        <v>2600000</v>
      </c>
      <c r="L33" s="2283"/>
      <c r="M33" s="3528"/>
      <c r="N33" s="1457"/>
      <c r="O33" s="129"/>
    </row>
    <row r="34" spans="1:16" s="1455" customFormat="1" ht="19.5" customHeight="1">
      <c r="A34" s="2279">
        <v>22</v>
      </c>
      <c r="B34" s="2280"/>
      <c r="C34" s="2281" t="s">
        <v>2086</v>
      </c>
      <c r="D34" s="132"/>
      <c r="E34" s="1456">
        <v>30</v>
      </c>
      <c r="F34" s="1456" t="s">
        <v>2060</v>
      </c>
      <c r="G34" s="2282">
        <f t="shared" si="0"/>
        <v>2000000</v>
      </c>
      <c r="H34" s="2765">
        <f t="shared" si="3"/>
        <v>600000</v>
      </c>
      <c r="I34" s="2076">
        <f t="shared" si="1"/>
        <v>2600000</v>
      </c>
      <c r="J34" s="65"/>
      <c r="K34" s="65">
        <f t="shared" si="2"/>
        <v>2600000</v>
      </c>
      <c r="L34" s="2283"/>
      <c r="M34" s="3528"/>
      <c r="N34" s="1457"/>
      <c r="O34" s="129"/>
    </row>
    <row r="35" spans="1:16" s="1455" customFormat="1" ht="19.5" customHeight="1">
      <c r="A35" s="2279">
        <v>23</v>
      </c>
      <c r="B35" s="2280"/>
      <c r="C35" s="2281" t="s">
        <v>557</v>
      </c>
      <c r="D35" s="132"/>
      <c r="E35" s="1456">
        <v>30</v>
      </c>
      <c r="F35" s="1456" t="s">
        <v>2060</v>
      </c>
      <c r="G35" s="2282">
        <f t="shared" si="0"/>
        <v>2000000</v>
      </c>
      <c r="H35" s="2765">
        <f t="shared" si="3"/>
        <v>600000</v>
      </c>
      <c r="I35" s="2076">
        <f t="shared" si="1"/>
        <v>2600000</v>
      </c>
      <c r="J35" s="65"/>
      <c r="K35" s="65">
        <f t="shared" si="2"/>
        <v>2600000</v>
      </c>
      <c r="L35" s="2283"/>
      <c r="M35" s="3528"/>
      <c r="N35" s="1457"/>
      <c r="O35" s="129"/>
    </row>
    <row r="36" spans="1:16" s="1455" customFormat="1" ht="19.5" customHeight="1">
      <c r="A36" s="2279">
        <v>24</v>
      </c>
      <c r="B36" s="2280"/>
      <c r="C36" s="2281" t="s">
        <v>521</v>
      </c>
      <c r="D36" s="132"/>
      <c r="E36" s="1456">
        <v>30</v>
      </c>
      <c r="F36" s="1456" t="s">
        <v>2060</v>
      </c>
      <c r="G36" s="2282">
        <f t="shared" si="0"/>
        <v>2000000</v>
      </c>
      <c r="H36" s="2765">
        <f t="shared" si="3"/>
        <v>600000</v>
      </c>
      <c r="I36" s="2076">
        <f t="shared" si="1"/>
        <v>2600000</v>
      </c>
      <c r="J36" s="65"/>
      <c r="K36" s="65">
        <f t="shared" si="2"/>
        <v>2600000</v>
      </c>
      <c r="L36" s="2283"/>
      <c r="M36" s="3528"/>
      <c r="N36" s="1457"/>
      <c r="O36" s="129"/>
    </row>
    <row r="37" spans="1:16" s="1455" customFormat="1" ht="19.5" customHeight="1">
      <c r="A37" s="2279">
        <v>25</v>
      </c>
      <c r="B37" s="2280"/>
      <c r="C37" s="2281" t="s">
        <v>2087</v>
      </c>
      <c r="D37" s="132"/>
      <c r="E37" s="1456">
        <v>30</v>
      </c>
      <c r="F37" s="1456" t="s">
        <v>2060</v>
      </c>
      <c r="G37" s="2282">
        <f t="shared" si="0"/>
        <v>2000000</v>
      </c>
      <c r="H37" s="2765">
        <f t="shared" si="3"/>
        <v>600000</v>
      </c>
      <c r="I37" s="2076">
        <f t="shared" si="1"/>
        <v>2600000</v>
      </c>
      <c r="J37" s="65"/>
      <c r="K37" s="65">
        <f t="shared" si="2"/>
        <v>2600000</v>
      </c>
      <c r="L37" s="2283"/>
      <c r="M37" s="3528"/>
      <c r="N37" s="1457"/>
      <c r="O37" s="129"/>
    </row>
    <row r="38" spans="1:16" s="1455" customFormat="1" ht="19.5" customHeight="1">
      <c r="A38" s="2279">
        <v>26</v>
      </c>
      <c r="B38" s="2280"/>
      <c r="C38" s="2281" t="s">
        <v>2088</v>
      </c>
      <c r="D38" s="132"/>
      <c r="E38" s="1456">
        <v>30</v>
      </c>
      <c r="F38" s="1456" t="s">
        <v>2060</v>
      </c>
      <c r="G38" s="2282">
        <f t="shared" si="0"/>
        <v>2000000</v>
      </c>
      <c r="H38" s="2765">
        <f t="shared" si="3"/>
        <v>600000</v>
      </c>
      <c r="I38" s="2076">
        <f t="shared" si="1"/>
        <v>2600000</v>
      </c>
      <c r="J38" s="65"/>
      <c r="K38" s="65">
        <f t="shared" si="2"/>
        <v>2600000</v>
      </c>
      <c r="L38" s="2283"/>
      <c r="M38" s="3528"/>
      <c r="N38" s="1457"/>
      <c r="O38" s="129"/>
    </row>
    <row r="39" spans="1:16" s="1455" customFormat="1" ht="19.5" customHeight="1">
      <c r="A39" s="2279">
        <v>27</v>
      </c>
      <c r="B39" s="2280"/>
      <c r="C39" s="2281" t="s">
        <v>2089</v>
      </c>
      <c r="D39" s="132"/>
      <c r="E39" s="1456">
        <v>30</v>
      </c>
      <c r="F39" s="1456" t="s">
        <v>1865</v>
      </c>
      <c r="G39" s="2282">
        <f t="shared" si="0"/>
        <v>2000000</v>
      </c>
      <c r="H39" s="2765">
        <f t="shared" si="3"/>
        <v>600000</v>
      </c>
      <c r="I39" s="2076">
        <f t="shared" si="1"/>
        <v>2600000</v>
      </c>
      <c r="J39" s="65"/>
      <c r="K39" s="65">
        <f t="shared" si="2"/>
        <v>2600000</v>
      </c>
      <c r="L39" s="2283"/>
      <c r="M39" s="3528"/>
      <c r="N39" s="1457"/>
      <c r="O39" s="129"/>
    </row>
    <row r="40" spans="1:16" s="1455" customFormat="1" ht="19.5" customHeight="1">
      <c r="A40" s="2279">
        <v>28</v>
      </c>
      <c r="B40" s="2280"/>
      <c r="C40" s="2281" t="s">
        <v>2090</v>
      </c>
      <c r="D40" s="132"/>
      <c r="E40" s="1456">
        <v>30</v>
      </c>
      <c r="F40" s="1456" t="s">
        <v>1865</v>
      </c>
      <c r="G40" s="2282">
        <f t="shared" si="0"/>
        <v>2000000</v>
      </c>
      <c r="H40" s="2765">
        <f t="shared" si="3"/>
        <v>600000</v>
      </c>
      <c r="I40" s="2076">
        <f t="shared" si="1"/>
        <v>2600000</v>
      </c>
      <c r="J40" s="65"/>
      <c r="K40" s="65">
        <f t="shared" si="2"/>
        <v>2600000</v>
      </c>
      <c r="L40" s="2283"/>
      <c r="M40" s="3528"/>
      <c r="N40" s="1457"/>
      <c r="O40" s="129"/>
    </row>
    <row r="41" spans="1:16" s="1455" customFormat="1" ht="19.5" customHeight="1">
      <c r="A41" s="2279">
        <v>29</v>
      </c>
      <c r="B41" s="2280"/>
      <c r="C41" s="2281" t="s">
        <v>2091</v>
      </c>
      <c r="D41" s="132"/>
      <c r="E41" s="1456">
        <v>30</v>
      </c>
      <c r="F41" s="1456" t="s">
        <v>453</v>
      </c>
      <c r="G41" s="2282">
        <f t="shared" si="0"/>
        <v>2000000</v>
      </c>
      <c r="H41" s="2765">
        <f t="shared" si="3"/>
        <v>600000</v>
      </c>
      <c r="I41" s="2076">
        <f t="shared" si="1"/>
        <v>2600000</v>
      </c>
      <c r="J41" s="65"/>
      <c r="K41" s="65">
        <f t="shared" si="2"/>
        <v>2600000</v>
      </c>
      <c r="L41" s="2283"/>
      <c r="M41" s="3528"/>
      <c r="N41" s="1457"/>
      <c r="O41" s="129"/>
    </row>
    <row r="42" spans="1:16" s="1455" customFormat="1" ht="19.5" customHeight="1">
      <c r="A42" s="2279">
        <v>30</v>
      </c>
      <c r="B42" s="2280"/>
      <c r="C42" s="2281" t="s">
        <v>351</v>
      </c>
      <c r="D42" s="132"/>
      <c r="E42" s="1456">
        <v>30</v>
      </c>
      <c r="F42" s="1456" t="s">
        <v>453</v>
      </c>
      <c r="G42" s="2282">
        <f t="shared" si="0"/>
        <v>2000000</v>
      </c>
      <c r="H42" s="2765">
        <f t="shared" si="3"/>
        <v>600000</v>
      </c>
      <c r="I42" s="2076">
        <f t="shared" si="1"/>
        <v>2600000</v>
      </c>
      <c r="J42" s="65"/>
      <c r="K42" s="65">
        <f t="shared" si="2"/>
        <v>2600000</v>
      </c>
      <c r="L42" s="2283"/>
      <c r="M42" s="3528"/>
      <c r="N42" s="1457"/>
      <c r="O42" s="129"/>
    </row>
    <row r="43" spans="1:16" s="1455" customFormat="1" ht="19.5" customHeight="1">
      <c r="A43" s="2279">
        <v>31</v>
      </c>
      <c r="B43" s="2280"/>
      <c r="C43" s="2281" t="s">
        <v>1081</v>
      </c>
      <c r="D43" s="132"/>
      <c r="E43" s="1456">
        <v>30</v>
      </c>
      <c r="F43" s="1456" t="s">
        <v>453</v>
      </c>
      <c r="G43" s="2282">
        <f t="shared" si="0"/>
        <v>2000000</v>
      </c>
      <c r="H43" s="2765">
        <f t="shared" si="3"/>
        <v>600000</v>
      </c>
      <c r="I43" s="2076">
        <f t="shared" si="1"/>
        <v>2600000</v>
      </c>
      <c r="J43" s="65"/>
      <c r="K43" s="65">
        <f t="shared" si="2"/>
        <v>2600000</v>
      </c>
      <c r="L43" s="2283"/>
      <c r="M43" s="3528"/>
      <c r="N43" s="1457"/>
      <c r="O43" s="129"/>
    </row>
    <row r="44" spans="1:16" s="1455" customFormat="1" ht="19.5" customHeight="1">
      <c r="A44" s="2279">
        <v>32</v>
      </c>
      <c r="B44" s="2280"/>
      <c r="C44" s="2281" t="s">
        <v>2092</v>
      </c>
      <c r="D44" s="132"/>
      <c r="E44" s="1456">
        <v>30</v>
      </c>
      <c r="F44" s="1456" t="s">
        <v>453</v>
      </c>
      <c r="G44" s="2282">
        <f t="shared" si="0"/>
        <v>2000000</v>
      </c>
      <c r="H44" s="2765">
        <f t="shared" si="3"/>
        <v>600000</v>
      </c>
      <c r="I44" s="2076">
        <f t="shared" si="1"/>
        <v>2600000</v>
      </c>
      <c r="J44" s="65"/>
      <c r="K44" s="65">
        <f t="shared" si="2"/>
        <v>2600000</v>
      </c>
      <c r="L44" s="2283"/>
      <c r="M44" s="3528"/>
      <c r="N44" s="1457"/>
      <c r="O44" s="129"/>
    </row>
    <row r="45" spans="1:16" s="1455" customFormat="1" ht="19.5" customHeight="1">
      <c r="A45" s="2279">
        <v>33</v>
      </c>
      <c r="B45" s="2280"/>
      <c r="C45" s="2281" t="s">
        <v>1220</v>
      </c>
      <c r="D45" s="132"/>
      <c r="E45" s="1456">
        <v>30</v>
      </c>
      <c r="F45" s="1456" t="s">
        <v>453</v>
      </c>
      <c r="G45" s="2282">
        <f t="shared" si="0"/>
        <v>2000000</v>
      </c>
      <c r="H45" s="2765">
        <f t="shared" si="3"/>
        <v>600000</v>
      </c>
      <c r="I45" s="2076">
        <f t="shared" si="1"/>
        <v>2600000</v>
      </c>
      <c r="J45" s="65"/>
      <c r="K45" s="65">
        <f t="shared" si="2"/>
        <v>2600000</v>
      </c>
      <c r="L45" s="2283"/>
      <c r="M45" s="3528"/>
      <c r="N45" s="1457"/>
      <c r="O45" s="129"/>
    </row>
    <row r="46" spans="1:16" ht="19.5" customHeight="1">
      <c r="A46" s="4120" t="s">
        <v>82</v>
      </c>
      <c r="B46" s="4120"/>
      <c r="C46" s="4120"/>
      <c r="D46" s="4120"/>
      <c r="E46" s="1454">
        <f>SUBTOTAL(9,E13:E45)</f>
        <v>990</v>
      </c>
      <c r="F46" s="1454"/>
      <c r="G46" s="246">
        <f>SUBTOTAL(9,G13:G45)</f>
        <v>66000000</v>
      </c>
      <c r="H46" s="1454">
        <f>SUBTOTAL(9,H13:H45)</f>
        <v>19800000</v>
      </c>
      <c r="I46" s="1454">
        <f>SUBTOTAL(9,I13:I45)</f>
        <v>85800000</v>
      </c>
      <c r="J46" s="1454">
        <f t="shared" ref="J46" si="4">SUBTOTAL(9,J13:J45)</f>
        <v>0</v>
      </c>
      <c r="K46" s="1454">
        <f>SUBTOTAL(9,K13:K45)</f>
        <v>85800000</v>
      </c>
      <c r="L46" s="1454"/>
      <c r="M46" s="862"/>
      <c r="N46" s="115" t="e">
        <f>#REF!/25000</f>
        <v>#REF!</v>
      </c>
      <c r="P46" s="4" t="e">
        <f>+N46*25000</f>
        <v>#REF!</v>
      </c>
    </row>
    <row r="47" spans="1:16" ht="19.5" customHeight="1">
      <c r="A47" s="4118" t="s">
        <v>2509</v>
      </c>
      <c r="B47" s="4119"/>
      <c r="C47" s="4119"/>
      <c r="D47" s="4119"/>
      <c r="E47" s="4119"/>
      <c r="F47" s="4119"/>
      <c r="G47" s="4119"/>
      <c r="H47" s="4119"/>
      <c r="I47" s="4119"/>
      <c r="J47" s="4119"/>
      <c r="K47" s="4119"/>
      <c r="L47" s="4119"/>
      <c r="M47" s="4119"/>
      <c r="N47" s="115"/>
    </row>
    <row r="48" spans="1:16">
      <c r="I48" s="4128" t="s">
        <v>2162</v>
      </c>
      <c r="J48" s="4128"/>
      <c r="K48" s="4128"/>
      <c r="L48" s="4128"/>
      <c r="M48" s="4128"/>
      <c r="O48" s="115"/>
    </row>
    <row r="49" spans="1:14" ht="23.25" customHeight="1">
      <c r="A49" s="4124" t="s">
        <v>19</v>
      </c>
      <c r="B49" s="4124"/>
      <c r="C49" s="4124"/>
      <c r="D49" s="218"/>
      <c r="E49" s="218" t="s">
        <v>241</v>
      </c>
      <c r="F49" s="218"/>
      <c r="G49" s="218"/>
      <c r="H49" s="4124" t="s">
        <v>513</v>
      </c>
      <c r="I49" s="4124"/>
      <c r="K49" s="4124" t="s">
        <v>21</v>
      </c>
      <c r="L49" s="4124"/>
      <c r="M49" s="2737"/>
      <c r="N49" s="19"/>
    </row>
    <row r="50" spans="1:14">
      <c r="C50" s="19"/>
      <c r="N50" s="115"/>
    </row>
    <row r="51" spans="1:14">
      <c r="C51" s="19"/>
      <c r="G51" s="19"/>
      <c r="H51" s="19"/>
      <c r="K51" s="19"/>
      <c r="L51" s="19"/>
      <c r="N51" s="115"/>
    </row>
    <row r="52" spans="1:14">
      <c r="C52" s="19"/>
      <c r="G52" s="19"/>
      <c r="H52" s="19"/>
      <c r="K52" s="19"/>
      <c r="L52" s="19"/>
      <c r="N52" s="1495">
        <f>L52/25000</f>
        <v>0</v>
      </c>
    </row>
    <row r="53" spans="1:14">
      <c r="G53" s="20"/>
      <c r="H53" s="20"/>
      <c r="K53" s="19"/>
      <c r="L53" s="6"/>
      <c r="N53" s="1489"/>
    </row>
    <row r="54" spans="1:14">
      <c r="E54" s="1489"/>
      <c r="F54" s="1489"/>
      <c r="G54" s="19"/>
      <c r="H54" s="19"/>
      <c r="K54" s="19"/>
      <c r="L54" s="19"/>
      <c r="M54" s="857"/>
      <c r="N54" s="1495">
        <f>L54/25000</f>
        <v>0</v>
      </c>
    </row>
    <row r="55" spans="1:14">
      <c r="J55" s="4135"/>
      <c r="K55" s="4135"/>
      <c r="L55" s="2723"/>
    </row>
    <row r="56" spans="1:14">
      <c r="K56" s="2693"/>
      <c r="L56" s="857"/>
    </row>
    <row r="57" spans="1:14">
      <c r="A57" s="4090"/>
      <c r="B57" s="4090"/>
      <c r="C57" s="4090"/>
      <c r="D57" s="4090"/>
      <c r="E57" s="4090"/>
      <c r="F57" s="4090"/>
      <c r="G57" s="4090"/>
      <c r="K57" s="4090"/>
      <c r="L57" s="4090"/>
    </row>
  </sheetData>
  <mergeCells count="29">
    <mergeCell ref="A57:C57"/>
    <mergeCell ref="D57:G57"/>
    <mergeCell ref="K57:L57"/>
    <mergeCell ref="J55:K55"/>
    <mergeCell ref="H49:I49"/>
    <mergeCell ref="A7:M7"/>
    <mergeCell ref="L9:L10"/>
    <mergeCell ref="D9:D10"/>
    <mergeCell ref="J9:J10"/>
    <mergeCell ref="G9:G10"/>
    <mergeCell ref="E9:E10"/>
    <mergeCell ref="F9:F10"/>
    <mergeCell ref="A47:M47"/>
    <mergeCell ref="A46:D46"/>
    <mergeCell ref="A9:A10"/>
    <mergeCell ref="H9:H10"/>
    <mergeCell ref="A49:C49"/>
    <mergeCell ref="B9:B10"/>
    <mergeCell ref="C9:C10"/>
    <mergeCell ref="I48:M48"/>
    <mergeCell ref="K49:L49"/>
    <mergeCell ref="M9:M10"/>
    <mergeCell ref="I9:I10"/>
    <mergeCell ref="K9:K10"/>
    <mergeCell ref="A1:M1"/>
    <mergeCell ref="A2:M2"/>
    <mergeCell ref="A4:H4"/>
    <mergeCell ref="A5:H5"/>
    <mergeCell ref="A3:L3"/>
  </mergeCells>
  <phoneticPr fontId="36" type="noConversion"/>
  <printOptions horizontalCentered="1"/>
  <pageMargins left="0.25" right="0.25" top="0.45" bottom="0.53" header="0.3" footer="0.3"/>
  <pageSetup paperSize="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"/>
  <sheetViews>
    <sheetView zoomScale="85" zoomScaleNormal="85" workbookViewId="0">
      <selection activeCell="A11" sqref="A11:XFD11"/>
    </sheetView>
  </sheetViews>
  <sheetFormatPr defaultColWidth="6.28515625" defaultRowHeight="15.75"/>
  <cols>
    <col min="1" max="1" width="4.7109375" style="59" customWidth="1"/>
    <col min="2" max="2" width="0" style="59" hidden="1" customWidth="1"/>
    <col min="3" max="4" width="0" style="1214" hidden="1" customWidth="1"/>
    <col min="5" max="5" width="26.140625" style="1217" customWidth="1"/>
    <col min="6" max="6" width="21.7109375" style="58" customWidth="1"/>
    <col min="7" max="7" width="14" style="1218" customWidth="1"/>
    <col min="8" max="8" width="12.140625" style="58" customWidth="1"/>
    <col min="9" max="9" width="15.5703125" style="58" customWidth="1"/>
    <col min="10" max="10" width="9.140625" style="58" customWidth="1"/>
    <col min="11" max="11" width="15.140625" style="58" customWidth="1"/>
    <col min="12" max="13" width="14.28515625" style="58" customWidth="1"/>
    <col min="14" max="14" width="15.5703125" style="58" customWidth="1"/>
    <col min="15" max="15" width="15.42578125" style="58" hidden="1" customWidth="1"/>
    <col min="16" max="16" width="11.7109375" style="58" hidden="1" customWidth="1"/>
    <col min="17" max="17" width="17.85546875" style="58" hidden="1" customWidth="1"/>
    <col min="18" max="18" width="12.28515625" style="58" customWidth="1"/>
    <col min="19" max="19" width="9.140625" style="58" customWidth="1"/>
    <col min="20" max="20" width="6.5703125" style="58" bestFit="1" customWidth="1"/>
    <col min="21" max="16384" width="6.28515625" style="58"/>
  </cols>
  <sheetData>
    <row r="1" spans="1:19" ht="16.5">
      <c r="A1" s="4136" t="s">
        <v>23</v>
      </c>
      <c r="B1" s="4136"/>
      <c r="C1" s="4136"/>
      <c r="D1" s="4136"/>
      <c r="E1" s="4136"/>
      <c r="F1" s="4136"/>
      <c r="G1" s="4136"/>
      <c r="H1" s="4136"/>
      <c r="I1" s="4136"/>
      <c r="J1" s="4136"/>
      <c r="K1" s="4136"/>
      <c r="L1" s="4136"/>
      <c r="M1" s="4136"/>
      <c r="N1" s="4136"/>
      <c r="O1" s="2414"/>
      <c r="P1" s="2414"/>
      <c r="Q1" s="2414"/>
      <c r="R1" s="2414"/>
    </row>
    <row r="2" spans="1:19" ht="16.5">
      <c r="A2" s="4136" t="s">
        <v>45</v>
      </c>
      <c r="B2" s="4136"/>
      <c r="C2" s="4136"/>
      <c r="D2" s="4136"/>
      <c r="E2" s="4136"/>
      <c r="F2" s="4136"/>
      <c r="G2" s="4136"/>
      <c r="H2" s="4136"/>
      <c r="I2" s="4136"/>
      <c r="J2" s="4136"/>
      <c r="K2" s="4136"/>
      <c r="L2" s="4136"/>
      <c r="M2" s="4136"/>
      <c r="N2" s="4136"/>
      <c r="O2" s="2415"/>
      <c r="P2" s="2415"/>
      <c r="Q2" s="2415"/>
      <c r="R2" s="2415"/>
    </row>
    <row r="3" spans="1:19" ht="16.5">
      <c r="A3" s="4137" t="s">
        <v>1573</v>
      </c>
      <c r="B3" s="4136"/>
      <c r="C3" s="4136"/>
      <c r="D3" s="4136"/>
      <c r="E3" s="4136"/>
      <c r="F3" s="4136"/>
      <c r="G3" s="4136"/>
      <c r="H3" s="4136"/>
      <c r="I3" s="4136"/>
      <c r="J3" s="4136"/>
      <c r="K3" s="4136"/>
      <c r="L3" s="4136"/>
      <c r="M3" s="4136"/>
      <c r="N3" s="4136"/>
      <c r="O3" s="2415"/>
      <c r="P3" s="2415"/>
      <c r="Q3" s="2415"/>
      <c r="R3" s="2415"/>
    </row>
    <row r="5" spans="1:19" ht="16.5" customHeight="1">
      <c r="A5" s="4138" t="s">
        <v>922</v>
      </c>
      <c r="B5" s="4138"/>
      <c r="C5" s="4138"/>
      <c r="D5" s="4138"/>
      <c r="E5" s="4138"/>
      <c r="F5" s="4138"/>
      <c r="G5" s="4138"/>
      <c r="H5" s="4138"/>
      <c r="I5" s="2091"/>
      <c r="J5" s="2091"/>
      <c r="K5" s="2091"/>
      <c r="L5" s="4071"/>
      <c r="M5" s="4071"/>
      <c r="N5" s="1"/>
    </row>
    <row r="6" spans="1:19" ht="15" customHeight="1">
      <c r="A6" s="4139" t="s">
        <v>1661</v>
      </c>
      <c r="B6" s="4139"/>
      <c r="C6" s="4139"/>
      <c r="D6" s="4139"/>
      <c r="E6" s="4139"/>
      <c r="F6" s="4139"/>
      <c r="G6" s="4139"/>
      <c r="H6" s="4139"/>
      <c r="I6" s="2091"/>
      <c r="J6" s="2091"/>
      <c r="K6" s="2091"/>
      <c r="L6" s="2375"/>
      <c r="M6" s="2375"/>
      <c r="N6" s="1"/>
    </row>
    <row r="7" spans="1:19">
      <c r="A7" s="10"/>
      <c r="B7" s="10"/>
      <c r="C7" s="1213"/>
      <c r="D7" s="1213"/>
      <c r="E7" s="10"/>
      <c r="F7" s="10"/>
      <c r="G7" s="10"/>
      <c r="H7" s="10"/>
      <c r="I7" s="10"/>
      <c r="J7" s="10"/>
      <c r="K7" s="2416"/>
      <c r="L7" s="4148"/>
      <c r="M7" s="4148"/>
      <c r="N7" s="4"/>
    </row>
    <row r="8" spans="1:19" ht="18.75">
      <c r="A8" s="4149" t="s">
        <v>2310</v>
      </c>
      <c r="B8" s="4149"/>
      <c r="C8" s="4149"/>
      <c r="D8" s="4149"/>
      <c r="E8" s="4149"/>
      <c r="F8" s="4149"/>
      <c r="G8" s="4149"/>
      <c r="H8" s="4149"/>
      <c r="I8" s="4149"/>
      <c r="J8" s="4149"/>
      <c r="K8" s="4149"/>
      <c r="L8" s="4149"/>
      <c r="M8" s="4149"/>
      <c r="N8" s="4149"/>
    </row>
    <row r="9" spans="1:19">
      <c r="A9" s="10"/>
      <c r="B9" s="10"/>
      <c r="C9" s="10"/>
      <c r="D9" s="10"/>
      <c r="E9" s="2417"/>
      <c r="F9" s="2417"/>
      <c r="G9" s="2417"/>
      <c r="H9" s="2475"/>
      <c r="I9" s="2418"/>
      <c r="J9" s="2418"/>
      <c r="K9" s="2418"/>
      <c r="L9" s="2418"/>
      <c r="M9" s="2418"/>
      <c r="N9" s="2418"/>
    </row>
    <row r="10" spans="1:19" ht="16.5">
      <c r="A10" s="2377"/>
      <c r="B10" s="2377"/>
      <c r="C10" s="2419"/>
      <c r="D10" s="2419"/>
      <c r="E10" s="4140"/>
      <c r="F10" s="4140"/>
      <c r="G10" s="4141"/>
      <c r="H10" s="4142"/>
      <c r="I10" s="2420"/>
      <c r="J10" s="2421"/>
      <c r="K10" s="2422"/>
      <c r="L10" s="2694"/>
      <c r="M10" s="2422"/>
      <c r="N10" s="2422"/>
    </row>
    <row r="11" spans="1:19" ht="15.75" customHeight="1">
      <c r="A11" s="2423"/>
      <c r="B11" s="2423"/>
      <c r="C11" s="2424"/>
      <c r="D11" s="2425"/>
      <c r="E11" s="4140" t="s">
        <v>1082</v>
      </c>
      <c r="F11" s="4140"/>
      <c r="G11" s="4141">
        <v>21754</v>
      </c>
      <c r="H11" s="4142"/>
      <c r="I11" s="2427"/>
      <c r="J11" s="2428"/>
      <c r="K11" s="2429"/>
      <c r="L11" s="2430"/>
      <c r="M11" s="2430"/>
      <c r="N11" s="2431" t="s">
        <v>1655</v>
      </c>
      <c r="O11" s="58">
        <v>26</v>
      </c>
    </row>
    <row r="12" spans="1:19" ht="15.75" customHeight="1">
      <c r="A12" s="4144" t="s">
        <v>932</v>
      </c>
      <c r="B12" s="4144" t="s">
        <v>1083</v>
      </c>
      <c r="C12" s="4156" t="s">
        <v>1</v>
      </c>
      <c r="D12" s="4157"/>
      <c r="E12" s="4158"/>
      <c r="F12" s="4143" t="s">
        <v>2</v>
      </c>
      <c r="G12" s="4146" t="s">
        <v>4</v>
      </c>
      <c r="H12" s="4147"/>
      <c r="I12" s="4147"/>
      <c r="J12" s="4147"/>
      <c r="K12" s="4147"/>
      <c r="L12" s="4150" t="s">
        <v>1549</v>
      </c>
      <c r="M12" s="4150" t="s">
        <v>1570</v>
      </c>
      <c r="N12" s="4153" t="s">
        <v>10</v>
      </c>
      <c r="Q12" s="58">
        <f>350*8874/26*13</f>
        <v>1552950</v>
      </c>
    </row>
    <row r="13" spans="1:19" ht="28.5" customHeight="1">
      <c r="A13" s="4144"/>
      <c r="B13" s="4144"/>
      <c r="C13" s="4159"/>
      <c r="D13" s="4160"/>
      <c r="E13" s="4161"/>
      <c r="F13" s="4144"/>
      <c r="G13" s="4154" t="s">
        <v>48</v>
      </c>
      <c r="H13" s="4154"/>
      <c r="I13" s="4154"/>
      <c r="J13" s="4154"/>
      <c r="K13" s="4144" t="s">
        <v>1654</v>
      </c>
      <c r="L13" s="4151"/>
      <c r="M13" s="4151"/>
      <c r="N13" s="4153"/>
    </row>
    <row r="14" spans="1:19" ht="49.5" customHeight="1">
      <c r="A14" s="4145"/>
      <c r="B14" s="4144"/>
      <c r="C14" s="4162"/>
      <c r="D14" s="4163"/>
      <c r="E14" s="4164"/>
      <c r="F14" s="4145"/>
      <c r="G14" s="2432" t="s">
        <v>137</v>
      </c>
      <c r="H14" s="2433" t="s">
        <v>1323</v>
      </c>
      <c r="I14" s="2434" t="s">
        <v>1346</v>
      </c>
      <c r="J14" s="2433" t="s">
        <v>13</v>
      </c>
      <c r="K14" s="4144"/>
      <c r="L14" s="4152"/>
      <c r="M14" s="4152"/>
      <c r="N14" s="4153"/>
      <c r="O14" s="1215" t="s">
        <v>1574</v>
      </c>
      <c r="Q14" s="58">
        <f>1926.19*25000</f>
        <v>48154750</v>
      </c>
      <c r="S14" s="58">
        <f>1050*J10</f>
        <v>0</v>
      </c>
    </row>
    <row r="15" spans="1:19" s="57" customFormat="1" ht="15.75" customHeight="1">
      <c r="A15" s="2380" t="s">
        <v>140</v>
      </c>
      <c r="B15" s="2380"/>
      <c r="C15" s="2435"/>
      <c r="D15" s="2435"/>
      <c r="E15" s="4165" t="s">
        <v>1575</v>
      </c>
      <c r="F15" s="4166"/>
      <c r="G15" s="2479">
        <f>+SUM(G16:G18)</f>
        <v>78</v>
      </c>
      <c r="H15" s="2479">
        <f t="shared" ref="H15:M15" si="0">+SUM(H16:H18)</f>
        <v>850</v>
      </c>
      <c r="I15" s="2479">
        <f t="shared" si="0"/>
        <v>850</v>
      </c>
      <c r="J15" s="2479">
        <f t="shared" si="0"/>
        <v>0</v>
      </c>
      <c r="K15" s="2479">
        <f t="shared" si="0"/>
        <v>18490900</v>
      </c>
      <c r="L15" s="2479">
        <f t="shared" si="0"/>
        <v>904090</v>
      </c>
      <c r="M15" s="2479">
        <f t="shared" si="0"/>
        <v>17586810</v>
      </c>
      <c r="N15" s="2436"/>
      <c r="O15" s="2437"/>
    </row>
    <row r="16" spans="1:19" s="2446" customFormat="1" ht="29.25" customHeight="1">
      <c r="A16" s="2438">
        <v>1</v>
      </c>
      <c r="B16" s="2704"/>
      <c r="C16" s="2704"/>
      <c r="D16" s="2439" t="s">
        <v>1086</v>
      </c>
      <c r="E16" s="2440" t="s">
        <v>1075</v>
      </c>
      <c r="F16" s="2440" t="s">
        <v>1104</v>
      </c>
      <c r="G16" s="2441">
        <v>26</v>
      </c>
      <c r="H16" s="2442">
        <v>270</v>
      </c>
      <c r="I16" s="2442">
        <f>+H16</f>
        <v>270</v>
      </c>
      <c r="J16" s="2443" t="s">
        <v>17</v>
      </c>
      <c r="K16" s="2705">
        <f>ROUND((G16*I16/$O$11*$G$11),0)</f>
        <v>5873580</v>
      </c>
      <c r="L16" s="2706">
        <f>IF(K16&gt;65000000,((K16-65000000)*25%+10685000),IF(K16&gt;25000000,((K16-25000000)*20%+2685000),IF(K16&gt;15000000,((K16-15000000)*15%+1185000),IF(K16&gt;5000000,(K16-5000000)*10%+185000,IF(K16&gt;1300000,(K16-1300000)*5%,0)))))</f>
        <v>272358</v>
      </c>
      <c r="M16" s="2707">
        <f>+K16-L16</f>
        <v>5601222</v>
      </c>
      <c r="N16" s="2708"/>
      <c r="O16" s="2444" t="e">
        <f>VLOOKUP(E16,#REF!,3,0)</f>
        <v>#REF!</v>
      </c>
      <c r="P16" s="2445" t="e">
        <f>+D16-O16</f>
        <v>#REF!</v>
      </c>
      <c r="Q16" s="2446">
        <f>+H16*$J$10</f>
        <v>0</v>
      </c>
    </row>
    <row r="17" spans="1:17" s="2446" customFormat="1" ht="29.25" customHeight="1">
      <c r="A17" s="2438">
        <v>2</v>
      </c>
      <c r="B17" s="2704"/>
      <c r="C17" s="2704"/>
      <c r="D17" s="2439"/>
      <c r="E17" s="2440" t="s">
        <v>1102</v>
      </c>
      <c r="F17" s="2440" t="s">
        <v>1104</v>
      </c>
      <c r="G17" s="2441">
        <v>26</v>
      </c>
      <c r="H17" s="2442">
        <v>310</v>
      </c>
      <c r="I17" s="2442">
        <f>+H17</f>
        <v>310</v>
      </c>
      <c r="J17" s="2443" t="s">
        <v>17</v>
      </c>
      <c r="K17" s="2705">
        <f>ROUND((G17*I17/$O$11*$G$11),0)</f>
        <v>6743740</v>
      </c>
      <c r="L17" s="2706">
        <f>IF(K17&gt;65000000,((K17-65000000)*25%+10685000),IF(K17&gt;25000000,((K17-25000000)*20%+2685000),IF(K17&gt;15000000,((K17-15000000)*15%+1185000),IF(K17&gt;5000000,(K17-5000000)*10%+185000,IF(K17&gt;1300000,(K17-1300000)*5%,0)))))</f>
        <v>359374</v>
      </c>
      <c r="M17" s="2707">
        <f>+K17-L17</f>
        <v>6384366</v>
      </c>
      <c r="N17" s="2708"/>
      <c r="O17" s="2444"/>
      <c r="P17" s="2445"/>
    </row>
    <row r="18" spans="1:17" s="2446" customFormat="1" ht="29.25" customHeight="1">
      <c r="A18" s="2438">
        <v>3</v>
      </c>
      <c r="B18" s="2704"/>
      <c r="C18" s="2704"/>
      <c r="D18" s="2439" t="s">
        <v>1576</v>
      </c>
      <c r="E18" s="2440" t="s">
        <v>1280</v>
      </c>
      <c r="F18" s="2440" t="s">
        <v>1104</v>
      </c>
      <c r="G18" s="2441">
        <v>26</v>
      </c>
      <c r="H18" s="2442">
        <v>270</v>
      </c>
      <c r="I18" s="2442">
        <f>+H18</f>
        <v>270</v>
      </c>
      <c r="J18" s="2443" t="s">
        <v>17</v>
      </c>
      <c r="K18" s="2705">
        <f>ROUND((G18*I18/$O$11*$G$11),0)</f>
        <v>5873580</v>
      </c>
      <c r="L18" s="2706">
        <f>IF(K18&gt;65000000,((K18-65000000)*25%+10685000),IF(K18&gt;25000000,((K18-25000000)*20%+2685000),IF(K18&gt;15000000,((K18-15000000)*15%+1185000),IF(K18&gt;5000000,(K18-5000000)*10%+185000,IF(K18&gt;1300000,(K18-1300000)*5%,0)))))</f>
        <v>272358</v>
      </c>
      <c r="M18" s="2707">
        <f>+K18-L18</f>
        <v>5601222</v>
      </c>
      <c r="N18" s="2708"/>
      <c r="O18" s="2444" t="e">
        <f>VLOOKUP(E18,#REF!,3,0)</f>
        <v>#REF!</v>
      </c>
      <c r="P18" s="2445" t="e">
        <f>+D18-O18</f>
        <v>#REF!</v>
      </c>
      <c r="Q18" s="2446">
        <f>+H18*$J$10</f>
        <v>0</v>
      </c>
    </row>
    <row r="19" spans="1:17" s="2457" customFormat="1" ht="29.25" customHeight="1">
      <c r="A19" s="2447" t="s">
        <v>143</v>
      </c>
      <c r="B19" s="2448"/>
      <c r="C19" s="2448"/>
      <c r="D19" s="2449"/>
      <c r="E19" s="2450" t="s">
        <v>1577</v>
      </c>
      <c r="F19" s="2451"/>
      <c r="G19" s="2452">
        <f>+G20</f>
        <v>30</v>
      </c>
      <c r="H19" s="2452">
        <f t="shared" ref="H19:N19" si="1">+H20</f>
        <v>2000000</v>
      </c>
      <c r="I19" s="2452">
        <f t="shared" si="1"/>
        <v>2000000</v>
      </c>
      <c r="J19" s="2739" t="str">
        <f t="shared" si="1"/>
        <v>kip</v>
      </c>
      <c r="K19" s="2452">
        <f t="shared" si="1"/>
        <v>2000000</v>
      </c>
      <c r="L19" s="2452">
        <f t="shared" si="1"/>
        <v>35000</v>
      </c>
      <c r="M19" s="2452">
        <f t="shared" si="1"/>
        <v>1965000</v>
      </c>
      <c r="N19" s="2478">
        <f t="shared" si="1"/>
        <v>0</v>
      </c>
      <c r="O19" s="2455"/>
      <c r="P19" s="2456"/>
    </row>
    <row r="20" spans="1:17" s="2446" customFormat="1" ht="29.25" customHeight="1">
      <c r="A20" s="2438">
        <v>1</v>
      </c>
      <c r="B20" s="2458"/>
      <c r="C20" s="2458"/>
      <c r="D20" s="2439"/>
      <c r="E20" s="2440" t="s">
        <v>1579</v>
      </c>
      <c r="F20" s="2440" t="s">
        <v>1578</v>
      </c>
      <c r="G20" s="2441">
        <v>30</v>
      </c>
      <c r="H20" s="2442">
        <v>2000000</v>
      </c>
      <c r="I20" s="2442">
        <v>2000000</v>
      </c>
      <c r="J20" s="2443" t="s">
        <v>203</v>
      </c>
      <c r="K20" s="2459">
        <v>2000000</v>
      </c>
      <c r="L20" s="2477">
        <f>IF(K20&gt;65000000,((K20-65000000)*25%+10685000),IF(K20&gt;25000000,((K20-25000000)*20%+2685000),IF(K20&gt;15000000,((K20-15000000)*15%+1185000),IF(K20&gt;5000000,(K20-5000000)*10%+185000,IF(K20&gt;1300000,(K20-1300000)*5%,0)))))</f>
        <v>35000</v>
      </c>
      <c r="M20" s="2476">
        <f>+K20-L20</f>
        <v>1965000</v>
      </c>
      <c r="N20" s="2454"/>
      <c r="O20" s="2444"/>
      <c r="P20" s="2445"/>
    </row>
    <row r="21" spans="1:17" s="2446" customFormat="1" ht="29.25" customHeight="1">
      <c r="A21" s="4167" t="s">
        <v>1714</v>
      </c>
      <c r="B21" s="4167"/>
      <c r="C21" s="4167"/>
      <c r="D21" s="4167"/>
      <c r="E21" s="4167"/>
      <c r="F21" s="4167"/>
      <c r="G21" s="2453">
        <f>+G15+G19</f>
        <v>108</v>
      </c>
      <c r="H21" s="2453"/>
      <c r="I21" s="2453"/>
      <c r="J21" s="2453"/>
      <c r="K21" s="2453">
        <f>+K19+K15</f>
        <v>20490900</v>
      </c>
      <c r="L21" s="2453">
        <f>+L19+L15</f>
        <v>939090</v>
      </c>
      <c r="M21" s="2453">
        <f>+M19+M15</f>
        <v>19551810</v>
      </c>
      <c r="N21" s="2454"/>
      <c r="O21" s="2445"/>
      <c r="P21" s="2460"/>
      <c r="Q21" s="2445"/>
    </row>
    <row r="22" spans="1:17" ht="17.25">
      <c r="A22" s="4168" t="s">
        <v>2311</v>
      </c>
      <c r="B22" s="4168"/>
      <c r="C22" s="4168"/>
      <c r="D22" s="4168"/>
      <c r="E22" s="4168"/>
      <c r="F22" s="4168"/>
      <c r="G22" s="4168"/>
      <c r="H22" s="4168"/>
      <c r="I22" s="4168"/>
      <c r="J22" s="4168"/>
      <c r="K22" s="4168"/>
      <c r="L22" s="4168"/>
      <c r="M22" s="4168"/>
      <c r="N22" s="4168"/>
    </row>
    <row r="23" spans="1:17" ht="16.5">
      <c r="A23" s="2379"/>
      <c r="B23" s="2379"/>
      <c r="C23" s="1364"/>
      <c r="D23" s="1364"/>
      <c r="E23" s="2461"/>
      <c r="F23" s="87"/>
      <c r="G23" s="2462"/>
      <c r="H23" s="87"/>
      <c r="I23" s="87"/>
      <c r="J23" s="87"/>
      <c r="K23" s="4172" t="s">
        <v>2162</v>
      </c>
      <c r="L23" s="4172"/>
      <c r="M23" s="4172"/>
      <c r="N23" s="4172"/>
      <c r="O23" s="1216"/>
      <c r="Q23" s="2464"/>
    </row>
    <row r="24" spans="1:17" ht="16.5">
      <c r="A24" s="4171" t="s">
        <v>502</v>
      </c>
      <c r="B24" s="4171"/>
      <c r="C24" s="4171"/>
      <c r="D24" s="4171"/>
      <c r="E24" s="4171"/>
      <c r="F24" s="4171" t="s">
        <v>241</v>
      </c>
      <c r="G24" s="4171"/>
      <c r="H24" s="4171"/>
      <c r="I24" s="4171" t="s">
        <v>513</v>
      </c>
      <c r="J24" s="4171"/>
      <c r="K24" s="4171"/>
      <c r="L24" s="4170" t="s">
        <v>21</v>
      </c>
      <c r="M24" s="4170"/>
      <c r="N24" s="4170"/>
    </row>
    <row r="25" spans="1:17" ht="16.5">
      <c r="A25" s="87"/>
      <c r="B25" s="87"/>
      <c r="C25" s="1364"/>
      <c r="D25" s="1364"/>
      <c r="E25" s="1469"/>
      <c r="F25" s="87"/>
      <c r="G25" s="2463"/>
      <c r="H25" s="87"/>
      <c r="I25" s="87"/>
      <c r="J25" s="87"/>
      <c r="K25" s="2466"/>
      <c r="L25" s="2467"/>
      <c r="M25" s="2467"/>
      <c r="N25" s="87"/>
      <c r="O25" s="1216"/>
      <c r="Q25" s="1216"/>
    </row>
    <row r="26" spans="1:17" ht="16.5">
      <c r="A26" s="87"/>
      <c r="B26" s="87"/>
      <c r="C26" s="1364"/>
      <c r="D26" s="1364"/>
      <c r="E26" s="87"/>
      <c r="F26" s="87"/>
      <c r="G26" s="2468"/>
      <c r="H26" s="1468"/>
      <c r="I26" s="1468"/>
      <c r="J26" s="87"/>
      <c r="K26" s="1468"/>
      <c r="L26" s="1469"/>
      <c r="M26" s="87"/>
      <c r="N26" s="87"/>
      <c r="O26" s="1216"/>
      <c r="Q26" s="1216"/>
    </row>
    <row r="27" spans="1:17" ht="16.5">
      <c r="A27" s="87"/>
      <c r="B27" s="87"/>
      <c r="C27" s="1364"/>
      <c r="D27" s="1364"/>
      <c r="E27" s="87"/>
      <c r="F27" s="87"/>
      <c r="G27" s="4169"/>
      <c r="H27" s="4169"/>
      <c r="I27" s="2469"/>
      <c r="J27" s="87"/>
      <c r="K27" s="1468"/>
      <c r="L27" s="1469"/>
      <c r="M27" s="87"/>
      <c r="N27" s="87"/>
    </row>
    <row r="28" spans="1:17" ht="16.5">
      <c r="A28" s="87"/>
      <c r="B28" s="87"/>
      <c r="C28" s="1364"/>
      <c r="D28" s="1364"/>
      <c r="E28" s="87"/>
      <c r="F28" s="87"/>
      <c r="G28" s="2463"/>
      <c r="H28" s="87"/>
      <c r="I28" s="87"/>
      <c r="J28" s="87"/>
      <c r="K28" s="2463"/>
      <c r="L28" s="87"/>
      <c r="M28" s="87"/>
      <c r="N28" s="1469"/>
    </row>
    <row r="29" spans="1:17" ht="16.5">
      <c r="A29" s="2426"/>
      <c r="B29" s="2426"/>
      <c r="C29" s="2425"/>
      <c r="D29" s="2425"/>
      <c r="E29" s="2470"/>
      <c r="F29" s="2465"/>
      <c r="G29" s="2471"/>
      <c r="H29" s="2465"/>
      <c r="I29" s="2465"/>
      <c r="J29" s="2465"/>
      <c r="K29" s="2472"/>
      <c r="L29" s="2465"/>
      <c r="M29" s="2465"/>
      <c r="N29" s="2465"/>
    </row>
    <row r="30" spans="1:17" ht="16.5">
      <c r="A30" s="2426"/>
      <c r="B30" s="2426"/>
      <c r="C30" s="2425"/>
      <c r="D30" s="2425"/>
      <c r="E30" s="2470"/>
      <c r="F30" s="2465"/>
      <c r="G30" s="2471"/>
      <c r="H30" s="2465"/>
      <c r="I30" s="2465"/>
      <c r="J30" s="2465"/>
      <c r="K30" s="2465"/>
      <c r="L30" s="2473"/>
      <c r="M30" s="2473"/>
      <c r="N30" s="2474"/>
    </row>
    <row r="31" spans="1:17" ht="16.5">
      <c r="A31" s="2426"/>
      <c r="B31" s="2426"/>
      <c r="C31" s="2425"/>
      <c r="D31" s="2425"/>
      <c r="E31" s="2470"/>
      <c r="F31" s="2465"/>
      <c r="G31" s="2471"/>
      <c r="H31" s="2465"/>
      <c r="I31" s="2465"/>
      <c r="J31" s="2465"/>
      <c r="K31" s="2472"/>
      <c r="L31" s="2465"/>
      <c r="M31" s="2465"/>
      <c r="N31" s="2465"/>
    </row>
    <row r="32" spans="1:17" ht="16.5">
      <c r="A32" s="4155"/>
      <c r="B32" s="4155"/>
      <c r="C32" s="4155"/>
      <c r="D32" s="4155"/>
      <c r="E32" s="4155"/>
      <c r="F32" s="4155"/>
      <c r="G32" s="4155"/>
      <c r="H32" s="4155"/>
      <c r="K32" s="1219"/>
      <c r="L32" s="4155"/>
      <c r="M32" s="4155"/>
      <c r="N32" s="4155"/>
    </row>
    <row r="33" spans="14:14">
      <c r="N33" s="1216"/>
    </row>
  </sheetData>
  <mergeCells count="34">
    <mergeCell ref="A32:E32"/>
    <mergeCell ref="F32:H32"/>
    <mergeCell ref="L32:N32"/>
    <mergeCell ref="A12:A14"/>
    <mergeCell ref="B12:B14"/>
    <mergeCell ref="C12:E14"/>
    <mergeCell ref="E15:F15"/>
    <mergeCell ref="A21:F21"/>
    <mergeCell ref="A22:N22"/>
    <mergeCell ref="G27:H27"/>
    <mergeCell ref="L24:N24"/>
    <mergeCell ref="A24:E24"/>
    <mergeCell ref="K23:N23"/>
    <mergeCell ref="F24:H24"/>
    <mergeCell ref="I24:K24"/>
    <mergeCell ref="L7:M7"/>
    <mergeCell ref="A8:N8"/>
    <mergeCell ref="G11:H11"/>
    <mergeCell ref="E11:F11"/>
    <mergeCell ref="L12:L14"/>
    <mergeCell ref="M12:M14"/>
    <mergeCell ref="N12:N14"/>
    <mergeCell ref="G13:J13"/>
    <mergeCell ref="K13:K14"/>
    <mergeCell ref="A6:H6"/>
    <mergeCell ref="E10:F10"/>
    <mergeCell ref="G10:H10"/>
    <mergeCell ref="F12:F14"/>
    <mergeCell ref="G12:K12"/>
    <mergeCell ref="A1:N1"/>
    <mergeCell ref="A2:N2"/>
    <mergeCell ref="A3:N3"/>
    <mergeCell ref="L5:M5"/>
    <mergeCell ref="A5:H5"/>
  </mergeCells>
  <pageMargins left="0.19685039370078741" right="0.19685039370078741" top="0.39370078740157483" bottom="0.74803149606299213" header="0.31496062992125984" footer="0.31496062992125984"/>
  <pageSetup paperSize="9" scale="9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26"/>
  <sheetViews>
    <sheetView topLeftCell="A5" workbookViewId="0">
      <selection activeCell="A18" sqref="A18"/>
    </sheetView>
  </sheetViews>
  <sheetFormatPr defaultColWidth="9.140625" defaultRowHeight="16.5"/>
  <cols>
    <col min="1" max="1" width="5" style="2481" customWidth="1"/>
    <col min="2" max="2" width="19.42578125" style="2481" customWidth="1"/>
    <col min="3" max="3" width="13.42578125" style="2481" hidden="1" customWidth="1"/>
    <col min="4" max="4" width="10.42578125" style="2481" customWidth="1"/>
    <col min="5" max="6" width="13.85546875" style="2481" customWidth="1"/>
    <col min="7" max="7" width="14.140625" style="2481" customWidth="1"/>
    <col min="8" max="8" width="15.28515625" style="2481" customWidth="1"/>
    <col min="9" max="9" width="17.42578125" style="2481" customWidth="1"/>
    <col min="10" max="10" width="14.28515625" style="2481" customWidth="1"/>
    <col min="11" max="11" width="12.140625" style="2481" customWidth="1"/>
    <col min="12" max="12" width="10.140625" style="2481" customWidth="1"/>
    <col min="13" max="13" width="8.42578125" style="2481" customWidth="1"/>
    <col min="14" max="14" width="12.85546875" style="2481" customWidth="1"/>
    <col min="15" max="15" width="13.42578125" style="2481" customWidth="1"/>
    <col min="16" max="17" width="7.85546875" style="2481" customWidth="1"/>
    <col min="18" max="18" width="7.28515625" style="2481" customWidth="1"/>
    <col min="19" max="19" width="7.42578125" style="2481" customWidth="1"/>
    <col min="20" max="20" width="6.28515625" style="2481" customWidth="1"/>
    <col min="21" max="21" width="5.7109375" style="2481" customWidth="1"/>
    <col min="22" max="22" width="6" style="2481" customWidth="1"/>
    <col min="23" max="23" width="4.85546875" style="2481" customWidth="1"/>
    <col min="24" max="24" width="6" style="2481" customWidth="1"/>
    <col min="25" max="25" width="6.5703125" style="2481" customWidth="1"/>
    <col min="26" max="26" width="8.140625" style="2481" customWidth="1"/>
    <col min="27" max="27" width="6" style="2481" customWidth="1"/>
    <col min="28" max="28" width="8.140625" style="2481" customWidth="1"/>
    <col min="29" max="29" width="15" style="2481" bestFit="1" customWidth="1"/>
    <col min="30" max="30" width="17.85546875" style="2481" bestFit="1" customWidth="1"/>
    <col min="31" max="31" width="12.85546875" style="2481" bestFit="1" customWidth="1"/>
    <col min="32" max="16384" width="9.140625" style="2481"/>
  </cols>
  <sheetData>
    <row r="1" spans="1:31">
      <c r="A1" s="2480"/>
      <c r="B1" s="2480"/>
      <c r="C1" s="2480"/>
      <c r="D1" s="2480"/>
      <c r="E1" s="2480"/>
      <c r="F1" s="2480"/>
      <c r="G1" s="2480"/>
      <c r="H1" s="2480"/>
      <c r="I1" s="2480"/>
      <c r="J1" s="2480"/>
      <c r="K1" s="2480"/>
      <c r="L1" s="2480"/>
    </row>
    <row r="2" spans="1:31">
      <c r="A2" s="2480"/>
      <c r="B2" s="2480"/>
      <c r="C2" s="2480"/>
      <c r="D2" s="2480"/>
      <c r="E2" s="2480"/>
      <c r="F2" s="2480"/>
      <c r="G2" s="2480"/>
      <c r="H2" s="2480"/>
      <c r="I2" s="2480"/>
      <c r="J2" s="2480"/>
      <c r="K2" s="2480"/>
      <c r="L2" s="2480"/>
    </row>
    <row r="3" spans="1:31">
      <c r="A3" s="4174" t="s">
        <v>23</v>
      </c>
      <c r="B3" s="4174"/>
      <c r="C3" s="4174"/>
      <c r="D3" s="4174"/>
      <c r="E3" s="4174"/>
      <c r="F3" s="4174"/>
      <c r="G3" s="4174"/>
      <c r="H3" s="4174"/>
      <c r="I3" s="4174"/>
      <c r="J3" s="4174"/>
      <c r="K3" s="4174"/>
      <c r="L3" s="4174"/>
      <c r="M3" s="2482"/>
      <c r="N3" s="2482"/>
      <c r="O3" s="2482"/>
      <c r="P3" s="2483"/>
      <c r="R3" s="2482"/>
      <c r="S3" s="2482"/>
      <c r="T3" s="2482"/>
      <c r="U3" s="2482"/>
      <c r="V3" s="2482"/>
      <c r="W3" s="2482"/>
      <c r="X3" s="2482"/>
      <c r="Y3" s="2482"/>
      <c r="Z3" s="2482"/>
      <c r="AA3" s="2482"/>
      <c r="AB3" s="2482"/>
    </row>
    <row r="4" spans="1:31">
      <c r="A4" s="4174" t="s">
        <v>170</v>
      </c>
      <c r="B4" s="4174"/>
      <c r="C4" s="4174"/>
      <c r="D4" s="4174"/>
      <c r="E4" s="4174"/>
      <c r="F4" s="4174"/>
      <c r="G4" s="4174"/>
      <c r="H4" s="4174"/>
      <c r="I4" s="4174"/>
      <c r="J4" s="4174"/>
      <c r="K4" s="4174"/>
      <c r="L4" s="4174"/>
      <c r="M4" s="2484"/>
      <c r="N4" s="2484"/>
      <c r="O4" s="2484"/>
      <c r="P4" s="2484"/>
      <c r="Q4" s="2485"/>
      <c r="S4" s="2484"/>
      <c r="T4" s="2484"/>
      <c r="U4" s="2484"/>
      <c r="V4" s="2484"/>
      <c r="W4" s="2484"/>
      <c r="X4" s="2484"/>
      <c r="Y4" s="2484"/>
      <c r="Z4" s="2484"/>
      <c r="AA4" s="2484"/>
      <c r="AB4" s="2485"/>
    </row>
    <row r="5" spans="1:31">
      <c r="A5" s="4175" t="s">
        <v>1580</v>
      </c>
      <c r="B5" s="4174"/>
      <c r="C5" s="4174"/>
      <c r="D5" s="4174"/>
      <c r="E5" s="4174"/>
      <c r="F5" s="4174"/>
      <c r="G5" s="4174"/>
      <c r="H5" s="4174"/>
      <c r="I5" s="4174"/>
      <c r="J5" s="4174"/>
      <c r="K5" s="4174"/>
      <c r="L5" s="4174"/>
      <c r="M5" s="2484"/>
      <c r="N5" s="2484"/>
      <c r="O5" s="2484"/>
      <c r="P5" s="2484"/>
      <c r="Q5" s="2485"/>
      <c r="S5" s="2484"/>
      <c r="T5" s="2484"/>
      <c r="U5" s="2484"/>
      <c r="V5" s="2484"/>
      <c r="W5" s="2484"/>
      <c r="X5" s="2484"/>
      <c r="Y5" s="2484"/>
      <c r="Z5" s="2484"/>
      <c r="AA5" s="2484"/>
      <c r="AB5" s="2485"/>
    </row>
    <row r="6" spans="1:31">
      <c r="A6" s="2480"/>
      <c r="B6" s="2480"/>
      <c r="C6" s="2480"/>
      <c r="D6" s="2480"/>
      <c r="E6" s="2480"/>
      <c r="F6" s="2480"/>
      <c r="G6" s="2480"/>
      <c r="H6" s="2480"/>
      <c r="I6" s="2480"/>
      <c r="J6" s="2480"/>
      <c r="K6" s="2486"/>
      <c r="L6" s="2486"/>
      <c r="M6" s="2487"/>
      <c r="N6" s="2487"/>
      <c r="O6" s="2487"/>
      <c r="P6" s="2488"/>
      <c r="Q6" s="2489"/>
      <c r="R6" s="2490"/>
      <c r="S6" s="2491"/>
      <c r="T6" s="2491"/>
      <c r="U6" s="2491"/>
      <c r="V6" s="2491"/>
      <c r="W6" s="2491"/>
      <c r="X6" s="2491"/>
      <c r="Y6" s="2491"/>
      <c r="Z6" s="2491"/>
      <c r="AA6" s="2491"/>
      <c r="AB6" s="2485"/>
      <c r="AC6" s="2492">
        <f>1372+388</f>
        <v>1760</v>
      </c>
      <c r="AD6" s="2481">
        <f>AC6*30000</f>
        <v>52800000</v>
      </c>
      <c r="AE6" s="2481" t="e">
        <f>AD6+#REF!+#REF!</f>
        <v>#REF!</v>
      </c>
    </row>
    <row r="7" spans="1:31">
      <c r="A7" s="3656" t="s">
        <v>922</v>
      </c>
      <c r="B7" s="3656"/>
      <c r="C7" s="3656"/>
      <c r="D7" s="3656"/>
      <c r="E7" s="3656"/>
      <c r="F7" s="83"/>
      <c r="G7" s="83"/>
      <c r="H7" s="83"/>
      <c r="I7" s="83"/>
      <c r="J7" s="83"/>
      <c r="K7" s="2486"/>
      <c r="L7" s="2486"/>
      <c r="M7" s="2487"/>
      <c r="N7" s="2487"/>
      <c r="O7" s="2487"/>
      <c r="P7" s="2488"/>
      <c r="Q7" s="2489"/>
      <c r="R7" s="2490"/>
      <c r="S7" s="2491"/>
      <c r="T7" s="2491"/>
      <c r="U7" s="2491"/>
      <c r="V7" s="2491"/>
      <c r="W7" s="2491"/>
      <c r="X7" s="2491"/>
      <c r="Y7" s="2491"/>
      <c r="Z7" s="2491"/>
      <c r="AA7" s="2491"/>
      <c r="AB7" s="2485"/>
      <c r="AC7" s="2492"/>
    </row>
    <row r="8" spans="1:31">
      <c r="A8" s="4171" t="s">
        <v>90</v>
      </c>
      <c r="B8" s="4171"/>
      <c r="C8" s="4171"/>
      <c r="D8" s="4171"/>
      <c r="E8" s="4171"/>
      <c r="F8" s="2493"/>
      <c r="G8" s="2493"/>
      <c r="H8" s="2486"/>
      <c r="I8" s="2486"/>
      <c r="J8" s="2486"/>
      <c r="K8" s="2486"/>
      <c r="L8" s="2486"/>
      <c r="M8" s="2487"/>
      <c r="N8" s="2487"/>
      <c r="O8" s="2487"/>
      <c r="P8" s="2488"/>
      <c r="Q8" s="2489"/>
      <c r="R8" s="2490"/>
      <c r="S8" s="2491"/>
      <c r="T8" s="2491"/>
      <c r="U8" s="2491"/>
      <c r="V8" s="2491"/>
      <c r="W8" s="2491"/>
      <c r="X8" s="2491"/>
      <c r="Y8" s="2491"/>
      <c r="Z8" s="2491"/>
      <c r="AA8" s="2491"/>
      <c r="AB8" s="2485"/>
      <c r="AC8" s="2492"/>
    </row>
    <row r="9" spans="1:31">
      <c r="A9" s="2381"/>
      <c r="B9" s="2381"/>
      <c r="C9" s="2381"/>
      <c r="D9" s="2381"/>
      <c r="E9" s="2381"/>
      <c r="F9" s="2493"/>
      <c r="G9" s="2493"/>
      <c r="H9" s="2486"/>
      <c r="I9" s="2486"/>
      <c r="J9" s="2486"/>
      <c r="K9" s="2486"/>
      <c r="L9" s="2486"/>
      <c r="M9" s="2487"/>
      <c r="N9" s="2487"/>
      <c r="O9" s="2487"/>
      <c r="P9" s="2488"/>
      <c r="Q9" s="2489"/>
      <c r="R9" s="2490"/>
      <c r="S9" s="2491"/>
      <c r="T9" s="2491"/>
      <c r="U9" s="2491"/>
      <c r="V9" s="2491"/>
      <c r="W9" s="2491"/>
      <c r="X9" s="2491"/>
      <c r="Y9" s="2491"/>
      <c r="Z9" s="2491"/>
      <c r="AA9" s="2491"/>
      <c r="AB9" s="2485"/>
      <c r="AC9" s="2492"/>
    </row>
    <row r="10" spans="1:31" ht="18.75">
      <c r="A10" s="4173" t="s">
        <v>2499</v>
      </c>
      <c r="B10" s="4088"/>
      <c r="C10" s="4088"/>
      <c r="D10" s="4088"/>
      <c r="E10" s="4088"/>
      <c r="F10" s="4088"/>
      <c r="G10" s="4088"/>
      <c r="H10" s="4088"/>
      <c r="I10" s="4088"/>
      <c r="J10" s="4088"/>
      <c r="K10" s="4088"/>
      <c r="L10" s="4088"/>
      <c r="M10" s="2494"/>
      <c r="N10" s="2494"/>
      <c r="O10" s="2494"/>
      <c r="P10" s="2494"/>
      <c r="Q10" s="2495"/>
      <c r="R10" s="2495"/>
      <c r="S10" s="2495"/>
      <c r="T10" s="2495"/>
      <c r="U10" s="2495"/>
      <c r="V10" s="2495"/>
      <c r="W10" s="2495"/>
      <c r="X10" s="2495"/>
      <c r="Y10" s="2495"/>
      <c r="Z10" s="2495"/>
      <c r="AA10" s="2495"/>
      <c r="AB10" s="2495"/>
    </row>
    <row r="11" spans="1:31">
      <c r="A11" s="2496"/>
      <c r="B11" s="2116"/>
      <c r="C11" s="2116"/>
      <c r="D11" s="2496"/>
      <c r="E11" s="2496"/>
      <c r="F11" s="2496"/>
      <c r="G11" s="2496"/>
      <c r="H11" s="2496"/>
      <c r="I11" s="2496"/>
      <c r="J11" s="2496"/>
      <c r="K11" s="4176" t="s">
        <v>1581</v>
      </c>
      <c r="L11" s="4176"/>
      <c r="M11" s="2497"/>
      <c r="N11" s="2498"/>
      <c r="O11" s="2499"/>
    </row>
    <row r="12" spans="1:31" ht="16.5" customHeight="1">
      <c r="A12" s="4154" t="s">
        <v>0</v>
      </c>
      <c r="B12" s="4154" t="s">
        <v>1582</v>
      </c>
      <c r="C12" s="4154" t="s">
        <v>1583</v>
      </c>
      <c r="D12" s="4177" t="s">
        <v>26</v>
      </c>
      <c r="E12" s="4144" t="s">
        <v>1584</v>
      </c>
      <c r="F12" s="4144" t="s">
        <v>1983</v>
      </c>
      <c r="G12" s="4177" t="s">
        <v>27</v>
      </c>
      <c r="H12" s="4154" t="s">
        <v>1346</v>
      </c>
      <c r="I12" s="4179" t="s">
        <v>1585</v>
      </c>
      <c r="J12" s="4179" t="s">
        <v>1570</v>
      </c>
      <c r="K12" s="4154" t="s">
        <v>10</v>
      </c>
      <c r="L12" s="4154" t="s">
        <v>92</v>
      </c>
      <c r="M12" s="2500"/>
      <c r="N12" s="2501"/>
      <c r="O12" s="2502"/>
    </row>
    <row r="13" spans="1:31" ht="33" customHeight="1">
      <c r="A13" s="4154"/>
      <c r="B13" s="4154"/>
      <c r="C13" s="4154"/>
      <c r="D13" s="4178"/>
      <c r="E13" s="4144"/>
      <c r="F13" s="4144"/>
      <c r="G13" s="4178"/>
      <c r="H13" s="4154"/>
      <c r="I13" s="4179"/>
      <c r="J13" s="4179"/>
      <c r="K13" s="4154"/>
      <c r="L13" s="4154"/>
      <c r="M13" s="2503"/>
      <c r="N13" s="2501"/>
      <c r="O13" s="2502"/>
    </row>
    <row r="14" spans="1:31" ht="29.25" customHeight="1">
      <c r="A14" s="2504">
        <v>1</v>
      </c>
      <c r="B14" s="2505" t="s">
        <v>327</v>
      </c>
      <c r="C14" s="2504" t="s">
        <v>832</v>
      </c>
      <c r="D14" s="2504">
        <v>26</v>
      </c>
      <c r="E14" s="2506">
        <f>'[3]Tỉ lệ hoàn thành'!I18</f>
        <v>3000000</v>
      </c>
      <c r="F14" s="3633">
        <f>+HTSL!J19</f>
        <v>982680.86590198067</v>
      </c>
      <c r="G14" s="3633">
        <f>+HTSL!L19</f>
        <v>0</v>
      </c>
      <c r="H14" s="2507">
        <f>E14+F14+G14</f>
        <v>3982680.8659019805</v>
      </c>
      <c r="I14" s="2508">
        <f>IF(H14&gt;65000000,((H14-65000000)*25%+10685000),IF(H14&gt;25000000,((H14-25000000)*20%+2685000),IF(H14&gt;15000000,((H14-15000000)*15%+1185000),IF(H14&gt;5000000,(H14-5000000)*10%+185000,IF(H14&gt;1300000,(H14-1300000)*5%,0)))))</f>
        <v>134134.04329509902</v>
      </c>
      <c r="J14" s="2509">
        <f>H14-I14</f>
        <v>3848546.8226068816</v>
      </c>
      <c r="K14" s="2388"/>
      <c r="L14" s="2388"/>
      <c r="M14" s="2503"/>
      <c r="N14" s="2501"/>
      <c r="O14" s="2502"/>
    </row>
    <row r="15" spans="1:31" ht="29.25" customHeight="1">
      <c r="A15" s="2504">
        <v>2</v>
      </c>
      <c r="B15" s="2505" t="s">
        <v>437</v>
      </c>
      <c r="C15" s="2504" t="s">
        <v>832</v>
      </c>
      <c r="D15" s="2504">
        <v>26</v>
      </c>
      <c r="E15" s="2506">
        <f>'[3]Tỉ lệ hoàn thành'!I19</f>
        <v>3000000</v>
      </c>
      <c r="F15" s="3633">
        <f>+HTSL!J20</f>
        <v>1904648.969343066</v>
      </c>
      <c r="G15" s="3633">
        <f>+HTSL!L20</f>
        <v>0</v>
      </c>
      <c r="H15" s="2507">
        <f>E15+F15+G15</f>
        <v>4904648.9693430662</v>
      </c>
      <c r="I15" s="2508">
        <f>IF(H15&gt;65000000,((H15-65000000)*25%+10685000),IF(H15&gt;25000000,((H15-25000000)*20%+2685000),IF(H15&gt;15000000,((H15-15000000)*15%+1185000),IF(H15&gt;5000000,(H15-5000000)*10%+185000,IF(H15&gt;1300000,(H15-1300000)*5%,0)))))</f>
        <v>180232.44846715333</v>
      </c>
      <c r="J15" s="2509">
        <f>H15-I15</f>
        <v>4724416.5208759131</v>
      </c>
      <c r="K15" s="2388"/>
      <c r="L15" s="2388"/>
      <c r="M15" s="2503"/>
      <c r="N15" s="2505" t="str">
        <f>'[3]Bảng ĐP - BV '!M14</f>
        <v>x</v>
      </c>
      <c r="O15" s="2502"/>
    </row>
    <row r="16" spans="1:31">
      <c r="A16" s="4154" t="s">
        <v>61</v>
      </c>
      <c r="B16" s="4154"/>
      <c r="C16" s="2388"/>
      <c r="D16" s="2389">
        <f>SUM(D14:D15)</f>
        <v>52</v>
      </c>
      <c r="E16" s="2510"/>
      <c r="F16" s="2510"/>
      <c r="G16" s="2510"/>
      <c r="H16" s="2389">
        <f>SUM(H14:H15)</f>
        <v>8887329.8352450468</v>
      </c>
      <c r="I16" s="2389">
        <f>SUM(I14:I15)</f>
        <v>314366.49176225235</v>
      </c>
      <c r="J16" s="2510">
        <f>SUM(J14:J15)</f>
        <v>8572963.3434827942</v>
      </c>
      <c r="K16" s="2388"/>
      <c r="L16" s="2504"/>
      <c r="M16" s="2503"/>
      <c r="N16" s="2511"/>
      <c r="O16" s="2512"/>
    </row>
    <row r="17" spans="1:17" ht="17.25">
      <c r="A17" s="4181" t="s">
        <v>2510</v>
      </c>
      <c r="B17" s="4182"/>
      <c r="C17" s="4182"/>
      <c r="D17" s="4182"/>
      <c r="E17" s="4182"/>
      <c r="F17" s="4182"/>
      <c r="G17" s="4182"/>
      <c r="H17" s="4182"/>
      <c r="I17" s="4182"/>
      <c r="J17" s="4182"/>
      <c r="K17" s="4182"/>
      <c r="L17" s="4182"/>
    </row>
    <row r="18" spans="1:17">
      <c r="H18" s="4183" t="s">
        <v>2500</v>
      </c>
      <c r="I18" s="4183"/>
      <c r="J18" s="4183"/>
      <c r="K18" s="4183"/>
      <c r="L18" s="4183"/>
      <c r="M18" s="2513"/>
      <c r="N18" s="2513"/>
      <c r="O18" s="2513"/>
      <c r="P18" s="2513"/>
      <c r="Q18" s="2513"/>
    </row>
    <row r="19" spans="1:17">
      <c r="A19" s="2514"/>
      <c r="B19" s="2515" t="s">
        <v>1586</v>
      </c>
      <c r="C19" s="2515"/>
      <c r="D19" s="4180" t="s">
        <v>1587</v>
      </c>
      <c r="E19" s="4180"/>
      <c r="F19" s="4180"/>
      <c r="G19" s="3631"/>
      <c r="H19" s="4180" t="s">
        <v>513</v>
      </c>
      <c r="I19" s="4180"/>
      <c r="J19" s="4180" t="s">
        <v>1588</v>
      </c>
      <c r="K19" s="4180"/>
      <c r="L19" s="4180"/>
    </row>
    <row r="21" spans="1:17">
      <c r="I21" s="3415"/>
    </row>
    <row r="25" spans="1:17">
      <c r="H25" s="4180"/>
      <c r="I25" s="4180"/>
      <c r="J25" s="4180"/>
      <c r="K25" s="4180"/>
      <c r="L25" s="4180"/>
    </row>
    <row r="26" spans="1:17">
      <c r="D26" s="2481" t="s">
        <v>227</v>
      </c>
    </row>
  </sheetData>
  <mergeCells count="26">
    <mergeCell ref="H25:I25"/>
    <mergeCell ref="J25:L25"/>
    <mergeCell ref="K12:K13"/>
    <mergeCell ref="L12:L13"/>
    <mergeCell ref="A16:B16"/>
    <mergeCell ref="A17:L17"/>
    <mergeCell ref="H18:L18"/>
    <mergeCell ref="J19:L19"/>
    <mergeCell ref="D19:F19"/>
    <mergeCell ref="H19:I19"/>
    <mergeCell ref="K11:L11"/>
    <mergeCell ref="A12:A13"/>
    <mergeCell ref="B12:B13"/>
    <mergeCell ref="C12:C13"/>
    <mergeCell ref="D12:D13"/>
    <mergeCell ref="E12:E13"/>
    <mergeCell ref="F12:F13"/>
    <mergeCell ref="H12:H13"/>
    <mergeCell ref="I12:I13"/>
    <mergeCell ref="J12:J13"/>
    <mergeCell ref="G12:G13"/>
    <mergeCell ref="A10:L10"/>
    <mergeCell ref="A3:L3"/>
    <mergeCell ref="A4:L4"/>
    <mergeCell ref="A5:L5"/>
    <mergeCell ref="A8:E8"/>
  </mergeCells>
  <pageMargins left="0.2" right="0.2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0"/>
  <sheetViews>
    <sheetView topLeftCell="A14" workbookViewId="0">
      <selection activeCell="M15" sqref="M15"/>
    </sheetView>
  </sheetViews>
  <sheetFormatPr defaultRowHeight="12.75"/>
  <cols>
    <col min="1" max="1" width="6.85546875" style="1623" customWidth="1"/>
    <col min="2" max="2" width="25.5703125" style="1623" customWidth="1"/>
    <col min="3" max="3" width="18.28515625" style="1623" customWidth="1"/>
    <col min="4" max="4" width="9.5703125" style="1623" customWidth="1"/>
    <col min="5" max="5" width="14" style="1623" customWidth="1"/>
    <col min="6" max="6" width="12.42578125" style="1623" hidden="1" customWidth="1"/>
    <col min="7" max="7" width="15.5703125" style="1624" hidden="1" customWidth="1"/>
    <col min="8" max="8" width="17.140625" style="1624" customWidth="1"/>
    <col min="9" max="9" width="15.5703125" style="1624" customWidth="1"/>
    <col min="10" max="10" width="15" style="1624" customWidth="1"/>
    <col min="11" max="11" width="9.42578125" style="1624" hidden="1" customWidth="1"/>
    <col min="12" max="12" width="12.7109375" style="1624" customWidth="1"/>
    <col min="13" max="13" width="18.42578125" style="1624" customWidth="1"/>
    <col min="14" max="14" width="17.28515625" style="1624" customWidth="1"/>
  </cols>
  <sheetData>
    <row r="1" spans="1:15" ht="16.5">
      <c r="A1" s="4184" t="s">
        <v>23</v>
      </c>
      <c r="B1" s="4184"/>
      <c r="C1" s="4184"/>
      <c r="D1" s="4184"/>
      <c r="E1" s="4184"/>
      <c r="F1" s="4184"/>
      <c r="G1" s="4184"/>
      <c r="H1" s="4184"/>
      <c r="I1" s="4184"/>
      <c r="J1" s="4184"/>
      <c r="K1" s="4184"/>
      <c r="L1" s="4184"/>
      <c r="M1" s="4184"/>
      <c r="N1" s="4184"/>
    </row>
    <row r="2" spans="1:15" ht="16.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</row>
    <row r="3" spans="1:15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</row>
    <row r="4" spans="1:15" ht="16.5">
      <c r="A4" s="4185" t="s">
        <v>929</v>
      </c>
      <c r="B4" s="4185"/>
      <c r="C4" s="4185"/>
      <c r="D4" s="4185"/>
      <c r="E4" s="2716"/>
      <c r="F4" s="2087"/>
      <c r="G4" s="2087"/>
      <c r="H4" s="2087"/>
      <c r="I4" s="2087"/>
      <c r="J4" s="2087"/>
      <c r="K4" s="2087"/>
      <c r="L4" s="2087"/>
      <c r="M4" s="2087"/>
      <c r="N4" s="2087"/>
    </row>
    <row r="5" spans="1:15" ht="16.5">
      <c r="A5" s="4184" t="s">
        <v>90</v>
      </c>
      <c r="B5" s="4184"/>
      <c r="C5" s="4184"/>
      <c r="D5" s="4184"/>
      <c r="E5" s="2715"/>
      <c r="F5" s="1605"/>
      <c r="G5" s="1605"/>
      <c r="H5" s="1605"/>
      <c r="I5" s="1605"/>
      <c r="J5" s="1605"/>
      <c r="K5" s="1605"/>
      <c r="L5" s="1605"/>
      <c r="M5" s="1605"/>
      <c r="N5" s="1605"/>
    </row>
    <row r="6" spans="1:15" ht="16.5">
      <c r="A6" s="1621"/>
      <c r="B6" s="1621"/>
      <c r="C6" s="1621"/>
      <c r="D6" s="1621"/>
      <c r="E6" s="1621"/>
      <c r="F6" s="1621"/>
      <c r="G6" s="1622"/>
      <c r="H6" s="1622"/>
      <c r="I6" s="1622"/>
      <c r="J6" s="1622"/>
      <c r="K6" s="1622"/>
      <c r="L6" s="1622"/>
      <c r="M6" s="1622"/>
      <c r="N6" s="1622"/>
    </row>
    <row r="7" spans="1:15">
      <c r="A7" s="1606"/>
      <c r="B7" s="1606"/>
      <c r="C7" s="1606"/>
      <c r="D7" s="1606"/>
      <c r="E7" s="1606"/>
      <c r="F7" s="1606"/>
      <c r="G7" s="1607"/>
      <c r="H7" s="1607"/>
      <c r="I7" s="1607"/>
      <c r="J7" s="1607"/>
      <c r="K7" s="1607"/>
      <c r="L7" s="1607"/>
      <c r="M7" s="1607"/>
      <c r="N7" s="1607"/>
    </row>
    <row r="8" spans="1:15" ht="18.75" customHeight="1">
      <c r="A8" s="4187" t="s">
        <v>2504</v>
      </c>
      <c r="B8" s="4187"/>
      <c r="C8" s="4187"/>
      <c r="D8" s="4187"/>
      <c r="E8" s="4187"/>
      <c r="F8" s="4187"/>
      <c r="G8" s="4187"/>
      <c r="H8" s="4187"/>
      <c r="I8" s="4187"/>
      <c r="J8" s="4187"/>
      <c r="K8" s="4187"/>
      <c r="L8" s="4187"/>
      <c r="M8" s="4187"/>
      <c r="N8" s="4187"/>
      <c r="O8" s="2241"/>
    </row>
    <row r="9" spans="1:15" ht="16.5" hidden="1">
      <c r="A9" s="4188"/>
      <c r="B9" s="4188"/>
      <c r="C9" s="4188"/>
      <c r="D9" s="4188"/>
      <c r="E9" s="4188"/>
      <c r="F9" s="4188"/>
      <c r="G9" s="4188"/>
      <c r="H9" s="4188"/>
      <c r="I9" s="4188"/>
      <c r="J9" s="4188"/>
      <c r="K9" s="4188"/>
      <c r="L9" s="4188"/>
      <c r="M9" s="4188"/>
      <c r="N9" s="4188"/>
    </row>
    <row r="10" spans="1:15" ht="11.25" customHeight="1">
      <c r="A10" s="1608"/>
      <c r="B10" s="1609"/>
      <c r="C10" s="1609"/>
      <c r="D10" s="1610"/>
      <c r="E10" s="1610"/>
      <c r="F10" s="1610"/>
      <c r="G10" s="1611"/>
      <c r="H10" s="1611"/>
      <c r="I10" s="1611"/>
      <c r="J10" s="1611"/>
      <c r="K10" s="1611"/>
      <c r="L10" s="1611"/>
      <c r="M10" s="1611"/>
      <c r="N10" s="2173"/>
    </row>
    <row r="11" spans="1:15" ht="15.75" customHeight="1">
      <c r="A11" s="1608"/>
      <c r="B11" s="1612"/>
      <c r="C11" s="1612"/>
      <c r="D11" s="1613"/>
      <c r="E11" s="1613"/>
      <c r="F11" s="1613"/>
      <c r="G11" s="1611"/>
      <c r="H11" s="1611"/>
      <c r="I11" s="1611"/>
      <c r="J11" s="1611"/>
      <c r="K11" s="1611"/>
      <c r="L11" s="1611"/>
      <c r="M11" s="1611"/>
      <c r="N11" s="1611"/>
    </row>
    <row r="12" spans="1:15" ht="149.25" customHeight="1">
      <c r="A12" s="1614" t="s">
        <v>0</v>
      </c>
      <c r="B12" s="1614" t="s">
        <v>1</v>
      </c>
      <c r="C12" s="1614" t="s">
        <v>46</v>
      </c>
      <c r="D12" s="1614" t="s">
        <v>1899</v>
      </c>
      <c r="E12" s="2719" t="s">
        <v>1662</v>
      </c>
      <c r="F12" s="1615" t="s">
        <v>1312</v>
      </c>
      <c r="G12" s="1616" t="s">
        <v>1313</v>
      </c>
      <c r="H12" s="1617" t="s">
        <v>2138</v>
      </c>
      <c r="I12" s="2193" t="s">
        <v>1325</v>
      </c>
      <c r="J12" s="2193" t="s">
        <v>2139</v>
      </c>
      <c r="K12" s="2232" t="s">
        <v>27</v>
      </c>
      <c r="L12" s="3614" t="s">
        <v>27</v>
      </c>
      <c r="M12" s="2193" t="s">
        <v>1417</v>
      </c>
      <c r="N12" s="1618" t="s">
        <v>1311</v>
      </c>
    </row>
    <row r="13" spans="1:15" ht="24" hidden="1" customHeight="1">
      <c r="A13" s="2242"/>
      <c r="B13" s="2243"/>
      <c r="C13" s="2243"/>
      <c r="D13" s="2259"/>
      <c r="E13" s="2259"/>
      <c r="F13" s="1645" t="s">
        <v>938</v>
      </c>
      <c r="G13" s="2260" t="s">
        <v>939</v>
      </c>
      <c r="H13" s="2261" t="s">
        <v>1442</v>
      </c>
      <c r="I13" s="2262" t="s">
        <v>941</v>
      </c>
      <c r="J13" s="2262" t="s">
        <v>1439</v>
      </c>
      <c r="K13" s="2262" t="s">
        <v>943</v>
      </c>
      <c r="L13" s="2262"/>
      <c r="M13" s="2262" t="s">
        <v>1892</v>
      </c>
      <c r="N13" s="2231"/>
    </row>
    <row r="14" spans="1:15" ht="24" customHeight="1">
      <c r="A14" s="4189" t="s">
        <v>48</v>
      </c>
      <c r="B14" s="4190"/>
      <c r="C14" s="4190"/>
      <c r="D14" s="4191"/>
      <c r="E14" s="2717"/>
      <c r="F14" s="2372">
        <f>+F15+F17</f>
        <v>9</v>
      </c>
      <c r="G14" s="3657">
        <f>+SUM(G15:G17)</f>
        <v>5.3440319999999986</v>
      </c>
      <c r="H14" s="2263"/>
      <c r="I14" s="2264">
        <f>+SUM(I15:I17)</f>
        <v>1020</v>
      </c>
      <c r="J14" s="2263">
        <f>+SUM(J15:J17)</f>
        <v>483.75133764337841</v>
      </c>
      <c r="K14" s="2263">
        <f t="shared" ref="K14:L14" si="0">+SUM(K15:K17)</f>
        <v>0</v>
      </c>
      <c r="L14" s="2264">
        <f t="shared" si="0"/>
        <v>0</v>
      </c>
      <c r="M14" s="3815">
        <f>+SUM(M15:M17)</f>
        <v>1503.7513376433785</v>
      </c>
      <c r="N14" s="2194"/>
    </row>
    <row r="15" spans="1:15" ht="24" customHeight="1">
      <c r="A15" s="1619">
        <v>1</v>
      </c>
      <c r="B15" s="2653" t="s">
        <v>536</v>
      </c>
      <c r="C15" s="2652" t="s">
        <v>704</v>
      </c>
      <c r="D15" s="2653" t="s">
        <v>452</v>
      </c>
      <c r="E15" s="2653" t="s">
        <v>17</v>
      </c>
      <c r="F15" s="4193">
        <v>7</v>
      </c>
      <c r="G15" s="4194">
        <f>+VCKD!K100/1000</f>
        <v>3.4393830306569324</v>
      </c>
      <c r="H15" s="4195">
        <f>+G15/F15*100</f>
        <v>49.134043295099033</v>
      </c>
      <c r="I15" s="2656">
        <v>360</v>
      </c>
      <c r="J15" s="2655">
        <f>250*H15/100</f>
        <v>122.83510823774759</v>
      </c>
      <c r="K15" s="2656">
        <v>0</v>
      </c>
      <c r="L15" s="2656"/>
      <c r="M15" s="2656">
        <f>+I15+J15+K15+L15</f>
        <v>482.83510823774759</v>
      </c>
      <c r="N15" s="2658"/>
    </row>
    <row r="16" spans="1:15" ht="24" customHeight="1">
      <c r="A16" s="1619">
        <v>2</v>
      </c>
      <c r="B16" s="2653" t="s">
        <v>1475</v>
      </c>
      <c r="C16" s="2652" t="s">
        <v>704</v>
      </c>
      <c r="D16" s="2653" t="s">
        <v>452</v>
      </c>
      <c r="E16" s="2653" t="s">
        <v>17</v>
      </c>
      <c r="F16" s="4193"/>
      <c r="G16" s="4194"/>
      <c r="H16" s="4195"/>
      <c r="I16" s="2656">
        <v>300</v>
      </c>
      <c r="J16" s="3687">
        <f>250*H15/100</f>
        <v>122.83510823774759</v>
      </c>
      <c r="K16" s="2656">
        <v>0</v>
      </c>
      <c r="L16" s="2656"/>
      <c r="M16" s="2656">
        <f t="shared" ref="M16" si="1">+I16+J16+K16+L16</f>
        <v>422.83510823774759</v>
      </c>
      <c r="N16" s="2658"/>
    </row>
    <row r="17" spans="1:14" ht="24" customHeight="1">
      <c r="A17" s="1619">
        <v>3</v>
      </c>
      <c r="B17" s="2652" t="s">
        <v>36</v>
      </c>
      <c r="C17" s="2652" t="s">
        <v>704</v>
      </c>
      <c r="D17" s="2653" t="s">
        <v>453</v>
      </c>
      <c r="E17" s="2653" t="s">
        <v>17</v>
      </c>
      <c r="F17" s="2654">
        <v>2</v>
      </c>
      <c r="G17" s="3720">
        <f>+VCKD!K187/1000</f>
        <v>1.9046489693430657</v>
      </c>
      <c r="H17" s="2655">
        <f>+G17/F17*100</f>
        <v>95.23244846715329</v>
      </c>
      <c r="I17" s="2656">
        <v>360</v>
      </c>
      <c r="J17" s="2655">
        <f>250*H17/100</f>
        <v>238.08112116788323</v>
      </c>
      <c r="K17" s="2656">
        <v>0</v>
      </c>
      <c r="L17" s="2656"/>
      <c r="M17" s="2656">
        <f>+I17+J17+K17+L17</f>
        <v>598.08112116788323</v>
      </c>
      <c r="N17" s="2657"/>
    </row>
    <row r="18" spans="1:14" s="2195" customFormat="1" ht="24" customHeight="1">
      <c r="A18" s="4192" t="s">
        <v>1334</v>
      </c>
      <c r="B18" s="4192"/>
      <c r="C18" s="4192"/>
      <c r="D18" s="4192"/>
      <c r="E18" s="2718"/>
      <c r="F18" s="2372">
        <f>+F19+F20</f>
        <v>9</v>
      </c>
      <c r="G18" s="1713">
        <f>+G19+G20</f>
        <v>5.3440319999999986</v>
      </c>
      <c r="H18" s="2266"/>
      <c r="I18" s="2264">
        <f>+SUM(I19:I20)</f>
        <v>6000000</v>
      </c>
      <c r="J18" s="2265">
        <f>+SUM(J19:J20)</f>
        <v>2887329.8352450468</v>
      </c>
      <c r="K18" s="2265">
        <f>+SUM(K19:K20)</f>
        <v>0</v>
      </c>
      <c r="L18" s="2265"/>
      <c r="M18" s="2265">
        <f>+SUM(M19:M20)</f>
        <v>8887329.8352450468</v>
      </c>
      <c r="N18" s="1620"/>
    </row>
    <row r="19" spans="1:14" ht="24" customHeight="1">
      <c r="A19" s="1619">
        <v>1</v>
      </c>
      <c r="B19" s="2652" t="s">
        <v>327</v>
      </c>
      <c r="C19" s="2652" t="s">
        <v>832</v>
      </c>
      <c r="D19" s="2653" t="s">
        <v>452</v>
      </c>
      <c r="E19" s="2653" t="s">
        <v>1663</v>
      </c>
      <c r="F19" s="2654">
        <f>+F15</f>
        <v>7</v>
      </c>
      <c r="G19" s="2658">
        <f>+G15</f>
        <v>3.4393830306569324</v>
      </c>
      <c r="H19" s="2655">
        <f>+G19/F19*100</f>
        <v>49.134043295099033</v>
      </c>
      <c r="I19" s="2656">
        <v>3000000</v>
      </c>
      <c r="J19" s="2656">
        <f>2000000*H19/100</f>
        <v>982680.86590198067</v>
      </c>
      <c r="K19" s="2656"/>
      <c r="L19" s="2656"/>
      <c r="M19" s="2656">
        <f>+I19+J19+L19</f>
        <v>3982680.8659019805</v>
      </c>
      <c r="N19" s="2659"/>
    </row>
    <row r="20" spans="1:14" ht="24" customHeight="1">
      <c r="A20" s="1619">
        <v>2</v>
      </c>
      <c r="B20" s="2652" t="s">
        <v>437</v>
      </c>
      <c r="C20" s="2652" t="s">
        <v>832</v>
      </c>
      <c r="D20" s="2653" t="s">
        <v>453</v>
      </c>
      <c r="E20" s="2653" t="s">
        <v>1663</v>
      </c>
      <c r="F20" s="2654">
        <f>+F17</f>
        <v>2</v>
      </c>
      <c r="G20" s="3720">
        <f>+'Đội 3'!J47/1000</f>
        <v>1.9046489693430657</v>
      </c>
      <c r="H20" s="2655">
        <f>+H17</f>
        <v>95.23244846715329</v>
      </c>
      <c r="I20" s="2656">
        <v>3000000</v>
      </c>
      <c r="J20" s="2656">
        <f>2000000*H20/100</f>
        <v>1904648.969343066</v>
      </c>
      <c r="K20" s="2656"/>
      <c r="L20" s="2656"/>
      <c r="M20" s="2656">
        <f>+I20+J20+L20</f>
        <v>4904648.9693430662</v>
      </c>
      <c r="N20" s="1620"/>
    </row>
    <row r="21" spans="1:14" ht="9.75" customHeight="1">
      <c r="A21" s="1621"/>
      <c r="B21" s="1621"/>
      <c r="C21" s="1621"/>
      <c r="D21" s="1621"/>
      <c r="E21" s="1621"/>
      <c r="F21" s="2174"/>
      <c r="G21" s="1622"/>
      <c r="H21" s="1622"/>
      <c r="I21" s="1622"/>
      <c r="J21" s="1622"/>
      <c r="K21" s="1622"/>
      <c r="L21" s="1622"/>
      <c r="M21" s="1622"/>
      <c r="N21" s="1622"/>
    </row>
    <row r="22" spans="1:14" ht="18" customHeight="1">
      <c r="A22" s="1621"/>
      <c r="B22" s="1621"/>
      <c r="C22" s="1621"/>
      <c r="D22" s="1621"/>
      <c r="E22" s="1621"/>
      <c r="F22" s="1621"/>
      <c r="G22" s="1622"/>
      <c r="H22" s="1622"/>
      <c r="I22" s="1622"/>
      <c r="J22" s="4197" t="s">
        <v>2162</v>
      </c>
      <c r="K22" s="4197"/>
      <c r="L22" s="4197"/>
      <c r="M22" s="4197"/>
      <c r="N22" s="4197"/>
    </row>
    <row r="23" spans="1:14" ht="16.5">
      <c r="A23" s="4184" t="s">
        <v>84</v>
      </c>
      <c r="B23" s="4184"/>
      <c r="C23" s="1605" t="s">
        <v>1441</v>
      </c>
      <c r="D23" s="4184" t="s">
        <v>2140</v>
      </c>
      <c r="E23" s="4184"/>
      <c r="F23" s="4196" t="s">
        <v>1419</v>
      </c>
      <c r="G23" s="4196"/>
      <c r="H23" s="3010" t="s">
        <v>1418</v>
      </c>
      <c r="I23" s="4184" t="s">
        <v>513</v>
      </c>
      <c r="J23" s="4184"/>
      <c r="K23" s="4184"/>
      <c r="L23" s="4184"/>
      <c r="M23" s="4186" t="s">
        <v>21</v>
      </c>
      <c r="N23" s="4186"/>
    </row>
    <row r="24" spans="1:14" ht="16.5">
      <c r="A24" s="1621"/>
      <c r="B24" s="1621"/>
      <c r="C24" s="1621"/>
      <c r="D24" s="1621"/>
      <c r="E24" s="1621"/>
      <c r="F24" s="1621"/>
      <c r="G24" s="1622"/>
      <c r="H24" s="1622"/>
      <c r="I24" s="1622"/>
      <c r="J24" s="1622"/>
      <c r="K24" s="1622"/>
      <c r="L24" s="1622"/>
      <c r="M24" s="1622"/>
      <c r="N24" s="1622"/>
    </row>
    <row r="25" spans="1:14" ht="16.5">
      <c r="A25" s="1621"/>
      <c r="B25" s="1621"/>
      <c r="C25" s="1621"/>
      <c r="D25" s="1621"/>
      <c r="E25" s="1621"/>
      <c r="F25" s="1621"/>
      <c r="G25" s="1622"/>
      <c r="H25" s="1622"/>
      <c r="I25" s="1622"/>
      <c r="J25" s="1622"/>
      <c r="K25" s="1622"/>
      <c r="L25" s="1622"/>
      <c r="M25" s="1622"/>
      <c r="N25" s="1622"/>
    </row>
    <row r="26" spans="1:14" ht="16.5">
      <c r="A26" s="1621"/>
      <c r="B26" s="1621"/>
      <c r="C26" s="1621"/>
      <c r="D26" s="1621"/>
      <c r="E26" s="1621"/>
      <c r="F26" s="1621"/>
      <c r="G26" s="1622"/>
      <c r="H26" s="1622"/>
      <c r="I26" s="1622"/>
      <c r="J26" s="1622"/>
      <c r="K26" s="1622"/>
      <c r="L26" s="1622"/>
      <c r="M26" s="1622"/>
      <c r="N26" s="1622"/>
    </row>
    <row r="27" spans="1:14" ht="16.5">
      <c r="A27" s="1621"/>
      <c r="B27" s="1621"/>
      <c r="C27" s="1621"/>
      <c r="D27" s="1621"/>
      <c r="E27" s="1621"/>
      <c r="F27" s="1621"/>
      <c r="G27" s="1622"/>
      <c r="H27" s="1622"/>
      <c r="I27" s="1622"/>
      <c r="J27" s="1622"/>
      <c r="K27" s="1622"/>
      <c r="L27" s="1622"/>
      <c r="M27" s="1622"/>
      <c r="N27" s="1622"/>
    </row>
    <row r="28" spans="1:14" ht="16.5">
      <c r="A28" s="1621"/>
      <c r="B28" s="1621"/>
      <c r="C28" s="1621"/>
      <c r="D28" s="1621"/>
      <c r="E28" s="1621"/>
      <c r="F28" s="1621"/>
      <c r="G28" s="1622"/>
      <c r="H28" s="1622"/>
      <c r="I28" s="1622"/>
      <c r="J28" s="1622"/>
      <c r="K28" s="1622"/>
      <c r="L28" s="1622"/>
      <c r="M28" s="1622"/>
      <c r="N28" s="1622"/>
    </row>
    <row r="29" spans="1:14" ht="16.5">
      <c r="A29" s="1621"/>
      <c r="B29" s="1621"/>
      <c r="C29" s="1621"/>
      <c r="D29" s="1621"/>
      <c r="E29" s="1621"/>
      <c r="F29" s="1621"/>
      <c r="G29" s="1622"/>
      <c r="H29" s="1622"/>
      <c r="I29" s="1622"/>
      <c r="J29" s="1622"/>
      <c r="K29" s="1622"/>
      <c r="L29" s="1622"/>
      <c r="M29" s="1622"/>
      <c r="N29" s="1622"/>
    </row>
    <row r="30" spans="1:14" ht="16.5">
      <c r="A30" s="1621"/>
      <c r="B30" s="1621"/>
      <c r="C30" s="1621"/>
      <c r="D30" s="1621"/>
      <c r="E30" s="1621"/>
      <c r="F30" s="1621"/>
      <c r="G30" s="1622"/>
      <c r="H30" s="1622"/>
      <c r="I30" s="1622"/>
      <c r="J30" s="1622"/>
      <c r="K30" s="1622"/>
      <c r="L30" s="1622"/>
      <c r="M30" s="1622"/>
      <c r="N30" s="1622"/>
    </row>
    <row r="31" spans="1:14" ht="16.5">
      <c r="A31" s="1621"/>
      <c r="B31" s="1621"/>
      <c r="C31" s="1621"/>
      <c r="D31" s="1621"/>
      <c r="E31" s="1621"/>
      <c r="F31" s="1621"/>
      <c r="G31" s="1622"/>
      <c r="H31" s="1622"/>
      <c r="I31" s="1622"/>
      <c r="J31" s="1622"/>
      <c r="K31" s="1622"/>
      <c r="L31" s="1622"/>
      <c r="M31" s="1622"/>
      <c r="N31" s="1622"/>
    </row>
    <row r="32" spans="1:14" ht="16.5">
      <c r="A32" s="1621"/>
      <c r="B32" s="1621"/>
      <c r="C32" s="1621"/>
      <c r="D32" s="1621"/>
      <c r="E32" s="1621"/>
      <c r="F32" s="1621"/>
      <c r="G32" s="1622"/>
      <c r="H32" s="1622"/>
      <c r="I32" s="1622"/>
      <c r="J32" s="1622"/>
      <c r="K32" s="1622"/>
      <c r="L32" s="1622"/>
      <c r="M32" s="1622"/>
      <c r="N32" s="1622"/>
    </row>
    <row r="33" spans="1:14" ht="16.5">
      <c r="A33" s="1621"/>
      <c r="B33" s="1621"/>
      <c r="C33" s="1621"/>
      <c r="D33" s="1621"/>
      <c r="E33" s="1621"/>
      <c r="F33" s="1621"/>
      <c r="G33" s="1622"/>
      <c r="H33" s="1622"/>
      <c r="I33" s="1622"/>
      <c r="J33" s="1622"/>
      <c r="K33" s="1622"/>
      <c r="L33" s="1622"/>
      <c r="M33" s="1622"/>
      <c r="N33" s="1622"/>
    </row>
    <row r="34" spans="1:14" ht="16.5">
      <c r="A34" s="1621"/>
      <c r="B34" s="1621"/>
      <c r="C34" s="1621"/>
      <c r="D34" s="1621"/>
      <c r="E34" s="1621"/>
      <c r="F34" s="1621"/>
      <c r="G34" s="1622"/>
      <c r="H34" s="1622"/>
      <c r="I34" s="1622"/>
      <c r="J34" s="1622"/>
      <c r="K34" s="1622"/>
      <c r="L34" s="1622"/>
      <c r="M34" s="1622"/>
      <c r="N34" s="1622"/>
    </row>
    <row r="35" spans="1:14" ht="16.5">
      <c r="A35" s="1621"/>
      <c r="B35" s="1621"/>
      <c r="C35" s="1621"/>
      <c r="D35" s="1621"/>
      <c r="E35" s="1621"/>
      <c r="F35" s="1621"/>
      <c r="G35" s="1622"/>
      <c r="H35" s="1622"/>
      <c r="I35" s="1622"/>
      <c r="J35" s="1622"/>
      <c r="K35" s="1622"/>
      <c r="L35" s="1622"/>
      <c r="M35" s="1622"/>
      <c r="N35" s="1622"/>
    </row>
    <row r="36" spans="1:14" ht="16.5">
      <c r="A36" s="1621"/>
      <c r="B36" s="1621"/>
      <c r="C36" s="1621"/>
      <c r="D36" s="1621"/>
      <c r="E36" s="1621"/>
      <c r="F36" s="1621"/>
      <c r="G36" s="1622"/>
      <c r="H36" s="1622"/>
      <c r="I36" s="1622"/>
      <c r="J36" s="1622"/>
      <c r="K36" s="1622"/>
      <c r="L36" s="1622"/>
      <c r="M36" s="1622"/>
      <c r="N36" s="1622"/>
    </row>
    <row r="37" spans="1:14" ht="16.5">
      <c r="A37" s="1621"/>
      <c r="B37" s="1621"/>
      <c r="C37" s="1621"/>
      <c r="D37" s="1621"/>
      <c r="E37" s="1621"/>
      <c r="F37" s="1621"/>
      <c r="G37" s="1622"/>
      <c r="H37" s="1622"/>
      <c r="I37" s="1622"/>
      <c r="J37" s="1622"/>
      <c r="K37" s="1622"/>
      <c r="L37" s="1622"/>
      <c r="M37" s="1622"/>
      <c r="N37" s="1622"/>
    </row>
    <row r="38" spans="1:14" ht="16.5">
      <c r="A38" s="1621"/>
      <c r="B38" s="1621"/>
      <c r="C38" s="1621"/>
      <c r="D38" s="1621"/>
      <c r="E38" s="1621"/>
      <c r="F38" s="1621"/>
      <c r="G38" s="1622"/>
      <c r="H38" s="1622"/>
      <c r="I38" s="1622"/>
      <c r="J38" s="1622"/>
      <c r="K38" s="1622"/>
      <c r="L38" s="1622"/>
      <c r="M38" s="1622"/>
      <c r="N38" s="1622"/>
    </row>
    <row r="39" spans="1:14" ht="16.5">
      <c r="A39" s="1621"/>
      <c r="B39" s="1621"/>
      <c r="C39" s="1621"/>
      <c r="D39" s="1621"/>
      <c r="E39" s="1621"/>
      <c r="F39" s="1621"/>
      <c r="G39" s="1622"/>
      <c r="H39" s="1622"/>
      <c r="I39" s="1622"/>
      <c r="J39" s="1622"/>
      <c r="K39" s="1622"/>
      <c r="L39" s="1622"/>
      <c r="M39" s="1622"/>
      <c r="N39" s="1622"/>
    </row>
    <row r="40" spans="1:14" ht="16.5">
      <c r="A40" s="1621"/>
      <c r="B40" s="1621"/>
      <c r="C40" s="1621"/>
      <c r="D40" s="1621"/>
      <c r="E40" s="1621"/>
      <c r="F40" s="1621"/>
      <c r="G40" s="1622"/>
      <c r="H40" s="1622"/>
      <c r="I40" s="1622"/>
      <c r="J40" s="1622"/>
      <c r="K40" s="1622"/>
      <c r="L40" s="1622"/>
      <c r="M40" s="1622"/>
      <c r="N40" s="1622"/>
    </row>
  </sheetData>
  <mergeCells count="18">
    <mergeCell ref="M23:N23"/>
    <mergeCell ref="A23:B23"/>
    <mergeCell ref="A8:N8"/>
    <mergeCell ref="A9:N9"/>
    <mergeCell ref="A14:D14"/>
    <mergeCell ref="A18:D18"/>
    <mergeCell ref="F15:F16"/>
    <mergeCell ref="G15:G16"/>
    <mergeCell ref="H15:H16"/>
    <mergeCell ref="F23:G23"/>
    <mergeCell ref="J22:N22"/>
    <mergeCell ref="D23:E23"/>
    <mergeCell ref="I23:L23"/>
    <mergeCell ref="A1:N1"/>
    <mergeCell ref="A2:N2"/>
    <mergeCell ref="A3:N3"/>
    <mergeCell ref="A4:D4"/>
    <mergeCell ref="A5:D5"/>
  </mergeCells>
  <pageMargins left="0.43307086614173229" right="0.15748031496062992" top="0.19685039370078741" bottom="0.23622047244094491" header="0.31496062992125984" footer="0.19685039370078741"/>
  <pageSetup paperSize="9" scale="8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W70"/>
  <sheetViews>
    <sheetView workbookViewId="0">
      <selection activeCell="C5" sqref="C5:F5"/>
    </sheetView>
  </sheetViews>
  <sheetFormatPr defaultRowHeight="15.75"/>
  <cols>
    <col min="1" max="1" width="4.28515625" style="107" customWidth="1"/>
    <col min="2" max="2" width="11.42578125" style="106" hidden="1" customWidth="1"/>
    <col min="3" max="3" width="16.5703125" style="107" customWidth="1"/>
    <col min="4" max="4" width="1.28515625" style="107" hidden="1" customWidth="1"/>
    <col min="5" max="5" width="14.7109375" style="1813" customWidth="1"/>
    <col min="6" max="6" width="16" style="1527" customWidth="1"/>
    <col min="7" max="7" width="22" style="94" customWidth="1"/>
    <col min="8" max="8" width="27.5703125" style="94" customWidth="1"/>
  </cols>
  <sheetData>
    <row r="1" spans="1:23" ht="15.75" customHeight="1">
      <c r="A1" s="4198" t="s">
        <v>23</v>
      </c>
      <c r="B1" s="4198"/>
      <c r="C1" s="4198"/>
      <c r="D1" s="4198"/>
      <c r="E1" s="4198"/>
      <c r="F1" s="4198"/>
      <c r="G1" s="4198"/>
      <c r="H1" s="4198"/>
    </row>
    <row r="2" spans="1:23" ht="16.5">
      <c r="A2" s="4000" t="s">
        <v>45</v>
      </c>
      <c r="B2" s="4000"/>
      <c r="C2" s="4000"/>
      <c r="D2" s="4000"/>
      <c r="E2" s="4000"/>
      <c r="F2" s="4000"/>
      <c r="G2" s="4000"/>
      <c r="H2" s="4000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4"/>
      <c r="U2" s="984"/>
      <c r="V2" s="984"/>
      <c r="W2" s="984"/>
    </row>
    <row r="3" spans="1:23" ht="22.5" customHeight="1">
      <c r="A3" s="1526"/>
      <c r="B3" s="96"/>
      <c r="C3" s="381"/>
      <c r="D3" s="381"/>
      <c r="G3" s="6"/>
    </row>
    <row r="4" spans="1:23" ht="22.5" customHeight="1">
      <c r="A4" s="2081"/>
      <c r="B4" s="2082"/>
      <c r="C4" s="2083" t="s">
        <v>922</v>
      </c>
      <c r="D4" s="10"/>
      <c r="E4" s="10"/>
      <c r="F4" s="2024"/>
      <c r="G4" s="6"/>
    </row>
    <row r="5" spans="1:23" ht="22.5" customHeight="1">
      <c r="A5" s="2081"/>
      <c r="B5" s="2082"/>
      <c r="C5" s="4071" t="s">
        <v>1392</v>
      </c>
      <c r="D5" s="4071"/>
      <c r="E5" s="4071"/>
      <c r="F5" s="4071"/>
      <c r="G5" s="6"/>
    </row>
    <row r="6" spans="1:23" ht="18.75" customHeight="1">
      <c r="A6" s="2081"/>
      <c r="B6" s="2082"/>
      <c r="C6" s="2017"/>
      <c r="D6" s="2017"/>
      <c r="E6" s="2017"/>
      <c r="F6" s="2017"/>
      <c r="G6" s="6"/>
    </row>
    <row r="7" spans="1:23" ht="60.75" customHeight="1">
      <c r="A7" s="4201" t="s">
        <v>1374</v>
      </c>
      <c r="B7" s="4201"/>
      <c r="C7" s="4201"/>
      <c r="D7" s="4201"/>
      <c r="E7" s="4201"/>
      <c r="F7" s="4201"/>
      <c r="G7" s="4201"/>
      <c r="H7" s="4201"/>
    </row>
    <row r="8" spans="1:23">
      <c r="A8" s="4202"/>
      <c r="B8" s="4202"/>
      <c r="C8" s="4202"/>
      <c r="D8" s="4202"/>
      <c r="E8" s="4202"/>
      <c r="F8" s="4202"/>
      <c r="G8" s="4202"/>
      <c r="H8" s="4202"/>
    </row>
    <row r="9" spans="1:23" ht="15.75" hidden="1" customHeight="1">
      <c r="A9" s="304"/>
      <c r="B9" s="4199" t="s">
        <v>321</v>
      </c>
      <c r="C9" s="4199"/>
      <c r="D9" s="4200">
        <f>+'BẢNG KÊ LƯƠNG'!C7</f>
        <v>20939</v>
      </c>
      <c r="E9" s="4200"/>
      <c r="F9" s="2019"/>
      <c r="G9" s="2019"/>
      <c r="H9" s="2019"/>
    </row>
    <row r="10" spans="1:23" ht="15.75" hidden="1" customHeight="1">
      <c r="A10" s="305"/>
      <c r="B10" s="4199" t="s">
        <v>322</v>
      </c>
      <c r="C10" s="4199"/>
      <c r="D10" s="4203">
        <f>+'BẢNG KÊ LƯƠNG'!C8</f>
        <v>0.99009999999999998</v>
      </c>
      <c r="E10" s="4203"/>
      <c r="F10" s="117"/>
      <c r="G10" s="117"/>
      <c r="H10" s="117"/>
    </row>
    <row r="11" spans="1:23" ht="12.75" customHeight="1">
      <c r="A11" s="4204" t="s">
        <v>0</v>
      </c>
      <c r="B11" s="4206" t="s">
        <v>1</v>
      </c>
      <c r="C11" s="4207"/>
      <c r="D11" s="4208" t="s">
        <v>64</v>
      </c>
      <c r="E11" s="4209" t="s">
        <v>2</v>
      </c>
      <c r="F11" s="4212" t="s">
        <v>1359</v>
      </c>
      <c r="G11" s="4073" t="s">
        <v>1159</v>
      </c>
      <c r="H11" s="4215" t="s">
        <v>10</v>
      </c>
    </row>
    <row r="12" spans="1:23" ht="12.75">
      <c r="A12" s="4204"/>
      <c r="B12" s="4207"/>
      <c r="C12" s="4207"/>
      <c r="D12" s="4208"/>
      <c r="E12" s="4210"/>
      <c r="F12" s="4208"/>
      <c r="G12" s="4214"/>
      <c r="H12" s="4216"/>
    </row>
    <row r="13" spans="1:23">
      <c r="A13" s="4205"/>
      <c r="B13" s="1828" t="s">
        <v>15</v>
      </c>
      <c r="C13" s="1828" t="s">
        <v>16</v>
      </c>
      <c r="D13" s="4208"/>
      <c r="E13" s="4211"/>
      <c r="F13" s="4213"/>
      <c r="G13" s="4074"/>
      <c r="H13" s="4217"/>
    </row>
    <row r="14" spans="1:23" ht="12.75">
      <c r="A14" s="1519">
        <v>1</v>
      </c>
      <c r="B14" s="382">
        <v>2</v>
      </c>
      <c r="C14" s="1519">
        <v>2</v>
      </c>
      <c r="D14" s="382">
        <v>3</v>
      </c>
      <c r="E14" s="1811">
        <v>3</v>
      </c>
      <c r="F14" s="382">
        <v>4</v>
      </c>
      <c r="G14" s="1519">
        <v>5</v>
      </c>
      <c r="H14" s="1519">
        <v>6</v>
      </c>
    </row>
    <row r="15" spans="1:23" ht="12.75">
      <c r="A15" s="4218" t="s">
        <v>451</v>
      </c>
      <c r="B15" s="4219"/>
      <c r="C15" s="4219"/>
      <c r="D15" s="4219"/>
      <c r="E15" s="4219"/>
      <c r="F15" s="4220"/>
      <c r="G15" s="1492" t="e">
        <f>SUBTOTAL(9,G16:G22)</f>
        <v>#REF!</v>
      </c>
      <c r="H15" s="1519"/>
    </row>
    <row r="16" spans="1:23" ht="25.5" customHeight="1">
      <c r="A16" s="1778">
        <v>1</v>
      </c>
      <c r="B16" s="1779" t="e">
        <f>VLOOKUP(C16,[4]Sheet1!$B$9:$C$115,2,0)</f>
        <v>#N/A</v>
      </c>
      <c r="C16" s="1780" t="s">
        <v>1010</v>
      </c>
      <c r="D16" s="1781"/>
      <c r="E16" s="1782" t="s">
        <v>167</v>
      </c>
      <c r="F16" s="1792" t="e">
        <f>+VLOOKUP(C16,#REF!,39,0)</f>
        <v>#REF!</v>
      </c>
      <c r="G16" s="1846" t="e">
        <f t="shared" ref="G16:G21" si="0">IF(F16&gt;=2165,700000,IF(F16&gt;=1970,500000,IF(F16&gt;1790,300000,IF(F16&gt;=1790,0,0))))</f>
        <v>#REF!</v>
      </c>
      <c r="H16" s="1782"/>
    </row>
    <row r="17" spans="1:8" ht="25.5" customHeight="1">
      <c r="A17" s="1783">
        <v>2</v>
      </c>
      <c r="B17" s="1784" t="e">
        <f>VLOOKUP(C17,[4]Sheet1!$B$9:$C$115,2,0)</f>
        <v>#N/A</v>
      </c>
      <c r="C17" s="1785" t="s">
        <v>1168</v>
      </c>
      <c r="D17" s="1786"/>
      <c r="E17" s="1787" t="s">
        <v>167</v>
      </c>
      <c r="F17" s="1793" t="e">
        <f>+VLOOKUP(C17,#REF!,39,0)</f>
        <v>#REF!</v>
      </c>
      <c r="G17" s="1846" t="e">
        <f t="shared" si="0"/>
        <v>#REF!</v>
      </c>
      <c r="H17" s="1787"/>
    </row>
    <row r="18" spans="1:8" ht="25.5" customHeight="1">
      <c r="A18" s="1783">
        <v>3</v>
      </c>
      <c r="B18" s="1784" t="e">
        <f>VLOOKUP(C18,[4]Sheet1!$B$9:$C$115,2,0)</f>
        <v>#N/A</v>
      </c>
      <c r="C18" s="1785" t="s">
        <v>1261</v>
      </c>
      <c r="D18" s="1786"/>
      <c r="E18" s="1787" t="s">
        <v>167</v>
      </c>
      <c r="F18" s="1793" t="e">
        <f>+VLOOKUP(C18,#REF!,39,0)</f>
        <v>#REF!</v>
      </c>
      <c r="G18" s="1846" t="e">
        <f t="shared" si="0"/>
        <v>#REF!</v>
      </c>
      <c r="H18" s="1787"/>
    </row>
    <row r="19" spans="1:8" ht="25.5" customHeight="1">
      <c r="A19" s="1783">
        <v>4</v>
      </c>
      <c r="B19" s="1784" t="e">
        <f>VLOOKUP(C19,[4]Sheet1!$B$9:$C$115,2,0)</f>
        <v>#N/A</v>
      </c>
      <c r="C19" s="1785" t="s">
        <v>1291</v>
      </c>
      <c r="D19" s="1786"/>
      <c r="E19" s="1787" t="s">
        <v>167</v>
      </c>
      <c r="F19" s="1793" t="e">
        <f>+VLOOKUP(C19,#REF!,39,0)</f>
        <v>#REF!</v>
      </c>
      <c r="G19" s="1846" t="e">
        <f t="shared" si="0"/>
        <v>#REF!</v>
      </c>
      <c r="H19" s="1787"/>
    </row>
    <row r="20" spans="1:8" ht="25.5" customHeight="1">
      <c r="A20" s="1783">
        <v>5</v>
      </c>
      <c r="B20" s="1784" t="e">
        <f>VLOOKUP(C20,[4]Sheet1!$B$9:$C$115,2,0)</f>
        <v>#N/A</v>
      </c>
      <c r="C20" s="1785" t="s">
        <v>1237</v>
      </c>
      <c r="D20" s="1786"/>
      <c r="E20" s="1787" t="s">
        <v>167</v>
      </c>
      <c r="F20" s="1793" t="e">
        <f>+VLOOKUP(C20,#REF!,39,0)</f>
        <v>#REF!</v>
      </c>
      <c r="G20" s="1846" t="e">
        <f t="shared" si="0"/>
        <v>#REF!</v>
      </c>
      <c r="H20" s="1787"/>
    </row>
    <row r="21" spans="1:8" ht="25.5" customHeight="1">
      <c r="A21" s="1783">
        <v>6</v>
      </c>
      <c r="B21" s="1784" t="e">
        <f>VLOOKUP(C21,[4]Sheet1!$B$9:$C$115,2,0)</f>
        <v>#N/A</v>
      </c>
      <c r="C21" s="1785" t="s">
        <v>1172</v>
      </c>
      <c r="D21" s="1786"/>
      <c r="E21" s="1787" t="s">
        <v>167</v>
      </c>
      <c r="F21" s="1793" t="e">
        <f>+VLOOKUP(C21,#REF!,39,0)</f>
        <v>#REF!</v>
      </c>
      <c r="G21" s="1846" t="e">
        <f t="shared" si="0"/>
        <v>#REF!</v>
      </c>
      <c r="H21" s="1787"/>
    </row>
    <row r="22" spans="1:8" ht="25.5" customHeight="1">
      <c r="A22" s="1783">
        <v>7</v>
      </c>
      <c r="B22" s="1784" t="e">
        <f>VLOOKUP(C22,[4]Sheet1!$B$9:$C$115,2,0)</f>
        <v>#N/A</v>
      </c>
      <c r="C22" s="1785" t="s">
        <v>1176</v>
      </c>
      <c r="D22" s="1786"/>
      <c r="E22" s="1787" t="s">
        <v>167</v>
      </c>
      <c r="F22" s="1793" t="e">
        <f>+VLOOKUP(C22,#REF!,39,0)</f>
        <v>#REF!</v>
      </c>
      <c r="G22" s="1846" t="e">
        <f>IF(F22&gt;=1835,700000,IF(F22&gt;=1665,500000,IF(F22&gt;1515,300000,IF(F22&gt;=1515,0,0))))</f>
        <v>#REF!</v>
      </c>
      <c r="H22" s="1787"/>
    </row>
    <row r="23" spans="1:8" ht="25.5" customHeight="1">
      <c r="A23" s="4221" t="s">
        <v>452</v>
      </c>
      <c r="B23" s="4221"/>
      <c r="C23" s="4221"/>
      <c r="D23" s="4221"/>
      <c r="E23" s="4221"/>
      <c r="F23" s="4221"/>
      <c r="G23" s="1832" t="e">
        <f>+SUBTOTAL(9,G24:G40)</f>
        <v>#REF!</v>
      </c>
      <c r="H23" s="1490"/>
    </row>
    <row r="24" spans="1:8" ht="25.5" customHeight="1">
      <c r="A24" s="1778">
        <v>1</v>
      </c>
      <c r="B24" s="1779">
        <v>0</v>
      </c>
      <c r="C24" s="1794" t="s">
        <v>1265</v>
      </c>
      <c r="D24" s="1781" t="s">
        <v>865</v>
      </c>
      <c r="E24" s="1782" t="s">
        <v>167</v>
      </c>
      <c r="F24" s="1797" t="e">
        <f>+VLOOKUP(C24,#REF!,39,0)</f>
        <v>#REF!</v>
      </c>
      <c r="G24" s="1847" t="e">
        <f>IF(F24&gt;=2600,700000,IF(F24&gt;=2365,500000,IF(F24&gt;2150,300000,IF(F24&gt;=2150,0,0))))</f>
        <v>#REF!</v>
      </c>
      <c r="H24" s="1782"/>
    </row>
    <row r="25" spans="1:8" ht="25.5" customHeight="1">
      <c r="A25" s="1783">
        <v>2</v>
      </c>
      <c r="B25" s="1784">
        <v>0</v>
      </c>
      <c r="C25" s="1795" t="s">
        <v>1181</v>
      </c>
      <c r="D25" s="1786" t="s">
        <v>866</v>
      </c>
      <c r="E25" s="1787" t="s">
        <v>167</v>
      </c>
      <c r="F25" s="1798" t="e">
        <f>+VLOOKUP(C25,#REF!,39,0)</f>
        <v>#REF!</v>
      </c>
      <c r="G25" s="1846" t="e">
        <f t="shared" ref="G25:G40" si="1">IF(F25&gt;=2600,700000,IF(F25&gt;=2365,500000,IF(F25&gt;2150,300000,IF(F25&gt;=2150,0,0))))</f>
        <v>#REF!</v>
      </c>
      <c r="H25" s="1787"/>
    </row>
    <row r="26" spans="1:8" ht="25.5" customHeight="1">
      <c r="A26" s="1783">
        <v>3</v>
      </c>
      <c r="B26" s="1784" t="e">
        <f>VLOOKUP(C26,[4]Sheet1!$B$9:$C$115,2,0)</f>
        <v>#N/A</v>
      </c>
      <c r="C26" s="1795" t="s">
        <v>1182</v>
      </c>
      <c r="D26" s="1786" t="s">
        <v>639</v>
      </c>
      <c r="E26" s="1787" t="s">
        <v>167</v>
      </c>
      <c r="F26" s="1798" t="e">
        <f>+VLOOKUP(C26,#REF!,39,0)</f>
        <v>#REF!</v>
      </c>
      <c r="G26" s="1846" t="e">
        <f t="shared" si="1"/>
        <v>#REF!</v>
      </c>
      <c r="H26" s="1787"/>
    </row>
    <row r="27" spans="1:8" ht="25.5" customHeight="1">
      <c r="A27" s="1783">
        <v>4</v>
      </c>
      <c r="B27" s="1784" t="e">
        <f>VLOOKUP(C27,[4]Sheet1!$B$9:$C$115,2,0)</f>
        <v>#N/A</v>
      </c>
      <c r="C27" s="1795" t="s">
        <v>1183</v>
      </c>
      <c r="D27" s="1786" t="s">
        <v>867</v>
      </c>
      <c r="E27" s="1787" t="s">
        <v>167</v>
      </c>
      <c r="F27" s="1798" t="e">
        <f>+VLOOKUP(C27,#REF!,39,0)</f>
        <v>#REF!</v>
      </c>
      <c r="G27" s="1846" t="e">
        <f t="shared" si="1"/>
        <v>#REF!</v>
      </c>
      <c r="H27" s="1787"/>
    </row>
    <row r="28" spans="1:8" ht="25.5" customHeight="1">
      <c r="A28" s="1783">
        <v>5</v>
      </c>
      <c r="B28" s="1784" t="e">
        <f>VLOOKUP(C28,[4]Sheet1!$B$9:$C$115,2,0)</f>
        <v>#N/A</v>
      </c>
      <c r="C28" s="1795" t="s">
        <v>1184</v>
      </c>
      <c r="D28" s="1786" t="s">
        <v>641</v>
      </c>
      <c r="E28" s="1787" t="s">
        <v>167</v>
      </c>
      <c r="F28" s="1798" t="e">
        <f>+VLOOKUP(C28,#REF!,39,0)</f>
        <v>#REF!</v>
      </c>
      <c r="G28" s="1846" t="e">
        <f t="shared" si="1"/>
        <v>#REF!</v>
      </c>
      <c r="H28" s="1787"/>
    </row>
    <row r="29" spans="1:8" ht="25.5" customHeight="1">
      <c r="A29" s="1783">
        <v>6</v>
      </c>
      <c r="B29" s="1784" t="e">
        <f>VLOOKUP(C29,[4]Sheet1!$B$9:$C$115,2,0)</f>
        <v>#N/A</v>
      </c>
      <c r="C29" s="1795" t="s">
        <v>1303</v>
      </c>
      <c r="D29" s="1786" t="s">
        <v>868</v>
      </c>
      <c r="E29" s="1787" t="s">
        <v>167</v>
      </c>
      <c r="F29" s="1798" t="e">
        <f>+VLOOKUP(C29,#REF!,39,0)</f>
        <v>#REF!</v>
      </c>
      <c r="G29" s="1846" t="e">
        <f t="shared" si="1"/>
        <v>#REF!</v>
      </c>
      <c r="H29" s="1787"/>
    </row>
    <row r="30" spans="1:8" ht="25.5" customHeight="1">
      <c r="A30" s="1783">
        <v>7</v>
      </c>
      <c r="B30" s="1784">
        <v>0</v>
      </c>
      <c r="C30" s="1795" t="s">
        <v>1305</v>
      </c>
      <c r="D30" s="1786" t="s">
        <v>869</v>
      </c>
      <c r="E30" s="1787" t="s">
        <v>167</v>
      </c>
      <c r="F30" s="1798" t="e">
        <f>+VLOOKUP(C30,#REF!,39,0)</f>
        <v>#REF!</v>
      </c>
      <c r="G30" s="1846" t="e">
        <f t="shared" si="1"/>
        <v>#REF!</v>
      </c>
      <c r="H30" s="1787"/>
    </row>
    <row r="31" spans="1:8" ht="25.5" customHeight="1">
      <c r="A31" s="1783">
        <v>8</v>
      </c>
      <c r="B31" s="1784" t="e">
        <f>VLOOKUP(C31,[4]Sheet1!$B$9:$C$115,2,0)</f>
        <v>#N/A</v>
      </c>
      <c r="C31" s="1795" t="s">
        <v>1185</v>
      </c>
      <c r="D31" s="1786" t="s">
        <v>616</v>
      </c>
      <c r="E31" s="1787" t="s">
        <v>167</v>
      </c>
      <c r="F31" s="1798" t="e">
        <f>+VLOOKUP(C31,#REF!,39,0)</f>
        <v>#REF!</v>
      </c>
      <c r="G31" s="1846" t="e">
        <f t="shared" si="1"/>
        <v>#REF!</v>
      </c>
      <c r="H31" s="1787"/>
    </row>
    <row r="32" spans="1:8" ht="25.5" customHeight="1">
      <c r="A32" s="1783">
        <v>9</v>
      </c>
      <c r="B32" s="1784" t="e">
        <f>VLOOKUP(C32,[4]Sheet1!$B$9:$C$115,2,0)</f>
        <v>#N/A</v>
      </c>
      <c r="C32" s="1795" t="s">
        <v>1186</v>
      </c>
      <c r="D32" s="1786" t="s">
        <v>643</v>
      </c>
      <c r="E32" s="1787" t="s">
        <v>167</v>
      </c>
      <c r="F32" s="1798" t="e">
        <f>+VLOOKUP(C32,#REF!,39,0)</f>
        <v>#REF!</v>
      </c>
      <c r="G32" s="1846" t="e">
        <f t="shared" si="1"/>
        <v>#REF!</v>
      </c>
      <c r="H32" s="1787"/>
    </row>
    <row r="33" spans="1:9" ht="25.5" customHeight="1">
      <c r="A33" s="1783">
        <v>10</v>
      </c>
      <c r="B33" s="1784"/>
      <c r="C33" s="1795" t="s">
        <v>1187</v>
      </c>
      <c r="D33" s="1786"/>
      <c r="E33" s="1787" t="s">
        <v>167</v>
      </c>
      <c r="F33" s="1798" t="e">
        <f>+VLOOKUP(C33,#REF!,39,0)</f>
        <v>#REF!</v>
      </c>
      <c r="G33" s="1846" t="e">
        <f t="shared" si="1"/>
        <v>#REF!</v>
      </c>
      <c r="H33" s="1787"/>
    </row>
    <row r="34" spans="1:9" ht="25.5" customHeight="1">
      <c r="A34" s="1783">
        <v>11</v>
      </c>
      <c r="B34" s="1784"/>
      <c r="C34" s="1795" t="s">
        <v>1188</v>
      </c>
      <c r="D34" s="1786"/>
      <c r="E34" s="1787" t="s">
        <v>167</v>
      </c>
      <c r="F34" s="1798" t="e">
        <f>+VLOOKUP(C34,#REF!,39,0)</f>
        <v>#REF!</v>
      </c>
      <c r="G34" s="1846" t="e">
        <f t="shared" si="1"/>
        <v>#REF!</v>
      </c>
      <c r="H34" s="1787"/>
    </row>
    <row r="35" spans="1:9" ht="25.5" customHeight="1">
      <c r="A35" s="1783">
        <v>12</v>
      </c>
      <c r="B35" s="1784"/>
      <c r="C35" s="1795" t="s">
        <v>1306</v>
      </c>
      <c r="D35" s="1786"/>
      <c r="E35" s="1787" t="s">
        <v>167</v>
      </c>
      <c r="F35" s="1798" t="e">
        <f>+VLOOKUP(C35,#REF!,39,0)</f>
        <v>#REF!</v>
      </c>
      <c r="G35" s="1846" t="e">
        <f t="shared" si="1"/>
        <v>#REF!</v>
      </c>
      <c r="H35" s="1787"/>
    </row>
    <row r="36" spans="1:9" ht="25.5" customHeight="1">
      <c r="A36" s="1783">
        <v>13</v>
      </c>
      <c r="B36" s="1784"/>
      <c r="C36" s="1795" t="s">
        <v>1267</v>
      </c>
      <c r="D36" s="1786"/>
      <c r="E36" s="1787" t="s">
        <v>167</v>
      </c>
      <c r="F36" s="1798" t="e">
        <f>+VLOOKUP(C36,#REF!,39,0)</f>
        <v>#REF!</v>
      </c>
      <c r="G36" s="1846" t="e">
        <f t="shared" si="1"/>
        <v>#REF!</v>
      </c>
      <c r="H36" s="1787"/>
    </row>
    <row r="37" spans="1:9" ht="25.5" customHeight="1">
      <c r="A37" s="1783">
        <v>14</v>
      </c>
      <c r="B37" s="1784"/>
      <c r="C37" s="1795" t="s">
        <v>236</v>
      </c>
      <c r="D37" s="1786"/>
      <c r="E37" s="1787" t="s">
        <v>167</v>
      </c>
      <c r="F37" s="1798" t="e">
        <f>+VLOOKUP(C37,#REF!,39,0)</f>
        <v>#REF!</v>
      </c>
      <c r="G37" s="1846" t="e">
        <f t="shared" si="1"/>
        <v>#REF!</v>
      </c>
      <c r="H37" s="1787"/>
    </row>
    <row r="38" spans="1:9" ht="25.5" customHeight="1">
      <c r="A38" s="1783">
        <v>15</v>
      </c>
      <c r="B38" s="1784"/>
      <c r="C38" s="1795" t="s">
        <v>1270</v>
      </c>
      <c r="D38" s="1786"/>
      <c r="E38" s="1787" t="s">
        <v>167</v>
      </c>
      <c r="F38" s="1798" t="e">
        <f>+VLOOKUP(C38,#REF!,39,0)</f>
        <v>#REF!</v>
      </c>
      <c r="G38" s="1846" t="e">
        <f t="shared" si="1"/>
        <v>#REF!</v>
      </c>
      <c r="H38" s="1787"/>
    </row>
    <row r="39" spans="1:9" ht="25.5" customHeight="1">
      <c r="A39" s="1783">
        <v>16</v>
      </c>
      <c r="B39" s="1784" t="e">
        <f>VLOOKUP(C39,[4]Sheet1!$B$9:$C$115,2,0)</f>
        <v>#N/A</v>
      </c>
      <c r="C39" s="1795" t="s">
        <v>1190</v>
      </c>
      <c r="D39" s="1786" t="s">
        <v>615</v>
      </c>
      <c r="E39" s="1787" t="s">
        <v>167</v>
      </c>
      <c r="F39" s="1798" t="e">
        <f>+VLOOKUP(C39,#REF!,39,0)</f>
        <v>#REF!</v>
      </c>
      <c r="G39" s="1846" t="e">
        <f t="shared" si="1"/>
        <v>#REF!</v>
      </c>
      <c r="H39" s="1787"/>
    </row>
    <row r="40" spans="1:9" ht="25.5" customHeight="1">
      <c r="A40" s="1788">
        <v>17</v>
      </c>
      <c r="B40" s="1789">
        <v>0</v>
      </c>
      <c r="C40" s="1796" t="s">
        <v>1272</v>
      </c>
      <c r="D40" s="1790" t="s">
        <v>870</v>
      </c>
      <c r="E40" s="1791" t="s">
        <v>167</v>
      </c>
      <c r="F40" s="1799" t="e">
        <f>+VLOOKUP(C40,#REF!,39,0)</f>
        <v>#REF!</v>
      </c>
      <c r="G40" s="1848" t="e">
        <f t="shared" si="1"/>
        <v>#REF!</v>
      </c>
      <c r="H40" s="1791"/>
    </row>
    <row r="41" spans="1:9" ht="25.5" customHeight="1">
      <c r="A41" s="4218" t="s">
        <v>453</v>
      </c>
      <c r="B41" s="4219"/>
      <c r="C41" s="4219"/>
      <c r="D41" s="4219"/>
      <c r="E41" s="4219"/>
      <c r="F41" s="4220"/>
      <c r="G41" s="1459" t="e">
        <f>SUBTOTAL(9,G42:G43)</f>
        <v>#REF!</v>
      </c>
      <c r="H41" s="104"/>
    </row>
    <row r="42" spans="1:9" ht="25.5" customHeight="1">
      <c r="A42" s="1800">
        <v>1</v>
      </c>
      <c r="B42" s="1801" t="e">
        <f>VLOOKUP(C42,[4]Sheet1!$B$9:$C$115,2,0)</f>
        <v>#N/A</v>
      </c>
      <c r="C42" s="1794" t="s">
        <v>1222</v>
      </c>
      <c r="D42" s="1802" t="s">
        <v>644</v>
      </c>
      <c r="E42" s="1782" t="s">
        <v>167</v>
      </c>
      <c r="F42" s="1833" t="e">
        <f>+VLOOKUP(C42,#REF!,39,0)</f>
        <v>#REF!</v>
      </c>
      <c r="G42" s="1846" t="e">
        <f>IF(F42&gt;=2165,700000,IF(F42&gt;=1970,500000,IF(F42&gt;1790,300000,IF(F42&gt;=1790,0,0))))</f>
        <v>#REF!</v>
      </c>
      <c r="H42" s="1803"/>
    </row>
    <row r="43" spans="1:9" ht="25.5" customHeight="1">
      <c r="A43" s="1804">
        <v>2</v>
      </c>
      <c r="B43" s="1805" t="str">
        <f>VLOOKUP(C43,[4]Sheet1!$B$9:$C$115,2,0)</f>
        <v>ທ ແກ້ວ</v>
      </c>
      <c r="C43" s="1795" t="s">
        <v>486</v>
      </c>
      <c r="D43" s="1806" t="s">
        <v>645</v>
      </c>
      <c r="E43" s="1787" t="s">
        <v>167</v>
      </c>
      <c r="F43" s="1834" t="e">
        <f>+VLOOKUP(C43,#REF!,39,0)</f>
        <v>#REF!</v>
      </c>
      <c r="G43" s="1846" t="e">
        <f>IF(F43&gt;=2165,700000,IF(F43&gt;=1970,500000,IF(F43&gt;1790,300000,IF(F43&gt;=1790,0,0))))</f>
        <v>#REF!</v>
      </c>
      <c r="H43" s="1807"/>
    </row>
    <row r="44" spans="1:9" ht="25.5" customHeight="1">
      <c r="A44" s="4224" t="s">
        <v>240</v>
      </c>
      <c r="B44" s="4225"/>
      <c r="C44" s="4225"/>
      <c r="D44" s="4225"/>
      <c r="E44" s="4225"/>
      <c r="F44" s="1491"/>
      <c r="G44" s="1493" t="e">
        <f>SUBTOTAL(9,G15:G43)</f>
        <v>#REF!</v>
      </c>
      <c r="H44" s="356"/>
    </row>
    <row r="45" spans="1:9" ht="15" customHeight="1">
      <c r="A45" s="4223" t="s">
        <v>1388</v>
      </c>
      <c r="B45" s="4223"/>
      <c r="C45" s="4223"/>
      <c r="D45" s="4223"/>
      <c r="E45" s="4223"/>
      <c r="F45" s="4223"/>
      <c r="G45" s="4223"/>
      <c r="H45" s="4223"/>
    </row>
    <row r="46" spans="1:9" ht="15" customHeight="1">
      <c r="A46" s="2084"/>
      <c r="B46" s="2084"/>
      <c r="C46" s="2084"/>
      <c r="D46" s="2084"/>
      <c r="E46" s="2084"/>
      <c r="F46" s="2084"/>
      <c r="G46" s="4227" t="s">
        <v>1373</v>
      </c>
      <c r="H46" s="4227"/>
    </row>
    <row r="47" spans="1:9">
      <c r="A47" s="4226" t="s">
        <v>1155</v>
      </c>
      <c r="B47" s="4226"/>
      <c r="C47" s="4226"/>
      <c r="D47" s="4226"/>
      <c r="E47" s="4226" t="s">
        <v>1154</v>
      </c>
      <c r="F47" s="4226"/>
      <c r="G47" s="1827" t="s">
        <v>20</v>
      </c>
      <c r="H47" s="1814" t="s">
        <v>21</v>
      </c>
      <c r="I47" s="1536"/>
    </row>
    <row r="48" spans="1:9" ht="18.75">
      <c r="A48" s="519"/>
      <c r="B48" s="4222"/>
      <c r="C48" s="4222"/>
      <c r="D48" s="4222"/>
      <c r="E48" s="4222"/>
      <c r="F48" s="4222"/>
      <c r="G48" s="1516"/>
      <c r="H48" s="1515"/>
    </row>
    <row r="49" spans="1:8" ht="18.75">
      <c r="A49" s="522"/>
      <c r="B49" s="522"/>
      <c r="C49" s="523"/>
      <c r="D49" s="522"/>
      <c r="E49" s="1812"/>
      <c r="F49" s="1518"/>
      <c r="G49" s="522"/>
      <c r="H49" s="522"/>
    </row>
    <row r="50" spans="1:8" ht="18.75">
      <c r="A50" s="522"/>
      <c r="B50" s="522"/>
      <c r="C50" s="523"/>
      <c r="D50" s="522"/>
      <c r="E50" s="1812"/>
      <c r="F50" s="1517"/>
      <c r="G50" s="522"/>
      <c r="H50" s="522"/>
    </row>
    <row r="51" spans="1:8" ht="18.75">
      <c r="A51" s="522"/>
      <c r="B51" s="522"/>
      <c r="C51" s="523"/>
      <c r="D51" s="522"/>
      <c r="E51" s="1812"/>
      <c r="F51" s="1517"/>
      <c r="G51" s="522"/>
      <c r="H51" s="522"/>
    </row>
    <row r="52" spans="1:8" ht="18.75">
      <c r="A52" s="522"/>
      <c r="B52" s="522"/>
      <c r="C52" s="523"/>
      <c r="D52" s="522"/>
      <c r="E52" s="1825"/>
      <c r="F52" s="1520"/>
      <c r="G52" s="523"/>
      <c r="H52" s="522"/>
    </row>
    <row r="53" spans="1:8" ht="18.75">
      <c r="A53" s="522"/>
      <c r="B53" s="522"/>
      <c r="C53" s="523"/>
      <c r="D53" s="522"/>
      <c r="E53" s="1826"/>
      <c r="F53" s="1521"/>
      <c r="G53" s="526"/>
      <c r="H53" s="522"/>
    </row>
    <row r="54" spans="1:8" ht="18.75">
      <c r="A54" s="522"/>
      <c r="B54" s="522"/>
      <c r="C54" s="523"/>
      <c r="D54" s="522"/>
      <c r="E54" s="1825"/>
      <c r="F54" s="1525"/>
      <c r="G54" s="524"/>
      <c r="H54" s="522"/>
    </row>
    <row r="55" spans="1:8" ht="18.75">
      <c r="A55" s="522"/>
      <c r="B55" s="522"/>
      <c r="C55" s="522"/>
      <c r="D55" s="522"/>
      <c r="E55" s="1825"/>
      <c r="F55" s="1523"/>
      <c r="G55" s="522"/>
      <c r="H55" s="522"/>
    </row>
    <row r="56" spans="1:8">
      <c r="A56" s="94"/>
      <c r="B56" s="94"/>
      <c r="C56" s="94"/>
      <c r="D56" s="94"/>
      <c r="F56" s="1524"/>
      <c r="G56" s="1522"/>
      <c r="H56" s="1522"/>
    </row>
    <row r="57" spans="1:8">
      <c r="A57" s="94"/>
      <c r="B57" s="94"/>
      <c r="C57" s="94"/>
      <c r="D57" s="94"/>
    </row>
    <row r="58" spans="1:8">
      <c r="A58" s="94"/>
      <c r="B58" s="94"/>
      <c r="C58" s="108"/>
      <c r="D58" s="94"/>
      <c r="G58" s="108"/>
    </row>
    <row r="59" spans="1:8">
      <c r="A59" s="94"/>
      <c r="B59" s="94"/>
      <c r="C59" s="94"/>
      <c r="D59" s="94"/>
    </row>
    <row r="60" spans="1:8">
      <c r="A60" s="94"/>
      <c r="B60" s="94"/>
      <c r="C60" s="94"/>
      <c r="D60" s="94"/>
      <c r="E60" s="1036"/>
      <c r="H60" s="1514"/>
    </row>
    <row r="61" spans="1:8">
      <c r="A61" s="94"/>
      <c r="B61" s="94"/>
      <c r="C61" s="94"/>
      <c r="D61" s="94"/>
      <c r="F61" s="1092"/>
      <c r="G61" s="8"/>
    </row>
    <row r="62" spans="1:8">
      <c r="C62" s="1033"/>
      <c r="G62" s="108"/>
    </row>
    <row r="64" spans="1:8">
      <c r="C64" s="367"/>
    </row>
    <row r="65" spans="1:6">
      <c r="A65" s="94"/>
      <c r="B65" s="94"/>
      <c r="C65" s="94"/>
      <c r="D65" s="94"/>
    </row>
    <row r="66" spans="1:6">
      <c r="A66" s="94"/>
      <c r="B66" s="94"/>
      <c r="C66" s="94"/>
      <c r="D66" s="94"/>
    </row>
    <row r="67" spans="1:6">
      <c r="A67" s="94"/>
      <c r="B67" s="94"/>
      <c r="C67" s="94"/>
      <c r="D67" s="94"/>
      <c r="F67" s="94"/>
    </row>
    <row r="70" spans="1:6">
      <c r="A70" s="94"/>
      <c r="B70" s="94"/>
      <c r="C70" s="94"/>
      <c r="D70" s="94"/>
      <c r="F70" s="94"/>
    </row>
  </sheetData>
  <mergeCells count="25">
    <mergeCell ref="B48:F48"/>
    <mergeCell ref="A45:H45"/>
    <mergeCell ref="A41:F41"/>
    <mergeCell ref="A44:E44"/>
    <mergeCell ref="A47:D47"/>
    <mergeCell ref="E47:F47"/>
    <mergeCell ref="G46:H46"/>
    <mergeCell ref="F11:F13"/>
    <mergeCell ref="G11:G13"/>
    <mergeCell ref="H11:H13"/>
    <mergeCell ref="A15:F15"/>
    <mergeCell ref="A23:F23"/>
    <mergeCell ref="B10:C10"/>
    <mergeCell ref="D10:E10"/>
    <mergeCell ref="A11:A13"/>
    <mergeCell ref="B11:C12"/>
    <mergeCell ref="D11:D13"/>
    <mergeCell ref="E11:E13"/>
    <mergeCell ref="A1:H1"/>
    <mergeCell ref="A2:H2"/>
    <mergeCell ref="C5:F5"/>
    <mergeCell ref="B9:C9"/>
    <mergeCell ref="D9:E9"/>
    <mergeCell ref="A7:H7"/>
    <mergeCell ref="A8:H8"/>
  </mergeCells>
  <pageMargins left="0.19685039370078741" right="0.17" top="0.5" bottom="0.44" header="0.31496062992125984" footer="0.31496062992125984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R39"/>
  <sheetViews>
    <sheetView zoomScale="85" zoomScaleNormal="85" workbookViewId="0">
      <selection sqref="A1:XFD1048576"/>
    </sheetView>
  </sheetViews>
  <sheetFormatPr defaultRowHeight="15"/>
  <cols>
    <col min="1" max="1" width="9.140625" style="1038"/>
    <col min="2" max="2" width="10.28515625" style="1038" hidden="1" customWidth="1"/>
    <col min="3" max="3" width="26.28515625" style="1038" customWidth="1"/>
    <col min="4" max="7" width="4.85546875" style="1038" customWidth="1"/>
    <col min="8" max="8" width="4.85546875" style="1039" customWidth="1"/>
    <col min="9" max="33" width="4.85546875" style="1038" customWidth="1"/>
    <col min="34" max="34" width="4.85546875" style="1038" hidden="1" customWidth="1"/>
    <col min="35" max="35" width="22" style="1038" customWidth="1"/>
    <col min="36" max="45" width="0" style="1038" hidden="1" customWidth="1"/>
    <col min="46" max="257" width="9.140625" style="1038"/>
    <col min="258" max="258" width="10.42578125" style="1038" customWidth="1"/>
    <col min="259" max="259" width="27.42578125" style="1038" customWidth="1"/>
    <col min="260" max="290" width="4.85546875" style="1038" customWidth="1"/>
    <col min="291" max="291" width="10.5703125" style="1038" customWidth="1"/>
    <col min="292" max="301" width="0" style="1038" hidden="1" customWidth="1"/>
    <col min="302" max="513" width="9.140625" style="1038"/>
    <col min="514" max="514" width="10.42578125" style="1038" customWidth="1"/>
    <col min="515" max="515" width="27.42578125" style="1038" customWidth="1"/>
    <col min="516" max="546" width="4.85546875" style="1038" customWidth="1"/>
    <col min="547" max="547" width="10.5703125" style="1038" customWidth="1"/>
    <col min="548" max="557" width="0" style="1038" hidden="1" customWidth="1"/>
    <col min="558" max="769" width="9.140625" style="1038"/>
    <col min="770" max="770" width="10.42578125" style="1038" customWidth="1"/>
    <col min="771" max="771" width="27.42578125" style="1038" customWidth="1"/>
    <col min="772" max="802" width="4.85546875" style="1038" customWidth="1"/>
    <col min="803" max="803" width="10.5703125" style="1038" customWidth="1"/>
    <col min="804" max="813" width="0" style="1038" hidden="1" customWidth="1"/>
    <col min="814" max="1025" width="9.140625" style="1038"/>
    <col min="1026" max="1026" width="10.42578125" style="1038" customWidth="1"/>
    <col min="1027" max="1027" width="27.42578125" style="1038" customWidth="1"/>
    <col min="1028" max="1058" width="4.85546875" style="1038" customWidth="1"/>
    <col min="1059" max="1059" width="10.5703125" style="1038" customWidth="1"/>
    <col min="1060" max="1069" width="0" style="1038" hidden="1" customWidth="1"/>
    <col min="1070" max="1281" width="9.140625" style="1038"/>
    <col min="1282" max="1282" width="10.42578125" style="1038" customWidth="1"/>
    <col min="1283" max="1283" width="27.42578125" style="1038" customWidth="1"/>
    <col min="1284" max="1314" width="4.85546875" style="1038" customWidth="1"/>
    <col min="1315" max="1315" width="10.5703125" style="1038" customWidth="1"/>
    <col min="1316" max="1325" width="0" style="1038" hidden="1" customWidth="1"/>
    <col min="1326" max="1537" width="9.140625" style="1038"/>
    <col min="1538" max="1538" width="10.42578125" style="1038" customWidth="1"/>
    <col min="1539" max="1539" width="27.42578125" style="1038" customWidth="1"/>
    <col min="1540" max="1570" width="4.85546875" style="1038" customWidth="1"/>
    <col min="1571" max="1571" width="10.5703125" style="1038" customWidth="1"/>
    <col min="1572" max="1581" width="0" style="1038" hidden="1" customWidth="1"/>
    <col min="1582" max="1793" width="9.140625" style="1038"/>
    <col min="1794" max="1794" width="10.42578125" style="1038" customWidth="1"/>
    <col min="1795" max="1795" width="27.42578125" style="1038" customWidth="1"/>
    <col min="1796" max="1826" width="4.85546875" style="1038" customWidth="1"/>
    <col min="1827" max="1827" width="10.5703125" style="1038" customWidth="1"/>
    <col min="1828" max="1837" width="0" style="1038" hidden="1" customWidth="1"/>
    <col min="1838" max="2049" width="9.140625" style="1038"/>
    <col min="2050" max="2050" width="10.42578125" style="1038" customWidth="1"/>
    <col min="2051" max="2051" width="27.42578125" style="1038" customWidth="1"/>
    <col min="2052" max="2082" width="4.85546875" style="1038" customWidth="1"/>
    <col min="2083" max="2083" width="10.5703125" style="1038" customWidth="1"/>
    <col min="2084" max="2093" width="0" style="1038" hidden="1" customWidth="1"/>
    <col min="2094" max="2305" width="9.140625" style="1038"/>
    <col min="2306" max="2306" width="10.42578125" style="1038" customWidth="1"/>
    <col min="2307" max="2307" width="27.42578125" style="1038" customWidth="1"/>
    <col min="2308" max="2338" width="4.85546875" style="1038" customWidth="1"/>
    <col min="2339" max="2339" width="10.5703125" style="1038" customWidth="1"/>
    <col min="2340" max="2349" width="0" style="1038" hidden="1" customWidth="1"/>
    <col min="2350" max="2561" width="9.140625" style="1038"/>
    <col min="2562" max="2562" width="10.42578125" style="1038" customWidth="1"/>
    <col min="2563" max="2563" width="27.42578125" style="1038" customWidth="1"/>
    <col min="2564" max="2594" width="4.85546875" style="1038" customWidth="1"/>
    <col min="2595" max="2595" width="10.5703125" style="1038" customWidth="1"/>
    <col min="2596" max="2605" width="0" style="1038" hidden="1" customWidth="1"/>
    <col min="2606" max="2817" width="9.140625" style="1038"/>
    <col min="2818" max="2818" width="10.42578125" style="1038" customWidth="1"/>
    <col min="2819" max="2819" width="27.42578125" style="1038" customWidth="1"/>
    <col min="2820" max="2850" width="4.85546875" style="1038" customWidth="1"/>
    <col min="2851" max="2851" width="10.5703125" style="1038" customWidth="1"/>
    <col min="2852" max="2861" width="0" style="1038" hidden="1" customWidth="1"/>
    <col min="2862" max="3073" width="9.140625" style="1038"/>
    <col min="3074" max="3074" width="10.42578125" style="1038" customWidth="1"/>
    <col min="3075" max="3075" width="27.42578125" style="1038" customWidth="1"/>
    <col min="3076" max="3106" width="4.85546875" style="1038" customWidth="1"/>
    <col min="3107" max="3107" width="10.5703125" style="1038" customWidth="1"/>
    <col min="3108" max="3117" width="0" style="1038" hidden="1" customWidth="1"/>
    <col min="3118" max="3329" width="9.140625" style="1038"/>
    <col min="3330" max="3330" width="10.42578125" style="1038" customWidth="1"/>
    <col min="3331" max="3331" width="27.42578125" style="1038" customWidth="1"/>
    <col min="3332" max="3362" width="4.85546875" style="1038" customWidth="1"/>
    <col min="3363" max="3363" width="10.5703125" style="1038" customWidth="1"/>
    <col min="3364" max="3373" width="0" style="1038" hidden="1" customWidth="1"/>
    <col min="3374" max="3585" width="9.140625" style="1038"/>
    <col min="3586" max="3586" width="10.42578125" style="1038" customWidth="1"/>
    <col min="3587" max="3587" width="27.42578125" style="1038" customWidth="1"/>
    <col min="3588" max="3618" width="4.85546875" style="1038" customWidth="1"/>
    <col min="3619" max="3619" width="10.5703125" style="1038" customWidth="1"/>
    <col min="3620" max="3629" width="0" style="1038" hidden="1" customWidth="1"/>
    <col min="3630" max="3841" width="9.140625" style="1038"/>
    <col min="3842" max="3842" width="10.42578125" style="1038" customWidth="1"/>
    <col min="3843" max="3843" width="27.42578125" style="1038" customWidth="1"/>
    <col min="3844" max="3874" width="4.85546875" style="1038" customWidth="1"/>
    <col min="3875" max="3875" width="10.5703125" style="1038" customWidth="1"/>
    <col min="3876" max="3885" width="0" style="1038" hidden="1" customWidth="1"/>
    <col min="3886" max="4097" width="9.140625" style="1038"/>
    <col min="4098" max="4098" width="10.42578125" style="1038" customWidth="1"/>
    <col min="4099" max="4099" width="27.42578125" style="1038" customWidth="1"/>
    <col min="4100" max="4130" width="4.85546875" style="1038" customWidth="1"/>
    <col min="4131" max="4131" width="10.5703125" style="1038" customWidth="1"/>
    <col min="4132" max="4141" width="0" style="1038" hidden="1" customWidth="1"/>
    <col min="4142" max="4353" width="9.140625" style="1038"/>
    <col min="4354" max="4354" width="10.42578125" style="1038" customWidth="1"/>
    <col min="4355" max="4355" width="27.42578125" style="1038" customWidth="1"/>
    <col min="4356" max="4386" width="4.85546875" style="1038" customWidth="1"/>
    <col min="4387" max="4387" width="10.5703125" style="1038" customWidth="1"/>
    <col min="4388" max="4397" width="0" style="1038" hidden="1" customWidth="1"/>
    <col min="4398" max="4609" width="9.140625" style="1038"/>
    <col min="4610" max="4610" width="10.42578125" style="1038" customWidth="1"/>
    <col min="4611" max="4611" width="27.42578125" style="1038" customWidth="1"/>
    <col min="4612" max="4642" width="4.85546875" style="1038" customWidth="1"/>
    <col min="4643" max="4643" width="10.5703125" style="1038" customWidth="1"/>
    <col min="4644" max="4653" width="0" style="1038" hidden="1" customWidth="1"/>
    <col min="4654" max="4865" width="9.140625" style="1038"/>
    <col min="4866" max="4866" width="10.42578125" style="1038" customWidth="1"/>
    <col min="4867" max="4867" width="27.42578125" style="1038" customWidth="1"/>
    <col min="4868" max="4898" width="4.85546875" style="1038" customWidth="1"/>
    <col min="4899" max="4899" width="10.5703125" style="1038" customWidth="1"/>
    <col min="4900" max="4909" width="0" style="1038" hidden="1" customWidth="1"/>
    <col min="4910" max="5121" width="9.140625" style="1038"/>
    <col min="5122" max="5122" width="10.42578125" style="1038" customWidth="1"/>
    <col min="5123" max="5123" width="27.42578125" style="1038" customWidth="1"/>
    <col min="5124" max="5154" width="4.85546875" style="1038" customWidth="1"/>
    <col min="5155" max="5155" width="10.5703125" style="1038" customWidth="1"/>
    <col min="5156" max="5165" width="0" style="1038" hidden="1" customWidth="1"/>
    <col min="5166" max="5377" width="9.140625" style="1038"/>
    <col min="5378" max="5378" width="10.42578125" style="1038" customWidth="1"/>
    <col min="5379" max="5379" width="27.42578125" style="1038" customWidth="1"/>
    <col min="5380" max="5410" width="4.85546875" style="1038" customWidth="1"/>
    <col min="5411" max="5411" width="10.5703125" style="1038" customWidth="1"/>
    <col min="5412" max="5421" width="0" style="1038" hidden="1" customWidth="1"/>
    <col min="5422" max="5633" width="9.140625" style="1038"/>
    <col min="5634" max="5634" width="10.42578125" style="1038" customWidth="1"/>
    <col min="5635" max="5635" width="27.42578125" style="1038" customWidth="1"/>
    <col min="5636" max="5666" width="4.85546875" style="1038" customWidth="1"/>
    <col min="5667" max="5667" width="10.5703125" style="1038" customWidth="1"/>
    <col min="5668" max="5677" width="0" style="1038" hidden="1" customWidth="1"/>
    <col min="5678" max="5889" width="9.140625" style="1038"/>
    <col min="5890" max="5890" width="10.42578125" style="1038" customWidth="1"/>
    <col min="5891" max="5891" width="27.42578125" style="1038" customWidth="1"/>
    <col min="5892" max="5922" width="4.85546875" style="1038" customWidth="1"/>
    <col min="5923" max="5923" width="10.5703125" style="1038" customWidth="1"/>
    <col min="5924" max="5933" width="0" style="1038" hidden="1" customWidth="1"/>
    <col min="5934" max="6145" width="9.140625" style="1038"/>
    <col min="6146" max="6146" width="10.42578125" style="1038" customWidth="1"/>
    <col min="6147" max="6147" width="27.42578125" style="1038" customWidth="1"/>
    <col min="6148" max="6178" width="4.85546875" style="1038" customWidth="1"/>
    <col min="6179" max="6179" width="10.5703125" style="1038" customWidth="1"/>
    <col min="6180" max="6189" width="0" style="1038" hidden="1" customWidth="1"/>
    <col min="6190" max="6401" width="9.140625" style="1038"/>
    <col min="6402" max="6402" width="10.42578125" style="1038" customWidth="1"/>
    <col min="6403" max="6403" width="27.42578125" style="1038" customWidth="1"/>
    <col min="6404" max="6434" width="4.85546875" style="1038" customWidth="1"/>
    <col min="6435" max="6435" width="10.5703125" style="1038" customWidth="1"/>
    <col min="6436" max="6445" width="0" style="1038" hidden="1" customWidth="1"/>
    <col min="6446" max="6657" width="9.140625" style="1038"/>
    <col min="6658" max="6658" width="10.42578125" style="1038" customWidth="1"/>
    <col min="6659" max="6659" width="27.42578125" style="1038" customWidth="1"/>
    <col min="6660" max="6690" width="4.85546875" style="1038" customWidth="1"/>
    <col min="6691" max="6691" width="10.5703125" style="1038" customWidth="1"/>
    <col min="6692" max="6701" width="0" style="1038" hidden="1" customWidth="1"/>
    <col min="6702" max="6913" width="9.140625" style="1038"/>
    <col min="6914" max="6914" width="10.42578125" style="1038" customWidth="1"/>
    <col min="6915" max="6915" width="27.42578125" style="1038" customWidth="1"/>
    <col min="6916" max="6946" width="4.85546875" style="1038" customWidth="1"/>
    <col min="6947" max="6947" width="10.5703125" style="1038" customWidth="1"/>
    <col min="6948" max="6957" width="0" style="1038" hidden="1" customWidth="1"/>
    <col min="6958" max="7169" width="9.140625" style="1038"/>
    <col min="7170" max="7170" width="10.42578125" style="1038" customWidth="1"/>
    <col min="7171" max="7171" width="27.42578125" style="1038" customWidth="1"/>
    <col min="7172" max="7202" width="4.85546875" style="1038" customWidth="1"/>
    <col min="7203" max="7203" width="10.5703125" style="1038" customWidth="1"/>
    <col min="7204" max="7213" width="0" style="1038" hidden="1" customWidth="1"/>
    <col min="7214" max="7425" width="9.140625" style="1038"/>
    <col min="7426" max="7426" width="10.42578125" style="1038" customWidth="1"/>
    <col min="7427" max="7427" width="27.42578125" style="1038" customWidth="1"/>
    <col min="7428" max="7458" width="4.85546875" style="1038" customWidth="1"/>
    <col min="7459" max="7459" width="10.5703125" style="1038" customWidth="1"/>
    <col min="7460" max="7469" width="0" style="1038" hidden="1" customWidth="1"/>
    <col min="7470" max="7681" width="9.140625" style="1038"/>
    <col min="7682" max="7682" width="10.42578125" style="1038" customWidth="1"/>
    <col min="7683" max="7683" width="27.42578125" style="1038" customWidth="1"/>
    <col min="7684" max="7714" width="4.85546875" style="1038" customWidth="1"/>
    <col min="7715" max="7715" width="10.5703125" style="1038" customWidth="1"/>
    <col min="7716" max="7725" width="0" style="1038" hidden="1" customWidth="1"/>
    <col min="7726" max="7937" width="9.140625" style="1038"/>
    <col min="7938" max="7938" width="10.42578125" style="1038" customWidth="1"/>
    <col min="7939" max="7939" width="27.42578125" style="1038" customWidth="1"/>
    <col min="7940" max="7970" width="4.85546875" style="1038" customWidth="1"/>
    <col min="7971" max="7971" width="10.5703125" style="1038" customWidth="1"/>
    <col min="7972" max="7981" width="0" style="1038" hidden="1" customWidth="1"/>
    <col min="7982" max="8193" width="9.140625" style="1038"/>
    <col min="8194" max="8194" width="10.42578125" style="1038" customWidth="1"/>
    <col min="8195" max="8195" width="27.42578125" style="1038" customWidth="1"/>
    <col min="8196" max="8226" width="4.85546875" style="1038" customWidth="1"/>
    <col min="8227" max="8227" width="10.5703125" style="1038" customWidth="1"/>
    <col min="8228" max="8237" width="0" style="1038" hidden="1" customWidth="1"/>
    <col min="8238" max="8449" width="9.140625" style="1038"/>
    <col min="8450" max="8450" width="10.42578125" style="1038" customWidth="1"/>
    <col min="8451" max="8451" width="27.42578125" style="1038" customWidth="1"/>
    <col min="8452" max="8482" width="4.85546875" style="1038" customWidth="1"/>
    <col min="8483" max="8483" width="10.5703125" style="1038" customWidth="1"/>
    <col min="8484" max="8493" width="0" style="1038" hidden="1" customWidth="1"/>
    <col min="8494" max="8705" width="9.140625" style="1038"/>
    <col min="8706" max="8706" width="10.42578125" style="1038" customWidth="1"/>
    <col min="8707" max="8707" width="27.42578125" style="1038" customWidth="1"/>
    <col min="8708" max="8738" width="4.85546875" style="1038" customWidth="1"/>
    <col min="8739" max="8739" width="10.5703125" style="1038" customWidth="1"/>
    <col min="8740" max="8749" width="0" style="1038" hidden="1" customWidth="1"/>
    <col min="8750" max="8961" width="9.140625" style="1038"/>
    <col min="8962" max="8962" width="10.42578125" style="1038" customWidth="1"/>
    <col min="8963" max="8963" width="27.42578125" style="1038" customWidth="1"/>
    <col min="8964" max="8994" width="4.85546875" style="1038" customWidth="1"/>
    <col min="8995" max="8995" width="10.5703125" style="1038" customWidth="1"/>
    <col min="8996" max="9005" width="0" style="1038" hidden="1" customWidth="1"/>
    <col min="9006" max="9217" width="9.140625" style="1038"/>
    <col min="9218" max="9218" width="10.42578125" style="1038" customWidth="1"/>
    <col min="9219" max="9219" width="27.42578125" style="1038" customWidth="1"/>
    <col min="9220" max="9250" width="4.85546875" style="1038" customWidth="1"/>
    <col min="9251" max="9251" width="10.5703125" style="1038" customWidth="1"/>
    <col min="9252" max="9261" width="0" style="1038" hidden="1" customWidth="1"/>
    <col min="9262" max="9473" width="9.140625" style="1038"/>
    <col min="9474" max="9474" width="10.42578125" style="1038" customWidth="1"/>
    <col min="9475" max="9475" width="27.42578125" style="1038" customWidth="1"/>
    <col min="9476" max="9506" width="4.85546875" style="1038" customWidth="1"/>
    <col min="9507" max="9507" width="10.5703125" style="1038" customWidth="1"/>
    <col min="9508" max="9517" width="0" style="1038" hidden="1" customWidth="1"/>
    <col min="9518" max="9729" width="9.140625" style="1038"/>
    <col min="9730" max="9730" width="10.42578125" style="1038" customWidth="1"/>
    <col min="9731" max="9731" width="27.42578125" style="1038" customWidth="1"/>
    <col min="9732" max="9762" width="4.85546875" style="1038" customWidth="1"/>
    <col min="9763" max="9763" width="10.5703125" style="1038" customWidth="1"/>
    <col min="9764" max="9773" width="0" style="1038" hidden="1" customWidth="1"/>
    <col min="9774" max="9985" width="9.140625" style="1038"/>
    <col min="9986" max="9986" width="10.42578125" style="1038" customWidth="1"/>
    <col min="9987" max="9987" width="27.42578125" style="1038" customWidth="1"/>
    <col min="9988" max="10018" width="4.85546875" style="1038" customWidth="1"/>
    <col min="10019" max="10019" width="10.5703125" style="1038" customWidth="1"/>
    <col min="10020" max="10029" width="0" style="1038" hidden="1" customWidth="1"/>
    <col min="10030" max="10241" width="9.140625" style="1038"/>
    <col min="10242" max="10242" width="10.42578125" style="1038" customWidth="1"/>
    <col min="10243" max="10243" width="27.42578125" style="1038" customWidth="1"/>
    <col min="10244" max="10274" width="4.85546875" style="1038" customWidth="1"/>
    <col min="10275" max="10275" width="10.5703125" style="1038" customWidth="1"/>
    <col min="10276" max="10285" width="0" style="1038" hidden="1" customWidth="1"/>
    <col min="10286" max="10497" width="9.140625" style="1038"/>
    <col min="10498" max="10498" width="10.42578125" style="1038" customWidth="1"/>
    <col min="10499" max="10499" width="27.42578125" style="1038" customWidth="1"/>
    <col min="10500" max="10530" width="4.85546875" style="1038" customWidth="1"/>
    <col min="10531" max="10531" width="10.5703125" style="1038" customWidth="1"/>
    <col min="10532" max="10541" width="0" style="1038" hidden="1" customWidth="1"/>
    <col min="10542" max="10753" width="9.140625" style="1038"/>
    <col min="10754" max="10754" width="10.42578125" style="1038" customWidth="1"/>
    <col min="10755" max="10755" width="27.42578125" style="1038" customWidth="1"/>
    <col min="10756" max="10786" width="4.85546875" style="1038" customWidth="1"/>
    <col min="10787" max="10787" width="10.5703125" style="1038" customWidth="1"/>
    <col min="10788" max="10797" width="0" style="1038" hidden="1" customWidth="1"/>
    <col min="10798" max="11009" width="9.140625" style="1038"/>
    <col min="11010" max="11010" width="10.42578125" style="1038" customWidth="1"/>
    <col min="11011" max="11011" width="27.42578125" style="1038" customWidth="1"/>
    <col min="11012" max="11042" width="4.85546875" style="1038" customWidth="1"/>
    <col min="11043" max="11043" width="10.5703125" style="1038" customWidth="1"/>
    <col min="11044" max="11053" width="0" style="1038" hidden="1" customWidth="1"/>
    <col min="11054" max="11265" width="9.140625" style="1038"/>
    <col min="11266" max="11266" width="10.42578125" style="1038" customWidth="1"/>
    <col min="11267" max="11267" width="27.42578125" style="1038" customWidth="1"/>
    <col min="11268" max="11298" width="4.85546875" style="1038" customWidth="1"/>
    <col min="11299" max="11299" width="10.5703125" style="1038" customWidth="1"/>
    <col min="11300" max="11309" width="0" style="1038" hidden="1" customWidth="1"/>
    <col min="11310" max="11521" width="9.140625" style="1038"/>
    <col min="11522" max="11522" width="10.42578125" style="1038" customWidth="1"/>
    <col min="11523" max="11523" width="27.42578125" style="1038" customWidth="1"/>
    <col min="11524" max="11554" width="4.85546875" style="1038" customWidth="1"/>
    <col min="11555" max="11555" width="10.5703125" style="1038" customWidth="1"/>
    <col min="11556" max="11565" width="0" style="1038" hidden="1" customWidth="1"/>
    <col min="11566" max="11777" width="9.140625" style="1038"/>
    <col min="11778" max="11778" width="10.42578125" style="1038" customWidth="1"/>
    <col min="11779" max="11779" width="27.42578125" style="1038" customWidth="1"/>
    <col min="11780" max="11810" width="4.85546875" style="1038" customWidth="1"/>
    <col min="11811" max="11811" width="10.5703125" style="1038" customWidth="1"/>
    <col min="11812" max="11821" width="0" style="1038" hidden="1" customWidth="1"/>
    <col min="11822" max="12033" width="9.140625" style="1038"/>
    <col min="12034" max="12034" width="10.42578125" style="1038" customWidth="1"/>
    <col min="12035" max="12035" width="27.42578125" style="1038" customWidth="1"/>
    <col min="12036" max="12066" width="4.85546875" style="1038" customWidth="1"/>
    <col min="12067" max="12067" width="10.5703125" style="1038" customWidth="1"/>
    <col min="12068" max="12077" width="0" style="1038" hidden="1" customWidth="1"/>
    <col min="12078" max="12289" width="9.140625" style="1038"/>
    <col min="12290" max="12290" width="10.42578125" style="1038" customWidth="1"/>
    <col min="12291" max="12291" width="27.42578125" style="1038" customWidth="1"/>
    <col min="12292" max="12322" width="4.85546875" style="1038" customWidth="1"/>
    <col min="12323" max="12323" width="10.5703125" style="1038" customWidth="1"/>
    <col min="12324" max="12333" width="0" style="1038" hidden="1" customWidth="1"/>
    <col min="12334" max="12545" width="9.140625" style="1038"/>
    <col min="12546" max="12546" width="10.42578125" style="1038" customWidth="1"/>
    <col min="12547" max="12547" width="27.42578125" style="1038" customWidth="1"/>
    <col min="12548" max="12578" width="4.85546875" style="1038" customWidth="1"/>
    <col min="12579" max="12579" width="10.5703125" style="1038" customWidth="1"/>
    <col min="12580" max="12589" width="0" style="1038" hidden="1" customWidth="1"/>
    <col min="12590" max="12801" width="9.140625" style="1038"/>
    <col min="12802" max="12802" width="10.42578125" style="1038" customWidth="1"/>
    <col min="12803" max="12803" width="27.42578125" style="1038" customWidth="1"/>
    <col min="12804" max="12834" width="4.85546875" style="1038" customWidth="1"/>
    <col min="12835" max="12835" width="10.5703125" style="1038" customWidth="1"/>
    <col min="12836" max="12845" width="0" style="1038" hidden="1" customWidth="1"/>
    <col min="12846" max="13057" width="9.140625" style="1038"/>
    <col min="13058" max="13058" width="10.42578125" style="1038" customWidth="1"/>
    <col min="13059" max="13059" width="27.42578125" style="1038" customWidth="1"/>
    <col min="13060" max="13090" width="4.85546875" style="1038" customWidth="1"/>
    <col min="13091" max="13091" width="10.5703125" style="1038" customWidth="1"/>
    <col min="13092" max="13101" width="0" style="1038" hidden="1" customWidth="1"/>
    <col min="13102" max="13313" width="9.140625" style="1038"/>
    <col min="13314" max="13314" width="10.42578125" style="1038" customWidth="1"/>
    <col min="13315" max="13315" width="27.42578125" style="1038" customWidth="1"/>
    <col min="13316" max="13346" width="4.85546875" style="1038" customWidth="1"/>
    <col min="13347" max="13347" width="10.5703125" style="1038" customWidth="1"/>
    <col min="13348" max="13357" width="0" style="1038" hidden="1" customWidth="1"/>
    <col min="13358" max="13569" width="9.140625" style="1038"/>
    <col min="13570" max="13570" width="10.42578125" style="1038" customWidth="1"/>
    <col min="13571" max="13571" width="27.42578125" style="1038" customWidth="1"/>
    <col min="13572" max="13602" width="4.85546875" style="1038" customWidth="1"/>
    <col min="13603" max="13603" width="10.5703125" style="1038" customWidth="1"/>
    <col min="13604" max="13613" width="0" style="1038" hidden="1" customWidth="1"/>
    <col min="13614" max="13825" width="9.140625" style="1038"/>
    <col min="13826" max="13826" width="10.42578125" style="1038" customWidth="1"/>
    <col min="13827" max="13827" width="27.42578125" style="1038" customWidth="1"/>
    <col min="13828" max="13858" width="4.85546875" style="1038" customWidth="1"/>
    <col min="13859" max="13859" width="10.5703125" style="1038" customWidth="1"/>
    <col min="13860" max="13869" width="0" style="1038" hidden="1" customWidth="1"/>
    <col min="13870" max="14081" width="9.140625" style="1038"/>
    <col min="14082" max="14082" width="10.42578125" style="1038" customWidth="1"/>
    <col min="14083" max="14083" width="27.42578125" style="1038" customWidth="1"/>
    <col min="14084" max="14114" width="4.85546875" style="1038" customWidth="1"/>
    <col min="14115" max="14115" width="10.5703125" style="1038" customWidth="1"/>
    <col min="14116" max="14125" width="0" style="1038" hidden="1" customWidth="1"/>
    <col min="14126" max="14337" width="9.140625" style="1038"/>
    <col min="14338" max="14338" width="10.42578125" style="1038" customWidth="1"/>
    <col min="14339" max="14339" width="27.42578125" style="1038" customWidth="1"/>
    <col min="14340" max="14370" width="4.85546875" style="1038" customWidth="1"/>
    <col min="14371" max="14371" width="10.5703125" style="1038" customWidth="1"/>
    <col min="14372" max="14381" width="0" style="1038" hidden="1" customWidth="1"/>
    <col min="14382" max="14593" width="9.140625" style="1038"/>
    <col min="14594" max="14594" width="10.42578125" style="1038" customWidth="1"/>
    <col min="14595" max="14595" width="27.42578125" style="1038" customWidth="1"/>
    <col min="14596" max="14626" width="4.85546875" style="1038" customWidth="1"/>
    <col min="14627" max="14627" width="10.5703125" style="1038" customWidth="1"/>
    <col min="14628" max="14637" width="0" style="1038" hidden="1" customWidth="1"/>
    <col min="14638" max="14849" width="9.140625" style="1038"/>
    <col min="14850" max="14850" width="10.42578125" style="1038" customWidth="1"/>
    <col min="14851" max="14851" width="27.42578125" style="1038" customWidth="1"/>
    <col min="14852" max="14882" width="4.85546875" style="1038" customWidth="1"/>
    <col min="14883" max="14883" width="10.5703125" style="1038" customWidth="1"/>
    <col min="14884" max="14893" width="0" style="1038" hidden="1" customWidth="1"/>
    <col min="14894" max="15105" width="9.140625" style="1038"/>
    <col min="15106" max="15106" width="10.42578125" style="1038" customWidth="1"/>
    <col min="15107" max="15107" width="27.42578125" style="1038" customWidth="1"/>
    <col min="15108" max="15138" width="4.85546875" style="1038" customWidth="1"/>
    <col min="15139" max="15139" width="10.5703125" style="1038" customWidth="1"/>
    <col min="15140" max="15149" width="0" style="1038" hidden="1" customWidth="1"/>
    <col min="15150" max="15361" width="9.140625" style="1038"/>
    <col min="15362" max="15362" width="10.42578125" style="1038" customWidth="1"/>
    <col min="15363" max="15363" width="27.42578125" style="1038" customWidth="1"/>
    <col min="15364" max="15394" width="4.85546875" style="1038" customWidth="1"/>
    <col min="15395" max="15395" width="10.5703125" style="1038" customWidth="1"/>
    <col min="15396" max="15405" width="0" style="1038" hidden="1" customWidth="1"/>
    <col min="15406" max="15617" width="9.140625" style="1038"/>
    <col min="15618" max="15618" width="10.42578125" style="1038" customWidth="1"/>
    <col min="15619" max="15619" width="27.42578125" style="1038" customWidth="1"/>
    <col min="15620" max="15650" width="4.85546875" style="1038" customWidth="1"/>
    <col min="15651" max="15651" width="10.5703125" style="1038" customWidth="1"/>
    <col min="15652" max="15661" width="0" style="1038" hidden="1" customWidth="1"/>
    <col min="15662" max="15873" width="9.140625" style="1038"/>
    <col min="15874" max="15874" width="10.42578125" style="1038" customWidth="1"/>
    <col min="15875" max="15875" width="27.42578125" style="1038" customWidth="1"/>
    <col min="15876" max="15906" width="4.85546875" style="1038" customWidth="1"/>
    <col min="15907" max="15907" width="10.5703125" style="1038" customWidth="1"/>
    <col min="15908" max="15917" width="0" style="1038" hidden="1" customWidth="1"/>
    <col min="15918" max="16129" width="9.140625" style="1038"/>
    <col min="16130" max="16130" width="10.42578125" style="1038" customWidth="1"/>
    <col min="16131" max="16131" width="27.42578125" style="1038" customWidth="1"/>
    <col min="16132" max="16162" width="4.85546875" style="1038" customWidth="1"/>
    <col min="16163" max="16163" width="10.5703125" style="1038" customWidth="1"/>
    <col min="16164" max="16173" width="0" style="1038" hidden="1" customWidth="1"/>
    <col min="16174" max="16384" width="9.140625" style="1038"/>
  </cols>
  <sheetData>
    <row r="1" spans="1:44" ht="15.75" customHeight="1">
      <c r="A1" s="4230" t="s">
        <v>80</v>
      </c>
      <c r="B1" s="4230"/>
      <c r="C1" s="4230"/>
      <c r="W1" s="4230" t="s">
        <v>23</v>
      </c>
      <c r="X1" s="4230"/>
      <c r="Y1" s="4230"/>
      <c r="Z1" s="4230"/>
      <c r="AA1" s="4230"/>
      <c r="AB1" s="4230"/>
      <c r="AC1" s="4230"/>
      <c r="AD1" s="4230"/>
      <c r="AE1" s="4230"/>
      <c r="AF1" s="4230"/>
      <c r="AG1" s="4230"/>
      <c r="AH1" s="4230"/>
      <c r="AI1" s="4230"/>
      <c r="AL1" s="1040">
        <v>1</v>
      </c>
      <c r="AM1" s="1040">
        <v>2</v>
      </c>
      <c r="AN1" s="1040">
        <v>3</v>
      </c>
      <c r="AO1" s="1040">
        <v>4</v>
      </c>
      <c r="AP1" s="1040">
        <v>5</v>
      </c>
      <c r="AQ1" s="1041">
        <v>6</v>
      </c>
      <c r="AR1" s="1041">
        <v>7</v>
      </c>
    </row>
    <row r="2" spans="1:44">
      <c r="A2" s="4230" t="s">
        <v>1153</v>
      </c>
      <c r="B2" s="4230"/>
      <c r="C2" s="4230"/>
      <c r="W2" s="4230" t="s">
        <v>45</v>
      </c>
      <c r="X2" s="4230"/>
      <c r="Y2" s="4230"/>
      <c r="Z2" s="4230"/>
      <c r="AA2" s="4230"/>
      <c r="AB2" s="4230"/>
      <c r="AC2" s="4230"/>
      <c r="AD2" s="4230"/>
      <c r="AE2" s="4230"/>
      <c r="AF2" s="4230"/>
      <c r="AG2" s="4230"/>
      <c r="AH2" s="4230"/>
      <c r="AI2" s="4230"/>
      <c r="AL2" s="1040" t="s">
        <v>133</v>
      </c>
      <c r="AM2" s="1040" t="s">
        <v>970</v>
      </c>
      <c r="AN2" s="1040" t="s">
        <v>971</v>
      </c>
      <c r="AO2" s="1040" t="s">
        <v>972</v>
      </c>
      <c r="AP2" s="1040" t="s">
        <v>973</v>
      </c>
      <c r="AQ2" s="1041" t="s">
        <v>974</v>
      </c>
      <c r="AR2" s="1041" t="s">
        <v>975</v>
      </c>
    </row>
    <row r="3" spans="1:44">
      <c r="AL3" s="1042"/>
      <c r="AM3" s="1042"/>
      <c r="AN3" s="1042"/>
      <c r="AO3" s="1042"/>
      <c r="AP3" s="1042"/>
    </row>
    <row r="4" spans="1:44" ht="18.75">
      <c r="D4" s="4234" t="s">
        <v>976</v>
      </c>
      <c r="E4" s="4234"/>
      <c r="F4" s="4234"/>
      <c r="G4" s="4234"/>
      <c r="H4" s="4234"/>
      <c r="I4" s="4234"/>
      <c r="J4" s="4234"/>
      <c r="K4" s="4234"/>
      <c r="L4" s="4234"/>
      <c r="M4" s="4234"/>
      <c r="N4" s="4234"/>
      <c r="O4" s="4234"/>
      <c r="P4" s="4234"/>
      <c r="Q4" s="4234"/>
      <c r="R4" s="4234"/>
      <c r="S4" s="4234"/>
      <c r="T4" s="4234"/>
      <c r="U4" s="4234"/>
      <c r="V4" s="4234"/>
      <c r="W4" s="4234"/>
      <c r="X4" s="4234"/>
      <c r="Y4" s="4234"/>
      <c r="Z4" s="4234"/>
      <c r="AA4" s="4234"/>
      <c r="AB4" s="4234"/>
      <c r="AC4" s="4234"/>
      <c r="AD4" s="4234"/>
      <c r="AE4" s="4234"/>
      <c r="AF4" s="4234"/>
      <c r="AG4" s="4234"/>
      <c r="AH4" s="4234"/>
      <c r="AL4" s="1042"/>
      <c r="AM4" s="1042"/>
      <c r="AN4" s="1042"/>
      <c r="AO4" s="1042"/>
      <c r="AP4" s="1042"/>
    </row>
    <row r="5" spans="1:44" ht="15.75">
      <c r="B5" s="1043" t="s">
        <v>977</v>
      </c>
      <c r="C5" s="1043">
        <v>2024</v>
      </c>
      <c r="D5" s="4235" t="str">
        <f>"Tháng "&amp;IF(LEN($C$6)=1,"0"&amp;$C$6,$C$6)&amp;" năm "&amp;C5</f>
        <v>Tháng 02 năm 2024</v>
      </c>
      <c r="E5" s="4235"/>
      <c r="F5" s="4235"/>
      <c r="G5" s="4235"/>
      <c r="H5" s="4235"/>
      <c r="I5" s="4235"/>
      <c r="J5" s="4235"/>
      <c r="K5" s="4235"/>
      <c r="L5" s="4235"/>
      <c r="M5" s="4235"/>
      <c r="N5" s="4235"/>
      <c r="O5" s="4235"/>
      <c r="P5" s="4235"/>
      <c r="Q5" s="4235"/>
      <c r="R5" s="4235"/>
      <c r="S5" s="4235"/>
      <c r="T5" s="4235"/>
      <c r="U5" s="4235"/>
      <c r="V5" s="4235"/>
      <c r="W5" s="4235"/>
      <c r="X5" s="4235"/>
      <c r="Y5" s="4235"/>
      <c r="Z5" s="4235"/>
      <c r="AA5" s="4235"/>
      <c r="AB5" s="4235"/>
      <c r="AC5" s="4235"/>
      <c r="AD5" s="4235"/>
      <c r="AE5" s="4235"/>
      <c r="AF5" s="4235"/>
      <c r="AG5" s="4235"/>
      <c r="AH5" s="4235"/>
    </row>
    <row r="6" spans="1:44">
      <c r="B6" s="1043" t="s">
        <v>978</v>
      </c>
      <c r="C6" s="1043">
        <v>2</v>
      </c>
    </row>
    <row r="7" spans="1:44">
      <c r="A7" s="4231" t="s">
        <v>0</v>
      </c>
      <c r="B7" s="4236" t="s">
        <v>979</v>
      </c>
      <c r="C7" s="4238" t="s">
        <v>980</v>
      </c>
      <c r="D7" s="1044">
        <v>1</v>
      </c>
      <c r="E7" s="1044">
        <v>2</v>
      </c>
      <c r="F7" s="1044">
        <v>3</v>
      </c>
      <c r="G7" s="1044">
        <v>4</v>
      </c>
      <c r="H7" s="1045">
        <v>5</v>
      </c>
      <c r="I7" s="1044">
        <v>6</v>
      </c>
      <c r="J7" s="1044">
        <v>7</v>
      </c>
      <c r="K7" s="1044">
        <v>8</v>
      </c>
      <c r="L7" s="1044">
        <v>9</v>
      </c>
      <c r="M7" s="1044">
        <v>10</v>
      </c>
      <c r="N7" s="1044">
        <v>11</v>
      </c>
      <c r="O7" s="1044">
        <v>12</v>
      </c>
      <c r="P7" s="1044">
        <v>13</v>
      </c>
      <c r="Q7" s="1044">
        <v>14</v>
      </c>
      <c r="R7" s="1044">
        <v>15</v>
      </c>
      <c r="S7" s="1044">
        <v>16</v>
      </c>
      <c r="T7" s="1044">
        <v>17</v>
      </c>
      <c r="U7" s="1044">
        <v>18</v>
      </c>
      <c r="V7" s="1044">
        <v>19</v>
      </c>
      <c r="W7" s="1044">
        <v>20</v>
      </c>
      <c r="X7" s="1044">
        <v>21</v>
      </c>
      <c r="Y7" s="1044">
        <v>22</v>
      </c>
      <c r="Z7" s="1044">
        <v>23</v>
      </c>
      <c r="AA7" s="1044">
        <v>24</v>
      </c>
      <c r="AB7" s="1044">
        <v>25</v>
      </c>
      <c r="AC7" s="1044">
        <v>26</v>
      </c>
      <c r="AD7" s="1044">
        <v>27</v>
      </c>
      <c r="AE7" s="1044">
        <v>28</v>
      </c>
      <c r="AF7" s="1046">
        <f>IF(DAY(DATE(C5,C6+1,1)-1)&lt;29,"",29)</f>
        <v>29</v>
      </c>
      <c r="AG7" s="1046" t="str">
        <f>IF(DAY(DATE(C5,C6+1,1)-1)&lt;30,"",30)</f>
        <v/>
      </c>
      <c r="AH7" s="1047" t="str">
        <f>IF(DAY(DATE(C5,C6+1,1)-1)&lt;31,"",31)</f>
        <v/>
      </c>
      <c r="AI7" s="4240" t="s">
        <v>981</v>
      </c>
    </row>
    <row r="8" spans="1:44" ht="24.75" customHeight="1">
      <c r="A8" s="4232"/>
      <c r="B8" s="4237"/>
      <c r="C8" s="4239"/>
      <c r="D8" s="1048" t="str">
        <f t="shared" ref="D8:AH8" si="0">IF(D7="","",HLOOKUP(WEEKDAY(DATE($C$5,$C$6,D7)),$AL$1:$AR$2,2,0))</f>
        <v>Năm</v>
      </c>
      <c r="E8" s="1048" t="str">
        <f t="shared" si="0"/>
        <v>Sáu</v>
      </c>
      <c r="F8" s="1048" t="str">
        <f t="shared" si="0"/>
        <v>Bảy</v>
      </c>
      <c r="G8" s="1048" t="str">
        <f t="shared" si="0"/>
        <v>CN</v>
      </c>
      <c r="H8" s="1049" t="str">
        <f t="shared" si="0"/>
        <v>Hai</v>
      </c>
      <c r="I8" s="1048" t="str">
        <f t="shared" si="0"/>
        <v>Ba</v>
      </c>
      <c r="J8" s="1048" t="str">
        <f t="shared" si="0"/>
        <v>Tư</v>
      </c>
      <c r="K8" s="1048" t="str">
        <f t="shared" si="0"/>
        <v>Năm</v>
      </c>
      <c r="L8" s="1048" t="str">
        <f t="shared" si="0"/>
        <v>Sáu</v>
      </c>
      <c r="M8" s="1048" t="str">
        <f t="shared" si="0"/>
        <v>Bảy</v>
      </c>
      <c r="N8" s="1048" t="str">
        <f t="shared" si="0"/>
        <v>CN</v>
      </c>
      <c r="O8" s="1048" t="str">
        <f t="shared" si="0"/>
        <v>Hai</v>
      </c>
      <c r="P8" s="1048" t="str">
        <f t="shared" si="0"/>
        <v>Ba</v>
      </c>
      <c r="Q8" s="1048" t="str">
        <f t="shared" si="0"/>
        <v>Tư</v>
      </c>
      <c r="R8" s="1048" t="str">
        <f t="shared" si="0"/>
        <v>Năm</v>
      </c>
      <c r="S8" s="1048" t="str">
        <f t="shared" si="0"/>
        <v>Sáu</v>
      </c>
      <c r="T8" s="1048" t="str">
        <f t="shared" si="0"/>
        <v>Bảy</v>
      </c>
      <c r="U8" s="1048" t="str">
        <f t="shared" si="0"/>
        <v>CN</v>
      </c>
      <c r="V8" s="1048" t="str">
        <f t="shared" si="0"/>
        <v>Hai</v>
      </c>
      <c r="W8" s="1048" t="str">
        <f t="shared" si="0"/>
        <v>Ba</v>
      </c>
      <c r="X8" s="1048" t="str">
        <f t="shared" si="0"/>
        <v>Tư</v>
      </c>
      <c r="Y8" s="1048" t="str">
        <f t="shared" si="0"/>
        <v>Năm</v>
      </c>
      <c r="Z8" s="1048" t="str">
        <f t="shared" si="0"/>
        <v>Sáu</v>
      </c>
      <c r="AA8" s="1048" t="str">
        <f t="shared" si="0"/>
        <v>Bảy</v>
      </c>
      <c r="AB8" s="1048" t="str">
        <f t="shared" si="0"/>
        <v>CN</v>
      </c>
      <c r="AC8" s="1048" t="str">
        <f t="shared" si="0"/>
        <v>Hai</v>
      </c>
      <c r="AD8" s="1048" t="str">
        <f t="shared" si="0"/>
        <v>Ba</v>
      </c>
      <c r="AE8" s="1048" t="str">
        <f t="shared" si="0"/>
        <v>Tư</v>
      </c>
      <c r="AF8" s="1046" t="str">
        <f t="shared" si="0"/>
        <v>Năm</v>
      </c>
      <c r="AG8" s="1046" t="str">
        <f t="shared" si="0"/>
        <v/>
      </c>
      <c r="AH8" s="1047" t="str">
        <f t="shared" si="0"/>
        <v/>
      </c>
      <c r="AI8" s="4241"/>
    </row>
    <row r="9" spans="1:44">
      <c r="A9" s="1050">
        <v>1</v>
      </c>
      <c r="B9" s="1044"/>
      <c r="C9" s="1050" t="s">
        <v>1151</v>
      </c>
      <c r="D9" s="1044" t="str">
        <f>IF(WEEKDAY(DATE($C$5,$C$6,D$7),2)&gt;'[5]Khai báo'!$B$4,"","x")</f>
        <v>x</v>
      </c>
      <c r="E9" s="1044" t="str">
        <f>IF(WEEKDAY(DATE($C$5,$C$6,E$7),2)&gt;'[5]Khai báo'!$B$4,"","x")</f>
        <v>x</v>
      </c>
      <c r="F9" s="1044" t="str">
        <f>IF(WEEKDAY(DATE($C$5,$C$6,F$7),2)&gt;'[5]Khai báo'!$B$4,"","x")</f>
        <v>x</v>
      </c>
      <c r="G9" s="1044" t="str">
        <f>IF(WEEKDAY(DATE($C$5,$C$6,G$7),2)&gt;'[5]Khai báo'!$B$4,"","x")</f>
        <v/>
      </c>
      <c r="H9" s="1045" t="str">
        <f>IF(WEEKDAY(DATE($C$5,$C$6,H$7),2)&gt;'[5]Khai báo'!$B$4,"","x")</f>
        <v>x</v>
      </c>
      <c r="I9" s="1044" t="str">
        <f>IF(WEEKDAY(DATE($C$5,$C$6,I$7),2)&gt;'[5]Khai báo'!$B$4,"","x")</f>
        <v>x</v>
      </c>
      <c r="J9" s="1044" t="str">
        <f>IF(WEEKDAY(DATE($C$5,$C$6,J$7),2)&gt;'[5]Khai báo'!$B$4,"","x")</f>
        <v>x</v>
      </c>
      <c r="K9" s="1044" t="str">
        <f>IF(WEEKDAY(DATE($C$5,$C$6,K$7),2)&gt;'[5]Khai báo'!$B$4,"","x")</f>
        <v>x</v>
      </c>
      <c r="L9" s="1044" t="str">
        <f>IF(WEEKDAY(DATE($C$5,$C$6,L$7),2)&gt;'[5]Khai báo'!$B$4,"","x")</f>
        <v>x</v>
      </c>
      <c r="M9" s="1044" t="str">
        <f>IF(WEEKDAY(DATE($C$5,$C$6,M$7),2)&gt;'[5]Khai báo'!$B$4,"","x")</f>
        <v>x</v>
      </c>
      <c r="N9" s="1044" t="str">
        <f>IF(WEEKDAY(DATE($C$5,$C$6,N$7),2)&gt;'[5]Khai báo'!$B$4,"","x")</f>
        <v/>
      </c>
      <c r="O9" s="1044" t="str">
        <f>IF(WEEKDAY(DATE($C$5,$C$6,O$7),2)&gt;'[5]Khai báo'!$B$4,"","x")</f>
        <v>x</v>
      </c>
      <c r="P9" s="1044" t="str">
        <f>IF(WEEKDAY(DATE($C$5,$C$6,P$7),2)&gt;'[5]Khai báo'!$B$4,"","x")</f>
        <v>x</v>
      </c>
      <c r="Q9" s="1044" t="str">
        <f>IF(WEEKDAY(DATE($C$5,$C$6,Q$7),2)&gt;'[5]Khai báo'!$B$4,"","x")</f>
        <v>x</v>
      </c>
      <c r="R9" s="1044" t="str">
        <f>IF(WEEKDAY(DATE($C$5,$C$6,R$7),2)&gt;'[5]Khai báo'!$B$4,"","x")</f>
        <v>x</v>
      </c>
      <c r="S9" s="1044" t="str">
        <f>IF(WEEKDAY(DATE($C$5,$C$6,S$7),2)&gt;'[5]Khai báo'!$B$4,"","x")</f>
        <v>x</v>
      </c>
      <c r="T9" s="1044" t="str">
        <f>IF(WEEKDAY(DATE($C$5,$C$6,T$7),2)&gt;'[5]Khai báo'!$B$4,"","x")</f>
        <v>x</v>
      </c>
      <c r="U9" s="1044" t="str">
        <f>IF(WEEKDAY(DATE($C$5,$C$6,U$7),2)&gt;'[5]Khai báo'!$B$4,"","x")</f>
        <v/>
      </c>
      <c r="V9" s="1044" t="str">
        <f>IF(WEEKDAY(DATE($C$5,$C$6,V$7),2)&gt;'[5]Khai báo'!$B$4,"","x")</f>
        <v>x</v>
      </c>
      <c r="W9" s="1044" t="str">
        <f>IF(WEEKDAY(DATE($C$5,$C$6,W$7),2)&gt;'[5]Khai báo'!$B$4,"","x")</f>
        <v>x</v>
      </c>
      <c r="X9" s="1044" t="str">
        <f>IF(WEEKDAY(DATE($C$5,$C$6,X$7),2)&gt;'[5]Khai báo'!$B$4,"","x")</f>
        <v>x</v>
      </c>
      <c r="Y9" s="1044" t="str">
        <f>IF(WEEKDAY(DATE($C$5,$C$6,Y$7),2)&gt;'[5]Khai báo'!$B$4,"","x")</f>
        <v>x</v>
      </c>
      <c r="Z9" s="1044" t="str">
        <f>IF(WEEKDAY(DATE($C$5,$C$6,Z$7),2)&gt;'[5]Khai báo'!$B$4,"","x")</f>
        <v>x</v>
      </c>
      <c r="AA9" s="1044" t="str">
        <f>IF(WEEKDAY(DATE($C$5,$C$6,AA$7),2)&gt;'[5]Khai báo'!$B$4,"","x")</f>
        <v>x</v>
      </c>
      <c r="AB9" s="1044" t="str">
        <f>IF(WEEKDAY(DATE($C$5,$C$6,AB$7),2)&gt;'[5]Khai báo'!$B$4,"","x")</f>
        <v/>
      </c>
      <c r="AC9" s="1044" t="str">
        <f>IF(WEEKDAY(DATE($C$5,$C$6,AC$7),2)&gt;'[5]Khai báo'!$B$4,"","x")</f>
        <v>x</v>
      </c>
      <c r="AD9" s="1044" t="str">
        <f>IF(WEEKDAY(DATE($C$5,$C$6,AD$7),2)&gt;'[5]Khai báo'!$B$4,"","x")</f>
        <v>x</v>
      </c>
      <c r="AE9" s="1044" t="str">
        <f>IF(WEEKDAY(DATE($C$5,$C$6,AE$7),2)&gt;'[5]Khai báo'!$B$4,"","x")</f>
        <v>x</v>
      </c>
      <c r="AF9" s="1046" t="str">
        <f>IF(AF7="","",IF(WEEKDAY(DATE($C$5,$C$6,AF$7),2)&gt;'[5]Khai báo'!$B$4,"","x"))</f>
        <v>x</v>
      </c>
      <c r="AG9" s="1046" t="str">
        <f>IF(AG7="","",IF(WEEKDAY(DATE($C$5,$C$6,AG$7),2)&gt;'[5]Khai báo'!$B$4,"","x"))</f>
        <v/>
      </c>
      <c r="AH9" s="1046" t="str">
        <f>IF(AH7="","",IF(WEEKDAY(DATE($C$5,$C$6,AH$7),2)&gt;'[5]Khai báo'!$B$4,"","x"))</f>
        <v/>
      </c>
      <c r="AI9" s="1488">
        <f>COUNTIF(D9:AH9,"X")</f>
        <v>25</v>
      </c>
    </row>
    <row r="10" spans="1:44" hidden="1">
      <c r="A10" s="1050"/>
      <c r="B10" s="1044"/>
      <c r="C10" s="1050" t="s">
        <v>336</v>
      </c>
      <c r="D10" s="1044" t="str">
        <f>IF(WEEKDAY(DATE($C$5,$C$6,D$7),2)&gt;'[5]Khai báo'!$B$4,"","x")</f>
        <v>x</v>
      </c>
      <c r="E10" s="1044" t="str">
        <f>IF(WEEKDAY(DATE($C$5,$C$6,E$7),2)&gt;'[5]Khai báo'!$B$4,"","x")</f>
        <v>x</v>
      </c>
      <c r="F10" s="1044" t="str">
        <f>IF(WEEKDAY(DATE($C$5,$C$6,F$7),2)&gt;'[5]Khai báo'!$B$4,"","x")</f>
        <v>x</v>
      </c>
      <c r="G10" s="1044" t="str">
        <f>IF(WEEKDAY(DATE($C$5,$C$6,G$7),2)&gt;'[5]Khai báo'!$B$4,"","x")</f>
        <v/>
      </c>
      <c r="H10" s="1045" t="str">
        <f>IF(WEEKDAY(DATE($C$5,$C$6,H$7),2)&gt;'[5]Khai báo'!$B$4,"","x")</f>
        <v>x</v>
      </c>
      <c r="I10" s="1044" t="str">
        <f>IF(WEEKDAY(DATE($C$5,$C$6,I$7),2)&gt;'[5]Khai báo'!$B$4,"","x")</f>
        <v>x</v>
      </c>
      <c r="J10" s="1044" t="str">
        <f>IF(WEEKDAY(DATE($C$5,$C$6,J$7),2)&gt;'[5]Khai báo'!$B$4,"","x")</f>
        <v>x</v>
      </c>
      <c r="K10" s="1044" t="str">
        <f>IF(WEEKDAY(DATE($C$5,$C$6,K$7),2)&gt;'[5]Khai báo'!$B$4,"","x")</f>
        <v>x</v>
      </c>
      <c r="L10" s="1044" t="str">
        <f>IF(WEEKDAY(DATE($C$5,$C$6,L$7),2)&gt;'[5]Khai báo'!$B$4,"","x")</f>
        <v>x</v>
      </c>
      <c r="M10" s="1044" t="str">
        <f>IF(WEEKDAY(DATE($C$5,$C$6,M$7),2)&gt;'[5]Khai báo'!$B$4,"","x")</f>
        <v>x</v>
      </c>
      <c r="N10" s="1044" t="str">
        <f>IF(WEEKDAY(DATE($C$5,$C$6,N$7),2)&gt;'[5]Khai báo'!$B$4,"","x")</f>
        <v/>
      </c>
      <c r="O10" s="1044" t="str">
        <f>IF(WEEKDAY(DATE($C$5,$C$6,O$7),2)&gt;'[5]Khai báo'!$B$4,"","x")</f>
        <v>x</v>
      </c>
      <c r="P10" s="1044" t="str">
        <f>IF(WEEKDAY(DATE($C$5,$C$6,P$7),2)&gt;'[5]Khai báo'!$B$4,"","x")</f>
        <v>x</v>
      </c>
      <c r="Q10" s="1044" t="str">
        <f>IF(WEEKDAY(DATE($C$5,$C$6,Q$7),2)&gt;'[5]Khai báo'!$B$4,"","x")</f>
        <v>x</v>
      </c>
      <c r="R10" s="1044" t="str">
        <f>IF(WEEKDAY(DATE($C$5,$C$6,R$7),2)&gt;'[5]Khai báo'!$B$4,"","x")</f>
        <v>x</v>
      </c>
      <c r="S10" s="1044" t="str">
        <f>IF(WEEKDAY(DATE($C$5,$C$6,S$7),2)&gt;'[5]Khai báo'!$B$4,"","x")</f>
        <v>x</v>
      </c>
      <c r="T10" s="1044" t="str">
        <f>IF(WEEKDAY(DATE($C$5,$C$6,T$7),2)&gt;'[5]Khai báo'!$B$4,"","x")</f>
        <v>x</v>
      </c>
      <c r="U10" s="1044" t="str">
        <f>IF(WEEKDAY(DATE($C$5,$C$6,U$7),2)&gt;'[5]Khai báo'!$B$4,"","x")</f>
        <v/>
      </c>
      <c r="V10" s="1044" t="str">
        <f>IF(WEEKDAY(DATE($C$5,$C$6,V$7),2)&gt;'[5]Khai báo'!$B$4,"","x")</f>
        <v>x</v>
      </c>
      <c r="W10" s="1044" t="str">
        <f>IF(WEEKDAY(DATE($C$5,$C$6,W$7),2)&gt;'[5]Khai báo'!$B$4,"","x")</f>
        <v>x</v>
      </c>
      <c r="X10" s="1044" t="str">
        <f>IF(WEEKDAY(DATE($C$5,$C$6,X$7),2)&gt;'[5]Khai báo'!$B$4,"","x")</f>
        <v>x</v>
      </c>
      <c r="Y10" s="1044" t="str">
        <f>IF(WEEKDAY(DATE($C$5,$C$6,Y$7),2)&gt;'[5]Khai báo'!$B$4,"","x")</f>
        <v>x</v>
      </c>
      <c r="Z10" s="1044" t="str">
        <f>IF(WEEKDAY(DATE($C$5,$C$6,Z$7),2)&gt;'[5]Khai báo'!$B$4,"","x")</f>
        <v>x</v>
      </c>
      <c r="AA10" s="1044" t="str">
        <f>IF(WEEKDAY(DATE($C$5,$C$6,AA$7),2)&gt;'[5]Khai báo'!$B$4,"","x")</f>
        <v>x</v>
      </c>
      <c r="AB10" s="1044" t="str">
        <f>IF(WEEKDAY(DATE($C$5,$C$6,AB$7),2)&gt;'[5]Khai báo'!$B$4,"","x")</f>
        <v/>
      </c>
      <c r="AC10" s="1044" t="str">
        <f>IF(WEEKDAY(DATE($C$5,$C$6,AC$7),2)&gt;'[5]Khai báo'!$B$4,"","x")</f>
        <v>x</v>
      </c>
      <c r="AD10" s="1044" t="str">
        <f>IF(WEEKDAY(DATE($C$5,$C$6,AD$7),2)&gt;'[5]Khai báo'!$B$4,"","x")</f>
        <v>x</v>
      </c>
      <c r="AE10" s="1044" t="str">
        <f>IF(WEEKDAY(DATE($C$5,$C$6,AE$7),2)&gt;'[5]Khai báo'!$B$4,"","x")</f>
        <v>x</v>
      </c>
      <c r="AF10" s="1046" t="str">
        <f>IF(AF8="","",IF(WEEKDAY(DATE($C$5,$C$6,AF$7),2)&gt;'[5]Khai báo'!$B$4,"","x"))</f>
        <v>x</v>
      </c>
      <c r="AG10" s="1046" t="str">
        <f>IF(AG8="","",IF(WEEKDAY(DATE($C$5,$C$6,AG$7),2)&gt;'[5]Khai báo'!$B$4,"","x"))</f>
        <v/>
      </c>
      <c r="AH10" s="1046" t="str">
        <f>IF(AH8="","",IF(WEEKDAY(DATE($C$5,$C$6,AH$7),2)&gt;'[5]Khai báo'!$B$4,"","x"))</f>
        <v/>
      </c>
      <c r="AI10" s="1488">
        <f t="shared" ref="AI10:AI31" si="1">COUNTIF(D10:AH10,"X")</f>
        <v>25</v>
      </c>
    </row>
    <row r="11" spans="1:44">
      <c r="A11" s="1050">
        <v>2</v>
      </c>
      <c r="B11" s="1044"/>
      <c r="C11" s="1050" t="s">
        <v>1157</v>
      </c>
      <c r="D11" s="1044" t="str">
        <f>IF(WEEKDAY(DATE($C$5,$C$6,D$7),2)&gt;'[5]Khai báo'!$B$4,"","x")</f>
        <v>x</v>
      </c>
      <c r="E11" s="1044" t="str">
        <f>IF(WEEKDAY(DATE($C$5,$C$6,E$7),2)&gt;'[5]Khai báo'!$B$4,"","x")</f>
        <v>x</v>
      </c>
      <c r="F11" s="1044" t="str">
        <f>IF(WEEKDAY(DATE($C$5,$C$6,F$7),2)&gt;'[5]Khai báo'!$B$4,"","x")</f>
        <v>x</v>
      </c>
      <c r="G11" s="1044" t="str">
        <f>IF(WEEKDAY(DATE($C$5,$C$6,G$7),2)&gt;'[5]Khai báo'!$B$4,"","x")</f>
        <v/>
      </c>
      <c r="H11" s="1045" t="str">
        <f>IF(WEEKDAY(DATE($C$5,$C$6,H$7),2)&gt;'[5]Khai báo'!$B$4,"","x")</f>
        <v>x</v>
      </c>
      <c r="I11" s="1044" t="str">
        <f>IF(WEEKDAY(DATE($C$5,$C$6,I$7),2)&gt;'[5]Khai báo'!$B$4,"","x")</f>
        <v>x</v>
      </c>
      <c r="J11" s="1044" t="str">
        <f>IF(WEEKDAY(DATE($C$5,$C$6,J$7),2)&gt;'[5]Khai báo'!$B$4,"","x")</f>
        <v>x</v>
      </c>
      <c r="K11" s="1044" t="str">
        <f>IF(WEEKDAY(DATE($C$5,$C$6,K$7),2)&gt;'[5]Khai báo'!$B$4,"","x")</f>
        <v>x</v>
      </c>
      <c r="L11" s="1044" t="str">
        <f>IF(WEEKDAY(DATE($C$5,$C$6,L$7),2)&gt;'[5]Khai báo'!$B$4,"","x")</f>
        <v>x</v>
      </c>
      <c r="M11" s="1044" t="str">
        <f>IF(WEEKDAY(DATE($C$5,$C$6,M$7),2)&gt;'[5]Khai báo'!$B$4,"","x")</f>
        <v>x</v>
      </c>
      <c r="N11" s="1044" t="str">
        <f>IF(WEEKDAY(DATE($C$5,$C$6,N$7),2)&gt;'[5]Khai báo'!$B$4,"","x")</f>
        <v/>
      </c>
      <c r="O11" s="1044" t="str">
        <f>IF(WEEKDAY(DATE($C$5,$C$6,O$7),2)&gt;'[5]Khai báo'!$B$4,"","x")</f>
        <v>x</v>
      </c>
      <c r="P11" s="1044" t="str">
        <f>IF(WEEKDAY(DATE($C$5,$C$6,P$7),2)&gt;'[5]Khai báo'!$B$4,"","x")</f>
        <v>x</v>
      </c>
      <c r="Q11" s="1044" t="str">
        <f>IF(WEEKDAY(DATE($C$5,$C$6,Q$7),2)&gt;'[5]Khai báo'!$B$4,"","x")</f>
        <v>x</v>
      </c>
      <c r="R11" s="1044" t="str">
        <f>IF(WEEKDAY(DATE($C$5,$C$6,R$7),2)&gt;'[5]Khai báo'!$B$4,"","x")</f>
        <v>x</v>
      </c>
      <c r="S11" s="1044" t="str">
        <f>IF(WEEKDAY(DATE($C$5,$C$6,S$7),2)&gt;'[5]Khai báo'!$B$4,"","x")</f>
        <v>x</v>
      </c>
      <c r="T11" s="1044" t="str">
        <f>IF(WEEKDAY(DATE($C$5,$C$6,T$7),2)&gt;'[5]Khai báo'!$B$4,"","x")</f>
        <v>x</v>
      </c>
      <c r="U11" s="1044" t="str">
        <f>IF(WEEKDAY(DATE($C$5,$C$6,U$7),2)&gt;'[5]Khai báo'!$B$4,"","x")</f>
        <v/>
      </c>
      <c r="V11" s="1044" t="str">
        <f>IF(WEEKDAY(DATE($C$5,$C$6,V$7),2)&gt;'[5]Khai báo'!$B$4,"","x")</f>
        <v>x</v>
      </c>
      <c r="W11" s="1044" t="str">
        <f>IF(WEEKDAY(DATE($C$5,$C$6,W$7),2)&gt;'[5]Khai báo'!$B$4,"","x")</f>
        <v>x</v>
      </c>
      <c r="X11" s="1044" t="str">
        <f>IF(WEEKDAY(DATE($C$5,$C$6,X$7),2)&gt;'[5]Khai báo'!$B$4,"","x")</f>
        <v>x</v>
      </c>
      <c r="Y11" s="1044" t="str">
        <f>IF(WEEKDAY(DATE($C$5,$C$6,Y$7),2)&gt;'[5]Khai báo'!$B$4,"","x")</f>
        <v>x</v>
      </c>
      <c r="Z11" s="1044" t="str">
        <f>IF(WEEKDAY(DATE($C$5,$C$6,Z$7),2)&gt;'[5]Khai báo'!$B$4,"","x")</f>
        <v>x</v>
      </c>
      <c r="AA11" s="1044" t="str">
        <f>IF(WEEKDAY(DATE($C$5,$C$6,AA$7),2)&gt;'[5]Khai báo'!$B$4,"","x")</f>
        <v>x</v>
      </c>
      <c r="AB11" s="1044" t="str">
        <f>IF(WEEKDAY(DATE($C$5,$C$6,AB$7),2)&gt;'[5]Khai báo'!$B$4,"","x")</f>
        <v/>
      </c>
      <c r="AC11" s="1044" t="str">
        <f>IF(WEEKDAY(DATE($C$5,$C$6,AC$7),2)&gt;'[5]Khai báo'!$B$4,"","x")</f>
        <v>x</v>
      </c>
      <c r="AD11" s="1044" t="str">
        <f>IF(WEEKDAY(DATE($C$5,$C$6,AD$7),2)&gt;'[5]Khai báo'!$B$4,"","x")</f>
        <v>x</v>
      </c>
      <c r="AE11" s="1044" t="str">
        <f>IF(WEEKDAY(DATE($C$5,$C$6,AE$7),2)&gt;'[5]Khai báo'!$B$4,"","x")</f>
        <v>x</v>
      </c>
      <c r="AF11" s="1046" t="str">
        <f>IF(AF9="","",IF(WEEKDAY(DATE($C$5,$C$6,AF$7),2)&gt;'[5]Khai báo'!$B$4,"","x"))</f>
        <v>x</v>
      </c>
      <c r="AG11" s="1046" t="str">
        <f>IF(AG9="","",IF(WEEKDAY(DATE($C$5,$C$6,AG$7),2)&gt;'[5]Khai báo'!$B$4,"","x"))</f>
        <v/>
      </c>
      <c r="AH11" s="1046" t="str">
        <f>IF(AH9="","",IF(WEEKDAY(DATE($C$5,$C$6,AH$7),2)&gt;'[5]Khai báo'!$B$4,"","x"))</f>
        <v/>
      </c>
      <c r="AI11" s="1488">
        <f t="shared" si="1"/>
        <v>25</v>
      </c>
    </row>
    <row r="12" spans="1:44">
      <c r="A12" s="1050">
        <v>3</v>
      </c>
      <c r="B12" s="1044"/>
      <c r="C12" s="1050" t="s">
        <v>533</v>
      </c>
      <c r="D12" s="1044" t="str">
        <f>IF(WEEKDAY(DATE($C$5,$C$6,D$7),2)&gt;'[5]Khai báo'!$B$4,"","x")</f>
        <v>x</v>
      </c>
      <c r="E12" s="1044" t="str">
        <f>IF(WEEKDAY(DATE($C$5,$C$6,E$7),2)&gt;'[5]Khai báo'!$B$4,"","x")</f>
        <v>x</v>
      </c>
      <c r="F12" s="1044" t="str">
        <f>IF(WEEKDAY(DATE($C$5,$C$6,F$7),2)&gt;'[5]Khai báo'!$B$4,"","x")</f>
        <v>x</v>
      </c>
      <c r="G12" s="1044" t="str">
        <f>IF(WEEKDAY(DATE($C$5,$C$6,G$7),2)&gt;'[5]Khai báo'!$B$4,"","x")</f>
        <v/>
      </c>
      <c r="H12" s="1045" t="str">
        <f>IF(WEEKDAY(DATE($C$5,$C$6,H$7),2)&gt;'[5]Khai báo'!$B$4,"","x")</f>
        <v>x</v>
      </c>
      <c r="I12" s="1044" t="str">
        <f>IF(WEEKDAY(DATE($C$5,$C$6,I$7),2)&gt;'[5]Khai báo'!$B$4,"","x")</f>
        <v>x</v>
      </c>
      <c r="J12" s="1044" t="str">
        <f>IF(WEEKDAY(DATE($C$5,$C$6,J$7),2)&gt;'[5]Khai báo'!$B$4,"","x")</f>
        <v>x</v>
      </c>
      <c r="K12" s="1044" t="str">
        <f>IF(WEEKDAY(DATE($C$5,$C$6,K$7),2)&gt;'[5]Khai báo'!$B$4,"","x")</f>
        <v>x</v>
      </c>
      <c r="L12" s="1044" t="str">
        <f>IF(WEEKDAY(DATE($C$5,$C$6,L$7),2)&gt;'[5]Khai báo'!$B$4,"","x")</f>
        <v>x</v>
      </c>
      <c r="M12" s="1044" t="str">
        <f>IF(WEEKDAY(DATE($C$5,$C$6,M$7),2)&gt;'[5]Khai báo'!$B$4,"","x")</f>
        <v>x</v>
      </c>
      <c r="N12" s="1044" t="str">
        <f>IF(WEEKDAY(DATE($C$5,$C$6,N$7),2)&gt;'[5]Khai báo'!$B$4,"","x")</f>
        <v/>
      </c>
      <c r="O12" s="1044" t="str">
        <f>IF(WEEKDAY(DATE($C$5,$C$6,O$7),2)&gt;'[5]Khai báo'!$B$4,"","x")</f>
        <v>x</v>
      </c>
      <c r="P12" s="1044" t="str">
        <f>IF(WEEKDAY(DATE($C$5,$C$6,P$7),2)&gt;'[5]Khai báo'!$B$4,"","x")</f>
        <v>x</v>
      </c>
      <c r="Q12" s="1044" t="str">
        <f>IF(WEEKDAY(DATE($C$5,$C$6,Q$7),2)&gt;'[5]Khai báo'!$B$4,"","x")</f>
        <v>x</v>
      </c>
      <c r="R12" s="1044" t="str">
        <f>IF(WEEKDAY(DATE($C$5,$C$6,R$7),2)&gt;'[5]Khai báo'!$B$4,"","x")</f>
        <v>x</v>
      </c>
      <c r="S12" s="1044" t="str">
        <f>IF(WEEKDAY(DATE($C$5,$C$6,S$7),2)&gt;'[5]Khai báo'!$B$4,"","x")</f>
        <v>x</v>
      </c>
      <c r="T12" s="1044" t="str">
        <f>IF(WEEKDAY(DATE($C$5,$C$6,T$7),2)&gt;'[5]Khai báo'!$B$4,"","x")</f>
        <v>x</v>
      </c>
      <c r="U12" s="1044" t="str">
        <f>IF(WEEKDAY(DATE($C$5,$C$6,U$7),2)&gt;'[5]Khai báo'!$B$4,"","x")</f>
        <v/>
      </c>
      <c r="V12" s="1044" t="str">
        <f>IF(WEEKDAY(DATE($C$5,$C$6,V$7),2)&gt;'[5]Khai báo'!$B$4,"","x")</f>
        <v>x</v>
      </c>
      <c r="W12" s="1044" t="str">
        <f>IF(WEEKDAY(DATE($C$5,$C$6,W$7),2)&gt;'[5]Khai báo'!$B$4,"","x")</f>
        <v>x</v>
      </c>
      <c r="X12" s="1044" t="str">
        <f>IF(WEEKDAY(DATE($C$5,$C$6,X$7),2)&gt;'[5]Khai báo'!$B$4,"","x")</f>
        <v>x</v>
      </c>
      <c r="Y12" s="1044" t="str">
        <f>IF(WEEKDAY(DATE($C$5,$C$6,Y$7),2)&gt;'[5]Khai báo'!$B$4,"","x")</f>
        <v>x</v>
      </c>
      <c r="Z12" s="1044" t="str">
        <f>IF(WEEKDAY(DATE($C$5,$C$6,Z$7),2)&gt;'[5]Khai báo'!$B$4,"","x")</f>
        <v>x</v>
      </c>
      <c r="AA12" s="1044" t="str">
        <f>IF(WEEKDAY(DATE($C$5,$C$6,AA$7),2)&gt;'[5]Khai báo'!$B$4,"","x")</f>
        <v>x</v>
      </c>
      <c r="AB12" s="1044" t="str">
        <f>IF(WEEKDAY(DATE($C$5,$C$6,AB$7),2)&gt;'[5]Khai báo'!$B$4,"","x")</f>
        <v/>
      </c>
      <c r="AC12" s="1044" t="str">
        <f>IF(WEEKDAY(DATE($C$5,$C$6,AC$7),2)&gt;'[5]Khai báo'!$B$4,"","x")</f>
        <v>x</v>
      </c>
      <c r="AD12" s="1044" t="str">
        <f>IF(WEEKDAY(DATE($C$5,$C$6,AD$7),2)&gt;'[5]Khai báo'!$B$4,"","x")</f>
        <v>x</v>
      </c>
      <c r="AE12" s="1044" t="str">
        <f>IF(WEEKDAY(DATE($C$5,$C$6,AE$7),2)&gt;'[5]Khai báo'!$B$4,"","x")</f>
        <v>x</v>
      </c>
      <c r="AF12" s="1046" t="str">
        <f>IF(AF10="","",IF(WEEKDAY(DATE($C$5,$C$6,AF$7),2)&gt;'[5]Khai báo'!$B$4,"","x"))</f>
        <v>x</v>
      </c>
      <c r="AG12" s="1046" t="str">
        <f>IF(AG10="","",IF(WEEKDAY(DATE($C$5,$C$6,AG$7),2)&gt;'[5]Khai báo'!$B$4,"","x"))</f>
        <v/>
      </c>
      <c r="AH12" s="1046" t="str">
        <f>IF(AH10="","",IF(WEEKDAY(DATE($C$5,$C$6,AH$7),2)&gt;'[5]Khai báo'!$B$4,"","x"))</f>
        <v/>
      </c>
      <c r="AI12" s="1488">
        <f t="shared" si="1"/>
        <v>25</v>
      </c>
    </row>
    <row r="13" spans="1:44">
      <c r="A13" s="1050">
        <v>4</v>
      </c>
      <c r="B13" s="1044"/>
      <c r="C13" s="1050" t="str">
        <f>+'LƯƠNG USD NGƯỜI VIỆT'!B18</f>
        <v>Đào Đại Đức</v>
      </c>
      <c r="D13" s="1044" t="str">
        <f>IF(WEEKDAY(DATE($C$5,$C$6,D$7),2)&gt;'[5]Khai báo'!$B$4,"","x")</f>
        <v>x</v>
      </c>
      <c r="E13" s="1044" t="str">
        <f>IF(WEEKDAY(DATE($C$5,$C$6,E$7),2)&gt;'[5]Khai báo'!$B$4,"","x")</f>
        <v>x</v>
      </c>
      <c r="F13" s="1044" t="str">
        <f>IF(WEEKDAY(DATE($C$5,$C$6,F$7),2)&gt;'[5]Khai báo'!$B$4,"","x")</f>
        <v>x</v>
      </c>
      <c r="G13" s="1044" t="str">
        <f>IF(WEEKDAY(DATE($C$5,$C$6,G$7),2)&gt;'[5]Khai báo'!$B$4,"","x")</f>
        <v/>
      </c>
      <c r="H13" s="1045" t="str">
        <f>IF(WEEKDAY(DATE($C$5,$C$6,H$7),2)&gt;'[5]Khai báo'!$B$4,"","x")</f>
        <v>x</v>
      </c>
      <c r="I13" s="1044" t="str">
        <f>IF(WEEKDAY(DATE($C$5,$C$6,I$7),2)&gt;'[5]Khai báo'!$B$4,"","x")</f>
        <v>x</v>
      </c>
      <c r="J13" s="1044" t="str">
        <f>IF(WEEKDAY(DATE($C$5,$C$6,J$7),2)&gt;'[5]Khai báo'!$B$4,"","x")</f>
        <v>x</v>
      </c>
      <c r="K13" s="1044" t="str">
        <f>IF(WEEKDAY(DATE($C$5,$C$6,K$7),2)&gt;'[5]Khai báo'!$B$4,"","x")</f>
        <v>x</v>
      </c>
      <c r="L13" s="1044" t="str">
        <f>IF(WEEKDAY(DATE($C$5,$C$6,L$7),2)&gt;'[5]Khai báo'!$B$4,"","x")</f>
        <v>x</v>
      </c>
      <c r="M13" s="1044" t="str">
        <f>IF(WEEKDAY(DATE($C$5,$C$6,M$7),2)&gt;'[5]Khai báo'!$B$4,"","x")</f>
        <v>x</v>
      </c>
      <c r="N13" s="1044" t="str">
        <f>IF(WEEKDAY(DATE($C$5,$C$6,N$7),2)&gt;'[5]Khai báo'!$B$4,"","x")</f>
        <v/>
      </c>
      <c r="O13" s="1044" t="str">
        <f>IF(WEEKDAY(DATE($C$5,$C$6,O$7),2)&gt;'[5]Khai báo'!$B$4,"","x")</f>
        <v>x</v>
      </c>
      <c r="P13" s="1044" t="str">
        <f>IF(WEEKDAY(DATE($C$5,$C$6,P$7),2)&gt;'[5]Khai báo'!$B$4,"","x")</f>
        <v>x</v>
      </c>
      <c r="Q13" s="1044" t="str">
        <f>IF(WEEKDAY(DATE($C$5,$C$6,Q$7),2)&gt;'[5]Khai báo'!$B$4,"","x")</f>
        <v>x</v>
      </c>
      <c r="R13" s="1044" t="str">
        <f>IF(WEEKDAY(DATE($C$5,$C$6,R$7),2)&gt;'[5]Khai báo'!$B$4,"","x")</f>
        <v>x</v>
      </c>
      <c r="S13" s="1044" t="str">
        <f>IF(WEEKDAY(DATE($C$5,$C$6,S$7),2)&gt;'[5]Khai báo'!$B$4,"","x")</f>
        <v>x</v>
      </c>
      <c r="T13" s="1044" t="str">
        <f>IF(WEEKDAY(DATE($C$5,$C$6,T$7),2)&gt;'[5]Khai báo'!$B$4,"","x")</f>
        <v>x</v>
      </c>
      <c r="U13" s="1044" t="str">
        <f>IF(WEEKDAY(DATE($C$5,$C$6,U$7),2)&gt;'[5]Khai báo'!$B$4,"","x")</f>
        <v/>
      </c>
      <c r="V13" s="1044" t="str">
        <f>IF(WEEKDAY(DATE($C$5,$C$6,V$7),2)&gt;'[5]Khai báo'!$B$4,"","x")</f>
        <v>x</v>
      </c>
      <c r="W13" s="1044" t="str">
        <f>IF(WEEKDAY(DATE($C$5,$C$6,W$7),2)&gt;'[5]Khai báo'!$B$4,"","x")</f>
        <v>x</v>
      </c>
      <c r="X13" s="1044" t="str">
        <f>IF(WEEKDAY(DATE($C$5,$C$6,X$7),2)&gt;'[5]Khai báo'!$B$4,"","x")</f>
        <v>x</v>
      </c>
      <c r="Y13" s="1044" t="str">
        <f>IF(WEEKDAY(DATE($C$5,$C$6,Y$7),2)&gt;'[5]Khai báo'!$B$4,"","x")</f>
        <v>x</v>
      </c>
      <c r="Z13" s="1044" t="str">
        <f>IF(WEEKDAY(DATE($C$5,$C$6,Z$7),2)&gt;'[5]Khai báo'!$B$4,"","x")</f>
        <v>x</v>
      </c>
      <c r="AA13" s="1044" t="str">
        <f>IF(WEEKDAY(DATE($C$5,$C$6,AA$7),2)&gt;'[5]Khai báo'!$B$4,"","x")</f>
        <v>x</v>
      </c>
      <c r="AB13" s="1044" t="str">
        <f>IF(WEEKDAY(DATE($C$5,$C$6,AB$7),2)&gt;'[5]Khai báo'!$B$4,"","x")</f>
        <v/>
      </c>
      <c r="AC13" s="1044" t="str">
        <f>IF(WEEKDAY(DATE($C$5,$C$6,AC$7),2)&gt;'[5]Khai báo'!$B$4,"","x")</f>
        <v>x</v>
      </c>
      <c r="AD13" s="1044" t="str">
        <f>IF(WEEKDAY(DATE($C$5,$C$6,AD$7),2)&gt;'[5]Khai báo'!$B$4,"","x")</f>
        <v>x</v>
      </c>
      <c r="AE13" s="1044" t="str">
        <f>IF(WEEKDAY(DATE($C$5,$C$6,AE$7),2)&gt;'[5]Khai báo'!$B$4,"","x")</f>
        <v>x</v>
      </c>
      <c r="AF13" s="1046" t="str">
        <f>IF(AF11="","",IF(WEEKDAY(DATE($C$5,$C$6,AF$7),2)&gt;'[5]Khai báo'!$B$4,"","x"))</f>
        <v>x</v>
      </c>
      <c r="AG13" s="1046" t="str">
        <f>IF(AG11="","",IF(WEEKDAY(DATE($C$5,$C$6,AG$7),2)&gt;'[5]Khai báo'!$B$4,"","x"))</f>
        <v/>
      </c>
      <c r="AH13" s="1046" t="str">
        <f>IF(AH11="","",IF(WEEKDAY(DATE($C$5,$C$6,AH$7),2)&gt;'[5]Khai báo'!$B$4,"","x"))</f>
        <v/>
      </c>
      <c r="AI13" s="1488">
        <f t="shared" si="1"/>
        <v>25</v>
      </c>
    </row>
    <row r="14" spans="1:44">
      <c r="A14" s="1050">
        <v>5</v>
      </c>
      <c r="B14" s="1044"/>
      <c r="C14" s="1038" t="str">
        <f>+'LƯƠNG USD NGƯỜI VIỆT'!B27</f>
        <v>Tăng Trung</v>
      </c>
      <c r="D14" s="1044" t="str">
        <f>IF(WEEKDAY(DATE($C$5,$C$6,D$7),2)&gt;'[5]Khai báo'!$B$4,"","x")</f>
        <v>x</v>
      </c>
      <c r="E14" s="1044" t="str">
        <f>IF(WEEKDAY(DATE($C$5,$C$6,E$7),2)&gt;'[5]Khai báo'!$B$4,"","x")</f>
        <v>x</v>
      </c>
      <c r="F14" s="1044" t="str">
        <f>IF(WEEKDAY(DATE($C$5,$C$6,F$7),2)&gt;'[5]Khai báo'!$B$4,"","x")</f>
        <v>x</v>
      </c>
      <c r="G14" s="1044" t="str">
        <f>IF(WEEKDAY(DATE($C$5,$C$6,G$7),2)&gt;'[5]Khai báo'!$B$4,"","x")</f>
        <v/>
      </c>
      <c r="H14" s="1045" t="str">
        <f>IF(WEEKDAY(DATE($C$5,$C$6,H$7),2)&gt;'[5]Khai báo'!$B$4,"","x")</f>
        <v>x</v>
      </c>
      <c r="I14" s="1044" t="str">
        <f>IF(WEEKDAY(DATE($C$5,$C$6,I$7),2)&gt;'[5]Khai báo'!$B$4,"","x")</f>
        <v>x</v>
      </c>
      <c r="J14" s="1044" t="str">
        <f>IF(WEEKDAY(DATE($C$5,$C$6,J$7),2)&gt;'[5]Khai báo'!$B$4,"","x")</f>
        <v>x</v>
      </c>
      <c r="K14" s="1044" t="str">
        <f>IF(WEEKDAY(DATE($C$5,$C$6,K$7),2)&gt;'[5]Khai báo'!$B$4,"","x")</f>
        <v>x</v>
      </c>
      <c r="L14" s="1044" t="str">
        <f>IF(WEEKDAY(DATE($C$5,$C$6,L$7),2)&gt;'[5]Khai báo'!$B$4,"","x")</f>
        <v>x</v>
      </c>
      <c r="M14" s="1044" t="str">
        <f>IF(WEEKDAY(DATE($C$5,$C$6,M$7),2)&gt;'[5]Khai báo'!$B$4,"","x")</f>
        <v>x</v>
      </c>
      <c r="N14" s="1044" t="str">
        <f>IF(WEEKDAY(DATE($C$5,$C$6,N$7),2)&gt;'[5]Khai báo'!$B$4,"","x")</f>
        <v/>
      </c>
      <c r="O14" s="1044" t="str">
        <f>IF(WEEKDAY(DATE($C$5,$C$6,O$7),2)&gt;'[5]Khai báo'!$B$4,"","x")</f>
        <v>x</v>
      </c>
      <c r="P14" s="1044" t="str">
        <f>IF(WEEKDAY(DATE($C$5,$C$6,P$7),2)&gt;'[5]Khai báo'!$B$4,"","x")</f>
        <v>x</v>
      </c>
      <c r="Q14" s="1044" t="str">
        <f>IF(WEEKDAY(DATE($C$5,$C$6,Q$7),2)&gt;'[5]Khai báo'!$B$4,"","x")</f>
        <v>x</v>
      </c>
      <c r="R14" s="1044" t="str">
        <f>IF(WEEKDAY(DATE($C$5,$C$6,R$7),2)&gt;'[5]Khai báo'!$B$4,"","x")</f>
        <v>x</v>
      </c>
      <c r="S14" s="1044" t="str">
        <f>IF(WEEKDAY(DATE($C$5,$C$6,S$7),2)&gt;'[5]Khai báo'!$B$4,"","x")</f>
        <v>x</v>
      </c>
      <c r="T14" s="1044" t="str">
        <f>IF(WEEKDAY(DATE($C$5,$C$6,T$7),2)&gt;'[5]Khai báo'!$B$4,"","x")</f>
        <v>x</v>
      </c>
      <c r="U14" s="1044" t="str">
        <f>IF(WEEKDAY(DATE($C$5,$C$6,U$7),2)&gt;'[5]Khai báo'!$B$4,"","x")</f>
        <v/>
      </c>
      <c r="V14" s="1044" t="str">
        <f>IF(WEEKDAY(DATE($C$5,$C$6,V$7),2)&gt;'[5]Khai báo'!$B$4,"","x")</f>
        <v>x</v>
      </c>
      <c r="W14" s="1044" t="str">
        <f>IF(WEEKDAY(DATE($C$5,$C$6,W$7),2)&gt;'[5]Khai báo'!$B$4,"","x")</f>
        <v>x</v>
      </c>
      <c r="X14" s="1044" t="str">
        <f>IF(WEEKDAY(DATE($C$5,$C$6,X$7),2)&gt;'[5]Khai báo'!$B$4,"","x")</f>
        <v>x</v>
      </c>
      <c r="Y14" s="1044" t="str">
        <f>IF(WEEKDAY(DATE($C$5,$C$6,Y$7),2)&gt;'[5]Khai báo'!$B$4,"","x")</f>
        <v>x</v>
      </c>
      <c r="Z14" s="1044" t="str">
        <f>IF(WEEKDAY(DATE($C$5,$C$6,Z$7),2)&gt;'[5]Khai báo'!$B$4,"","x")</f>
        <v>x</v>
      </c>
      <c r="AA14" s="1044" t="str">
        <f>IF(WEEKDAY(DATE($C$5,$C$6,AA$7),2)&gt;'[5]Khai báo'!$B$4,"","x")</f>
        <v>x</v>
      </c>
      <c r="AB14" s="1044" t="str">
        <f>IF(WEEKDAY(DATE($C$5,$C$6,AB$7),2)&gt;'[5]Khai báo'!$B$4,"","x")</f>
        <v/>
      </c>
      <c r="AC14" s="1044" t="str">
        <f>IF(WEEKDAY(DATE($C$5,$C$6,AC$7),2)&gt;'[5]Khai báo'!$B$4,"","x")</f>
        <v>x</v>
      </c>
      <c r="AD14" s="1044" t="str">
        <f>IF(WEEKDAY(DATE($C$5,$C$6,AD$7),2)&gt;'[5]Khai báo'!$B$4,"","x")</f>
        <v>x</v>
      </c>
      <c r="AE14" s="1044" t="str">
        <f>IF(WEEKDAY(DATE($C$5,$C$6,AE$7),2)&gt;'[5]Khai báo'!$B$4,"","x")</f>
        <v>x</v>
      </c>
      <c r="AF14" s="1046" t="str">
        <f>IF(AF12="","",IF(WEEKDAY(DATE($C$5,$C$6,AF$7),2)&gt;'[5]Khai báo'!$B$4,"","x"))</f>
        <v>x</v>
      </c>
      <c r="AG14" s="1046" t="str">
        <f>IF(AG12="","",IF(WEEKDAY(DATE($C$5,$C$6,AG$7),2)&gt;'[5]Khai báo'!$B$4,"","x"))</f>
        <v/>
      </c>
      <c r="AH14" s="1046" t="str">
        <f>IF(AH12="","",IF(WEEKDAY(DATE($C$5,$C$6,AH$7),2)&gt;'[5]Khai báo'!$B$4,"","x"))</f>
        <v/>
      </c>
      <c r="AI14" s="1488">
        <f t="shared" si="1"/>
        <v>25</v>
      </c>
    </row>
    <row r="15" spans="1:44" hidden="1">
      <c r="A15" s="1050">
        <v>6</v>
      </c>
      <c r="B15" s="1044"/>
      <c r="C15" s="1050" t="s">
        <v>541</v>
      </c>
      <c r="D15" s="1044" t="str">
        <f>IF(WEEKDAY(DATE($C$5,$C$6,D$7),2)&gt;'[5]Khai báo'!$B$4,"","x")</f>
        <v>x</v>
      </c>
      <c r="E15" s="1044" t="str">
        <f>IF(WEEKDAY(DATE($C$5,$C$6,E$7),2)&gt;'[5]Khai báo'!$B$4,"","x")</f>
        <v>x</v>
      </c>
      <c r="F15" s="1044" t="str">
        <f>IF(WEEKDAY(DATE($C$5,$C$6,F$7),2)&gt;'[5]Khai báo'!$B$4,"","x")</f>
        <v>x</v>
      </c>
      <c r="G15" s="1044" t="str">
        <f>IF(WEEKDAY(DATE($C$5,$C$6,G$7),2)&gt;'[5]Khai báo'!$B$4,"","x")</f>
        <v/>
      </c>
      <c r="H15" s="1045" t="str">
        <f>IF(WEEKDAY(DATE($C$5,$C$6,H$7),2)&gt;'[5]Khai báo'!$B$4,"","x")</f>
        <v>x</v>
      </c>
      <c r="I15" s="1044" t="str">
        <f>IF(WEEKDAY(DATE($C$5,$C$6,I$7),2)&gt;'[5]Khai báo'!$B$4,"","x")</f>
        <v>x</v>
      </c>
      <c r="J15" s="1044" t="str">
        <f>IF(WEEKDAY(DATE($C$5,$C$6,J$7),2)&gt;'[5]Khai báo'!$B$4,"","x")</f>
        <v>x</v>
      </c>
      <c r="K15" s="1044" t="str">
        <f>IF(WEEKDAY(DATE($C$5,$C$6,K$7),2)&gt;'[5]Khai báo'!$B$4,"","x")</f>
        <v>x</v>
      </c>
      <c r="L15" s="1044" t="str">
        <f>IF(WEEKDAY(DATE($C$5,$C$6,L$7),2)&gt;'[5]Khai báo'!$B$4,"","x")</f>
        <v>x</v>
      </c>
      <c r="M15" s="1044" t="str">
        <f>IF(WEEKDAY(DATE($C$5,$C$6,M$7),2)&gt;'[5]Khai báo'!$B$4,"","x")</f>
        <v>x</v>
      </c>
      <c r="N15" s="1044" t="str">
        <f>IF(WEEKDAY(DATE($C$5,$C$6,N$7),2)&gt;'[5]Khai báo'!$B$4,"","x")</f>
        <v/>
      </c>
      <c r="O15" s="1044" t="str">
        <f>IF(WEEKDAY(DATE($C$5,$C$6,O$7),2)&gt;'[5]Khai báo'!$B$4,"","x")</f>
        <v>x</v>
      </c>
      <c r="P15" s="1044" t="str">
        <f>IF(WEEKDAY(DATE($C$5,$C$6,P$7),2)&gt;'[5]Khai báo'!$B$4,"","x")</f>
        <v>x</v>
      </c>
      <c r="Q15" s="1044" t="str">
        <f>IF(WEEKDAY(DATE($C$5,$C$6,Q$7),2)&gt;'[5]Khai báo'!$B$4,"","x")</f>
        <v>x</v>
      </c>
      <c r="R15" s="1044" t="str">
        <f>IF(WEEKDAY(DATE($C$5,$C$6,R$7),2)&gt;'[5]Khai báo'!$B$4,"","x")</f>
        <v>x</v>
      </c>
      <c r="S15" s="1044" t="str">
        <f>IF(WEEKDAY(DATE($C$5,$C$6,S$7),2)&gt;'[5]Khai báo'!$B$4,"","x")</f>
        <v>x</v>
      </c>
      <c r="T15" s="1044" t="str">
        <f>IF(WEEKDAY(DATE($C$5,$C$6,T$7),2)&gt;'[5]Khai báo'!$B$4,"","x")</f>
        <v>x</v>
      </c>
      <c r="U15" s="1044" t="str">
        <f>IF(WEEKDAY(DATE($C$5,$C$6,U$7),2)&gt;'[5]Khai báo'!$B$4,"","x")</f>
        <v/>
      </c>
      <c r="V15" s="1044" t="str">
        <f>IF(WEEKDAY(DATE($C$5,$C$6,V$7),2)&gt;'[5]Khai báo'!$B$4,"","x")</f>
        <v>x</v>
      </c>
      <c r="W15" s="1044" t="str">
        <f>IF(WEEKDAY(DATE($C$5,$C$6,W$7),2)&gt;'[5]Khai báo'!$B$4,"","x")</f>
        <v>x</v>
      </c>
      <c r="X15" s="1044" t="str">
        <f>IF(WEEKDAY(DATE($C$5,$C$6,X$7),2)&gt;'[5]Khai báo'!$B$4,"","x")</f>
        <v>x</v>
      </c>
      <c r="Y15" s="1044" t="str">
        <f>IF(WEEKDAY(DATE($C$5,$C$6,Y$7),2)&gt;'[5]Khai báo'!$B$4,"","x")</f>
        <v>x</v>
      </c>
      <c r="Z15" s="1044" t="str">
        <f>IF(WEEKDAY(DATE($C$5,$C$6,Z$7),2)&gt;'[5]Khai báo'!$B$4,"","x")</f>
        <v>x</v>
      </c>
      <c r="AA15" s="1044" t="str">
        <f>IF(WEEKDAY(DATE($C$5,$C$6,AA$7),2)&gt;'[5]Khai báo'!$B$4,"","x")</f>
        <v>x</v>
      </c>
      <c r="AB15" s="1044" t="str">
        <f>IF(WEEKDAY(DATE($C$5,$C$6,AB$7),2)&gt;'[5]Khai báo'!$B$4,"","x")</f>
        <v/>
      </c>
      <c r="AC15" s="1044" t="str">
        <f>IF(WEEKDAY(DATE($C$5,$C$6,AC$7),2)&gt;'[5]Khai báo'!$B$4,"","x")</f>
        <v>x</v>
      </c>
      <c r="AD15" s="1044" t="str">
        <f>IF(WEEKDAY(DATE($C$5,$C$6,AD$7),2)&gt;'[5]Khai báo'!$B$4,"","x")</f>
        <v>x</v>
      </c>
      <c r="AE15" s="1044" t="str">
        <f>IF(WEEKDAY(DATE($C$5,$C$6,AE$7),2)&gt;'[5]Khai báo'!$B$4,"","x")</f>
        <v>x</v>
      </c>
      <c r="AF15" s="1046" t="str">
        <f>IF(AF13="","",IF(WEEKDAY(DATE($C$5,$C$6,AF$7),2)&gt;'[5]Khai báo'!$B$4,"","x"))</f>
        <v>x</v>
      </c>
      <c r="AG15" s="1046" t="str">
        <f>IF(AG13="","",IF(WEEKDAY(DATE($C$5,$C$6,AG$7),2)&gt;'[5]Khai báo'!$B$4,"","x"))</f>
        <v/>
      </c>
      <c r="AH15" s="1046" t="str">
        <f>IF(AH13="","",IF(WEEKDAY(DATE($C$5,$C$6,AH$7),2)&gt;'[5]Khai báo'!$B$4,"","x"))</f>
        <v/>
      </c>
      <c r="AI15" s="1488">
        <f t="shared" si="1"/>
        <v>25</v>
      </c>
    </row>
    <row r="16" spans="1:44" hidden="1">
      <c r="A16" s="1050"/>
      <c r="B16" s="1044"/>
      <c r="C16" s="1050" t="s">
        <v>59</v>
      </c>
      <c r="D16" s="1044" t="str">
        <f>IF(WEEKDAY(DATE($C$5,$C$6,D$7),2)&gt;'[5]Khai báo'!$B$4,"","x")</f>
        <v>x</v>
      </c>
      <c r="E16" s="1044" t="str">
        <f>IF(WEEKDAY(DATE($C$5,$C$6,E$7),2)&gt;'[5]Khai báo'!$B$4,"","x")</f>
        <v>x</v>
      </c>
      <c r="F16" s="1044" t="str">
        <f>IF(WEEKDAY(DATE($C$5,$C$6,F$7),2)&gt;'[5]Khai báo'!$B$4,"","x")</f>
        <v>x</v>
      </c>
      <c r="G16" s="1044" t="str">
        <f>IF(WEEKDAY(DATE($C$5,$C$6,G$7),2)&gt;'[5]Khai báo'!$B$4,"","x")</f>
        <v/>
      </c>
      <c r="H16" s="1045" t="str">
        <f>IF(WEEKDAY(DATE($C$5,$C$6,H$7),2)&gt;'[5]Khai báo'!$B$4,"","x")</f>
        <v>x</v>
      </c>
      <c r="I16" s="1044" t="str">
        <f>IF(WEEKDAY(DATE($C$5,$C$6,I$7),2)&gt;'[5]Khai báo'!$B$4,"","x")</f>
        <v>x</v>
      </c>
      <c r="J16" s="1044" t="str">
        <f>IF(WEEKDAY(DATE($C$5,$C$6,J$7),2)&gt;'[5]Khai báo'!$B$4,"","x")</f>
        <v>x</v>
      </c>
      <c r="K16" s="1044" t="str">
        <f>IF(WEEKDAY(DATE($C$5,$C$6,K$7),2)&gt;'[5]Khai báo'!$B$4,"","x")</f>
        <v>x</v>
      </c>
      <c r="L16" s="1044" t="str">
        <f>IF(WEEKDAY(DATE($C$5,$C$6,L$7),2)&gt;'[5]Khai báo'!$B$4,"","x")</f>
        <v>x</v>
      </c>
      <c r="M16" s="1044" t="str">
        <f>IF(WEEKDAY(DATE($C$5,$C$6,M$7),2)&gt;'[5]Khai báo'!$B$4,"","x")</f>
        <v>x</v>
      </c>
      <c r="N16" s="1044" t="str">
        <f>IF(WEEKDAY(DATE($C$5,$C$6,N$7),2)&gt;'[5]Khai báo'!$B$4,"","x")</f>
        <v/>
      </c>
      <c r="O16" s="1044" t="str">
        <f>IF(WEEKDAY(DATE($C$5,$C$6,O$7),2)&gt;'[5]Khai báo'!$B$4,"","x")</f>
        <v>x</v>
      </c>
      <c r="P16" s="1044" t="str">
        <f>IF(WEEKDAY(DATE($C$5,$C$6,P$7),2)&gt;'[5]Khai báo'!$B$4,"","x")</f>
        <v>x</v>
      </c>
      <c r="Q16" s="1044" t="str">
        <f>IF(WEEKDAY(DATE($C$5,$C$6,Q$7),2)&gt;'[5]Khai báo'!$B$4,"","x")</f>
        <v>x</v>
      </c>
      <c r="R16" s="1044" t="str">
        <f>IF(WEEKDAY(DATE($C$5,$C$6,R$7),2)&gt;'[5]Khai báo'!$B$4,"","x")</f>
        <v>x</v>
      </c>
      <c r="S16" s="1044" t="str">
        <f>IF(WEEKDAY(DATE($C$5,$C$6,S$7),2)&gt;'[5]Khai báo'!$B$4,"","x")</f>
        <v>x</v>
      </c>
      <c r="T16" s="1044" t="str">
        <f>IF(WEEKDAY(DATE($C$5,$C$6,T$7),2)&gt;'[5]Khai báo'!$B$4,"","x")</f>
        <v>x</v>
      </c>
      <c r="U16" s="1044" t="str">
        <f>IF(WEEKDAY(DATE($C$5,$C$6,U$7),2)&gt;'[5]Khai báo'!$B$4,"","x")</f>
        <v/>
      </c>
      <c r="V16" s="1044" t="str">
        <f>IF(WEEKDAY(DATE($C$5,$C$6,V$7),2)&gt;'[5]Khai báo'!$B$4,"","x")</f>
        <v>x</v>
      </c>
      <c r="W16" s="1044" t="str">
        <f>IF(WEEKDAY(DATE($C$5,$C$6,W$7),2)&gt;'[5]Khai báo'!$B$4,"","x")</f>
        <v>x</v>
      </c>
      <c r="X16" s="1044" t="str">
        <f>IF(WEEKDAY(DATE($C$5,$C$6,X$7),2)&gt;'[5]Khai báo'!$B$4,"","x")</f>
        <v>x</v>
      </c>
      <c r="Y16" s="1044" t="str">
        <f>IF(WEEKDAY(DATE($C$5,$C$6,Y$7),2)&gt;'[5]Khai báo'!$B$4,"","x")</f>
        <v>x</v>
      </c>
      <c r="Z16" s="1044" t="str">
        <f>IF(WEEKDAY(DATE($C$5,$C$6,Z$7),2)&gt;'[5]Khai báo'!$B$4,"","x")</f>
        <v>x</v>
      </c>
      <c r="AA16" s="1044" t="str">
        <f>IF(WEEKDAY(DATE($C$5,$C$6,AA$7),2)&gt;'[5]Khai báo'!$B$4,"","x")</f>
        <v>x</v>
      </c>
      <c r="AB16" s="1044" t="str">
        <f>IF(WEEKDAY(DATE($C$5,$C$6,AB$7),2)&gt;'[5]Khai báo'!$B$4,"","x")</f>
        <v/>
      </c>
      <c r="AC16" s="1044" t="str">
        <f>IF(WEEKDAY(DATE($C$5,$C$6,AC$7),2)&gt;'[5]Khai báo'!$B$4,"","x")</f>
        <v>x</v>
      </c>
      <c r="AD16" s="1044" t="str">
        <f>IF(WEEKDAY(DATE($C$5,$C$6,AD$7),2)&gt;'[5]Khai báo'!$B$4,"","x")</f>
        <v>x</v>
      </c>
      <c r="AE16" s="1044" t="str">
        <f>IF(WEEKDAY(DATE($C$5,$C$6,AE$7),2)&gt;'[5]Khai báo'!$B$4,"","x")</f>
        <v>x</v>
      </c>
      <c r="AF16" s="1046" t="str">
        <f>IF(AF14="","",IF(WEEKDAY(DATE($C$5,$C$6,AF$7),2)&gt;'[5]Khai báo'!$B$4,"","x"))</f>
        <v>x</v>
      </c>
      <c r="AG16" s="1046" t="str">
        <f>IF(AG14="","",IF(WEEKDAY(DATE($C$5,$C$6,AG$7),2)&gt;'[5]Khai báo'!$B$4,"","x"))</f>
        <v/>
      </c>
      <c r="AH16" s="1046" t="str">
        <f>IF(AH14="","",IF(WEEKDAY(DATE($C$5,$C$6,AH$7),2)&gt;'[5]Khai báo'!$B$4,"","x"))</f>
        <v/>
      </c>
      <c r="AI16" s="1488">
        <f t="shared" si="1"/>
        <v>25</v>
      </c>
    </row>
    <row r="17" spans="1:35" hidden="1">
      <c r="A17" s="1050">
        <v>7</v>
      </c>
      <c r="B17" s="1044"/>
      <c r="C17" s="1050" t="s">
        <v>467</v>
      </c>
      <c r="D17" s="1044" t="str">
        <f>IF(WEEKDAY(DATE($C$5,$C$6,D$7),2)&gt;'[5]Khai báo'!$B$4,"","x")</f>
        <v>x</v>
      </c>
      <c r="E17" s="1044" t="str">
        <f>IF(WEEKDAY(DATE($C$5,$C$6,E$7),2)&gt;'[5]Khai báo'!$B$4,"","x")</f>
        <v>x</v>
      </c>
      <c r="F17" s="1044" t="str">
        <f>IF(WEEKDAY(DATE($C$5,$C$6,F$7),2)&gt;'[5]Khai báo'!$B$4,"","x")</f>
        <v>x</v>
      </c>
      <c r="G17" s="1044" t="str">
        <f>IF(WEEKDAY(DATE($C$5,$C$6,G$7),2)&gt;'[5]Khai báo'!$B$4,"","x")</f>
        <v/>
      </c>
      <c r="H17" s="1045" t="str">
        <f>IF(WEEKDAY(DATE($C$5,$C$6,H$7),2)&gt;'[5]Khai báo'!$B$4,"","x")</f>
        <v>x</v>
      </c>
      <c r="I17" s="1044" t="str">
        <f>IF(WEEKDAY(DATE($C$5,$C$6,I$7),2)&gt;'[5]Khai báo'!$B$4,"","x")</f>
        <v>x</v>
      </c>
      <c r="J17" s="1044" t="str">
        <f>IF(WEEKDAY(DATE($C$5,$C$6,J$7),2)&gt;'[5]Khai báo'!$B$4,"","x")</f>
        <v>x</v>
      </c>
      <c r="K17" s="1044" t="str">
        <f>IF(WEEKDAY(DATE($C$5,$C$6,K$7),2)&gt;'[5]Khai báo'!$B$4,"","x")</f>
        <v>x</v>
      </c>
      <c r="L17" s="1044" t="str">
        <f>IF(WEEKDAY(DATE($C$5,$C$6,L$7),2)&gt;'[5]Khai báo'!$B$4,"","x")</f>
        <v>x</v>
      </c>
      <c r="M17" s="1044" t="str">
        <f>IF(WEEKDAY(DATE($C$5,$C$6,M$7),2)&gt;'[5]Khai báo'!$B$4,"","x")</f>
        <v>x</v>
      </c>
      <c r="N17" s="1044" t="str">
        <f>IF(WEEKDAY(DATE($C$5,$C$6,N$7),2)&gt;'[5]Khai báo'!$B$4,"","x")</f>
        <v/>
      </c>
      <c r="O17" s="1044" t="str">
        <f>IF(WEEKDAY(DATE($C$5,$C$6,O$7),2)&gt;'[5]Khai báo'!$B$4,"","x")</f>
        <v>x</v>
      </c>
      <c r="P17" s="1044" t="str">
        <f>IF(WEEKDAY(DATE($C$5,$C$6,P$7),2)&gt;'[5]Khai báo'!$B$4,"","x")</f>
        <v>x</v>
      </c>
      <c r="Q17" s="1044" t="str">
        <f>IF(WEEKDAY(DATE($C$5,$C$6,Q$7),2)&gt;'[5]Khai báo'!$B$4,"","x")</f>
        <v>x</v>
      </c>
      <c r="R17" s="1044" t="str">
        <f>IF(WEEKDAY(DATE($C$5,$C$6,R$7),2)&gt;'[5]Khai báo'!$B$4,"","x")</f>
        <v>x</v>
      </c>
      <c r="S17" s="1044" t="str">
        <f>IF(WEEKDAY(DATE($C$5,$C$6,S$7),2)&gt;'[5]Khai báo'!$B$4,"","x")</f>
        <v>x</v>
      </c>
      <c r="T17" s="1044" t="str">
        <f>IF(WEEKDAY(DATE($C$5,$C$6,T$7),2)&gt;'[5]Khai báo'!$B$4,"","x")</f>
        <v>x</v>
      </c>
      <c r="U17" s="1044" t="str">
        <f>IF(WEEKDAY(DATE($C$5,$C$6,U$7),2)&gt;'[5]Khai báo'!$B$4,"","x")</f>
        <v/>
      </c>
      <c r="V17" s="1044" t="str">
        <f>IF(WEEKDAY(DATE($C$5,$C$6,V$7),2)&gt;'[5]Khai báo'!$B$4,"","x")</f>
        <v>x</v>
      </c>
      <c r="W17" s="1044" t="str">
        <f>IF(WEEKDAY(DATE($C$5,$C$6,W$7),2)&gt;'[5]Khai báo'!$B$4,"","x")</f>
        <v>x</v>
      </c>
      <c r="X17" s="1044" t="str">
        <f>IF(WEEKDAY(DATE($C$5,$C$6,X$7),2)&gt;'[5]Khai báo'!$B$4,"","x")</f>
        <v>x</v>
      </c>
      <c r="Y17" s="1044" t="str">
        <f>IF(WEEKDAY(DATE($C$5,$C$6,Y$7),2)&gt;'[5]Khai báo'!$B$4,"","x")</f>
        <v>x</v>
      </c>
      <c r="Z17" s="1044" t="str">
        <f>IF(WEEKDAY(DATE($C$5,$C$6,Z$7),2)&gt;'[5]Khai báo'!$B$4,"","x")</f>
        <v>x</v>
      </c>
      <c r="AA17" s="1044" t="str">
        <f>IF(WEEKDAY(DATE($C$5,$C$6,AA$7),2)&gt;'[5]Khai báo'!$B$4,"","x")</f>
        <v>x</v>
      </c>
      <c r="AB17" s="1044" t="str">
        <f>IF(WEEKDAY(DATE($C$5,$C$6,AB$7),2)&gt;'[5]Khai báo'!$B$4,"","x")</f>
        <v/>
      </c>
      <c r="AC17" s="1044" t="str">
        <f>IF(WEEKDAY(DATE($C$5,$C$6,AC$7),2)&gt;'[5]Khai báo'!$B$4,"","x")</f>
        <v>x</v>
      </c>
      <c r="AD17" s="1044" t="str">
        <f>IF(WEEKDAY(DATE($C$5,$C$6,AD$7),2)&gt;'[5]Khai báo'!$B$4,"","x")</f>
        <v>x</v>
      </c>
      <c r="AE17" s="1044" t="str">
        <f>IF(WEEKDAY(DATE($C$5,$C$6,AE$7),2)&gt;'[5]Khai báo'!$B$4,"","x")</f>
        <v>x</v>
      </c>
      <c r="AF17" s="1046" t="str">
        <f>IF(AF15="","",IF(WEEKDAY(DATE($C$5,$C$6,AF$7),2)&gt;'[5]Khai báo'!$B$4,"","x"))</f>
        <v>x</v>
      </c>
      <c r="AG17" s="1046" t="str">
        <f>IF(AG15="","",IF(WEEKDAY(DATE($C$5,$C$6,AG$7),2)&gt;'[5]Khai báo'!$B$4,"","x"))</f>
        <v/>
      </c>
      <c r="AH17" s="1046" t="str">
        <f>IF(AH15="","",IF(WEEKDAY(DATE($C$5,$C$6,AH$7),2)&gt;'[5]Khai báo'!$B$4,"","x"))</f>
        <v/>
      </c>
      <c r="AI17" s="1488">
        <f t="shared" si="1"/>
        <v>25</v>
      </c>
    </row>
    <row r="18" spans="1:35">
      <c r="A18" s="1050">
        <v>7</v>
      </c>
      <c r="B18" s="1044"/>
      <c r="C18" s="1050" t="s">
        <v>308</v>
      </c>
      <c r="D18" s="1044" t="str">
        <f>IF(WEEKDAY(DATE($C$5,$C$6,D$7),2)&gt;'[5]Khai báo'!$B$4,"","x")</f>
        <v>x</v>
      </c>
      <c r="E18" s="1044" t="str">
        <f>IF(WEEKDAY(DATE($C$5,$C$6,E$7),2)&gt;'[5]Khai báo'!$B$4,"","x")</f>
        <v>x</v>
      </c>
      <c r="F18" s="1044" t="str">
        <f>IF(WEEKDAY(DATE($C$5,$C$6,F$7),2)&gt;'[5]Khai báo'!$B$4,"","x")</f>
        <v>x</v>
      </c>
      <c r="G18" s="1044" t="str">
        <f>IF(WEEKDAY(DATE($C$5,$C$6,G$7),2)&gt;'[5]Khai báo'!$B$4,"","x")</f>
        <v/>
      </c>
      <c r="H18" s="1045" t="str">
        <f>IF(WEEKDAY(DATE($C$5,$C$6,H$7),2)&gt;'[5]Khai báo'!$B$4,"","x")</f>
        <v>x</v>
      </c>
      <c r="I18" s="1044" t="str">
        <f>IF(WEEKDAY(DATE($C$5,$C$6,I$7),2)&gt;'[5]Khai báo'!$B$4,"","x")</f>
        <v>x</v>
      </c>
      <c r="J18" s="1044" t="str">
        <f>IF(WEEKDAY(DATE($C$5,$C$6,J$7),2)&gt;'[5]Khai báo'!$B$4,"","x")</f>
        <v>x</v>
      </c>
      <c r="K18" s="1044" t="str">
        <f>IF(WEEKDAY(DATE($C$5,$C$6,K$7),2)&gt;'[5]Khai báo'!$B$4,"","x")</f>
        <v>x</v>
      </c>
      <c r="L18" s="1044" t="str">
        <f>IF(WEEKDAY(DATE($C$5,$C$6,L$7),2)&gt;'[5]Khai báo'!$B$4,"","x")</f>
        <v>x</v>
      </c>
      <c r="M18" s="1044" t="str">
        <f>IF(WEEKDAY(DATE($C$5,$C$6,M$7),2)&gt;'[5]Khai báo'!$B$4,"","x")</f>
        <v>x</v>
      </c>
      <c r="N18" s="1044" t="str">
        <f>IF(WEEKDAY(DATE($C$5,$C$6,N$7),2)&gt;'[5]Khai báo'!$B$4,"","x")</f>
        <v/>
      </c>
      <c r="O18" s="1044" t="str">
        <f>IF(WEEKDAY(DATE($C$5,$C$6,O$7),2)&gt;'[5]Khai báo'!$B$4,"","x")</f>
        <v>x</v>
      </c>
      <c r="P18" s="1044" t="str">
        <f>IF(WEEKDAY(DATE($C$5,$C$6,P$7),2)&gt;'[5]Khai báo'!$B$4,"","x")</f>
        <v>x</v>
      </c>
      <c r="Q18" s="1044" t="str">
        <f>IF(WEEKDAY(DATE($C$5,$C$6,Q$7),2)&gt;'[5]Khai báo'!$B$4,"","x")</f>
        <v>x</v>
      </c>
      <c r="R18" s="1044" t="str">
        <f>IF(WEEKDAY(DATE($C$5,$C$6,R$7),2)&gt;'[5]Khai báo'!$B$4,"","x")</f>
        <v>x</v>
      </c>
      <c r="S18" s="1044" t="str">
        <f>IF(WEEKDAY(DATE($C$5,$C$6,S$7),2)&gt;'[5]Khai báo'!$B$4,"","x")</f>
        <v>x</v>
      </c>
      <c r="T18" s="1044" t="str">
        <f>IF(WEEKDAY(DATE($C$5,$C$6,T$7),2)&gt;'[5]Khai báo'!$B$4,"","x")</f>
        <v>x</v>
      </c>
      <c r="U18" s="1044" t="str">
        <f>IF(WEEKDAY(DATE($C$5,$C$6,U$7),2)&gt;'[5]Khai báo'!$B$4,"","x")</f>
        <v/>
      </c>
      <c r="V18" s="1044" t="str">
        <f>IF(WEEKDAY(DATE($C$5,$C$6,V$7),2)&gt;'[5]Khai báo'!$B$4,"","x")</f>
        <v>x</v>
      </c>
      <c r="W18" s="1044" t="str">
        <f>IF(WEEKDAY(DATE($C$5,$C$6,W$7),2)&gt;'[5]Khai báo'!$B$4,"","x")</f>
        <v>x</v>
      </c>
      <c r="X18" s="1044" t="str">
        <f>IF(WEEKDAY(DATE($C$5,$C$6,X$7),2)&gt;'[5]Khai báo'!$B$4,"","x")</f>
        <v>x</v>
      </c>
      <c r="Y18" s="1044" t="str">
        <f>IF(WEEKDAY(DATE($C$5,$C$6,Y$7),2)&gt;'[5]Khai báo'!$B$4,"","x")</f>
        <v>x</v>
      </c>
      <c r="Z18" s="1044" t="str">
        <f>IF(WEEKDAY(DATE($C$5,$C$6,Z$7),2)&gt;'[5]Khai báo'!$B$4,"","x")</f>
        <v>x</v>
      </c>
      <c r="AA18" s="1044" t="str">
        <f>IF(WEEKDAY(DATE($C$5,$C$6,AA$7),2)&gt;'[5]Khai báo'!$B$4,"","x")</f>
        <v>x</v>
      </c>
      <c r="AB18" s="1044" t="str">
        <f>IF(WEEKDAY(DATE($C$5,$C$6,AB$7),2)&gt;'[5]Khai báo'!$B$4,"","x")</f>
        <v/>
      </c>
      <c r="AC18" s="1044" t="str">
        <f>IF(WEEKDAY(DATE($C$5,$C$6,AC$7),2)&gt;'[5]Khai báo'!$B$4,"","x")</f>
        <v>x</v>
      </c>
      <c r="AD18" s="1044" t="str">
        <f>IF(WEEKDAY(DATE($C$5,$C$6,AD$7),2)&gt;'[5]Khai báo'!$B$4,"","x")</f>
        <v>x</v>
      </c>
      <c r="AE18" s="1044" t="str">
        <f>IF(WEEKDAY(DATE($C$5,$C$6,AE$7),2)&gt;'[5]Khai báo'!$B$4,"","x")</f>
        <v>x</v>
      </c>
      <c r="AF18" s="1046" t="str">
        <f>IF(AF16="","",IF(WEEKDAY(DATE($C$5,$C$6,AF$7),2)&gt;'[5]Khai báo'!$B$4,"","x"))</f>
        <v>x</v>
      </c>
      <c r="AG18" s="1046" t="str">
        <f>IF(AG16="","",IF(WEEKDAY(DATE($C$5,$C$6,AG$7),2)&gt;'[5]Khai báo'!$B$4,"","x"))</f>
        <v/>
      </c>
      <c r="AH18" s="1046" t="str">
        <f>IF(AH16="","",IF(WEEKDAY(DATE($C$5,$C$6,AH$7),2)&gt;'[5]Khai báo'!$B$4,"","x"))</f>
        <v/>
      </c>
      <c r="AI18" s="1488">
        <f t="shared" si="1"/>
        <v>25</v>
      </c>
    </row>
    <row r="19" spans="1:35">
      <c r="A19" s="1050">
        <v>8</v>
      </c>
      <c r="B19" s="1044"/>
      <c r="C19" s="1050" t="s">
        <v>32</v>
      </c>
      <c r="D19" s="1044" t="str">
        <f>IF(WEEKDAY(DATE($C$5,$C$6,D$7),2)&gt;'[5]Khai báo'!$B$4,"","x")</f>
        <v>x</v>
      </c>
      <c r="E19" s="1044" t="str">
        <f>IF(WEEKDAY(DATE($C$5,$C$6,E$7),2)&gt;'[5]Khai báo'!$B$4,"","x")</f>
        <v>x</v>
      </c>
      <c r="F19" s="1044" t="str">
        <f>IF(WEEKDAY(DATE($C$5,$C$6,F$7),2)&gt;'[5]Khai báo'!$B$4,"","x")</f>
        <v>x</v>
      </c>
      <c r="G19" s="1044" t="str">
        <f>IF(WEEKDAY(DATE($C$5,$C$6,G$7),2)&gt;'[5]Khai báo'!$B$4,"","x")</f>
        <v/>
      </c>
      <c r="H19" s="1045" t="str">
        <f>IF(WEEKDAY(DATE($C$5,$C$6,H$7),2)&gt;'[5]Khai báo'!$B$4,"","x")</f>
        <v>x</v>
      </c>
      <c r="I19" s="1044" t="str">
        <f>IF(WEEKDAY(DATE($C$5,$C$6,I$7),2)&gt;'[5]Khai báo'!$B$4,"","x")</f>
        <v>x</v>
      </c>
      <c r="J19" s="1044" t="str">
        <f>IF(WEEKDAY(DATE($C$5,$C$6,J$7),2)&gt;'[5]Khai báo'!$B$4,"","x")</f>
        <v>x</v>
      </c>
      <c r="K19" s="1044" t="str">
        <f>IF(WEEKDAY(DATE($C$5,$C$6,K$7),2)&gt;'[5]Khai báo'!$B$4,"","x")</f>
        <v>x</v>
      </c>
      <c r="L19" s="1044" t="str">
        <f>IF(WEEKDAY(DATE($C$5,$C$6,L$7),2)&gt;'[5]Khai báo'!$B$4,"","x")</f>
        <v>x</v>
      </c>
      <c r="M19" s="1044" t="str">
        <f>IF(WEEKDAY(DATE($C$5,$C$6,M$7),2)&gt;'[5]Khai báo'!$B$4,"","x")</f>
        <v>x</v>
      </c>
      <c r="N19" s="1044" t="str">
        <f>IF(WEEKDAY(DATE($C$5,$C$6,N$7),2)&gt;'[5]Khai báo'!$B$4,"","x")</f>
        <v/>
      </c>
      <c r="O19" s="1044" t="str">
        <f>IF(WEEKDAY(DATE($C$5,$C$6,O$7),2)&gt;'[5]Khai báo'!$B$4,"","x")</f>
        <v>x</v>
      </c>
      <c r="P19" s="1044" t="str">
        <f>IF(WEEKDAY(DATE($C$5,$C$6,P$7),2)&gt;'[5]Khai báo'!$B$4,"","x")</f>
        <v>x</v>
      </c>
      <c r="Q19" s="1044" t="str">
        <f>IF(WEEKDAY(DATE($C$5,$C$6,Q$7),2)&gt;'[5]Khai báo'!$B$4,"","x")</f>
        <v>x</v>
      </c>
      <c r="R19" s="1044" t="str">
        <f>IF(WEEKDAY(DATE($C$5,$C$6,R$7),2)&gt;'[5]Khai báo'!$B$4,"","x")</f>
        <v>x</v>
      </c>
      <c r="S19" s="1044" t="str">
        <f>IF(WEEKDAY(DATE($C$5,$C$6,S$7),2)&gt;'[5]Khai báo'!$B$4,"","x")</f>
        <v>x</v>
      </c>
      <c r="T19" s="1044" t="str">
        <f>IF(WEEKDAY(DATE($C$5,$C$6,T$7),2)&gt;'[5]Khai báo'!$B$4,"","x")</f>
        <v>x</v>
      </c>
      <c r="U19" s="1044" t="str">
        <f>IF(WEEKDAY(DATE($C$5,$C$6,U$7),2)&gt;'[5]Khai báo'!$B$4,"","x")</f>
        <v/>
      </c>
      <c r="V19" s="1044" t="str">
        <f>IF(WEEKDAY(DATE($C$5,$C$6,V$7),2)&gt;'[5]Khai báo'!$B$4,"","x")</f>
        <v>x</v>
      </c>
      <c r="W19" s="1044" t="str">
        <f>IF(WEEKDAY(DATE($C$5,$C$6,W$7),2)&gt;'[5]Khai báo'!$B$4,"","x")</f>
        <v>x</v>
      </c>
      <c r="X19" s="1044" t="str">
        <f>IF(WEEKDAY(DATE($C$5,$C$6,X$7),2)&gt;'[5]Khai báo'!$B$4,"","x")</f>
        <v>x</v>
      </c>
      <c r="Y19" s="1044" t="str">
        <f>IF(WEEKDAY(DATE($C$5,$C$6,Y$7),2)&gt;'[5]Khai báo'!$B$4,"","x")</f>
        <v>x</v>
      </c>
      <c r="Z19" s="1044" t="str">
        <f>IF(WEEKDAY(DATE($C$5,$C$6,Z$7),2)&gt;'[5]Khai báo'!$B$4,"","x")</f>
        <v>x</v>
      </c>
      <c r="AA19" s="1044" t="str">
        <f>IF(WEEKDAY(DATE($C$5,$C$6,AA$7),2)&gt;'[5]Khai báo'!$B$4,"","x")</f>
        <v>x</v>
      </c>
      <c r="AB19" s="1044" t="str">
        <f>IF(WEEKDAY(DATE($C$5,$C$6,AB$7),2)&gt;'[5]Khai báo'!$B$4,"","x")</f>
        <v/>
      </c>
      <c r="AC19" s="1044" t="str">
        <f>IF(WEEKDAY(DATE($C$5,$C$6,AC$7),2)&gt;'[5]Khai báo'!$B$4,"","x")</f>
        <v>x</v>
      </c>
      <c r="AD19" s="1044" t="str">
        <f>IF(WEEKDAY(DATE($C$5,$C$6,AD$7),2)&gt;'[5]Khai báo'!$B$4,"","x")</f>
        <v>x</v>
      </c>
      <c r="AE19" s="1044" t="str">
        <f>IF(WEEKDAY(DATE($C$5,$C$6,AE$7),2)&gt;'[5]Khai báo'!$B$4,"","x")</f>
        <v>x</v>
      </c>
      <c r="AF19" s="1046" t="str">
        <f>IF(AF17="","",IF(WEEKDAY(DATE($C$5,$C$6,AF$7),2)&gt;'[5]Khai báo'!$B$4,"","x"))</f>
        <v>x</v>
      </c>
      <c r="AG19" s="1046" t="str">
        <f>IF(AG17="","",IF(WEEKDAY(DATE($C$5,$C$6,AG$7),2)&gt;'[5]Khai báo'!$B$4,"","x"))</f>
        <v/>
      </c>
      <c r="AH19" s="1046" t="str">
        <f>IF(AH17="","",IF(WEEKDAY(DATE($C$5,$C$6,AH$7),2)&gt;'[5]Khai báo'!$B$4,"","x"))</f>
        <v/>
      </c>
      <c r="AI19" s="1488">
        <f t="shared" si="1"/>
        <v>25</v>
      </c>
    </row>
    <row r="20" spans="1:35">
      <c r="A20" s="1050">
        <v>9</v>
      </c>
      <c r="B20" s="1044"/>
      <c r="C20" s="1050" t="s">
        <v>1013</v>
      </c>
      <c r="D20" s="1044" t="str">
        <f>IF(WEEKDAY(DATE($C$5,$C$6,D$7),2)&gt;'[5]Khai báo'!$B$4,"","x")</f>
        <v>x</v>
      </c>
      <c r="E20" s="1044" t="str">
        <f>IF(WEEKDAY(DATE($C$5,$C$6,E$7),2)&gt;'[5]Khai báo'!$B$4,"","x")</f>
        <v>x</v>
      </c>
      <c r="F20" s="1044" t="str">
        <f>IF(WEEKDAY(DATE($C$5,$C$6,F$7),2)&gt;'[5]Khai báo'!$B$4,"","x")</f>
        <v>x</v>
      </c>
      <c r="G20" s="1044" t="str">
        <f>IF(WEEKDAY(DATE($C$5,$C$6,G$7),2)&gt;'[5]Khai báo'!$B$4,"","x")</f>
        <v/>
      </c>
      <c r="H20" s="1045" t="str">
        <f>IF(WEEKDAY(DATE($C$5,$C$6,H$7),2)&gt;'[5]Khai báo'!$B$4,"","x")</f>
        <v>x</v>
      </c>
      <c r="I20" s="1044" t="str">
        <f>IF(WEEKDAY(DATE($C$5,$C$6,I$7),2)&gt;'[5]Khai báo'!$B$4,"","x")</f>
        <v>x</v>
      </c>
      <c r="J20" s="1044" t="str">
        <f>IF(WEEKDAY(DATE($C$5,$C$6,J$7),2)&gt;'[5]Khai báo'!$B$4,"","x")</f>
        <v>x</v>
      </c>
      <c r="K20" s="1044" t="str">
        <f>IF(WEEKDAY(DATE($C$5,$C$6,K$7),2)&gt;'[5]Khai báo'!$B$4,"","x")</f>
        <v>x</v>
      </c>
      <c r="L20" s="1044" t="str">
        <f>IF(WEEKDAY(DATE($C$5,$C$6,L$7),2)&gt;'[5]Khai báo'!$B$4,"","x")</f>
        <v>x</v>
      </c>
      <c r="M20" s="1044" t="str">
        <f>IF(WEEKDAY(DATE($C$5,$C$6,M$7),2)&gt;'[5]Khai báo'!$B$4,"","x")</f>
        <v>x</v>
      </c>
      <c r="N20" s="1044" t="str">
        <f>IF(WEEKDAY(DATE($C$5,$C$6,N$7),2)&gt;'[5]Khai báo'!$B$4,"","x")</f>
        <v/>
      </c>
      <c r="O20" s="1044" t="str">
        <f>IF(WEEKDAY(DATE($C$5,$C$6,O$7),2)&gt;'[5]Khai báo'!$B$4,"","x")</f>
        <v>x</v>
      </c>
      <c r="P20" s="1044" t="str">
        <f>IF(WEEKDAY(DATE($C$5,$C$6,P$7),2)&gt;'[5]Khai báo'!$B$4,"","x")</f>
        <v>x</v>
      </c>
      <c r="Q20" s="1044" t="str">
        <f>IF(WEEKDAY(DATE($C$5,$C$6,Q$7),2)&gt;'[5]Khai báo'!$B$4,"","x")</f>
        <v>x</v>
      </c>
      <c r="R20" s="1044" t="str">
        <f>IF(WEEKDAY(DATE($C$5,$C$6,R$7),2)&gt;'[5]Khai báo'!$B$4,"","x")</f>
        <v>x</v>
      </c>
      <c r="S20" s="1044" t="str">
        <f>IF(WEEKDAY(DATE($C$5,$C$6,S$7),2)&gt;'[5]Khai báo'!$B$4,"","x")</f>
        <v>x</v>
      </c>
      <c r="T20" s="1044" t="str">
        <f>IF(WEEKDAY(DATE($C$5,$C$6,T$7),2)&gt;'[5]Khai báo'!$B$4,"","x")</f>
        <v>x</v>
      </c>
      <c r="U20" s="1044" t="str">
        <f>IF(WEEKDAY(DATE($C$5,$C$6,U$7),2)&gt;'[5]Khai báo'!$B$4,"","x")</f>
        <v/>
      </c>
      <c r="V20" s="1044" t="str">
        <f>IF(WEEKDAY(DATE($C$5,$C$6,V$7),2)&gt;'[5]Khai báo'!$B$4,"","x")</f>
        <v>x</v>
      </c>
      <c r="W20" s="1044" t="str">
        <f>IF(WEEKDAY(DATE($C$5,$C$6,W$7),2)&gt;'[5]Khai báo'!$B$4,"","x")</f>
        <v>x</v>
      </c>
      <c r="X20" s="1044" t="str">
        <f>IF(WEEKDAY(DATE($C$5,$C$6,X$7),2)&gt;'[5]Khai báo'!$B$4,"","x")</f>
        <v>x</v>
      </c>
      <c r="Y20" s="1044" t="str">
        <f>IF(WEEKDAY(DATE($C$5,$C$6,Y$7),2)&gt;'[5]Khai báo'!$B$4,"","x")</f>
        <v>x</v>
      </c>
      <c r="Z20" s="1044" t="str">
        <f>IF(WEEKDAY(DATE($C$5,$C$6,Z$7),2)&gt;'[5]Khai báo'!$B$4,"","x")</f>
        <v>x</v>
      </c>
      <c r="AA20" s="1044" t="str">
        <f>IF(WEEKDAY(DATE($C$5,$C$6,AA$7),2)&gt;'[5]Khai báo'!$B$4,"","x")</f>
        <v>x</v>
      </c>
      <c r="AB20" s="1044" t="str">
        <f>IF(WEEKDAY(DATE($C$5,$C$6,AB$7),2)&gt;'[5]Khai báo'!$B$4,"","x")</f>
        <v/>
      </c>
      <c r="AC20" s="1044" t="str">
        <f>IF(WEEKDAY(DATE($C$5,$C$6,AC$7),2)&gt;'[5]Khai báo'!$B$4,"","x")</f>
        <v>x</v>
      </c>
      <c r="AD20" s="1044" t="str">
        <f>IF(WEEKDAY(DATE($C$5,$C$6,AD$7),2)&gt;'[5]Khai báo'!$B$4,"","x")</f>
        <v>x</v>
      </c>
      <c r="AE20" s="1044" t="str">
        <f>IF(WEEKDAY(DATE($C$5,$C$6,AE$7),2)&gt;'[5]Khai báo'!$B$4,"","x")</f>
        <v>x</v>
      </c>
      <c r="AF20" s="1046" t="str">
        <f>IF(AF18="","",IF(WEEKDAY(DATE($C$5,$C$6,AF$7),2)&gt;'[5]Khai báo'!$B$4,"","x"))</f>
        <v>x</v>
      </c>
      <c r="AG20" s="1046" t="str">
        <f>IF(AG18="","",IF(WEEKDAY(DATE($C$5,$C$6,AG$7),2)&gt;'[5]Khai báo'!$B$4,"","x"))</f>
        <v/>
      </c>
      <c r="AH20" s="1046" t="str">
        <f>IF(AH18="","",IF(WEEKDAY(DATE($C$5,$C$6,AH$7),2)&gt;'[5]Khai báo'!$B$4,"","x"))</f>
        <v/>
      </c>
      <c r="AI20" s="1488">
        <f t="shared" si="1"/>
        <v>25</v>
      </c>
    </row>
    <row r="21" spans="1:35" hidden="1">
      <c r="A21" s="1050">
        <v>11</v>
      </c>
      <c r="B21" s="1044"/>
      <c r="C21" s="1050" t="s">
        <v>967</v>
      </c>
      <c r="D21" s="1044" t="str">
        <f>IF(WEEKDAY(DATE($C$5,$C$6,D$7),2)&gt;'[5]Khai báo'!$B$4,"","x")</f>
        <v>x</v>
      </c>
      <c r="E21" s="1044" t="str">
        <f>IF(WEEKDAY(DATE($C$5,$C$6,E$7),2)&gt;'[5]Khai báo'!$B$4,"","x")</f>
        <v>x</v>
      </c>
      <c r="F21" s="1044" t="str">
        <f>IF(WEEKDAY(DATE($C$5,$C$6,F$7),2)&gt;'[5]Khai báo'!$B$4,"","x")</f>
        <v>x</v>
      </c>
      <c r="G21" s="1044" t="str">
        <f>IF(WEEKDAY(DATE($C$5,$C$6,G$7),2)&gt;'[5]Khai báo'!$B$4,"","x")</f>
        <v/>
      </c>
      <c r="H21" s="1045" t="str">
        <f>IF(WEEKDAY(DATE($C$5,$C$6,H$7),2)&gt;'[5]Khai báo'!$B$4,"","x")</f>
        <v>x</v>
      </c>
      <c r="I21" s="1044" t="str">
        <f>IF(WEEKDAY(DATE($C$5,$C$6,I$7),2)&gt;'[5]Khai báo'!$B$4,"","x")</f>
        <v>x</v>
      </c>
      <c r="J21" s="1044" t="str">
        <f>IF(WEEKDAY(DATE($C$5,$C$6,J$7),2)&gt;'[5]Khai báo'!$B$4,"","x")</f>
        <v>x</v>
      </c>
      <c r="K21" s="1044" t="str">
        <f>IF(WEEKDAY(DATE($C$5,$C$6,K$7),2)&gt;'[5]Khai báo'!$B$4,"","x")</f>
        <v>x</v>
      </c>
      <c r="L21" s="1044" t="str">
        <f>IF(WEEKDAY(DATE($C$5,$C$6,L$7),2)&gt;'[5]Khai báo'!$B$4,"","x")</f>
        <v>x</v>
      </c>
      <c r="M21" s="1044" t="str">
        <f>IF(WEEKDAY(DATE($C$5,$C$6,M$7),2)&gt;'[5]Khai báo'!$B$4,"","x")</f>
        <v>x</v>
      </c>
      <c r="N21" s="1044" t="str">
        <f>IF(WEEKDAY(DATE($C$5,$C$6,N$7),2)&gt;'[5]Khai báo'!$B$4,"","x")</f>
        <v/>
      </c>
      <c r="O21" s="1044" t="str">
        <f>IF(WEEKDAY(DATE($C$5,$C$6,O$7),2)&gt;'[5]Khai báo'!$B$4,"","x")</f>
        <v>x</v>
      </c>
      <c r="P21" s="1044" t="str">
        <f>IF(WEEKDAY(DATE($C$5,$C$6,P$7),2)&gt;'[5]Khai báo'!$B$4,"","x")</f>
        <v>x</v>
      </c>
      <c r="Q21" s="1044" t="str">
        <f>IF(WEEKDAY(DATE($C$5,$C$6,Q$7),2)&gt;'[5]Khai báo'!$B$4,"","x")</f>
        <v>x</v>
      </c>
      <c r="R21" s="1044" t="str">
        <f>IF(WEEKDAY(DATE($C$5,$C$6,R$7),2)&gt;'[5]Khai báo'!$B$4,"","x")</f>
        <v>x</v>
      </c>
      <c r="S21" s="1044" t="str">
        <f>IF(WEEKDAY(DATE($C$5,$C$6,S$7),2)&gt;'[5]Khai báo'!$B$4,"","x")</f>
        <v>x</v>
      </c>
      <c r="T21" s="1044" t="str">
        <f>IF(WEEKDAY(DATE($C$5,$C$6,T$7),2)&gt;'[5]Khai báo'!$B$4,"","x")</f>
        <v>x</v>
      </c>
      <c r="U21" s="1044" t="str">
        <f>IF(WEEKDAY(DATE($C$5,$C$6,U$7),2)&gt;'[5]Khai báo'!$B$4,"","x")</f>
        <v/>
      </c>
      <c r="V21" s="1044" t="str">
        <f>IF(WEEKDAY(DATE($C$5,$C$6,V$7),2)&gt;'[5]Khai báo'!$B$4,"","x")</f>
        <v>x</v>
      </c>
      <c r="W21" s="1044" t="str">
        <f>IF(WEEKDAY(DATE($C$5,$C$6,W$7),2)&gt;'[5]Khai báo'!$B$4,"","x")</f>
        <v>x</v>
      </c>
      <c r="X21" s="1044" t="str">
        <f>IF(WEEKDAY(DATE($C$5,$C$6,X$7),2)&gt;'[5]Khai báo'!$B$4,"","x")</f>
        <v>x</v>
      </c>
      <c r="Y21" s="1044" t="str">
        <f>IF(WEEKDAY(DATE($C$5,$C$6,Y$7),2)&gt;'[5]Khai báo'!$B$4,"","x")</f>
        <v>x</v>
      </c>
      <c r="Z21" s="1044" t="str">
        <f>IF(WEEKDAY(DATE($C$5,$C$6,Z$7),2)&gt;'[5]Khai báo'!$B$4,"","x")</f>
        <v>x</v>
      </c>
      <c r="AA21" s="1044" t="str">
        <f>IF(WEEKDAY(DATE($C$5,$C$6,AA$7),2)&gt;'[5]Khai báo'!$B$4,"","x")</f>
        <v>x</v>
      </c>
      <c r="AB21" s="1044" t="str">
        <f>IF(WEEKDAY(DATE($C$5,$C$6,AB$7),2)&gt;'[5]Khai báo'!$B$4,"","x")</f>
        <v/>
      </c>
      <c r="AC21" s="1044" t="str">
        <f>IF(WEEKDAY(DATE($C$5,$C$6,AC$7),2)&gt;'[5]Khai báo'!$B$4,"","x")</f>
        <v>x</v>
      </c>
      <c r="AD21" s="1044" t="str">
        <f>IF(WEEKDAY(DATE($C$5,$C$6,AD$7),2)&gt;'[5]Khai báo'!$B$4,"","x")</f>
        <v>x</v>
      </c>
      <c r="AE21" s="1044" t="str">
        <f>IF(WEEKDAY(DATE($C$5,$C$6,AE$7),2)&gt;'[5]Khai báo'!$B$4,"","x")</f>
        <v>x</v>
      </c>
      <c r="AF21" s="1046" t="str">
        <f>IF(AF19="","",IF(WEEKDAY(DATE($C$5,$C$6,AF$7),2)&gt;'[5]Khai báo'!$B$4,"","x"))</f>
        <v>x</v>
      </c>
      <c r="AG21" s="1046" t="str">
        <f>IF(AG19="","",IF(WEEKDAY(DATE($C$5,$C$6,AG$7),2)&gt;'[5]Khai báo'!$B$4,"","x"))</f>
        <v/>
      </c>
      <c r="AH21" s="1046" t="str">
        <f>IF(AH19="","",IF(WEEKDAY(DATE($C$5,$C$6,AH$7),2)&gt;'[5]Khai báo'!$B$4,"","x"))</f>
        <v/>
      </c>
      <c r="AI21" s="1488">
        <f t="shared" si="1"/>
        <v>25</v>
      </c>
    </row>
    <row r="22" spans="1:35">
      <c r="A22" s="1050">
        <v>10</v>
      </c>
      <c r="B22" s="1044"/>
      <c r="C22" s="1050" t="s">
        <v>36</v>
      </c>
      <c r="D22" s="1044" t="str">
        <f>IF(WEEKDAY(DATE($C$5,$C$6,D$7),2)&gt;'[5]Khai báo'!$B$4,"","x")</f>
        <v>x</v>
      </c>
      <c r="E22" s="1044" t="str">
        <f>IF(WEEKDAY(DATE($C$5,$C$6,E$7),2)&gt;'[5]Khai báo'!$B$4,"","x")</f>
        <v>x</v>
      </c>
      <c r="F22" s="1044" t="str">
        <f>IF(WEEKDAY(DATE($C$5,$C$6,F$7),2)&gt;'[5]Khai báo'!$B$4,"","x")</f>
        <v>x</v>
      </c>
      <c r="G22" s="1044" t="str">
        <f>IF(WEEKDAY(DATE($C$5,$C$6,G$7),2)&gt;'[5]Khai báo'!$B$4,"","x")</f>
        <v/>
      </c>
      <c r="H22" s="1045" t="str">
        <f>IF(WEEKDAY(DATE($C$5,$C$6,H$7),2)&gt;'[5]Khai báo'!$B$4,"","x")</f>
        <v>x</v>
      </c>
      <c r="I22" s="1044" t="str">
        <f>IF(WEEKDAY(DATE($C$5,$C$6,I$7),2)&gt;'[5]Khai báo'!$B$4,"","x")</f>
        <v>x</v>
      </c>
      <c r="J22" s="1044" t="str">
        <f>IF(WEEKDAY(DATE($C$5,$C$6,J$7),2)&gt;'[5]Khai báo'!$B$4,"","x")</f>
        <v>x</v>
      </c>
      <c r="K22" s="1044" t="str">
        <f>IF(WEEKDAY(DATE($C$5,$C$6,K$7),2)&gt;'[5]Khai báo'!$B$4,"","x")</f>
        <v>x</v>
      </c>
      <c r="L22" s="1044" t="str">
        <f>IF(WEEKDAY(DATE($C$5,$C$6,L$7),2)&gt;'[5]Khai báo'!$B$4,"","x")</f>
        <v>x</v>
      </c>
      <c r="M22" s="1044" t="str">
        <f>IF(WEEKDAY(DATE($C$5,$C$6,M$7),2)&gt;'[5]Khai báo'!$B$4,"","x")</f>
        <v>x</v>
      </c>
      <c r="N22" s="1044" t="str">
        <f>IF(WEEKDAY(DATE($C$5,$C$6,N$7),2)&gt;'[5]Khai báo'!$B$4,"","x")</f>
        <v/>
      </c>
      <c r="O22" s="1044" t="str">
        <f>IF(WEEKDAY(DATE($C$5,$C$6,O$7),2)&gt;'[5]Khai báo'!$B$4,"","x")</f>
        <v>x</v>
      </c>
      <c r="P22" s="1044" t="str">
        <f>IF(WEEKDAY(DATE($C$5,$C$6,P$7),2)&gt;'[5]Khai báo'!$B$4,"","x")</f>
        <v>x</v>
      </c>
      <c r="Q22" s="1044" t="str">
        <f>IF(WEEKDAY(DATE($C$5,$C$6,Q$7),2)&gt;'[5]Khai báo'!$B$4,"","x")</f>
        <v>x</v>
      </c>
      <c r="R22" s="1044" t="str">
        <f>IF(WEEKDAY(DATE($C$5,$C$6,R$7),2)&gt;'[5]Khai báo'!$B$4,"","x")</f>
        <v>x</v>
      </c>
      <c r="S22" s="1044" t="str">
        <f>IF(WEEKDAY(DATE($C$5,$C$6,S$7),2)&gt;'[5]Khai báo'!$B$4,"","x")</f>
        <v>x</v>
      </c>
      <c r="T22" s="1044" t="str">
        <f>IF(WEEKDAY(DATE($C$5,$C$6,T$7),2)&gt;'[5]Khai báo'!$B$4,"","x")</f>
        <v>x</v>
      </c>
      <c r="U22" s="1044" t="str">
        <f>IF(WEEKDAY(DATE($C$5,$C$6,U$7),2)&gt;'[5]Khai báo'!$B$4,"","x")</f>
        <v/>
      </c>
      <c r="V22" s="1044" t="str">
        <f>IF(WEEKDAY(DATE($C$5,$C$6,V$7),2)&gt;'[5]Khai báo'!$B$4,"","x")</f>
        <v>x</v>
      </c>
      <c r="W22" s="1044" t="str">
        <f>IF(WEEKDAY(DATE($C$5,$C$6,W$7),2)&gt;'[5]Khai báo'!$B$4,"","x")</f>
        <v>x</v>
      </c>
      <c r="X22" s="1044" t="str">
        <f>IF(WEEKDAY(DATE($C$5,$C$6,X$7),2)&gt;'[5]Khai báo'!$B$4,"","x")</f>
        <v>x</v>
      </c>
      <c r="Y22" s="1044" t="str">
        <f>IF(WEEKDAY(DATE($C$5,$C$6,Y$7),2)&gt;'[5]Khai báo'!$B$4,"","x")</f>
        <v>x</v>
      </c>
      <c r="Z22" s="1044" t="str">
        <f>IF(WEEKDAY(DATE($C$5,$C$6,Z$7),2)&gt;'[5]Khai báo'!$B$4,"","x")</f>
        <v>x</v>
      </c>
      <c r="AA22" s="1044" t="str">
        <f>IF(WEEKDAY(DATE($C$5,$C$6,AA$7),2)&gt;'[5]Khai báo'!$B$4,"","x")</f>
        <v>x</v>
      </c>
      <c r="AB22" s="1044" t="str">
        <f>IF(WEEKDAY(DATE($C$5,$C$6,AB$7),2)&gt;'[5]Khai báo'!$B$4,"","x")</f>
        <v/>
      </c>
      <c r="AC22" s="1044" t="str">
        <f>IF(WEEKDAY(DATE($C$5,$C$6,AC$7),2)&gt;'[5]Khai báo'!$B$4,"","x")</f>
        <v>x</v>
      </c>
      <c r="AD22" s="1044" t="str">
        <f>IF(WEEKDAY(DATE($C$5,$C$6,AD$7),2)&gt;'[5]Khai báo'!$B$4,"","x")</f>
        <v>x</v>
      </c>
      <c r="AE22" s="1044" t="str">
        <f>IF(WEEKDAY(DATE($C$5,$C$6,AE$7),2)&gt;'[5]Khai báo'!$B$4,"","x")</f>
        <v>x</v>
      </c>
      <c r="AF22" s="1046" t="str">
        <f>IF(AF20="","",IF(WEEKDAY(DATE($C$5,$C$6,AF$7),2)&gt;'[5]Khai báo'!$B$4,"","x"))</f>
        <v>x</v>
      </c>
      <c r="AG22" s="1046" t="str">
        <f>IF(AG20="","",IF(WEEKDAY(DATE($C$5,$C$6,AG$7),2)&gt;'[5]Khai báo'!$B$4,"","x"))</f>
        <v/>
      </c>
      <c r="AH22" s="1046" t="str">
        <f>IF(AH20="","",IF(WEEKDAY(DATE($C$5,$C$6,AH$7),2)&gt;'[5]Khai báo'!$B$4,"","x"))</f>
        <v/>
      </c>
      <c r="AI22" s="1488">
        <f t="shared" si="1"/>
        <v>25</v>
      </c>
    </row>
    <row r="23" spans="1:35">
      <c r="A23" s="1050">
        <v>11</v>
      </c>
      <c r="B23" s="1044"/>
      <c r="C23" s="1050" t="s">
        <v>536</v>
      </c>
      <c r="D23" s="1044" t="str">
        <f>IF(WEEKDAY(DATE($C$5,$C$6,D$7),2)&gt;'[5]Khai báo'!$B$4,"","x")</f>
        <v>x</v>
      </c>
      <c r="E23" s="1044" t="str">
        <f>IF(WEEKDAY(DATE($C$5,$C$6,E$7),2)&gt;'[5]Khai báo'!$B$4,"","x")</f>
        <v>x</v>
      </c>
      <c r="F23" s="1044" t="str">
        <f>IF(WEEKDAY(DATE($C$5,$C$6,F$7),2)&gt;'[5]Khai báo'!$B$4,"","x")</f>
        <v>x</v>
      </c>
      <c r="G23" s="1044" t="str">
        <f>IF(WEEKDAY(DATE($C$5,$C$6,G$7),2)&gt;'[5]Khai báo'!$B$4,"","x")</f>
        <v/>
      </c>
      <c r="H23" s="1045" t="str">
        <f>IF(WEEKDAY(DATE($C$5,$C$6,H$7),2)&gt;'[5]Khai báo'!$B$4,"","x")</f>
        <v>x</v>
      </c>
      <c r="I23" s="1044" t="str">
        <f>IF(WEEKDAY(DATE($C$5,$C$6,I$7),2)&gt;'[5]Khai báo'!$B$4,"","x")</f>
        <v>x</v>
      </c>
      <c r="J23" s="1044" t="str">
        <f>IF(WEEKDAY(DATE($C$5,$C$6,J$7),2)&gt;'[5]Khai báo'!$B$4,"","x")</f>
        <v>x</v>
      </c>
      <c r="K23" s="1044" t="str">
        <f>IF(WEEKDAY(DATE($C$5,$C$6,K$7),2)&gt;'[5]Khai báo'!$B$4,"","x")</f>
        <v>x</v>
      </c>
      <c r="L23" s="1044" t="str">
        <f>IF(WEEKDAY(DATE($C$5,$C$6,L$7),2)&gt;'[5]Khai báo'!$B$4,"","x")</f>
        <v>x</v>
      </c>
      <c r="M23" s="1044" t="str">
        <f>IF(WEEKDAY(DATE($C$5,$C$6,M$7),2)&gt;'[5]Khai báo'!$B$4,"","x")</f>
        <v>x</v>
      </c>
      <c r="N23" s="1044" t="str">
        <f>IF(WEEKDAY(DATE($C$5,$C$6,N$7),2)&gt;'[5]Khai báo'!$B$4,"","x")</f>
        <v/>
      </c>
      <c r="O23" s="1044" t="str">
        <f>IF(WEEKDAY(DATE($C$5,$C$6,O$7),2)&gt;'[5]Khai báo'!$B$4,"","x")</f>
        <v>x</v>
      </c>
      <c r="P23" s="1044" t="str">
        <f>IF(WEEKDAY(DATE($C$5,$C$6,P$7),2)&gt;'[5]Khai báo'!$B$4,"","x")</f>
        <v>x</v>
      </c>
      <c r="Q23" s="1044" t="str">
        <f>IF(WEEKDAY(DATE($C$5,$C$6,Q$7),2)&gt;'[5]Khai báo'!$B$4,"","x")</f>
        <v>x</v>
      </c>
      <c r="R23" s="1044" t="str">
        <f>IF(WEEKDAY(DATE($C$5,$C$6,R$7),2)&gt;'[5]Khai báo'!$B$4,"","x")</f>
        <v>x</v>
      </c>
      <c r="S23" s="1044" t="str">
        <f>IF(WEEKDAY(DATE($C$5,$C$6,S$7),2)&gt;'[5]Khai báo'!$B$4,"","x")</f>
        <v>x</v>
      </c>
      <c r="T23" s="1044" t="str">
        <f>IF(WEEKDAY(DATE($C$5,$C$6,T$7),2)&gt;'[5]Khai báo'!$B$4,"","x")</f>
        <v>x</v>
      </c>
      <c r="U23" s="1044" t="str">
        <f>IF(WEEKDAY(DATE($C$5,$C$6,U$7),2)&gt;'[5]Khai báo'!$B$4,"","x")</f>
        <v/>
      </c>
      <c r="V23" s="1044" t="str">
        <f>IF(WEEKDAY(DATE($C$5,$C$6,V$7),2)&gt;'[5]Khai báo'!$B$4,"","x")</f>
        <v>x</v>
      </c>
      <c r="W23" s="1044" t="str">
        <f>IF(WEEKDAY(DATE($C$5,$C$6,W$7),2)&gt;'[5]Khai báo'!$B$4,"","x")</f>
        <v>x</v>
      </c>
      <c r="X23" s="1044" t="str">
        <f>IF(WEEKDAY(DATE($C$5,$C$6,X$7),2)&gt;'[5]Khai báo'!$B$4,"","x")</f>
        <v>x</v>
      </c>
      <c r="Y23" s="1044" t="str">
        <f>IF(WEEKDAY(DATE($C$5,$C$6,Y$7),2)&gt;'[5]Khai báo'!$B$4,"","x")</f>
        <v>x</v>
      </c>
      <c r="Z23" s="1044" t="str">
        <f>IF(WEEKDAY(DATE($C$5,$C$6,Z$7),2)&gt;'[5]Khai báo'!$B$4,"","x")</f>
        <v>x</v>
      </c>
      <c r="AA23" s="1044" t="str">
        <f>IF(WEEKDAY(DATE($C$5,$C$6,AA$7),2)&gt;'[5]Khai báo'!$B$4,"","x")</f>
        <v>x</v>
      </c>
      <c r="AB23" s="1044" t="str">
        <f>IF(WEEKDAY(DATE($C$5,$C$6,AB$7),2)&gt;'[5]Khai báo'!$B$4,"","x")</f>
        <v/>
      </c>
      <c r="AC23" s="1044" t="str">
        <f>IF(WEEKDAY(DATE($C$5,$C$6,AC$7),2)&gt;'[5]Khai báo'!$B$4,"","x")</f>
        <v>x</v>
      </c>
      <c r="AD23" s="1044" t="str">
        <f>IF(WEEKDAY(DATE($C$5,$C$6,AD$7),2)&gt;'[5]Khai báo'!$B$4,"","x")</f>
        <v>x</v>
      </c>
      <c r="AE23" s="1044" t="str">
        <f>IF(WEEKDAY(DATE($C$5,$C$6,AE$7),2)&gt;'[5]Khai báo'!$B$4,"","x")</f>
        <v>x</v>
      </c>
      <c r="AF23" s="1046" t="str">
        <f>IF(AF21="","",IF(WEEKDAY(DATE($C$5,$C$6,AF$7),2)&gt;'[5]Khai báo'!$B$4,"","x"))</f>
        <v>x</v>
      </c>
      <c r="AG23" s="1046" t="str">
        <f>IF(AG21="","",IF(WEEKDAY(DATE($C$5,$C$6,AG$7),2)&gt;'[5]Khai báo'!$B$4,"","x"))</f>
        <v/>
      </c>
      <c r="AH23" s="1046" t="str">
        <f>IF(AH21="","",IF(WEEKDAY(DATE($C$5,$C$6,AH$7),2)&gt;'[5]Khai báo'!$B$4,"","x"))</f>
        <v/>
      </c>
      <c r="AI23" s="1488">
        <f t="shared" si="1"/>
        <v>25</v>
      </c>
    </row>
    <row r="24" spans="1:35" hidden="1">
      <c r="A24" s="1050">
        <v>11</v>
      </c>
      <c r="B24" s="1044"/>
      <c r="C24" s="1050" t="s">
        <v>831</v>
      </c>
      <c r="D24" s="1044" t="str">
        <f>IF(WEEKDAY(DATE($C$5,$C$6,D$7),2)&gt;'[5]Khai báo'!$B$4,"","x")</f>
        <v>x</v>
      </c>
      <c r="E24" s="1044" t="str">
        <f>IF(WEEKDAY(DATE($C$5,$C$6,E$7),2)&gt;'[5]Khai báo'!$B$4,"","x")</f>
        <v>x</v>
      </c>
      <c r="F24" s="1044" t="str">
        <f>IF(WEEKDAY(DATE($C$5,$C$6,F$7),2)&gt;'[5]Khai báo'!$B$4,"","x")</f>
        <v>x</v>
      </c>
      <c r="G24" s="1044" t="str">
        <f>IF(WEEKDAY(DATE($C$5,$C$6,G$7),2)&gt;'[5]Khai báo'!$B$4,"","x")</f>
        <v/>
      </c>
      <c r="H24" s="1045" t="str">
        <f>IF(WEEKDAY(DATE($C$5,$C$6,H$7),2)&gt;'[5]Khai báo'!$B$4,"","x")</f>
        <v>x</v>
      </c>
      <c r="I24" s="1044" t="str">
        <f>IF(WEEKDAY(DATE($C$5,$C$6,I$7),2)&gt;'[5]Khai báo'!$B$4,"","x")</f>
        <v>x</v>
      </c>
      <c r="J24" s="1044" t="str">
        <f>IF(WEEKDAY(DATE($C$5,$C$6,J$7),2)&gt;'[5]Khai báo'!$B$4,"","x")</f>
        <v>x</v>
      </c>
      <c r="K24" s="1044" t="str">
        <f>IF(WEEKDAY(DATE($C$5,$C$6,K$7),2)&gt;'[5]Khai báo'!$B$4,"","x")</f>
        <v>x</v>
      </c>
      <c r="L24" s="1044" t="str">
        <f>IF(WEEKDAY(DATE($C$5,$C$6,L$7),2)&gt;'[5]Khai báo'!$B$4,"","x")</f>
        <v>x</v>
      </c>
      <c r="M24" s="1044" t="str">
        <f>IF(WEEKDAY(DATE($C$5,$C$6,M$7),2)&gt;'[5]Khai báo'!$B$4,"","x")</f>
        <v>x</v>
      </c>
      <c r="N24" s="1044" t="str">
        <f>IF(WEEKDAY(DATE($C$5,$C$6,N$7),2)&gt;'[5]Khai báo'!$B$4,"","x")</f>
        <v/>
      </c>
      <c r="O24" s="1044" t="str">
        <f>IF(WEEKDAY(DATE($C$5,$C$6,O$7),2)&gt;'[5]Khai báo'!$B$4,"","x")</f>
        <v>x</v>
      </c>
      <c r="P24" s="1044" t="str">
        <f>IF(WEEKDAY(DATE($C$5,$C$6,P$7),2)&gt;'[5]Khai báo'!$B$4,"","x")</f>
        <v>x</v>
      </c>
      <c r="Q24" s="1044" t="str">
        <f>IF(WEEKDAY(DATE($C$5,$C$6,Q$7),2)&gt;'[5]Khai báo'!$B$4,"","x")</f>
        <v>x</v>
      </c>
      <c r="R24" s="1044" t="str">
        <f>IF(WEEKDAY(DATE($C$5,$C$6,R$7),2)&gt;'[5]Khai báo'!$B$4,"","x")</f>
        <v>x</v>
      </c>
      <c r="S24" s="1044" t="str">
        <f>IF(WEEKDAY(DATE($C$5,$C$6,S$7),2)&gt;'[5]Khai báo'!$B$4,"","x")</f>
        <v>x</v>
      </c>
      <c r="T24" s="1044" t="str">
        <f>IF(WEEKDAY(DATE($C$5,$C$6,T$7),2)&gt;'[5]Khai báo'!$B$4,"","x")</f>
        <v>x</v>
      </c>
      <c r="U24" s="1044" t="str">
        <f>IF(WEEKDAY(DATE($C$5,$C$6,U$7),2)&gt;'[5]Khai báo'!$B$4,"","x")</f>
        <v/>
      </c>
      <c r="V24" s="1044" t="str">
        <f>IF(WEEKDAY(DATE($C$5,$C$6,V$7),2)&gt;'[5]Khai báo'!$B$4,"","x")</f>
        <v>x</v>
      </c>
      <c r="W24" s="1044" t="str">
        <f>IF(WEEKDAY(DATE($C$5,$C$6,W$7),2)&gt;'[5]Khai báo'!$B$4,"","x")</f>
        <v>x</v>
      </c>
      <c r="X24" s="1044" t="str">
        <f>IF(WEEKDAY(DATE($C$5,$C$6,X$7),2)&gt;'[5]Khai báo'!$B$4,"","x")</f>
        <v>x</v>
      </c>
      <c r="Y24" s="1044" t="str">
        <f>IF(WEEKDAY(DATE($C$5,$C$6,Y$7),2)&gt;'[5]Khai báo'!$B$4,"","x")</f>
        <v>x</v>
      </c>
      <c r="Z24" s="1044" t="str">
        <f>IF(WEEKDAY(DATE($C$5,$C$6,Z$7),2)&gt;'[5]Khai báo'!$B$4,"","x")</f>
        <v>x</v>
      </c>
      <c r="AA24" s="1044" t="str">
        <f>IF(WEEKDAY(DATE($C$5,$C$6,AA$7),2)&gt;'[5]Khai báo'!$B$4,"","x")</f>
        <v>x</v>
      </c>
      <c r="AB24" s="1044" t="str">
        <f>IF(WEEKDAY(DATE($C$5,$C$6,AB$7),2)&gt;'[5]Khai báo'!$B$4,"","x")</f>
        <v/>
      </c>
      <c r="AC24" s="1044" t="str">
        <f>IF(WEEKDAY(DATE($C$5,$C$6,AC$7),2)&gt;'[5]Khai báo'!$B$4,"","x")</f>
        <v>x</v>
      </c>
      <c r="AD24" s="1044" t="str">
        <f>IF(WEEKDAY(DATE($C$5,$C$6,AD$7),2)&gt;'[5]Khai báo'!$B$4,"","x")</f>
        <v>x</v>
      </c>
      <c r="AE24" s="1044" t="str">
        <f>IF(WEEKDAY(DATE($C$5,$C$6,AE$7),2)&gt;'[5]Khai báo'!$B$4,"","x")</f>
        <v>x</v>
      </c>
      <c r="AF24" s="1046" t="str">
        <f>IF(AF22="","",IF(WEEKDAY(DATE($C$5,$C$6,AF$7),2)&gt;'[5]Khai báo'!$B$4,"","x"))</f>
        <v>x</v>
      </c>
      <c r="AG24" s="1046" t="str">
        <f>IF(AG22="","",IF(WEEKDAY(DATE($C$5,$C$6,AG$7),2)&gt;'[5]Khai báo'!$B$4,"","x"))</f>
        <v/>
      </c>
      <c r="AH24" s="1046" t="str">
        <f>IF(AH22="","",IF(WEEKDAY(DATE($C$5,$C$6,AH$7),2)&gt;'[5]Khai báo'!$B$4,"","x"))</f>
        <v/>
      </c>
      <c r="AI24" s="1488">
        <f t="shared" si="1"/>
        <v>25</v>
      </c>
    </row>
    <row r="25" spans="1:35">
      <c r="A25" s="1050">
        <v>12</v>
      </c>
      <c r="B25" s="1044"/>
      <c r="C25" s="1050" t="s">
        <v>789</v>
      </c>
      <c r="D25" s="1044" t="str">
        <f>IF(WEEKDAY(DATE($C$5,$C$6,D$7),2)&gt;'[5]Khai báo'!$B$4,"","x")</f>
        <v>x</v>
      </c>
      <c r="E25" s="1044" t="str">
        <f>IF(WEEKDAY(DATE($C$5,$C$6,E$7),2)&gt;'[5]Khai báo'!$B$4,"","x")</f>
        <v>x</v>
      </c>
      <c r="F25" s="1044" t="str">
        <f>IF(WEEKDAY(DATE($C$5,$C$6,F$7),2)&gt;'[5]Khai báo'!$B$4,"","x")</f>
        <v>x</v>
      </c>
      <c r="G25" s="1044" t="str">
        <f>IF(WEEKDAY(DATE($C$5,$C$6,G$7),2)&gt;'[5]Khai báo'!$B$4,"","x")</f>
        <v/>
      </c>
      <c r="H25" s="1045" t="str">
        <f>IF(WEEKDAY(DATE($C$5,$C$6,H$7),2)&gt;'[5]Khai báo'!$B$4,"","x")</f>
        <v>x</v>
      </c>
      <c r="I25" s="1044" t="str">
        <f>IF(WEEKDAY(DATE($C$5,$C$6,I$7),2)&gt;'[5]Khai báo'!$B$4,"","x")</f>
        <v>x</v>
      </c>
      <c r="J25" s="1044" t="str">
        <f>IF(WEEKDAY(DATE($C$5,$C$6,J$7),2)&gt;'[5]Khai báo'!$B$4,"","x")</f>
        <v>x</v>
      </c>
      <c r="K25" s="1044" t="str">
        <f>IF(WEEKDAY(DATE($C$5,$C$6,K$7),2)&gt;'[5]Khai báo'!$B$4,"","x")</f>
        <v>x</v>
      </c>
      <c r="L25" s="1044" t="str">
        <f>IF(WEEKDAY(DATE($C$5,$C$6,L$7),2)&gt;'[5]Khai báo'!$B$4,"","x")</f>
        <v>x</v>
      </c>
      <c r="M25" s="1044" t="str">
        <f>IF(WEEKDAY(DATE($C$5,$C$6,M$7),2)&gt;'[5]Khai báo'!$B$4,"","x")</f>
        <v>x</v>
      </c>
      <c r="N25" s="1044" t="str">
        <f>IF(WEEKDAY(DATE($C$5,$C$6,N$7),2)&gt;'[5]Khai báo'!$B$4,"","x")</f>
        <v/>
      </c>
      <c r="O25" s="1044" t="str">
        <f>IF(WEEKDAY(DATE($C$5,$C$6,O$7),2)&gt;'[5]Khai báo'!$B$4,"","x")</f>
        <v>x</v>
      </c>
      <c r="P25" s="1044" t="str">
        <f>IF(WEEKDAY(DATE($C$5,$C$6,P$7),2)&gt;'[5]Khai báo'!$B$4,"","x")</f>
        <v>x</v>
      </c>
      <c r="Q25" s="1044" t="str">
        <f>IF(WEEKDAY(DATE($C$5,$C$6,Q$7),2)&gt;'[5]Khai báo'!$B$4,"","x")</f>
        <v>x</v>
      </c>
      <c r="R25" s="1044" t="str">
        <f>IF(WEEKDAY(DATE($C$5,$C$6,R$7),2)&gt;'[5]Khai báo'!$B$4,"","x")</f>
        <v>x</v>
      </c>
      <c r="S25" s="1044" t="str">
        <f>IF(WEEKDAY(DATE($C$5,$C$6,S$7),2)&gt;'[5]Khai báo'!$B$4,"","x")</f>
        <v>x</v>
      </c>
      <c r="T25" s="1044" t="str">
        <f>IF(WEEKDAY(DATE($C$5,$C$6,T$7),2)&gt;'[5]Khai báo'!$B$4,"","x")</f>
        <v>x</v>
      </c>
      <c r="U25" s="1044" t="str">
        <f>IF(WEEKDAY(DATE($C$5,$C$6,U$7),2)&gt;'[5]Khai báo'!$B$4,"","x")</f>
        <v/>
      </c>
      <c r="V25" s="1044" t="str">
        <f>IF(WEEKDAY(DATE($C$5,$C$6,V$7),2)&gt;'[5]Khai báo'!$B$4,"","x")</f>
        <v>x</v>
      </c>
      <c r="W25" s="1044" t="str">
        <f>IF(WEEKDAY(DATE($C$5,$C$6,W$7),2)&gt;'[5]Khai báo'!$B$4,"","x")</f>
        <v>x</v>
      </c>
      <c r="X25" s="1044" t="str">
        <f>IF(WEEKDAY(DATE($C$5,$C$6,X$7),2)&gt;'[5]Khai báo'!$B$4,"","x")</f>
        <v>x</v>
      </c>
      <c r="Y25" s="1044" t="str">
        <f>IF(WEEKDAY(DATE($C$5,$C$6,Y$7),2)&gt;'[5]Khai báo'!$B$4,"","x")</f>
        <v>x</v>
      </c>
      <c r="Z25" s="1044" t="str">
        <f>IF(WEEKDAY(DATE($C$5,$C$6,Z$7),2)&gt;'[5]Khai báo'!$B$4,"","x")</f>
        <v>x</v>
      </c>
      <c r="AA25" s="1044" t="str">
        <f>IF(WEEKDAY(DATE($C$5,$C$6,AA$7),2)&gt;'[5]Khai báo'!$B$4,"","x")</f>
        <v>x</v>
      </c>
      <c r="AB25" s="1044" t="str">
        <f>IF(WEEKDAY(DATE($C$5,$C$6,AB$7),2)&gt;'[5]Khai báo'!$B$4,"","x")</f>
        <v/>
      </c>
      <c r="AC25" s="1044" t="str">
        <f>IF(WEEKDAY(DATE($C$5,$C$6,AC$7),2)&gt;'[5]Khai báo'!$B$4,"","x")</f>
        <v>x</v>
      </c>
      <c r="AD25" s="1044" t="str">
        <f>IF(WEEKDAY(DATE($C$5,$C$6,AD$7),2)&gt;'[5]Khai báo'!$B$4,"","x")</f>
        <v>x</v>
      </c>
      <c r="AE25" s="1044" t="str">
        <f>IF(WEEKDAY(DATE($C$5,$C$6,AE$7),2)&gt;'[5]Khai báo'!$B$4,"","x")</f>
        <v>x</v>
      </c>
      <c r="AF25" s="1046" t="str">
        <f>IF(AF23="","",IF(WEEKDAY(DATE($C$5,$C$6,AF$7),2)&gt;'[5]Khai báo'!$B$4,"","x"))</f>
        <v>x</v>
      </c>
      <c r="AG25" s="1046" t="str">
        <f>IF(AG23="","",IF(WEEKDAY(DATE($C$5,$C$6,AG$7),2)&gt;'[5]Khai báo'!$B$4,"","x"))</f>
        <v/>
      </c>
      <c r="AH25" s="1046" t="str">
        <f>IF(AH23="","",IF(WEEKDAY(DATE($C$5,$C$6,AH$7),2)&gt;'[5]Khai báo'!$B$4,"","x"))</f>
        <v/>
      </c>
      <c r="AI25" s="1488">
        <f t="shared" si="1"/>
        <v>25</v>
      </c>
    </row>
    <row r="26" spans="1:35" hidden="1">
      <c r="A26" s="1050">
        <v>12</v>
      </c>
      <c r="B26" s="1044"/>
      <c r="C26" s="1050" t="s">
        <v>964</v>
      </c>
      <c r="D26" s="1044" t="str">
        <f>IF(WEEKDAY(DATE($C$5,$C$6,D$7),2)&gt;'[5]Khai báo'!$B$4,"","x")</f>
        <v>x</v>
      </c>
      <c r="E26" s="1044" t="str">
        <f>IF(WEEKDAY(DATE($C$5,$C$6,E$7),2)&gt;'[5]Khai báo'!$B$4,"","x")</f>
        <v>x</v>
      </c>
      <c r="F26" s="1044" t="str">
        <f>IF(WEEKDAY(DATE($C$5,$C$6,F$7),2)&gt;'[5]Khai báo'!$B$4,"","x")</f>
        <v>x</v>
      </c>
      <c r="G26" s="1044" t="str">
        <f>IF(WEEKDAY(DATE($C$5,$C$6,G$7),2)&gt;'[5]Khai báo'!$B$4,"","x")</f>
        <v/>
      </c>
      <c r="H26" s="1045" t="str">
        <f>IF(WEEKDAY(DATE($C$5,$C$6,H$7),2)&gt;'[5]Khai báo'!$B$4,"","x")</f>
        <v>x</v>
      </c>
      <c r="I26" s="1044" t="str">
        <f>IF(WEEKDAY(DATE($C$5,$C$6,I$7),2)&gt;'[5]Khai báo'!$B$4,"","x")</f>
        <v>x</v>
      </c>
      <c r="J26" s="1044" t="str">
        <f>IF(WEEKDAY(DATE($C$5,$C$6,J$7),2)&gt;'[5]Khai báo'!$B$4,"","x")</f>
        <v>x</v>
      </c>
      <c r="K26" s="1044" t="str">
        <f>IF(WEEKDAY(DATE($C$5,$C$6,K$7),2)&gt;'[5]Khai báo'!$B$4,"","x")</f>
        <v>x</v>
      </c>
      <c r="L26" s="1044" t="str">
        <f>IF(WEEKDAY(DATE($C$5,$C$6,L$7),2)&gt;'[5]Khai báo'!$B$4,"","x")</f>
        <v>x</v>
      </c>
      <c r="M26" s="1044" t="str">
        <f>IF(WEEKDAY(DATE($C$5,$C$6,M$7),2)&gt;'[5]Khai báo'!$B$4,"","x")</f>
        <v>x</v>
      </c>
      <c r="N26" s="1044" t="str">
        <f>IF(WEEKDAY(DATE($C$5,$C$6,N$7),2)&gt;'[5]Khai báo'!$B$4,"","x")</f>
        <v/>
      </c>
      <c r="O26" s="1044" t="str">
        <f>IF(WEEKDAY(DATE($C$5,$C$6,O$7),2)&gt;'[5]Khai báo'!$B$4,"","x")</f>
        <v>x</v>
      </c>
      <c r="P26" s="1044" t="str">
        <f>IF(WEEKDAY(DATE($C$5,$C$6,P$7),2)&gt;'[5]Khai báo'!$B$4,"","x")</f>
        <v>x</v>
      </c>
      <c r="Q26" s="1044" t="str">
        <f>IF(WEEKDAY(DATE($C$5,$C$6,Q$7),2)&gt;'[5]Khai báo'!$B$4,"","x")</f>
        <v>x</v>
      </c>
      <c r="R26" s="1044" t="str">
        <f>IF(WEEKDAY(DATE($C$5,$C$6,R$7),2)&gt;'[5]Khai báo'!$B$4,"","x")</f>
        <v>x</v>
      </c>
      <c r="S26" s="1044" t="str">
        <f>IF(WEEKDAY(DATE($C$5,$C$6,S$7),2)&gt;'[5]Khai báo'!$B$4,"","x")</f>
        <v>x</v>
      </c>
      <c r="T26" s="1044" t="str">
        <f>IF(WEEKDAY(DATE($C$5,$C$6,T$7),2)&gt;'[5]Khai báo'!$B$4,"","x")</f>
        <v>x</v>
      </c>
      <c r="U26" s="1044" t="str">
        <f>IF(WEEKDAY(DATE($C$5,$C$6,U$7),2)&gt;'[5]Khai báo'!$B$4,"","x")</f>
        <v/>
      </c>
      <c r="V26" s="1044" t="str">
        <f>IF(WEEKDAY(DATE($C$5,$C$6,V$7),2)&gt;'[5]Khai báo'!$B$4,"","x")</f>
        <v>x</v>
      </c>
      <c r="W26" s="1044" t="str">
        <f>IF(WEEKDAY(DATE($C$5,$C$6,W$7),2)&gt;'[5]Khai báo'!$B$4,"","x")</f>
        <v>x</v>
      </c>
      <c r="X26" s="1044" t="str">
        <f>IF(WEEKDAY(DATE($C$5,$C$6,X$7),2)&gt;'[5]Khai báo'!$B$4,"","x")</f>
        <v>x</v>
      </c>
      <c r="Y26" s="1044" t="str">
        <f>IF(WEEKDAY(DATE($C$5,$C$6,Y$7),2)&gt;'[5]Khai báo'!$B$4,"","x")</f>
        <v>x</v>
      </c>
      <c r="Z26" s="1044" t="str">
        <f>IF(WEEKDAY(DATE($C$5,$C$6,Z$7),2)&gt;'[5]Khai báo'!$B$4,"","x")</f>
        <v>x</v>
      </c>
      <c r="AA26" s="1044" t="str">
        <f>IF(WEEKDAY(DATE($C$5,$C$6,AA$7),2)&gt;'[5]Khai báo'!$B$4,"","x")</f>
        <v>x</v>
      </c>
      <c r="AB26" s="1044" t="str">
        <f>IF(WEEKDAY(DATE($C$5,$C$6,AB$7),2)&gt;'[5]Khai báo'!$B$4,"","x")</f>
        <v/>
      </c>
      <c r="AC26" s="1044" t="str">
        <f>IF(WEEKDAY(DATE($C$5,$C$6,AC$7),2)&gt;'[5]Khai báo'!$B$4,"","x")</f>
        <v>x</v>
      </c>
      <c r="AD26" s="1044" t="str">
        <f>IF(WEEKDAY(DATE($C$5,$C$6,AD$7),2)&gt;'[5]Khai báo'!$B$4,"","x")</f>
        <v>x</v>
      </c>
      <c r="AE26" s="1044" t="str">
        <f>IF(WEEKDAY(DATE($C$5,$C$6,AE$7),2)&gt;'[5]Khai báo'!$B$4,"","x")</f>
        <v>x</v>
      </c>
      <c r="AF26" s="1046" t="str">
        <f>IF(AF24="","",IF(WEEKDAY(DATE($C$5,$C$6,AF$7),2)&gt;'[5]Khai báo'!$B$4,"","x"))</f>
        <v>x</v>
      </c>
      <c r="AG26" s="1046" t="str">
        <f>IF(AG24="","",IF(WEEKDAY(DATE($C$5,$C$6,AG$7),2)&gt;'[5]Khai báo'!$B$4,"","x"))</f>
        <v/>
      </c>
      <c r="AH26" s="1046" t="str">
        <f>IF(AH24="","",IF(WEEKDAY(DATE($C$5,$C$6,AH$7),2)&gt;'[5]Khai báo'!$B$4,"","x"))</f>
        <v/>
      </c>
      <c r="AI26" s="1488">
        <f t="shared" si="1"/>
        <v>25</v>
      </c>
    </row>
    <row r="27" spans="1:35">
      <c r="A27" s="1050">
        <v>13</v>
      </c>
      <c r="B27" s="1044"/>
      <c r="C27" s="1050" t="s">
        <v>37</v>
      </c>
      <c r="D27" s="1044" t="str">
        <f>IF(WEEKDAY(DATE($C$5,$C$6,D$7),2)&gt;'[5]Khai báo'!$B$4,"","x")</f>
        <v>x</v>
      </c>
      <c r="E27" s="1044" t="str">
        <f>IF(WEEKDAY(DATE($C$5,$C$6,E$7),2)&gt;'[5]Khai báo'!$B$4,"","x")</f>
        <v>x</v>
      </c>
      <c r="F27" s="1044" t="str">
        <f>IF(WEEKDAY(DATE($C$5,$C$6,F$7),2)&gt;'[5]Khai báo'!$B$4,"","x")</f>
        <v>x</v>
      </c>
      <c r="G27" s="1044" t="str">
        <f>IF(WEEKDAY(DATE($C$5,$C$6,G$7),2)&gt;'[5]Khai báo'!$B$4,"","x")</f>
        <v/>
      </c>
      <c r="H27" s="1045" t="str">
        <f>IF(WEEKDAY(DATE($C$5,$C$6,H$7),2)&gt;'[5]Khai báo'!$B$4,"","x")</f>
        <v>x</v>
      </c>
      <c r="I27" s="1044" t="str">
        <f>IF(WEEKDAY(DATE($C$5,$C$6,I$7),2)&gt;'[5]Khai báo'!$B$4,"","x")</f>
        <v>x</v>
      </c>
      <c r="J27" s="1044" t="str">
        <f>IF(WEEKDAY(DATE($C$5,$C$6,J$7),2)&gt;'[5]Khai báo'!$B$4,"","x")</f>
        <v>x</v>
      </c>
      <c r="K27" s="1044" t="str">
        <f>IF(WEEKDAY(DATE($C$5,$C$6,K$7),2)&gt;'[5]Khai báo'!$B$4,"","x")</f>
        <v>x</v>
      </c>
      <c r="L27" s="1044" t="str">
        <f>IF(WEEKDAY(DATE($C$5,$C$6,L$7),2)&gt;'[5]Khai báo'!$B$4,"","x")</f>
        <v>x</v>
      </c>
      <c r="M27" s="1044" t="str">
        <f>IF(WEEKDAY(DATE($C$5,$C$6,M$7),2)&gt;'[5]Khai báo'!$B$4,"","x")</f>
        <v>x</v>
      </c>
      <c r="N27" s="1044" t="str">
        <f>IF(WEEKDAY(DATE($C$5,$C$6,N$7),2)&gt;'[5]Khai báo'!$B$4,"","x")</f>
        <v/>
      </c>
      <c r="O27" s="1044" t="str">
        <f>IF(WEEKDAY(DATE($C$5,$C$6,O$7),2)&gt;'[5]Khai báo'!$B$4,"","x")</f>
        <v>x</v>
      </c>
      <c r="P27" s="1044" t="str">
        <f>IF(WEEKDAY(DATE($C$5,$C$6,P$7),2)&gt;'[5]Khai báo'!$B$4,"","x")</f>
        <v>x</v>
      </c>
      <c r="Q27" s="1044" t="str">
        <f>IF(WEEKDAY(DATE($C$5,$C$6,Q$7),2)&gt;'[5]Khai báo'!$B$4,"","x")</f>
        <v>x</v>
      </c>
      <c r="R27" s="1044" t="str">
        <f>IF(WEEKDAY(DATE($C$5,$C$6,R$7),2)&gt;'[5]Khai báo'!$B$4,"","x")</f>
        <v>x</v>
      </c>
      <c r="S27" s="1044" t="str">
        <f>IF(WEEKDAY(DATE($C$5,$C$6,S$7),2)&gt;'[5]Khai báo'!$B$4,"","x")</f>
        <v>x</v>
      </c>
      <c r="T27" s="1044" t="str">
        <f>IF(WEEKDAY(DATE($C$5,$C$6,T$7),2)&gt;'[5]Khai báo'!$B$4,"","x")</f>
        <v>x</v>
      </c>
      <c r="U27" s="1044" t="str">
        <f>IF(WEEKDAY(DATE($C$5,$C$6,U$7),2)&gt;'[5]Khai báo'!$B$4,"","x")</f>
        <v/>
      </c>
      <c r="V27" s="1044" t="str">
        <f>IF(WEEKDAY(DATE($C$5,$C$6,V$7),2)&gt;'[5]Khai báo'!$B$4,"","x")</f>
        <v>x</v>
      </c>
      <c r="W27" s="1044" t="str">
        <f>IF(WEEKDAY(DATE($C$5,$C$6,W$7),2)&gt;'[5]Khai báo'!$B$4,"","x")</f>
        <v>x</v>
      </c>
      <c r="X27" s="1044" t="str">
        <f>IF(WEEKDAY(DATE($C$5,$C$6,X$7),2)&gt;'[5]Khai báo'!$B$4,"","x")</f>
        <v>x</v>
      </c>
      <c r="Y27" s="1044" t="str">
        <f>IF(WEEKDAY(DATE($C$5,$C$6,Y$7),2)&gt;'[5]Khai báo'!$B$4,"","x")</f>
        <v>x</v>
      </c>
      <c r="Z27" s="1044" t="str">
        <f>IF(WEEKDAY(DATE($C$5,$C$6,Z$7),2)&gt;'[5]Khai báo'!$B$4,"","x")</f>
        <v>x</v>
      </c>
      <c r="AA27" s="1044" t="str">
        <f>IF(WEEKDAY(DATE($C$5,$C$6,AA$7),2)&gt;'[5]Khai báo'!$B$4,"","x")</f>
        <v>x</v>
      </c>
      <c r="AB27" s="1044" t="str">
        <f>IF(WEEKDAY(DATE($C$5,$C$6,AB$7),2)&gt;'[5]Khai báo'!$B$4,"","x")</f>
        <v/>
      </c>
      <c r="AC27" s="1044" t="str">
        <f>IF(WEEKDAY(DATE($C$5,$C$6,AC$7),2)&gt;'[5]Khai báo'!$B$4,"","x")</f>
        <v>x</v>
      </c>
      <c r="AD27" s="1044" t="str">
        <f>IF(WEEKDAY(DATE($C$5,$C$6,AD$7),2)&gt;'[5]Khai báo'!$B$4,"","x")</f>
        <v>x</v>
      </c>
      <c r="AE27" s="1044" t="str">
        <f>IF(WEEKDAY(DATE($C$5,$C$6,AE$7),2)&gt;'[5]Khai báo'!$B$4,"","x")</f>
        <v>x</v>
      </c>
      <c r="AF27" s="1046" t="str">
        <f>IF(AF25="","",IF(WEEKDAY(DATE($C$5,$C$6,AF$7),2)&gt;'[5]Khai báo'!$B$4,"","x"))</f>
        <v>x</v>
      </c>
      <c r="AG27" s="1046" t="str">
        <f>IF(AG25="","",IF(WEEKDAY(DATE($C$5,$C$6,AG$7),2)&gt;'[5]Khai báo'!$B$4,"","x"))</f>
        <v/>
      </c>
      <c r="AH27" s="1046" t="str">
        <f>IF(AH25="","",IF(WEEKDAY(DATE($C$5,$C$6,AH$7),2)&gt;'[5]Khai báo'!$B$4,"","x"))</f>
        <v/>
      </c>
      <c r="AI27" s="1488">
        <f t="shared" si="1"/>
        <v>25</v>
      </c>
    </row>
    <row r="28" spans="1:35">
      <c r="A28" s="1050">
        <v>14</v>
      </c>
      <c r="B28" s="1044"/>
      <c r="C28" s="1050" t="s">
        <v>199</v>
      </c>
      <c r="D28" s="1044" t="str">
        <f>IF(WEEKDAY(DATE($C$5,$C$6,D$7),2)&gt;'[5]Khai báo'!$B$4,"","x")</f>
        <v>x</v>
      </c>
      <c r="E28" s="1044" t="str">
        <f>IF(WEEKDAY(DATE($C$5,$C$6,E$7),2)&gt;'[5]Khai báo'!$B$4,"","x")</f>
        <v>x</v>
      </c>
      <c r="F28" s="1044" t="str">
        <f>IF(WEEKDAY(DATE($C$5,$C$6,F$7),2)&gt;'[5]Khai báo'!$B$4,"","x")</f>
        <v>x</v>
      </c>
      <c r="G28" s="1044" t="str">
        <f>IF(WEEKDAY(DATE($C$5,$C$6,G$7),2)&gt;'[5]Khai báo'!$B$4,"","x")</f>
        <v/>
      </c>
      <c r="H28" s="1045" t="str">
        <f>IF(WEEKDAY(DATE($C$5,$C$6,H$7),2)&gt;'[5]Khai báo'!$B$4,"","x")</f>
        <v>x</v>
      </c>
      <c r="I28" s="1044" t="str">
        <f>IF(WEEKDAY(DATE($C$5,$C$6,I$7),2)&gt;'[5]Khai báo'!$B$4,"","x")</f>
        <v>x</v>
      </c>
      <c r="J28" s="1044" t="str">
        <f>IF(WEEKDAY(DATE($C$5,$C$6,J$7),2)&gt;'[5]Khai báo'!$B$4,"","x")</f>
        <v>x</v>
      </c>
      <c r="K28" s="1044" t="str">
        <f>IF(WEEKDAY(DATE($C$5,$C$6,K$7),2)&gt;'[5]Khai báo'!$B$4,"","x")</f>
        <v>x</v>
      </c>
      <c r="L28" s="1044" t="str">
        <f>IF(WEEKDAY(DATE($C$5,$C$6,L$7),2)&gt;'[5]Khai báo'!$B$4,"","x")</f>
        <v>x</v>
      </c>
      <c r="M28" s="1044" t="str">
        <f>IF(WEEKDAY(DATE($C$5,$C$6,M$7),2)&gt;'[5]Khai báo'!$B$4,"","x")</f>
        <v>x</v>
      </c>
      <c r="N28" s="1044" t="str">
        <f>IF(WEEKDAY(DATE($C$5,$C$6,N$7),2)&gt;'[5]Khai báo'!$B$4,"","x")</f>
        <v/>
      </c>
      <c r="O28" s="1044" t="str">
        <f>IF(WEEKDAY(DATE($C$5,$C$6,O$7),2)&gt;'[5]Khai báo'!$B$4,"","x")</f>
        <v>x</v>
      </c>
      <c r="P28" s="1044" t="str">
        <f>IF(WEEKDAY(DATE($C$5,$C$6,P$7),2)&gt;'[5]Khai báo'!$B$4,"","x")</f>
        <v>x</v>
      </c>
      <c r="Q28" s="1044" t="str">
        <f>IF(WEEKDAY(DATE($C$5,$C$6,Q$7),2)&gt;'[5]Khai báo'!$B$4,"","x")</f>
        <v>x</v>
      </c>
      <c r="R28" s="1044" t="str">
        <f>IF(WEEKDAY(DATE($C$5,$C$6,R$7),2)&gt;'[5]Khai báo'!$B$4,"","x")</f>
        <v>x</v>
      </c>
      <c r="S28" s="1044" t="str">
        <f>IF(WEEKDAY(DATE($C$5,$C$6,S$7),2)&gt;'[5]Khai báo'!$B$4,"","x")</f>
        <v>x</v>
      </c>
      <c r="T28" s="1044" t="str">
        <f>IF(WEEKDAY(DATE($C$5,$C$6,T$7),2)&gt;'[5]Khai báo'!$B$4,"","x")</f>
        <v>x</v>
      </c>
      <c r="U28" s="1044" t="str">
        <f>IF(WEEKDAY(DATE($C$5,$C$6,U$7),2)&gt;'[5]Khai báo'!$B$4,"","x")</f>
        <v/>
      </c>
      <c r="V28" s="1044" t="str">
        <f>IF(WEEKDAY(DATE($C$5,$C$6,V$7),2)&gt;'[5]Khai báo'!$B$4,"","x")</f>
        <v>x</v>
      </c>
      <c r="W28" s="1044" t="str">
        <f>IF(WEEKDAY(DATE($C$5,$C$6,W$7),2)&gt;'[5]Khai báo'!$B$4,"","x")</f>
        <v>x</v>
      </c>
      <c r="X28" s="1044" t="str">
        <f>IF(WEEKDAY(DATE($C$5,$C$6,X$7),2)&gt;'[5]Khai báo'!$B$4,"","x")</f>
        <v>x</v>
      </c>
      <c r="Y28" s="1044" t="str">
        <f>IF(WEEKDAY(DATE($C$5,$C$6,Y$7),2)&gt;'[5]Khai báo'!$B$4,"","x")</f>
        <v>x</v>
      </c>
      <c r="Z28" s="1044" t="str">
        <f>IF(WEEKDAY(DATE($C$5,$C$6,Z$7),2)&gt;'[5]Khai báo'!$B$4,"","x")</f>
        <v>x</v>
      </c>
      <c r="AA28" s="1044" t="str">
        <f>IF(WEEKDAY(DATE($C$5,$C$6,AA$7),2)&gt;'[5]Khai báo'!$B$4,"","x")</f>
        <v>x</v>
      </c>
      <c r="AB28" s="1044" t="str">
        <f>IF(WEEKDAY(DATE($C$5,$C$6,AB$7),2)&gt;'[5]Khai báo'!$B$4,"","x")</f>
        <v/>
      </c>
      <c r="AC28" s="1044" t="str">
        <f>IF(WEEKDAY(DATE($C$5,$C$6,AC$7),2)&gt;'[5]Khai báo'!$B$4,"","x")</f>
        <v>x</v>
      </c>
      <c r="AD28" s="1044" t="str">
        <f>IF(WEEKDAY(DATE($C$5,$C$6,AD$7),2)&gt;'[5]Khai báo'!$B$4,"","x")</f>
        <v>x</v>
      </c>
      <c r="AE28" s="1044" t="str">
        <f>IF(WEEKDAY(DATE($C$5,$C$6,AE$7),2)&gt;'[5]Khai báo'!$B$4,"","x")</f>
        <v>x</v>
      </c>
      <c r="AF28" s="1046" t="str">
        <f>IF(AF26="","",IF(WEEKDAY(DATE($C$5,$C$6,AF$7),2)&gt;'[5]Khai báo'!$B$4,"","x"))</f>
        <v>x</v>
      </c>
      <c r="AG28" s="1046" t="str">
        <f>IF(AG26="","",IF(WEEKDAY(DATE($C$5,$C$6,AG$7),2)&gt;'[5]Khai báo'!$B$4,"","x"))</f>
        <v/>
      </c>
      <c r="AH28" s="1046" t="str">
        <f>IF(AH26="","",IF(WEEKDAY(DATE($C$5,$C$6,AH$7),2)&gt;'[5]Khai báo'!$B$4,"","x"))</f>
        <v/>
      </c>
      <c r="AI28" s="1488">
        <f t="shared" si="1"/>
        <v>25</v>
      </c>
    </row>
    <row r="29" spans="1:35" hidden="1">
      <c r="A29" s="1050">
        <v>14</v>
      </c>
      <c r="B29" s="1044"/>
      <c r="C29" s="1050" t="s">
        <v>437</v>
      </c>
      <c r="D29" s="1044" t="str">
        <f>IF(WEEKDAY(DATE($C$5,$C$6,D$7),2)&gt;'[5]Khai báo'!$B$4,"","x")</f>
        <v>x</v>
      </c>
      <c r="E29" s="1044" t="str">
        <f>IF(WEEKDAY(DATE($C$5,$C$6,E$7),2)&gt;'[5]Khai báo'!$B$4,"","x")</f>
        <v>x</v>
      </c>
      <c r="F29" s="1044" t="str">
        <f>IF(WEEKDAY(DATE($C$5,$C$6,F$7),2)&gt;'[5]Khai báo'!$B$4,"","x")</f>
        <v>x</v>
      </c>
      <c r="G29" s="1044" t="str">
        <f>IF(WEEKDAY(DATE($C$5,$C$6,G$7),2)&gt;'[5]Khai báo'!$B$4,"","x")</f>
        <v/>
      </c>
      <c r="H29" s="1045" t="str">
        <f>IF(WEEKDAY(DATE($C$5,$C$6,H$7),2)&gt;'[5]Khai báo'!$B$4,"","x")</f>
        <v>x</v>
      </c>
      <c r="I29" s="1044" t="str">
        <f>IF(WEEKDAY(DATE($C$5,$C$6,I$7),2)&gt;'[5]Khai báo'!$B$4,"","x")</f>
        <v>x</v>
      </c>
      <c r="J29" s="1044" t="str">
        <f>IF(WEEKDAY(DATE($C$5,$C$6,J$7),2)&gt;'[5]Khai báo'!$B$4,"","x")</f>
        <v>x</v>
      </c>
      <c r="K29" s="1044" t="str">
        <f>IF(WEEKDAY(DATE($C$5,$C$6,K$7),2)&gt;'[5]Khai báo'!$B$4,"","x")</f>
        <v>x</v>
      </c>
      <c r="L29" s="1044" t="str">
        <f>IF(WEEKDAY(DATE($C$5,$C$6,L$7),2)&gt;'[5]Khai báo'!$B$4,"","x")</f>
        <v>x</v>
      </c>
      <c r="M29" s="1044" t="str">
        <f>IF(WEEKDAY(DATE($C$5,$C$6,M$7),2)&gt;'[5]Khai báo'!$B$4,"","x")</f>
        <v>x</v>
      </c>
      <c r="N29" s="1044" t="str">
        <f>IF(WEEKDAY(DATE($C$5,$C$6,N$7),2)&gt;'[5]Khai báo'!$B$4,"","x")</f>
        <v/>
      </c>
      <c r="O29" s="1044" t="str">
        <f>IF(WEEKDAY(DATE($C$5,$C$6,O$7),2)&gt;'[5]Khai báo'!$B$4,"","x")</f>
        <v>x</v>
      </c>
      <c r="P29" s="1044" t="str">
        <f>IF(WEEKDAY(DATE($C$5,$C$6,P$7),2)&gt;'[5]Khai báo'!$B$4,"","x")</f>
        <v>x</v>
      </c>
      <c r="Q29" s="1044" t="str">
        <f>IF(WEEKDAY(DATE($C$5,$C$6,Q$7),2)&gt;'[5]Khai báo'!$B$4,"","x")</f>
        <v>x</v>
      </c>
      <c r="R29" s="1044" t="str">
        <f>IF(WEEKDAY(DATE($C$5,$C$6,R$7),2)&gt;'[5]Khai báo'!$B$4,"","x")</f>
        <v>x</v>
      </c>
      <c r="S29" s="1044" t="str">
        <f>IF(WEEKDAY(DATE($C$5,$C$6,S$7),2)&gt;'[5]Khai báo'!$B$4,"","x")</f>
        <v>x</v>
      </c>
      <c r="T29" s="1044" t="str">
        <f>IF(WEEKDAY(DATE($C$5,$C$6,T$7),2)&gt;'[5]Khai báo'!$B$4,"","x")</f>
        <v>x</v>
      </c>
      <c r="U29" s="1044" t="str">
        <f>IF(WEEKDAY(DATE($C$5,$C$6,U$7),2)&gt;'[5]Khai báo'!$B$4,"","x")</f>
        <v/>
      </c>
      <c r="V29" s="1044" t="str">
        <f>IF(WEEKDAY(DATE($C$5,$C$6,V$7),2)&gt;'[5]Khai báo'!$B$4,"","x")</f>
        <v>x</v>
      </c>
      <c r="W29" s="1044" t="str">
        <f>IF(WEEKDAY(DATE($C$5,$C$6,W$7),2)&gt;'[5]Khai báo'!$B$4,"","x")</f>
        <v>x</v>
      </c>
      <c r="X29" s="1044" t="str">
        <f>IF(WEEKDAY(DATE($C$5,$C$6,X$7),2)&gt;'[5]Khai báo'!$B$4,"","x")</f>
        <v>x</v>
      </c>
      <c r="Y29" s="1044" t="str">
        <f>IF(WEEKDAY(DATE($C$5,$C$6,Y$7),2)&gt;'[5]Khai báo'!$B$4,"","x")</f>
        <v>x</v>
      </c>
      <c r="Z29" s="1044" t="str">
        <f>IF(WEEKDAY(DATE($C$5,$C$6,Z$7),2)&gt;'[5]Khai báo'!$B$4,"","x")</f>
        <v>x</v>
      </c>
      <c r="AA29" s="1044" t="str">
        <f>IF(WEEKDAY(DATE($C$5,$C$6,AA$7),2)&gt;'[5]Khai báo'!$B$4,"","x")</f>
        <v>x</v>
      </c>
      <c r="AB29" s="1044" t="str">
        <f>IF(WEEKDAY(DATE($C$5,$C$6,AB$7),2)&gt;'[5]Khai báo'!$B$4,"","x")</f>
        <v/>
      </c>
      <c r="AC29" s="1044" t="str">
        <f>IF(WEEKDAY(DATE($C$5,$C$6,AC$7),2)&gt;'[5]Khai báo'!$B$4,"","x")</f>
        <v>x</v>
      </c>
      <c r="AD29" s="1044" t="str">
        <f>IF(WEEKDAY(DATE($C$5,$C$6,AD$7),2)&gt;'[5]Khai báo'!$B$4,"","x")</f>
        <v>x</v>
      </c>
      <c r="AE29" s="1044" t="str">
        <f>IF(WEEKDAY(DATE($C$5,$C$6,AE$7),2)&gt;'[5]Khai báo'!$B$4,"","x")</f>
        <v>x</v>
      </c>
      <c r="AF29" s="1046" t="str">
        <f>IF(AF27="","",IF(WEEKDAY(DATE($C$5,$C$6,AF$7),2)&gt;'[5]Khai báo'!$B$4,"","x"))</f>
        <v>x</v>
      </c>
      <c r="AG29" s="1046" t="str">
        <f>IF(AG27="","",IF(WEEKDAY(DATE($C$5,$C$6,AG$7),2)&gt;'[5]Khai báo'!$B$4,"","x"))</f>
        <v/>
      </c>
      <c r="AH29" s="1046" t="str">
        <f>IF(AH27="","",IF(WEEKDAY(DATE($C$5,$C$6,AH$7),2)&gt;'[5]Khai báo'!$B$4,"","x"))</f>
        <v/>
      </c>
      <c r="AI29" s="1488">
        <f t="shared" si="1"/>
        <v>25</v>
      </c>
    </row>
    <row r="30" spans="1:35" hidden="1">
      <c r="A30" s="1050">
        <v>15</v>
      </c>
      <c r="B30" s="1044"/>
      <c r="C30" s="1050" t="s">
        <v>999</v>
      </c>
      <c r="D30" s="1044" t="str">
        <f>IF(WEEKDAY(DATE($C$5,$C$6,D$7),2)&gt;'[5]Khai báo'!$B$4,"","x")</f>
        <v>x</v>
      </c>
      <c r="E30" s="1044" t="str">
        <f>IF(WEEKDAY(DATE($C$5,$C$6,E$7),2)&gt;'[5]Khai báo'!$B$4,"","x")</f>
        <v>x</v>
      </c>
      <c r="F30" s="1044" t="str">
        <f>IF(WEEKDAY(DATE($C$5,$C$6,F$7),2)&gt;'[5]Khai báo'!$B$4,"","x")</f>
        <v>x</v>
      </c>
      <c r="G30" s="1044" t="str">
        <f>IF(WEEKDAY(DATE($C$5,$C$6,G$7),2)&gt;'[5]Khai báo'!$B$4,"","x")</f>
        <v/>
      </c>
      <c r="H30" s="1044" t="str">
        <f>IF(WEEKDAY(DATE($C$5,$C$6,H$7),2)&gt;'[5]Khai báo'!$B$4,"","x")</f>
        <v>x</v>
      </c>
      <c r="I30" s="1044" t="str">
        <f>IF(WEEKDAY(DATE($C$5,$C$6,I$7),2)&gt;'[5]Khai báo'!$B$4,"","x")</f>
        <v>x</v>
      </c>
      <c r="J30" s="1044" t="str">
        <f>IF(WEEKDAY(DATE($C$5,$C$6,J$7),2)&gt;'[5]Khai báo'!$B$4,"","x")</f>
        <v>x</v>
      </c>
      <c r="K30" s="1044" t="str">
        <f>IF(WEEKDAY(DATE($C$5,$C$6,K$7),2)&gt;'[5]Khai báo'!$B$4,"","x")</f>
        <v>x</v>
      </c>
      <c r="L30" s="1044" t="str">
        <f>IF(WEEKDAY(DATE($C$5,$C$6,L$7),2)&gt;'[5]Khai báo'!$B$4,"","x")</f>
        <v>x</v>
      </c>
      <c r="M30" s="1044" t="str">
        <f>IF(WEEKDAY(DATE($C$5,$C$6,M$7),2)&gt;'[5]Khai báo'!$B$4,"","x")</f>
        <v>x</v>
      </c>
      <c r="N30" s="1044" t="str">
        <f>IF(WEEKDAY(DATE($C$5,$C$6,N$7),2)&gt;'[5]Khai báo'!$B$4,"","x")</f>
        <v/>
      </c>
      <c r="O30" s="1044" t="str">
        <f>IF(WEEKDAY(DATE($C$5,$C$6,O$7),2)&gt;'[5]Khai báo'!$B$4,"","x")</f>
        <v>x</v>
      </c>
      <c r="P30" s="1044" t="str">
        <f>IF(WEEKDAY(DATE($C$5,$C$6,P$7),2)&gt;'[5]Khai báo'!$B$4,"","x")</f>
        <v>x</v>
      </c>
      <c r="Q30" s="1044" t="str">
        <f>IF(WEEKDAY(DATE($C$5,$C$6,Q$7),2)&gt;'[5]Khai báo'!$B$4,"","x")</f>
        <v>x</v>
      </c>
      <c r="R30" s="1044" t="str">
        <f>IF(WEEKDAY(DATE($C$5,$C$6,R$7),2)&gt;'[5]Khai báo'!$B$4,"","x")</f>
        <v>x</v>
      </c>
      <c r="S30" s="1044" t="str">
        <f>IF(WEEKDAY(DATE($C$5,$C$6,S$7),2)&gt;'[5]Khai báo'!$B$4,"","x")</f>
        <v>x</v>
      </c>
      <c r="T30" s="1044" t="str">
        <f>IF(WEEKDAY(DATE($C$5,$C$6,T$7),2)&gt;'[5]Khai báo'!$B$4,"","x")</f>
        <v>x</v>
      </c>
      <c r="U30" s="1044" t="str">
        <f>IF(WEEKDAY(DATE($C$5,$C$6,U$7),2)&gt;'[5]Khai báo'!$B$4,"","x")</f>
        <v/>
      </c>
      <c r="V30" s="1044" t="str">
        <f>IF(WEEKDAY(DATE($C$5,$C$6,V$7),2)&gt;'[5]Khai báo'!$B$4,"","x")</f>
        <v>x</v>
      </c>
      <c r="W30" s="1044" t="str">
        <f>IF(WEEKDAY(DATE($C$5,$C$6,W$7),2)&gt;'[5]Khai báo'!$B$4,"","x")</f>
        <v>x</v>
      </c>
      <c r="X30" s="1044" t="str">
        <f>IF(WEEKDAY(DATE($C$5,$C$6,X$7),2)&gt;'[5]Khai báo'!$B$4,"","x")</f>
        <v>x</v>
      </c>
      <c r="Y30" s="1044" t="str">
        <f>IF(WEEKDAY(DATE($C$5,$C$6,Y$7),2)&gt;'[5]Khai báo'!$B$4,"","x")</f>
        <v>x</v>
      </c>
      <c r="Z30" s="1044" t="str">
        <f>IF(WEEKDAY(DATE($C$5,$C$6,Z$7),2)&gt;'[5]Khai báo'!$B$4,"","x")</f>
        <v>x</v>
      </c>
      <c r="AA30" s="1044" t="str">
        <f>IF(WEEKDAY(DATE($C$5,$C$6,AA$7),2)&gt;'[5]Khai báo'!$B$4,"","x")</f>
        <v>x</v>
      </c>
      <c r="AB30" s="1044" t="str">
        <f>IF(WEEKDAY(DATE($C$5,$C$6,AB$7),2)&gt;'[5]Khai báo'!$B$4,"","x")</f>
        <v/>
      </c>
      <c r="AC30" s="1044" t="str">
        <f>IF(WEEKDAY(DATE($C$5,$C$6,AC$7),2)&gt;'[5]Khai báo'!$B$4,"","x")</f>
        <v>x</v>
      </c>
      <c r="AD30" s="1044" t="str">
        <f>IF(WEEKDAY(DATE($C$5,$C$6,AD$7),2)&gt;'[5]Khai báo'!$B$4,"","x")</f>
        <v>x</v>
      </c>
      <c r="AE30" s="1044" t="str">
        <f>IF(WEEKDAY(DATE($C$5,$C$6,AE$7),2)&gt;'[5]Khai báo'!$B$4,"","x")</f>
        <v>x</v>
      </c>
      <c r="AF30" s="1046" t="str">
        <f>IF(AF12="","",IF(WEEKDAY(DATE($C$5,$C$6,AF$7),2)&gt;'[5]Khai báo'!$B$4,"","x"))</f>
        <v>x</v>
      </c>
      <c r="AG30" s="1046" t="str">
        <f>IF(AG12="","",IF(WEEKDAY(DATE($C$5,$C$6,AG$7),2)&gt;'[5]Khai báo'!$B$4,"","x"))</f>
        <v/>
      </c>
      <c r="AH30" s="1046" t="str">
        <f>IF(AH12="","",IF(WEEKDAY(DATE($C$5,$C$6,AH$7),2)&gt;'[5]Khai báo'!$B$4,"","x"))</f>
        <v/>
      </c>
      <c r="AI30" s="1488">
        <f t="shared" si="1"/>
        <v>25</v>
      </c>
    </row>
    <row r="31" spans="1:35">
      <c r="A31" s="1050">
        <v>15</v>
      </c>
      <c r="B31" s="1044"/>
      <c r="C31" s="1050" t="s">
        <v>1165</v>
      </c>
      <c r="D31" s="1044" t="str">
        <f>IF(WEEKDAY(DATE($C$5,$C$6,D$7),2)&gt;'[5]Khai báo'!$B$4,"","x")</f>
        <v>x</v>
      </c>
      <c r="E31" s="1044" t="str">
        <f>IF(WEEKDAY(DATE($C$5,$C$6,E$7),2)&gt;'[5]Khai báo'!$B$4,"","x")</f>
        <v>x</v>
      </c>
      <c r="F31" s="1044" t="str">
        <f>IF(WEEKDAY(DATE($C$5,$C$6,F$7),2)&gt;'[5]Khai báo'!$B$4,"","x")</f>
        <v>x</v>
      </c>
      <c r="G31" s="1044" t="str">
        <f>IF(WEEKDAY(DATE($C$5,$C$6,G$7),2)&gt;'[5]Khai báo'!$B$4,"","x")</f>
        <v/>
      </c>
      <c r="H31" s="1044" t="str">
        <f>IF(WEEKDAY(DATE($C$5,$C$6,H$7),2)&gt;'[5]Khai báo'!$B$4,"","x")</f>
        <v>x</v>
      </c>
      <c r="I31" s="1044" t="str">
        <f>IF(WEEKDAY(DATE($C$5,$C$6,I$7),2)&gt;'[5]Khai báo'!$B$4,"","x")</f>
        <v>x</v>
      </c>
      <c r="J31" s="1044" t="str">
        <f>IF(WEEKDAY(DATE($C$5,$C$6,J$7),2)&gt;'[5]Khai báo'!$B$4,"","x")</f>
        <v>x</v>
      </c>
      <c r="K31" s="1044" t="str">
        <f>IF(WEEKDAY(DATE($C$5,$C$6,K$7),2)&gt;'[5]Khai báo'!$B$4,"","x")</f>
        <v>x</v>
      </c>
      <c r="L31" s="1044" t="str">
        <f>IF(WEEKDAY(DATE($C$5,$C$6,L$7),2)&gt;'[5]Khai báo'!$B$4,"","x")</f>
        <v>x</v>
      </c>
      <c r="M31" s="1044" t="str">
        <f>IF(WEEKDAY(DATE($C$5,$C$6,M$7),2)&gt;'[5]Khai báo'!$B$4,"","x")</f>
        <v>x</v>
      </c>
      <c r="N31" s="1044" t="str">
        <f>IF(WEEKDAY(DATE($C$5,$C$6,N$7),2)&gt;'[5]Khai báo'!$B$4,"","x")</f>
        <v/>
      </c>
      <c r="O31" s="1044" t="str">
        <f>IF(WEEKDAY(DATE($C$5,$C$6,O$7),2)&gt;'[5]Khai báo'!$B$4,"","x")</f>
        <v>x</v>
      </c>
      <c r="P31" s="1044" t="str">
        <f>IF(WEEKDAY(DATE($C$5,$C$6,P$7),2)&gt;'[5]Khai báo'!$B$4,"","x")</f>
        <v>x</v>
      </c>
      <c r="Q31" s="1044" t="str">
        <f>IF(WEEKDAY(DATE($C$5,$C$6,Q$7),2)&gt;'[5]Khai báo'!$B$4,"","x")</f>
        <v>x</v>
      </c>
      <c r="R31" s="1044" t="str">
        <f>IF(WEEKDAY(DATE($C$5,$C$6,R$7),2)&gt;'[5]Khai báo'!$B$4,"","x")</f>
        <v>x</v>
      </c>
      <c r="S31" s="1044" t="str">
        <f>IF(WEEKDAY(DATE($C$5,$C$6,S$7),2)&gt;'[5]Khai báo'!$B$4,"","x")</f>
        <v>x</v>
      </c>
      <c r="T31" s="1044" t="str">
        <f>IF(WEEKDAY(DATE($C$5,$C$6,T$7),2)&gt;'[5]Khai báo'!$B$4,"","x")</f>
        <v>x</v>
      </c>
      <c r="U31" s="1044" t="str">
        <f>IF(WEEKDAY(DATE($C$5,$C$6,U$7),2)&gt;'[5]Khai báo'!$B$4,"","x")</f>
        <v/>
      </c>
      <c r="V31" s="1044" t="str">
        <f>IF(WEEKDAY(DATE($C$5,$C$6,V$7),2)&gt;'[5]Khai báo'!$B$4,"","x")</f>
        <v>x</v>
      </c>
      <c r="W31" s="1044" t="str">
        <f>IF(WEEKDAY(DATE($C$5,$C$6,W$7),2)&gt;'[5]Khai báo'!$B$4,"","x")</f>
        <v>x</v>
      </c>
      <c r="X31" s="1044" t="str">
        <f>IF(WEEKDAY(DATE($C$5,$C$6,X$7),2)&gt;'[5]Khai báo'!$B$4,"","x")</f>
        <v>x</v>
      </c>
      <c r="Y31" s="1044" t="str">
        <f>IF(WEEKDAY(DATE($C$5,$C$6,Y$7),2)&gt;'[5]Khai báo'!$B$4,"","x")</f>
        <v>x</v>
      </c>
      <c r="Z31" s="1044" t="str">
        <f>IF(WEEKDAY(DATE($C$5,$C$6,Z$7),2)&gt;'[5]Khai báo'!$B$4,"","x")</f>
        <v>x</v>
      </c>
      <c r="AA31" s="1044" t="str">
        <f>IF(WEEKDAY(DATE($C$5,$C$6,AA$7),2)&gt;'[5]Khai báo'!$B$4,"","x")</f>
        <v>x</v>
      </c>
      <c r="AB31" s="1044" t="str">
        <f>IF(WEEKDAY(DATE($C$5,$C$6,AB$7),2)&gt;'[5]Khai báo'!$B$4,"","x")</f>
        <v/>
      </c>
      <c r="AC31" s="1044" t="str">
        <f>IF(WEEKDAY(DATE($C$5,$C$6,AC$7),2)&gt;'[5]Khai báo'!$B$4,"","x")</f>
        <v>x</v>
      </c>
      <c r="AD31" s="1044" t="str">
        <f>IF(WEEKDAY(DATE($C$5,$C$6,AD$7),2)&gt;'[5]Khai báo'!$B$4,"","x")</f>
        <v>x</v>
      </c>
      <c r="AE31" s="1044" t="str">
        <f>IF(WEEKDAY(DATE($C$5,$C$6,AE$7),2)&gt;'[5]Khai báo'!$B$4,"","x")</f>
        <v>x</v>
      </c>
      <c r="AF31" s="1046" t="str">
        <f>IF(AF13="","",IF(WEEKDAY(DATE($C$5,$C$6,AF$7),2)&gt;'[5]Khai báo'!$B$4,"","x"))</f>
        <v>x</v>
      </c>
      <c r="AG31" s="1046" t="str">
        <f>IF(AG13="","",IF(WEEKDAY(DATE($C$5,$C$6,AG$7),2)&gt;'[5]Khai báo'!$B$4,"","x"))</f>
        <v/>
      </c>
      <c r="AH31" s="1046" t="str">
        <f>IF(AH13="","",IF(WEEKDAY(DATE($C$5,$C$6,AH$7),2)&gt;'[5]Khai báo'!$B$4,"","x"))</f>
        <v/>
      </c>
      <c r="AI31" s="1488">
        <f t="shared" si="1"/>
        <v>25</v>
      </c>
    </row>
    <row r="32" spans="1:35">
      <c r="Z32" s="4230" t="s">
        <v>1387</v>
      </c>
      <c r="AA32" s="4230"/>
      <c r="AB32" s="4230"/>
      <c r="AC32" s="4230"/>
      <c r="AD32" s="4230"/>
      <c r="AE32" s="4230"/>
      <c r="AF32" s="4230"/>
      <c r="AG32" s="4230"/>
      <c r="AH32" s="4230"/>
      <c r="AI32" s="4230"/>
    </row>
    <row r="33" spans="2:35" hidden="1">
      <c r="B33" s="1038" t="s">
        <v>982</v>
      </c>
      <c r="AI33" s="1051"/>
    </row>
    <row r="34" spans="2:35" hidden="1">
      <c r="B34" s="1039"/>
      <c r="AI34" s="1051"/>
    </row>
    <row r="35" spans="2:35" hidden="1">
      <c r="B35" s="1052"/>
      <c r="C35" s="1038" t="s">
        <v>983</v>
      </c>
    </row>
    <row r="36" spans="2:35" ht="15.75" hidden="1">
      <c r="Z36" s="4233"/>
      <c r="AA36" s="4233"/>
      <c r="AB36" s="4233"/>
      <c r="AC36" s="4233"/>
      <c r="AD36" s="4233"/>
      <c r="AE36" s="4233"/>
      <c r="AF36" s="4233"/>
      <c r="AG36" s="4233"/>
      <c r="AH36" s="4233"/>
      <c r="AI36" s="4233"/>
    </row>
    <row r="37" spans="2:35">
      <c r="B37" s="4228" t="s">
        <v>984</v>
      </c>
      <c r="C37" s="4228"/>
      <c r="AA37" s="4230" t="s">
        <v>20</v>
      </c>
      <c r="AB37" s="4230"/>
      <c r="AC37" s="4230"/>
      <c r="AD37" s="4230"/>
      <c r="AE37" s="4230"/>
      <c r="AF37" s="4230"/>
      <c r="AG37" s="4230"/>
      <c r="AH37" s="4230"/>
      <c r="AI37" s="4230"/>
    </row>
    <row r="38" spans="2:35" s="1053" customFormat="1" ht="14.25">
      <c r="H38" s="1054"/>
      <c r="K38" s="4228"/>
      <c r="L38" s="4228"/>
      <c r="M38" s="4228"/>
      <c r="N38" s="4228"/>
      <c r="O38" s="4228"/>
      <c r="P38" s="4228"/>
      <c r="Q38" s="4228"/>
      <c r="R38" s="4228"/>
      <c r="S38" s="4228"/>
      <c r="T38" s="4228"/>
      <c r="AC38" s="4228"/>
      <c r="AD38" s="4228"/>
      <c r="AE38" s="4228"/>
      <c r="AF38" s="4228"/>
      <c r="AG38" s="4228"/>
      <c r="AH38" s="4228"/>
      <c r="AI38" s="4228"/>
    </row>
    <row r="39" spans="2:35">
      <c r="B39" s="4229"/>
      <c r="C39" s="4230"/>
      <c r="K39" s="4229"/>
      <c r="L39" s="4229"/>
      <c r="M39" s="4229"/>
      <c r="N39" s="4229"/>
      <c r="O39" s="4229"/>
      <c r="P39" s="4229"/>
      <c r="Q39" s="4229"/>
      <c r="R39" s="4229"/>
      <c r="S39" s="4229"/>
      <c r="T39" s="4229"/>
      <c r="AC39" s="4229"/>
      <c r="AD39" s="4229"/>
      <c r="AE39" s="4229"/>
      <c r="AF39" s="4229"/>
      <c r="AG39" s="4229"/>
      <c r="AH39" s="4229"/>
      <c r="AI39" s="4229"/>
    </row>
  </sheetData>
  <mergeCells count="19">
    <mergeCell ref="Z32:AI32"/>
    <mergeCell ref="AA37:AI37"/>
    <mergeCell ref="A7:A8"/>
    <mergeCell ref="A1:C1"/>
    <mergeCell ref="A2:C2"/>
    <mergeCell ref="W2:AI2"/>
    <mergeCell ref="W1:AI1"/>
    <mergeCell ref="Z36:AI36"/>
    <mergeCell ref="B37:C37"/>
    <mergeCell ref="D4:AH4"/>
    <mergeCell ref="D5:AH5"/>
    <mergeCell ref="B7:B8"/>
    <mergeCell ref="C7:C8"/>
    <mergeCell ref="AI7:AI8"/>
    <mergeCell ref="K38:T38"/>
    <mergeCell ref="AC38:AI38"/>
    <mergeCell ref="B39:C39"/>
    <mergeCell ref="K39:T39"/>
    <mergeCell ref="AC39:AI39"/>
  </mergeCells>
  <conditionalFormatting sqref="D7:AE8 AF8:AH8 D9:AH31">
    <cfRule type="expression" dxfId="16" priority="6" stopIfTrue="1">
      <formula>WEEKDAY(DATE($C$5,$C$6,D$7))=7</formula>
    </cfRule>
  </conditionalFormatting>
  <conditionalFormatting sqref="AF7:AH31">
    <cfRule type="expression" dxfId="15" priority="2" stopIfTrue="1">
      <formula>WEEKDAY(DATE($C$5,$C$6,AF$7))=1</formula>
    </cfRule>
    <cfRule type="expression" dxfId="14" priority="3" stopIfTrue="1">
      <formula>WEEKDAY(DATE($C$5,$C$6,AF$7))=7</formula>
    </cfRule>
    <cfRule type="expression" dxfId="13" priority="4" stopIfTrue="1">
      <formula>AF$7&lt;&gt;""</formula>
    </cfRule>
  </conditionalFormatting>
  <conditionalFormatting sqref="AF8:AH8 D9:AH31 D7:AE8">
    <cfRule type="expression" dxfId="12" priority="5" stopIfTrue="1">
      <formula>WEEKDAY(DATE($C$5,$C$6,D$7))=1</formula>
    </cfRule>
  </conditionalFormatting>
  <conditionalFormatting sqref="AL1:AR2">
    <cfRule type="expression" dxfId="11" priority="1" stopIfTrue="1">
      <formula>$AT$1=""</formula>
    </cfRule>
  </conditionalFormatting>
  <pageMargins left="0.33" right="0.17" top="0.5" bottom="0.74803149606299213" header="0.31496062992125984" footer="0.31496062992125984"/>
  <pageSetup paperSize="9" scale="70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B224"/>
  <sheetViews>
    <sheetView topLeftCell="A14" zoomScale="70" zoomScaleNormal="70" workbookViewId="0">
      <selection activeCell="X94" sqref="X94"/>
    </sheetView>
  </sheetViews>
  <sheetFormatPr defaultColWidth="9" defaultRowHeight="15.75"/>
  <cols>
    <col min="1" max="1" width="6" style="1209" customWidth="1"/>
    <col min="2" max="2" width="46.42578125" style="698" customWidth="1"/>
    <col min="3" max="3" width="6" style="1209" customWidth="1"/>
    <col min="4" max="4" width="10.5703125" style="698" customWidth="1"/>
    <col min="5" max="7" width="8.140625" style="724" customWidth="1"/>
    <col min="8" max="8" width="9.42578125" style="722" customWidth="1"/>
    <col min="9" max="9" width="8.140625" style="724" customWidth="1"/>
    <col min="10" max="10" width="8.140625" style="722" customWidth="1"/>
    <col min="11" max="11" width="8.140625" style="724" customWidth="1"/>
    <col min="12" max="12" width="8.140625" style="722" customWidth="1"/>
    <col min="13" max="13" width="13.140625" style="1200" customWidth="1"/>
    <col min="14" max="14" width="5.42578125" style="726" customWidth="1"/>
    <col min="15" max="15" width="13.5703125" style="813" customWidth="1"/>
    <col min="16" max="16" width="18.42578125" style="1209" customWidth="1"/>
    <col min="17" max="18" width="9" style="698" hidden="1" customWidth="1"/>
    <col min="19" max="19" width="10.7109375" style="698" hidden="1" customWidth="1"/>
    <col min="20" max="20" width="13.42578125" style="698" hidden="1" customWidth="1"/>
    <col min="21" max="21" width="9" style="698"/>
    <col min="22" max="22" width="15.85546875" style="698" customWidth="1"/>
    <col min="23" max="23" width="10.7109375" style="698" bestFit="1" customWidth="1"/>
    <col min="24" max="158" width="9" style="698"/>
    <col min="159" max="159" width="3.5703125" style="698" customWidth="1"/>
    <col min="160" max="160" width="26.42578125" style="698" customWidth="1"/>
    <col min="161" max="161" width="5.42578125" style="698" customWidth="1"/>
    <col min="162" max="162" width="7.42578125" style="698" customWidth="1"/>
    <col min="163" max="163" width="5" style="698" customWidth="1"/>
    <col min="164" max="164" width="7.5703125" style="698" customWidth="1"/>
    <col min="165" max="165" width="5.140625" style="698" customWidth="1"/>
    <col min="166" max="166" width="6.5703125" style="698" customWidth="1"/>
    <col min="167" max="167" width="5" style="698" customWidth="1"/>
    <col min="168" max="168" width="7.42578125" style="698" customWidth="1"/>
    <col min="169" max="169" width="5.42578125" style="698" customWidth="1"/>
    <col min="170" max="170" width="6.42578125" style="698" customWidth="1"/>
    <col min="171" max="171" width="8.85546875" style="698" customWidth="1"/>
    <col min="172" max="172" width="5" style="698" customWidth="1"/>
    <col min="173" max="173" width="12.140625" style="698" customWidth="1"/>
    <col min="174" max="174" width="11.42578125" style="698" customWidth="1"/>
    <col min="175" max="414" width="9" style="698"/>
    <col min="415" max="415" width="3.5703125" style="698" customWidth="1"/>
    <col min="416" max="416" width="26.42578125" style="698" customWidth="1"/>
    <col min="417" max="417" width="5.42578125" style="698" customWidth="1"/>
    <col min="418" max="418" width="7.42578125" style="698" customWidth="1"/>
    <col min="419" max="419" width="5" style="698" customWidth="1"/>
    <col min="420" max="420" width="7.5703125" style="698" customWidth="1"/>
    <col min="421" max="421" width="5.140625" style="698" customWidth="1"/>
    <col min="422" max="422" width="6.5703125" style="698" customWidth="1"/>
    <col min="423" max="423" width="5" style="698" customWidth="1"/>
    <col min="424" max="424" width="7.42578125" style="698" customWidth="1"/>
    <col min="425" max="425" width="5.42578125" style="698" customWidth="1"/>
    <col min="426" max="426" width="6.42578125" style="698" customWidth="1"/>
    <col min="427" max="427" width="8.85546875" style="698" customWidth="1"/>
    <col min="428" max="428" width="5" style="698" customWidth="1"/>
    <col min="429" max="429" width="12.140625" style="698" customWidth="1"/>
    <col min="430" max="430" width="11.42578125" style="698" customWidth="1"/>
    <col min="431" max="670" width="9" style="698"/>
    <col min="671" max="671" width="3.5703125" style="698" customWidth="1"/>
    <col min="672" max="672" width="26.42578125" style="698" customWidth="1"/>
    <col min="673" max="673" width="5.42578125" style="698" customWidth="1"/>
    <col min="674" max="674" width="7.42578125" style="698" customWidth="1"/>
    <col min="675" max="675" width="5" style="698" customWidth="1"/>
    <col min="676" max="676" width="7.5703125" style="698" customWidth="1"/>
    <col min="677" max="677" width="5.140625" style="698" customWidth="1"/>
    <col min="678" max="678" width="6.5703125" style="698" customWidth="1"/>
    <col min="679" max="679" width="5" style="698" customWidth="1"/>
    <col min="680" max="680" width="7.42578125" style="698" customWidth="1"/>
    <col min="681" max="681" width="5.42578125" style="698" customWidth="1"/>
    <col min="682" max="682" width="6.42578125" style="698" customWidth="1"/>
    <col min="683" max="683" width="8.85546875" style="698" customWidth="1"/>
    <col min="684" max="684" width="5" style="698" customWidth="1"/>
    <col min="685" max="685" width="12.140625" style="698" customWidth="1"/>
    <col min="686" max="686" width="11.42578125" style="698" customWidth="1"/>
    <col min="687" max="926" width="9" style="698"/>
    <col min="927" max="927" width="3.5703125" style="698" customWidth="1"/>
    <col min="928" max="928" width="26.42578125" style="698" customWidth="1"/>
    <col min="929" max="929" width="5.42578125" style="698" customWidth="1"/>
    <col min="930" max="930" width="7.42578125" style="698" customWidth="1"/>
    <col min="931" max="931" width="5" style="698" customWidth="1"/>
    <col min="932" max="932" width="7.5703125" style="698" customWidth="1"/>
    <col min="933" max="933" width="5.140625" style="698" customWidth="1"/>
    <col min="934" max="934" width="6.5703125" style="698" customWidth="1"/>
    <col min="935" max="935" width="5" style="698" customWidth="1"/>
    <col min="936" max="936" width="7.42578125" style="698" customWidth="1"/>
    <col min="937" max="937" width="5.42578125" style="698" customWidth="1"/>
    <col min="938" max="938" width="6.42578125" style="698" customWidth="1"/>
    <col min="939" max="939" width="8.85546875" style="698" customWidth="1"/>
    <col min="940" max="940" width="5" style="698" customWidth="1"/>
    <col min="941" max="941" width="12.140625" style="698" customWidth="1"/>
    <col min="942" max="942" width="11.42578125" style="698" customWidth="1"/>
    <col min="943" max="1182" width="9" style="698"/>
    <col min="1183" max="1183" width="3.5703125" style="698" customWidth="1"/>
    <col min="1184" max="1184" width="26.42578125" style="698" customWidth="1"/>
    <col min="1185" max="1185" width="5.42578125" style="698" customWidth="1"/>
    <col min="1186" max="1186" width="7.42578125" style="698" customWidth="1"/>
    <col min="1187" max="1187" width="5" style="698" customWidth="1"/>
    <col min="1188" max="1188" width="7.5703125" style="698" customWidth="1"/>
    <col min="1189" max="1189" width="5.140625" style="698" customWidth="1"/>
    <col min="1190" max="1190" width="6.5703125" style="698" customWidth="1"/>
    <col min="1191" max="1191" width="5" style="698" customWidth="1"/>
    <col min="1192" max="1192" width="7.42578125" style="698" customWidth="1"/>
    <col min="1193" max="1193" width="5.42578125" style="698" customWidth="1"/>
    <col min="1194" max="1194" width="6.42578125" style="698" customWidth="1"/>
    <col min="1195" max="1195" width="8.85546875" style="698" customWidth="1"/>
    <col min="1196" max="1196" width="5" style="698" customWidth="1"/>
    <col min="1197" max="1197" width="12.140625" style="698" customWidth="1"/>
    <col min="1198" max="1198" width="11.42578125" style="698" customWidth="1"/>
    <col min="1199" max="1438" width="9" style="698"/>
    <col min="1439" max="1439" width="3.5703125" style="698" customWidth="1"/>
    <col min="1440" max="1440" width="26.42578125" style="698" customWidth="1"/>
    <col min="1441" max="1441" width="5.42578125" style="698" customWidth="1"/>
    <col min="1442" max="1442" width="7.42578125" style="698" customWidth="1"/>
    <col min="1443" max="1443" width="5" style="698" customWidth="1"/>
    <col min="1444" max="1444" width="7.5703125" style="698" customWidth="1"/>
    <col min="1445" max="1445" width="5.140625" style="698" customWidth="1"/>
    <col min="1446" max="1446" width="6.5703125" style="698" customWidth="1"/>
    <col min="1447" max="1447" width="5" style="698" customWidth="1"/>
    <col min="1448" max="1448" width="7.42578125" style="698" customWidth="1"/>
    <col min="1449" max="1449" width="5.42578125" style="698" customWidth="1"/>
    <col min="1450" max="1450" width="6.42578125" style="698" customWidth="1"/>
    <col min="1451" max="1451" width="8.85546875" style="698" customWidth="1"/>
    <col min="1452" max="1452" width="5" style="698" customWidth="1"/>
    <col min="1453" max="1453" width="12.140625" style="698" customWidth="1"/>
    <col min="1454" max="1454" width="11.42578125" style="698" customWidth="1"/>
    <col min="1455" max="1694" width="9" style="698"/>
    <col min="1695" max="1695" width="3.5703125" style="698" customWidth="1"/>
    <col min="1696" max="1696" width="26.42578125" style="698" customWidth="1"/>
    <col min="1697" max="1697" width="5.42578125" style="698" customWidth="1"/>
    <col min="1698" max="1698" width="7.42578125" style="698" customWidth="1"/>
    <col min="1699" max="1699" width="5" style="698" customWidth="1"/>
    <col min="1700" max="1700" width="7.5703125" style="698" customWidth="1"/>
    <col min="1701" max="1701" width="5.140625" style="698" customWidth="1"/>
    <col min="1702" max="1702" width="6.5703125" style="698" customWidth="1"/>
    <col min="1703" max="1703" width="5" style="698" customWidth="1"/>
    <col min="1704" max="1704" width="7.42578125" style="698" customWidth="1"/>
    <col min="1705" max="1705" width="5.42578125" style="698" customWidth="1"/>
    <col min="1706" max="1706" width="6.42578125" style="698" customWidth="1"/>
    <col min="1707" max="1707" width="8.85546875" style="698" customWidth="1"/>
    <col min="1708" max="1708" width="5" style="698" customWidth="1"/>
    <col min="1709" max="1709" width="12.140625" style="698" customWidth="1"/>
    <col min="1710" max="1710" width="11.42578125" style="698" customWidth="1"/>
    <col min="1711" max="1950" width="9" style="698"/>
    <col min="1951" max="1951" width="3.5703125" style="698" customWidth="1"/>
    <col min="1952" max="1952" width="26.42578125" style="698" customWidth="1"/>
    <col min="1953" max="1953" width="5.42578125" style="698" customWidth="1"/>
    <col min="1954" max="1954" width="7.42578125" style="698" customWidth="1"/>
    <col min="1955" max="1955" width="5" style="698" customWidth="1"/>
    <col min="1956" max="1956" width="7.5703125" style="698" customWidth="1"/>
    <col min="1957" max="1957" width="5.140625" style="698" customWidth="1"/>
    <col min="1958" max="1958" width="6.5703125" style="698" customWidth="1"/>
    <col min="1959" max="1959" width="5" style="698" customWidth="1"/>
    <col min="1960" max="1960" width="7.42578125" style="698" customWidth="1"/>
    <col min="1961" max="1961" width="5.42578125" style="698" customWidth="1"/>
    <col min="1962" max="1962" width="6.42578125" style="698" customWidth="1"/>
    <col min="1963" max="1963" width="8.85546875" style="698" customWidth="1"/>
    <col min="1964" max="1964" width="5" style="698" customWidth="1"/>
    <col min="1965" max="1965" width="12.140625" style="698" customWidth="1"/>
    <col min="1966" max="1966" width="11.42578125" style="698" customWidth="1"/>
    <col min="1967" max="2206" width="9" style="698"/>
    <col min="2207" max="2207" width="3.5703125" style="698" customWidth="1"/>
    <col min="2208" max="2208" width="26.42578125" style="698" customWidth="1"/>
    <col min="2209" max="2209" width="5.42578125" style="698" customWidth="1"/>
    <col min="2210" max="2210" width="7.42578125" style="698" customWidth="1"/>
    <col min="2211" max="2211" width="5" style="698" customWidth="1"/>
    <col min="2212" max="2212" width="7.5703125" style="698" customWidth="1"/>
    <col min="2213" max="2213" width="5.140625" style="698" customWidth="1"/>
    <col min="2214" max="2214" width="6.5703125" style="698" customWidth="1"/>
    <col min="2215" max="2215" width="5" style="698" customWidth="1"/>
    <col min="2216" max="2216" width="7.42578125" style="698" customWidth="1"/>
    <col min="2217" max="2217" width="5.42578125" style="698" customWidth="1"/>
    <col min="2218" max="2218" width="6.42578125" style="698" customWidth="1"/>
    <col min="2219" max="2219" width="8.85546875" style="698" customWidth="1"/>
    <col min="2220" max="2220" width="5" style="698" customWidth="1"/>
    <col min="2221" max="2221" width="12.140625" style="698" customWidth="1"/>
    <col min="2222" max="2222" width="11.42578125" style="698" customWidth="1"/>
    <col min="2223" max="2462" width="9" style="698"/>
    <col min="2463" max="2463" width="3.5703125" style="698" customWidth="1"/>
    <col min="2464" max="2464" width="26.42578125" style="698" customWidth="1"/>
    <col min="2465" max="2465" width="5.42578125" style="698" customWidth="1"/>
    <col min="2466" max="2466" width="7.42578125" style="698" customWidth="1"/>
    <col min="2467" max="2467" width="5" style="698" customWidth="1"/>
    <col min="2468" max="2468" width="7.5703125" style="698" customWidth="1"/>
    <col min="2469" max="2469" width="5.140625" style="698" customWidth="1"/>
    <col min="2470" max="2470" width="6.5703125" style="698" customWidth="1"/>
    <col min="2471" max="2471" width="5" style="698" customWidth="1"/>
    <col min="2472" max="2472" width="7.42578125" style="698" customWidth="1"/>
    <col min="2473" max="2473" width="5.42578125" style="698" customWidth="1"/>
    <col min="2474" max="2474" width="6.42578125" style="698" customWidth="1"/>
    <col min="2475" max="2475" width="8.85546875" style="698" customWidth="1"/>
    <col min="2476" max="2476" width="5" style="698" customWidth="1"/>
    <col min="2477" max="2477" width="12.140625" style="698" customWidth="1"/>
    <col min="2478" max="2478" width="11.42578125" style="698" customWidth="1"/>
    <col min="2479" max="2718" width="9" style="698"/>
    <col min="2719" max="2719" width="3.5703125" style="698" customWidth="1"/>
    <col min="2720" max="2720" width="26.42578125" style="698" customWidth="1"/>
    <col min="2721" max="2721" width="5.42578125" style="698" customWidth="1"/>
    <col min="2722" max="2722" width="7.42578125" style="698" customWidth="1"/>
    <col min="2723" max="2723" width="5" style="698" customWidth="1"/>
    <col min="2724" max="2724" width="7.5703125" style="698" customWidth="1"/>
    <col min="2725" max="2725" width="5.140625" style="698" customWidth="1"/>
    <col min="2726" max="2726" width="6.5703125" style="698" customWidth="1"/>
    <col min="2727" max="2727" width="5" style="698" customWidth="1"/>
    <col min="2728" max="2728" width="7.42578125" style="698" customWidth="1"/>
    <col min="2729" max="2729" width="5.42578125" style="698" customWidth="1"/>
    <col min="2730" max="2730" width="6.42578125" style="698" customWidth="1"/>
    <col min="2731" max="2731" width="8.85546875" style="698" customWidth="1"/>
    <col min="2732" max="2732" width="5" style="698" customWidth="1"/>
    <col min="2733" max="2733" width="12.140625" style="698" customWidth="1"/>
    <col min="2734" max="2734" width="11.42578125" style="698" customWidth="1"/>
    <col min="2735" max="2974" width="9" style="698"/>
    <col min="2975" max="2975" width="3.5703125" style="698" customWidth="1"/>
    <col min="2976" max="2976" width="26.42578125" style="698" customWidth="1"/>
    <col min="2977" max="2977" width="5.42578125" style="698" customWidth="1"/>
    <col min="2978" max="2978" width="7.42578125" style="698" customWidth="1"/>
    <col min="2979" max="2979" width="5" style="698" customWidth="1"/>
    <col min="2980" max="2980" width="7.5703125" style="698" customWidth="1"/>
    <col min="2981" max="2981" width="5.140625" style="698" customWidth="1"/>
    <col min="2982" max="2982" width="6.5703125" style="698" customWidth="1"/>
    <col min="2983" max="2983" width="5" style="698" customWidth="1"/>
    <col min="2984" max="2984" width="7.42578125" style="698" customWidth="1"/>
    <col min="2985" max="2985" width="5.42578125" style="698" customWidth="1"/>
    <col min="2986" max="2986" width="6.42578125" style="698" customWidth="1"/>
    <col min="2987" max="2987" width="8.85546875" style="698" customWidth="1"/>
    <col min="2988" max="2988" width="5" style="698" customWidth="1"/>
    <col min="2989" max="2989" width="12.140625" style="698" customWidth="1"/>
    <col min="2990" max="2990" width="11.42578125" style="698" customWidth="1"/>
    <col min="2991" max="3230" width="9" style="698"/>
    <col min="3231" max="3231" width="3.5703125" style="698" customWidth="1"/>
    <col min="3232" max="3232" width="26.42578125" style="698" customWidth="1"/>
    <col min="3233" max="3233" width="5.42578125" style="698" customWidth="1"/>
    <col min="3234" max="3234" width="7.42578125" style="698" customWidth="1"/>
    <col min="3235" max="3235" width="5" style="698" customWidth="1"/>
    <col min="3236" max="3236" width="7.5703125" style="698" customWidth="1"/>
    <col min="3237" max="3237" width="5.140625" style="698" customWidth="1"/>
    <col min="3238" max="3238" width="6.5703125" style="698" customWidth="1"/>
    <col min="3239" max="3239" width="5" style="698" customWidth="1"/>
    <col min="3240" max="3240" width="7.42578125" style="698" customWidth="1"/>
    <col min="3241" max="3241" width="5.42578125" style="698" customWidth="1"/>
    <col min="3242" max="3242" width="6.42578125" style="698" customWidth="1"/>
    <col min="3243" max="3243" width="8.85546875" style="698" customWidth="1"/>
    <col min="3244" max="3244" width="5" style="698" customWidth="1"/>
    <col min="3245" max="3245" width="12.140625" style="698" customWidth="1"/>
    <col min="3246" max="3246" width="11.42578125" style="698" customWidth="1"/>
    <col min="3247" max="3486" width="9" style="698"/>
    <col min="3487" max="3487" width="3.5703125" style="698" customWidth="1"/>
    <col min="3488" max="3488" width="26.42578125" style="698" customWidth="1"/>
    <col min="3489" max="3489" width="5.42578125" style="698" customWidth="1"/>
    <col min="3490" max="3490" width="7.42578125" style="698" customWidth="1"/>
    <col min="3491" max="3491" width="5" style="698" customWidth="1"/>
    <col min="3492" max="3492" width="7.5703125" style="698" customWidth="1"/>
    <col min="3493" max="3493" width="5.140625" style="698" customWidth="1"/>
    <col min="3494" max="3494" width="6.5703125" style="698" customWidth="1"/>
    <col min="3495" max="3495" width="5" style="698" customWidth="1"/>
    <col min="3496" max="3496" width="7.42578125" style="698" customWidth="1"/>
    <col min="3497" max="3497" width="5.42578125" style="698" customWidth="1"/>
    <col min="3498" max="3498" width="6.42578125" style="698" customWidth="1"/>
    <col min="3499" max="3499" width="8.85546875" style="698" customWidth="1"/>
    <col min="3500" max="3500" width="5" style="698" customWidth="1"/>
    <col min="3501" max="3501" width="12.140625" style="698" customWidth="1"/>
    <col min="3502" max="3502" width="11.42578125" style="698" customWidth="1"/>
    <col min="3503" max="3742" width="9" style="698"/>
    <col min="3743" max="3743" width="3.5703125" style="698" customWidth="1"/>
    <col min="3744" max="3744" width="26.42578125" style="698" customWidth="1"/>
    <col min="3745" max="3745" width="5.42578125" style="698" customWidth="1"/>
    <col min="3746" max="3746" width="7.42578125" style="698" customWidth="1"/>
    <col min="3747" max="3747" width="5" style="698" customWidth="1"/>
    <col min="3748" max="3748" width="7.5703125" style="698" customWidth="1"/>
    <col min="3749" max="3749" width="5.140625" style="698" customWidth="1"/>
    <col min="3750" max="3750" width="6.5703125" style="698" customWidth="1"/>
    <col min="3751" max="3751" width="5" style="698" customWidth="1"/>
    <col min="3752" max="3752" width="7.42578125" style="698" customWidth="1"/>
    <col min="3753" max="3753" width="5.42578125" style="698" customWidth="1"/>
    <col min="3754" max="3754" width="6.42578125" style="698" customWidth="1"/>
    <col min="3755" max="3755" width="8.85546875" style="698" customWidth="1"/>
    <col min="3756" max="3756" width="5" style="698" customWidth="1"/>
    <col min="3757" max="3757" width="12.140625" style="698" customWidth="1"/>
    <col min="3758" max="3758" width="11.42578125" style="698" customWidth="1"/>
    <col min="3759" max="3998" width="9" style="698"/>
    <col min="3999" max="3999" width="3.5703125" style="698" customWidth="1"/>
    <col min="4000" max="4000" width="26.42578125" style="698" customWidth="1"/>
    <col min="4001" max="4001" width="5.42578125" style="698" customWidth="1"/>
    <col min="4002" max="4002" width="7.42578125" style="698" customWidth="1"/>
    <col min="4003" max="4003" width="5" style="698" customWidth="1"/>
    <col min="4004" max="4004" width="7.5703125" style="698" customWidth="1"/>
    <col min="4005" max="4005" width="5.140625" style="698" customWidth="1"/>
    <col min="4006" max="4006" width="6.5703125" style="698" customWidth="1"/>
    <col min="4007" max="4007" width="5" style="698" customWidth="1"/>
    <col min="4008" max="4008" width="7.42578125" style="698" customWidth="1"/>
    <col min="4009" max="4009" width="5.42578125" style="698" customWidth="1"/>
    <col min="4010" max="4010" width="6.42578125" style="698" customWidth="1"/>
    <col min="4011" max="4011" width="8.85546875" style="698" customWidth="1"/>
    <col min="4012" max="4012" width="5" style="698" customWidth="1"/>
    <col min="4013" max="4013" width="12.140625" style="698" customWidth="1"/>
    <col min="4014" max="4014" width="11.42578125" style="698" customWidth="1"/>
    <col min="4015" max="4254" width="9" style="698"/>
    <col min="4255" max="4255" width="3.5703125" style="698" customWidth="1"/>
    <col min="4256" max="4256" width="26.42578125" style="698" customWidth="1"/>
    <col min="4257" max="4257" width="5.42578125" style="698" customWidth="1"/>
    <col min="4258" max="4258" width="7.42578125" style="698" customWidth="1"/>
    <col min="4259" max="4259" width="5" style="698" customWidth="1"/>
    <col min="4260" max="4260" width="7.5703125" style="698" customWidth="1"/>
    <col min="4261" max="4261" width="5.140625" style="698" customWidth="1"/>
    <col min="4262" max="4262" width="6.5703125" style="698" customWidth="1"/>
    <col min="4263" max="4263" width="5" style="698" customWidth="1"/>
    <col min="4264" max="4264" width="7.42578125" style="698" customWidth="1"/>
    <col min="4265" max="4265" width="5.42578125" style="698" customWidth="1"/>
    <col min="4266" max="4266" width="6.42578125" style="698" customWidth="1"/>
    <col min="4267" max="4267" width="8.85546875" style="698" customWidth="1"/>
    <col min="4268" max="4268" width="5" style="698" customWidth="1"/>
    <col min="4269" max="4269" width="12.140625" style="698" customWidth="1"/>
    <col min="4270" max="4270" width="11.42578125" style="698" customWidth="1"/>
    <col min="4271" max="4510" width="9" style="698"/>
    <col min="4511" max="4511" width="3.5703125" style="698" customWidth="1"/>
    <col min="4512" max="4512" width="26.42578125" style="698" customWidth="1"/>
    <col min="4513" max="4513" width="5.42578125" style="698" customWidth="1"/>
    <col min="4514" max="4514" width="7.42578125" style="698" customWidth="1"/>
    <col min="4515" max="4515" width="5" style="698" customWidth="1"/>
    <col min="4516" max="4516" width="7.5703125" style="698" customWidth="1"/>
    <col min="4517" max="4517" width="5.140625" style="698" customWidth="1"/>
    <col min="4518" max="4518" width="6.5703125" style="698" customWidth="1"/>
    <col min="4519" max="4519" width="5" style="698" customWidth="1"/>
    <col min="4520" max="4520" width="7.42578125" style="698" customWidth="1"/>
    <col min="4521" max="4521" width="5.42578125" style="698" customWidth="1"/>
    <col min="4522" max="4522" width="6.42578125" style="698" customWidth="1"/>
    <col min="4523" max="4523" width="8.85546875" style="698" customWidth="1"/>
    <col min="4524" max="4524" width="5" style="698" customWidth="1"/>
    <col min="4525" max="4525" width="12.140625" style="698" customWidth="1"/>
    <col min="4526" max="4526" width="11.42578125" style="698" customWidth="1"/>
    <col min="4527" max="4766" width="9" style="698"/>
    <col min="4767" max="4767" width="3.5703125" style="698" customWidth="1"/>
    <col min="4768" max="4768" width="26.42578125" style="698" customWidth="1"/>
    <col min="4769" max="4769" width="5.42578125" style="698" customWidth="1"/>
    <col min="4770" max="4770" width="7.42578125" style="698" customWidth="1"/>
    <col min="4771" max="4771" width="5" style="698" customWidth="1"/>
    <col min="4772" max="4772" width="7.5703125" style="698" customWidth="1"/>
    <col min="4773" max="4773" width="5.140625" style="698" customWidth="1"/>
    <col min="4774" max="4774" width="6.5703125" style="698" customWidth="1"/>
    <col min="4775" max="4775" width="5" style="698" customWidth="1"/>
    <col min="4776" max="4776" width="7.42578125" style="698" customWidth="1"/>
    <col min="4777" max="4777" width="5.42578125" style="698" customWidth="1"/>
    <col min="4778" max="4778" width="6.42578125" style="698" customWidth="1"/>
    <col min="4779" max="4779" width="8.85546875" style="698" customWidth="1"/>
    <col min="4780" max="4780" width="5" style="698" customWidth="1"/>
    <col min="4781" max="4781" width="12.140625" style="698" customWidth="1"/>
    <col min="4782" max="4782" width="11.42578125" style="698" customWidth="1"/>
    <col min="4783" max="5022" width="9" style="698"/>
    <col min="5023" max="5023" width="3.5703125" style="698" customWidth="1"/>
    <col min="5024" max="5024" width="26.42578125" style="698" customWidth="1"/>
    <col min="5025" max="5025" width="5.42578125" style="698" customWidth="1"/>
    <col min="5026" max="5026" width="7.42578125" style="698" customWidth="1"/>
    <col min="5027" max="5027" width="5" style="698" customWidth="1"/>
    <col min="5028" max="5028" width="7.5703125" style="698" customWidth="1"/>
    <col min="5029" max="5029" width="5.140625" style="698" customWidth="1"/>
    <col min="5030" max="5030" width="6.5703125" style="698" customWidth="1"/>
    <col min="5031" max="5031" width="5" style="698" customWidth="1"/>
    <col min="5032" max="5032" width="7.42578125" style="698" customWidth="1"/>
    <col min="5033" max="5033" width="5.42578125" style="698" customWidth="1"/>
    <col min="5034" max="5034" width="6.42578125" style="698" customWidth="1"/>
    <col min="5035" max="5035" width="8.85546875" style="698" customWidth="1"/>
    <col min="5036" max="5036" width="5" style="698" customWidth="1"/>
    <col min="5037" max="5037" width="12.140625" style="698" customWidth="1"/>
    <col min="5038" max="5038" width="11.42578125" style="698" customWidth="1"/>
    <col min="5039" max="5278" width="9" style="698"/>
    <col min="5279" max="5279" width="3.5703125" style="698" customWidth="1"/>
    <col min="5280" max="5280" width="26.42578125" style="698" customWidth="1"/>
    <col min="5281" max="5281" width="5.42578125" style="698" customWidth="1"/>
    <col min="5282" max="5282" width="7.42578125" style="698" customWidth="1"/>
    <col min="5283" max="5283" width="5" style="698" customWidth="1"/>
    <col min="5284" max="5284" width="7.5703125" style="698" customWidth="1"/>
    <col min="5285" max="5285" width="5.140625" style="698" customWidth="1"/>
    <col min="5286" max="5286" width="6.5703125" style="698" customWidth="1"/>
    <col min="5287" max="5287" width="5" style="698" customWidth="1"/>
    <col min="5288" max="5288" width="7.42578125" style="698" customWidth="1"/>
    <col min="5289" max="5289" width="5.42578125" style="698" customWidth="1"/>
    <col min="5290" max="5290" width="6.42578125" style="698" customWidth="1"/>
    <col min="5291" max="5291" width="8.85546875" style="698" customWidth="1"/>
    <col min="5292" max="5292" width="5" style="698" customWidth="1"/>
    <col min="5293" max="5293" width="12.140625" style="698" customWidth="1"/>
    <col min="5294" max="5294" width="11.42578125" style="698" customWidth="1"/>
    <col min="5295" max="5534" width="9" style="698"/>
    <col min="5535" max="5535" width="3.5703125" style="698" customWidth="1"/>
    <col min="5536" max="5536" width="26.42578125" style="698" customWidth="1"/>
    <col min="5537" max="5537" width="5.42578125" style="698" customWidth="1"/>
    <col min="5538" max="5538" width="7.42578125" style="698" customWidth="1"/>
    <col min="5539" max="5539" width="5" style="698" customWidth="1"/>
    <col min="5540" max="5540" width="7.5703125" style="698" customWidth="1"/>
    <col min="5541" max="5541" width="5.140625" style="698" customWidth="1"/>
    <col min="5542" max="5542" width="6.5703125" style="698" customWidth="1"/>
    <col min="5543" max="5543" width="5" style="698" customWidth="1"/>
    <col min="5544" max="5544" width="7.42578125" style="698" customWidth="1"/>
    <col min="5545" max="5545" width="5.42578125" style="698" customWidth="1"/>
    <col min="5546" max="5546" width="6.42578125" style="698" customWidth="1"/>
    <col min="5547" max="5547" width="8.85546875" style="698" customWidth="1"/>
    <col min="5548" max="5548" width="5" style="698" customWidth="1"/>
    <col min="5549" max="5549" width="12.140625" style="698" customWidth="1"/>
    <col min="5550" max="5550" width="11.42578125" style="698" customWidth="1"/>
    <col min="5551" max="5790" width="9" style="698"/>
    <col min="5791" max="5791" width="3.5703125" style="698" customWidth="1"/>
    <col min="5792" max="5792" width="26.42578125" style="698" customWidth="1"/>
    <col min="5793" max="5793" width="5.42578125" style="698" customWidth="1"/>
    <col min="5794" max="5794" width="7.42578125" style="698" customWidth="1"/>
    <col min="5795" max="5795" width="5" style="698" customWidth="1"/>
    <col min="5796" max="5796" width="7.5703125" style="698" customWidth="1"/>
    <col min="5797" max="5797" width="5.140625" style="698" customWidth="1"/>
    <col min="5798" max="5798" width="6.5703125" style="698" customWidth="1"/>
    <col min="5799" max="5799" width="5" style="698" customWidth="1"/>
    <col min="5800" max="5800" width="7.42578125" style="698" customWidth="1"/>
    <col min="5801" max="5801" width="5.42578125" style="698" customWidth="1"/>
    <col min="5802" max="5802" width="6.42578125" style="698" customWidth="1"/>
    <col min="5803" max="5803" width="8.85546875" style="698" customWidth="1"/>
    <col min="5804" max="5804" width="5" style="698" customWidth="1"/>
    <col min="5805" max="5805" width="12.140625" style="698" customWidth="1"/>
    <col min="5806" max="5806" width="11.42578125" style="698" customWidth="1"/>
    <col min="5807" max="6046" width="9" style="698"/>
    <col min="6047" max="6047" width="3.5703125" style="698" customWidth="1"/>
    <col min="6048" max="6048" width="26.42578125" style="698" customWidth="1"/>
    <col min="6049" max="6049" width="5.42578125" style="698" customWidth="1"/>
    <col min="6050" max="6050" width="7.42578125" style="698" customWidth="1"/>
    <col min="6051" max="6051" width="5" style="698" customWidth="1"/>
    <col min="6052" max="6052" width="7.5703125" style="698" customWidth="1"/>
    <col min="6053" max="6053" width="5.140625" style="698" customWidth="1"/>
    <col min="6054" max="6054" width="6.5703125" style="698" customWidth="1"/>
    <col min="6055" max="6055" width="5" style="698" customWidth="1"/>
    <col min="6056" max="6056" width="7.42578125" style="698" customWidth="1"/>
    <col min="6057" max="6057" width="5.42578125" style="698" customWidth="1"/>
    <col min="6058" max="6058" width="6.42578125" style="698" customWidth="1"/>
    <col min="6059" max="6059" width="8.85546875" style="698" customWidth="1"/>
    <col min="6060" max="6060" width="5" style="698" customWidth="1"/>
    <col min="6061" max="6061" width="12.140625" style="698" customWidth="1"/>
    <col min="6062" max="6062" width="11.42578125" style="698" customWidth="1"/>
    <col min="6063" max="6302" width="9" style="698"/>
    <col min="6303" max="6303" width="3.5703125" style="698" customWidth="1"/>
    <col min="6304" max="6304" width="26.42578125" style="698" customWidth="1"/>
    <col min="6305" max="6305" width="5.42578125" style="698" customWidth="1"/>
    <col min="6306" max="6306" width="7.42578125" style="698" customWidth="1"/>
    <col min="6307" max="6307" width="5" style="698" customWidth="1"/>
    <col min="6308" max="6308" width="7.5703125" style="698" customWidth="1"/>
    <col min="6309" max="6309" width="5.140625" style="698" customWidth="1"/>
    <col min="6310" max="6310" width="6.5703125" style="698" customWidth="1"/>
    <col min="6311" max="6311" width="5" style="698" customWidth="1"/>
    <col min="6312" max="6312" width="7.42578125" style="698" customWidth="1"/>
    <col min="6313" max="6313" width="5.42578125" style="698" customWidth="1"/>
    <col min="6314" max="6314" width="6.42578125" style="698" customWidth="1"/>
    <col min="6315" max="6315" width="8.85546875" style="698" customWidth="1"/>
    <col min="6316" max="6316" width="5" style="698" customWidth="1"/>
    <col min="6317" max="6317" width="12.140625" style="698" customWidth="1"/>
    <col min="6318" max="6318" width="11.42578125" style="698" customWidth="1"/>
    <col min="6319" max="6558" width="9" style="698"/>
    <col min="6559" max="6559" width="3.5703125" style="698" customWidth="1"/>
    <col min="6560" max="6560" width="26.42578125" style="698" customWidth="1"/>
    <col min="6561" max="6561" width="5.42578125" style="698" customWidth="1"/>
    <col min="6562" max="6562" width="7.42578125" style="698" customWidth="1"/>
    <col min="6563" max="6563" width="5" style="698" customWidth="1"/>
    <col min="6564" max="6564" width="7.5703125" style="698" customWidth="1"/>
    <col min="6565" max="6565" width="5.140625" style="698" customWidth="1"/>
    <col min="6566" max="6566" width="6.5703125" style="698" customWidth="1"/>
    <col min="6567" max="6567" width="5" style="698" customWidth="1"/>
    <col min="6568" max="6568" width="7.42578125" style="698" customWidth="1"/>
    <col min="6569" max="6569" width="5.42578125" style="698" customWidth="1"/>
    <col min="6570" max="6570" width="6.42578125" style="698" customWidth="1"/>
    <col min="6571" max="6571" width="8.85546875" style="698" customWidth="1"/>
    <col min="6572" max="6572" width="5" style="698" customWidth="1"/>
    <col min="6573" max="6573" width="12.140625" style="698" customWidth="1"/>
    <col min="6574" max="6574" width="11.42578125" style="698" customWidth="1"/>
    <col min="6575" max="6814" width="9" style="698"/>
    <col min="6815" max="6815" width="3.5703125" style="698" customWidth="1"/>
    <col min="6816" max="6816" width="26.42578125" style="698" customWidth="1"/>
    <col min="6817" max="6817" width="5.42578125" style="698" customWidth="1"/>
    <col min="6818" max="6818" width="7.42578125" style="698" customWidth="1"/>
    <col min="6819" max="6819" width="5" style="698" customWidth="1"/>
    <col min="6820" max="6820" width="7.5703125" style="698" customWidth="1"/>
    <col min="6821" max="6821" width="5.140625" style="698" customWidth="1"/>
    <col min="6822" max="6822" width="6.5703125" style="698" customWidth="1"/>
    <col min="6823" max="6823" width="5" style="698" customWidth="1"/>
    <col min="6824" max="6824" width="7.42578125" style="698" customWidth="1"/>
    <col min="6825" max="6825" width="5.42578125" style="698" customWidth="1"/>
    <col min="6826" max="6826" width="6.42578125" style="698" customWidth="1"/>
    <col min="6827" max="6827" width="8.85546875" style="698" customWidth="1"/>
    <col min="6828" max="6828" width="5" style="698" customWidth="1"/>
    <col min="6829" max="6829" width="12.140625" style="698" customWidth="1"/>
    <col min="6830" max="6830" width="11.42578125" style="698" customWidth="1"/>
    <col min="6831" max="7070" width="9" style="698"/>
    <col min="7071" max="7071" width="3.5703125" style="698" customWidth="1"/>
    <col min="7072" max="7072" width="26.42578125" style="698" customWidth="1"/>
    <col min="7073" max="7073" width="5.42578125" style="698" customWidth="1"/>
    <col min="7074" max="7074" width="7.42578125" style="698" customWidth="1"/>
    <col min="7075" max="7075" width="5" style="698" customWidth="1"/>
    <col min="7076" max="7076" width="7.5703125" style="698" customWidth="1"/>
    <col min="7077" max="7077" width="5.140625" style="698" customWidth="1"/>
    <col min="7078" max="7078" width="6.5703125" style="698" customWidth="1"/>
    <col min="7079" max="7079" width="5" style="698" customWidth="1"/>
    <col min="7080" max="7080" width="7.42578125" style="698" customWidth="1"/>
    <col min="7081" max="7081" width="5.42578125" style="698" customWidth="1"/>
    <col min="7082" max="7082" width="6.42578125" style="698" customWidth="1"/>
    <col min="7083" max="7083" width="8.85546875" style="698" customWidth="1"/>
    <col min="7084" max="7084" width="5" style="698" customWidth="1"/>
    <col min="7085" max="7085" width="12.140625" style="698" customWidth="1"/>
    <col min="7086" max="7086" width="11.42578125" style="698" customWidth="1"/>
    <col min="7087" max="7326" width="9" style="698"/>
    <col min="7327" max="7327" width="3.5703125" style="698" customWidth="1"/>
    <col min="7328" max="7328" width="26.42578125" style="698" customWidth="1"/>
    <col min="7329" max="7329" width="5.42578125" style="698" customWidth="1"/>
    <col min="7330" max="7330" width="7.42578125" style="698" customWidth="1"/>
    <col min="7331" max="7331" width="5" style="698" customWidth="1"/>
    <col min="7332" max="7332" width="7.5703125" style="698" customWidth="1"/>
    <col min="7333" max="7333" width="5.140625" style="698" customWidth="1"/>
    <col min="7334" max="7334" width="6.5703125" style="698" customWidth="1"/>
    <col min="7335" max="7335" width="5" style="698" customWidth="1"/>
    <col min="7336" max="7336" width="7.42578125" style="698" customWidth="1"/>
    <col min="7337" max="7337" width="5.42578125" style="698" customWidth="1"/>
    <col min="7338" max="7338" width="6.42578125" style="698" customWidth="1"/>
    <col min="7339" max="7339" width="8.85546875" style="698" customWidth="1"/>
    <col min="7340" max="7340" width="5" style="698" customWidth="1"/>
    <col min="7341" max="7341" width="12.140625" style="698" customWidth="1"/>
    <col min="7342" max="7342" width="11.42578125" style="698" customWidth="1"/>
    <col min="7343" max="7582" width="9" style="698"/>
    <col min="7583" max="7583" width="3.5703125" style="698" customWidth="1"/>
    <col min="7584" max="7584" width="26.42578125" style="698" customWidth="1"/>
    <col min="7585" max="7585" width="5.42578125" style="698" customWidth="1"/>
    <col min="7586" max="7586" width="7.42578125" style="698" customWidth="1"/>
    <col min="7587" max="7587" width="5" style="698" customWidth="1"/>
    <col min="7588" max="7588" width="7.5703125" style="698" customWidth="1"/>
    <col min="7589" max="7589" width="5.140625" style="698" customWidth="1"/>
    <col min="7590" max="7590" width="6.5703125" style="698" customWidth="1"/>
    <col min="7591" max="7591" width="5" style="698" customWidth="1"/>
    <col min="7592" max="7592" width="7.42578125" style="698" customWidth="1"/>
    <col min="7593" max="7593" width="5.42578125" style="698" customWidth="1"/>
    <col min="7594" max="7594" width="6.42578125" style="698" customWidth="1"/>
    <col min="7595" max="7595" width="8.85546875" style="698" customWidth="1"/>
    <col min="7596" max="7596" width="5" style="698" customWidth="1"/>
    <col min="7597" max="7597" width="12.140625" style="698" customWidth="1"/>
    <col min="7598" max="7598" width="11.42578125" style="698" customWidth="1"/>
    <col min="7599" max="7838" width="9" style="698"/>
    <col min="7839" max="7839" width="3.5703125" style="698" customWidth="1"/>
    <col min="7840" max="7840" width="26.42578125" style="698" customWidth="1"/>
    <col min="7841" max="7841" width="5.42578125" style="698" customWidth="1"/>
    <col min="7842" max="7842" width="7.42578125" style="698" customWidth="1"/>
    <col min="7843" max="7843" width="5" style="698" customWidth="1"/>
    <col min="7844" max="7844" width="7.5703125" style="698" customWidth="1"/>
    <col min="7845" max="7845" width="5.140625" style="698" customWidth="1"/>
    <col min="7846" max="7846" width="6.5703125" style="698" customWidth="1"/>
    <col min="7847" max="7847" width="5" style="698" customWidth="1"/>
    <col min="7848" max="7848" width="7.42578125" style="698" customWidth="1"/>
    <col min="7849" max="7849" width="5.42578125" style="698" customWidth="1"/>
    <col min="7850" max="7850" width="6.42578125" style="698" customWidth="1"/>
    <col min="7851" max="7851" width="8.85546875" style="698" customWidth="1"/>
    <col min="7852" max="7852" width="5" style="698" customWidth="1"/>
    <col min="7853" max="7853" width="12.140625" style="698" customWidth="1"/>
    <col min="7854" max="7854" width="11.42578125" style="698" customWidth="1"/>
    <col min="7855" max="8094" width="9" style="698"/>
    <col min="8095" max="8095" width="3.5703125" style="698" customWidth="1"/>
    <col min="8096" max="8096" width="26.42578125" style="698" customWidth="1"/>
    <col min="8097" max="8097" width="5.42578125" style="698" customWidth="1"/>
    <col min="8098" max="8098" width="7.42578125" style="698" customWidth="1"/>
    <col min="8099" max="8099" width="5" style="698" customWidth="1"/>
    <col min="8100" max="8100" width="7.5703125" style="698" customWidth="1"/>
    <col min="8101" max="8101" width="5.140625" style="698" customWidth="1"/>
    <col min="8102" max="8102" width="6.5703125" style="698" customWidth="1"/>
    <col min="8103" max="8103" width="5" style="698" customWidth="1"/>
    <col min="8104" max="8104" width="7.42578125" style="698" customWidth="1"/>
    <col min="8105" max="8105" width="5.42578125" style="698" customWidth="1"/>
    <col min="8106" max="8106" width="6.42578125" style="698" customWidth="1"/>
    <col min="8107" max="8107" width="8.85546875" style="698" customWidth="1"/>
    <col min="8108" max="8108" width="5" style="698" customWidth="1"/>
    <col min="8109" max="8109" width="12.140625" style="698" customWidth="1"/>
    <col min="8110" max="8110" width="11.42578125" style="698" customWidth="1"/>
    <col min="8111" max="8350" width="9" style="698"/>
    <col min="8351" max="8351" width="3.5703125" style="698" customWidth="1"/>
    <col min="8352" max="8352" width="26.42578125" style="698" customWidth="1"/>
    <col min="8353" max="8353" width="5.42578125" style="698" customWidth="1"/>
    <col min="8354" max="8354" width="7.42578125" style="698" customWidth="1"/>
    <col min="8355" max="8355" width="5" style="698" customWidth="1"/>
    <col min="8356" max="8356" width="7.5703125" style="698" customWidth="1"/>
    <col min="8357" max="8357" width="5.140625" style="698" customWidth="1"/>
    <col min="8358" max="8358" width="6.5703125" style="698" customWidth="1"/>
    <col min="8359" max="8359" width="5" style="698" customWidth="1"/>
    <col min="8360" max="8360" width="7.42578125" style="698" customWidth="1"/>
    <col min="8361" max="8361" width="5.42578125" style="698" customWidth="1"/>
    <col min="8362" max="8362" width="6.42578125" style="698" customWidth="1"/>
    <col min="8363" max="8363" width="8.85546875" style="698" customWidth="1"/>
    <col min="8364" max="8364" width="5" style="698" customWidth="1"/>
    <col min="8365" max="8365" width="12.140625" style="698" customWidth="1"/>
    <col min="8366" max="8366" width="11.42578125" style="698" customWidth="1"/>
    <col min="8367" max="8606" width="9" style="698"/>
    <col min="8607" max="8607" width="3.5703125" style="698" customWidth="1"/>
    <col min="8608" max="8608" width="26.42578125" style="698" customWidth="1"/>
    <col min="8609" max="8609" width="5.42578125" style="698" customWidth="1"/>
    <col min="8610" max="8610" width="7.42578125" style="698" customWidth="1"/>
    <col min="8611" max="8611" width="5" style="698" customWidth="1"/>
    <col min="8612" max="8612" width="7.5703125" style="698" customWidth="1"/>
    <col min="8613" max="8613" width="5.140625" style="698" customWidth="1"/>
    <col min="8614" max="8614" width="6.5703125" style="698" customWidth="1"/>
    <col min="8615" max="8615" width="5" style="698" customWidth="1"/>
    <col min="8616" max="8616" width="7.42578125" style="698" customWidth="1"/>
    <col min="8617" max="8617" width="5.42578125" style="698" customWidth="1"/>
    <col min="8618" max="8618" width="6.42578125" style="698" customWidth="1"/>
    <col min="8619" max="8619" width="8.85546875" style="698" customWidth="1"/>
    <col min="8620" max="8620" width="5" style="698" customWidth="1"/>
    <col min="8621" max="8621" width="12.140625" style="698" customWidth="1"/>
    <col min="8622" max="8622" width="11.42578125" style="698" customWidth="1"/>
    <col min="8623" max="8862" width="9" style="698"/>
    <col min="8863" max="8863" width="3.5703125" style="698" customWidth="1"/>
    <col min="8864" max="8864" width="26.42578125" style="698" customWidth="1"/>
    <col min="8865" max="8865" width="5.42578125" style="698" customWidth="1"/>
    <col min="8866" max="8866" width="7.42578125" style="698" customWidth="1"/>
    <col min="8867" max="8867" width="5" style="698" customWidth="1"/>
    <col min="8868" max="8868" width="7.5703125" style="698" customWidth="1"/>
    <col min="8869" max="8869" width="5.140625" style="698" customWidth="1"/>
    <col min="8870" max="8870" width="6.5703125" style="698" customWidth="1"/>
    <col min="8871" max="8871" width="5" style="698" customWidth="1"/>
    <col min="8872" max="8872" width="7.42578125" style="698" customWidth="1"/>
    <col min="8873" max="8873" width="5.42578125" style="698" customWidth="1"/>
    <col min="8874" max="8874" width="6.42578125" style="698" customWidth="1"/>
    <col min="8875" max="8875" width="8.85546875" style="698" customWidth="1"/>
    <col min="8876" max="8876" width="5" style="698" customWidth="1"/>
    <col min="8877" max="8877" width="12.140625" style="698" customWidth="1"/>
    <col min="8878" max="8878" width="11.42578125" style="698" customWidth="1"/>
    <col min="8879" max="9118" width="9" style="698"/>
    <col min="9119" max="9119" width="3.5703125" style="698" customWidth="1"/>
    <col min="9120" max="9120" width="26.42578125" style="698" customWidth="1"/>
    <col min="9121" max="9121" width="5.42578125" style="698" customWidth="1"/>
    <col min="9122" max="9122" width="7.42578125" style="698" customWidth="1"/>
    <col min="9123" max="9123" width="5" style="698" customWidth="1"/>
    <col min="9124" max="9124" width="7.5703125" style="698" customWidth="1"/>
    <col min="9125" max="9125" width="5.140625" style="698" customWidth="1"/>
    <col min="9126" max="9126" width="6.5703125" style="698" customWidth="1"/>
    <col min="9127" max="9127" width="5" style="698" customWidth="1"/>
    <col min="9128" max="9128" width="7.42578125" style="698" customWidth="1"/>
    <col min="9129" max="9129" width="5.42578125" style="698" customWidth="1"/>
    <col min="9130" max="9130" width="6.42578125" style="698" customWidth="1"/>
    <col min="9131" max="9131" width="8.85546875" style="698" customWidth="1"/>
    <col min="9132" max="9132" width="5" style="698" customWidth="1"/>
    <col min="9133" max="9133" width="12.140625" style="698" customWidth="1"/>
    <col min="9134" max="9134" width="11.42578125" style="698" customWidth="1"/>
    <col min="9135" max="9374" width="9" style="698"/>
    <col min="9375" max="9375" width="3.5703125" style="698" customWidth="1"/>
    <col min="9376" max="9376" width="26.42578125" style="698" customWidth="1"/>
    <col min="9377" max="9377" width="5.42578125" style="698" customWidth="1"/>
    <col min="9378" max="9378" width="7.42578125" style="698" customWidth="1"/>
    <col min="9379" max="9379" width="5" style="698" customWidth="1"/>
    <col min="9380" max="9380" width="7.5703125" style="698" customWidth="1"/>
    <col min="9381" max="9381" width="5.140625" style="698" customWidth="1"/>
    <col min="9382" max="9382" width="6.5703125" style="698" customWidth="1"/>
    <col min="9383" max="9383" width="5" style="698" customWidth="1"/>
    <col min="9384" max="9384" width="7.42578125" style="698" customWidth="1"/>
    <col min="9385" max="9385" width="5.42578125" style="698" customWidth="1"/>
    <col min="9386" max="9386" width="6.42578125" style="698" customWidth="1"/>
    <col min="9387" max="9387" width="8.85546875" style="698" customWidth="1"/>
    <col min="9388" max="9388" width="5" style="698" customWidth="1"/>
    <col min="9389" max="9389" width="12.140625" style="698" customWidth="1"/>
    <col min="9390" max="9390" width="11.42578125" style="698" customWidth="1"/>
    <col min="9391" max="9630" width="9" style="698"/>
    <col min="9631" max="9631" width="3.5703125" style="698" customWidth="1"/>
    <col min="9632" max="9632" width="26.42578125" style="698" customWidth="1"/>
    <col min="9633" max="9633" width="5.42578125" style="698" customWidth="1"/>
    <col min="9634" max="9634" width="7.42578125" style="698" customWidth="1"/>
    <col min="9635" max="9635" width="5" style="698" customWidth="1"/>
    <col min="9636" max="9636" width="7.5703125" style="698" customWidth="1"/>
    <col min="9637" max="9637" width="5.140625" style="698" customWidth="1"/>
    <col min="9638" max="9638" width="6.5703125" style="698" customWidth="1"/>
    <col min="9639" max="9639" width="5" style="698" customWidth="1"/>
    <col min="9640" max="9640" width="7.42578125" style="698" customWidth="1"/>
    <col min="9641" max="9641" width="5.42578125" style="698" customWidth="1"/>
    <col min="9642" max="9642" width="6.42578125" style="698" customWidth="1"/>
    <col min="9643" max="9643" width="8.85546875" style="698" customWidth="1"/>
    <col min="9644" max="9644" width="5" style="698" customWidth="1"/>
    <col min="9645" max="9645" width="12.140625" style="698" customWidth="1"/>
    <col min="9646" max="9646" width="11.42578125" style="698" customWidth="1"/>
    <col min="9647" max="9886" width="9" style="698"/>
    <col min="9887" max="9887" width="3.5703125" style="698" customWidth="1"/>
    <col min="9888" max="9888" width="26.42578125" style="698" customWidth="1"/>
    <col min="9889" max="9889" width="5.42578125" style="698" customWidth="1"/>
    <col min="9890" max="9890" width="7.42578125" style="698" customWidth="1"/>
    <col min="9891" max="9891" width="5" style="698" customWidth="1"/>
    <col min="9892" max="9892" width="7.5703125" style="698" customWidth="1"/>
    <col min="9893" max="9893" width="5.140625" style="698" customWidth="1"/>
    <col min="9894" max="9894" width="6.5703125" style="698" customWidth="1"/>
    <col min="9895" max="9895" width="5" style="698" customWidth="1"/>
    <col min="9896" max="9896" width="7.42578125" style="698" customWidth="1"/>
    <col min="9897" max="9897" width="5.42578125" style="698" customWidth="1"/>
    <col min="9898" max="9898" width="6.42578125" style="698" customWidth="1"/>
    <col min="9899" max="9899" width="8.85546875" style="698" customWidth="1"/>
    <col min="9900" max="9900" width="5" style="698" customWidth="1"/>
    <col min="9901" max="9901" width="12.140625" style="698" customWidth="1"/>
    <col min="9902" max="9902" width="11.42578125" style="698" customWidth="1"/>
    <col min="9903" max="10142" width="9" style="698"/>
    <col min="10143" max="10143" width="3.5703125" style="698" customWidth="1"/>
    <col min="10144" max="10144" width="26.42578125" style="698" customWidth="1"/>
    <col min="10145" max="10145" width="5.42578125" style="698" customWidth="1"/>
    <col min="10146" max="10146" width="7.42578125" style="698" customWidth="1"/>
    <col min="10147" max="10147" width="5" style="698" customWidth="1"/>
    <col min="10148" max="10148" width="7.5703125" style="698" customWidth="1"/>
    <col min="10149" max="10149" width="5.140625" style="698" customWidth="1"/>
    <col min="10150" max="10150" width="6.5703125" style="698" customWidth="1"/>
    <col min="10151" max="10151" width="5" style="698" customWidth="1"/>
    <col min="10152" max="10152" width="7.42578125" style="698" customWidth="1"/>
    <col min="10153" max="10153" width="5.42578125" style="698" customWidth="1"/>
    <col min="10154" max="10154" width="6.42578125" style="698" customWidth="1"/>
    <col min="10155" max="10155" width="8.85546875" style="698" customWidth="1"/>
    <col min="10156" max="10156" width="5" style="698" customWidth="1"/>
    <col min="10157" max="10157" width="12.140625" style="698" customWidth="1"/>
    <col min="10158" max="10158" width="11.42578125" style="698" customWidth="1"/>
    <col min="10159" max="10398" width="9" style="698"/>
    <col min="10399" max="10399" width="3.5703125" style="698" customWidth="1"/>
    <col min="10400" max="10400" width="26.42578125" style="698" customWidth="1"/>
    <col min="10401" max="10401" width="5.42578125" style="698" customWidth="1"/>
    <col min="10402" max="10402" width="7.42578125" style="698" customWidth="1"/>
    <col min="10403" max="10403" width="5" style="698" customWidth="1"/>
    <col min="10404" max="10404" width="7.5703125" style="698" customWidth="1"/>
    <col min="10405" max="10405" width="5.140625" style="698" customWidth="1"/>
    <col min="10406" max="10406" width="6.5703125" style="698" customWidth="1"/>
    <col min="10407" max="10407" width="5" style="698" customWidth="1"/>
    <col min="10408" max="10408" width="7.42578125" style="698" customWidth="1"/>
    <col min="10409" max="10409" width="5.42578125" style="698" customWidth="1"/>
    <col min="10410" max="10410" width="6.42578125" style="698" customWidth="1"/>
    <col min="10411" max="10411" width="8.85546875" style="698" customWidth="1"/>
    <col min="10412" max="10412" width="5" style="698" customWidth="1"/>
    <col min="10413" max="10413" width="12.140625" style="698" customWidth="1"/>
    <col min="10414" max="10414" width="11.42578125" style="698" customWidth="1"/>
    <col min="10415" max="10654" width="9" style="698"/>
    <col min="10655" max="10655" width="3.5703125" style="698" customWidth="1"/>
    <col min="10656" max="10656" width="26.42578125" style="698" customWidth="1"/>
    <col min="10657" max="10657" width="5.42578125" style="698" customWidth="1"/>
    <col min="10658" max="10658" width="7.42578125" style="698" customWidth="1"/>
    <col min="10659" max="10659" width="5" style="698" customWidth="1"/>
    <col min="10660" max="10660" width="7.5703125" style="698" customWidth="1"/>
    <col min="10661" max="10661" width="5.140625" style="698" customWidth="1"/>
    <col min="10662" max="10662" width="6.5703125" style="698" customWidth="1"/>
    <col min="10663" max="10663" width="5" style="698" customWidth="1"/>
    <col min="10664" max="10664" width="7.42578125" style="698" customWidth="1"/>
    <col min="10665" max="10665" width="5.42578125" style="698" customWidth="1"/>
    <col min="10666" max="10666" width="6.42578125" style="698" customWidth="1"/>
    <col min="10667" max="10667" width="8.85546875" style="698" customWidth="1"/>
    <col min="10668" max="10668" width="5" style="698" customWidth="1"/>
    <col min="10669" max="10669" width="12.140625" style="698" customWidth="1"/>
    <col min="10670" max="10670" width="11.42578125" style="698" customWidth="1"/>
    <col min="10671" max="10910" width="9" style="698"/>
    <col min="10911" max="10911" width="3.5703125" style="698" customWidth="1"/>
    <col min="10912" max="10912" width="26.42578125" style="698" customWidth="1"/>
    <col min="10913" max="10913" width="5.42578125" style="698" customWidth="1"/>
    <col min="10914" max="10914" width="7.42578125" style="698" customWidth="1"/>
    <col min="10915" max="10915" width="5" style="698" customWidth="1"/>
    <col min="10916" max="10916" width="7.5703125" style="698" customWidth="1"/>
    <col min="10917" max="10917" width="5.140625" style="698" customWidth="1"/>
    <col min="10918" max="10918" width="6.5703125" style="698" customWidth="1"/>
    <col min="10919" max="10919" width="5" style="698" customWidth="1"/>
    <col min="10920" max="10920" width="7.42578125" style="698" customWidth="1"/>
    <col min="10921" max="10921" width="5.42578125" style="698" customWidth="1"/>
    <col min="10922" max="10922" width="6.42578125" style="698" customWidth="1"/>
    <col min="10923" max="10923" width="8.85546875" style="698" customWidth="1"/>
    <col min="10924" max="10924" width="5" style="698" customWidth="1"/>
    <col min="10925" max="10925" width="12.140625" style="698" customWidth="1"/>
    <col min="10926" max="10926" width="11.42578125" style="698" customWidth="1"/>
    <col min="10927" max="11166" width="9" style="698"/>
    <col min="11167" max="11167" width="3.5703125" style="698" customWidth="1"/>
    <col min="11168" max="11168" width="26.42578125" style="698" customWidth="1"/>
    <col min="11169" max="11169" width="5.42578125" style="698" customWidth="1"/>
    <col min="11170" max="11170" width="7.42578125" style="698" customWidth="1"/>
    <col min="11171" max="11171" width="5" style="698" customWidth="1"/>
    <col min="11172" max="11172" width="7.5703125" style="698" customWidth="1"/>
    <col min="11173" max="11173" width="5.140625" style="698" customWidth="1"/>
    <col min="11174" max="11174" width="6.5703125" style="698" customWidth="1"/>
    <col min="11175" max="11175" width="5" style="698" customWidth="1"/>
    <col min="11176" max="11176" width="7.42578125" style="698" customWidth="1"/>
    <col min="11177" max="11177" width="5.42578125" style="698" customWidth="1"/>
    <col min="11178" max="11178" width="6.42578125" style="698" customWidth="1"/>
    <col min="11179" max="11179" width="8.85546875" style="698" customWidth="1"/>
    <col min="11180" max="11180" width="5" style="698" customWidth="1"/>
    <col min="11181" max="11181" width="12.140625" style="698" customWidth="1"/>
    <col min="11182" max="11182" width="11.42578125" style="698" customWidth="1"/>
    <col min="11183" max="11422" width="9" style="698"/>
    <col min="11423" max="11423" width="3.5703125" style="698" customWidth="1"/>
    <col min="11424" max="11424" width="26.42578125" style="698" customWidth="1"/>
    <col min="11425" max="11425" width="5.42578125" style="698" customWidth="1"/>
    <col min="11426" max="11426" width="7.42578125" style="698" customWidth="1"/>
    <col min="11427" max="11427" width="5" style="698" customWidth="1"/>
    <col min="11428" max="11428" width="7.5703125" style="698" customWidth="1"/>
    <col min="11429" max="11429" width="5.140625" style="698" customWidth="1"/>
    <col min="11430" max="11430" width="6.5703125" style="698" customWidth="1"/>
    <col min="11431" max="11431" width="5" style="698" customWidth="1"/>
    <col min="11432" max="11432" width="7.42578125" style="698" customWidth="1"/>
    <col min="11433" max="11433" width="5.42578125" style="698" customWidth="1"/>
    <col min="11434" max="11434" width="6.42578125" style="698" customWidth="1"/>
    <col min="11435" max="11435" width="8.85546875" style="698" customWidth="1"/>
    <col min="11436" max="11436" width="5" style="698" customWidth="1"/>
    <col min="11437" max="11437" width="12.140625" style="698" customWidth="1"/>
    <col min="11438" max="11438" width="11.42578125" style="698" customWidth="1"/>
    <col min="11439" max="11678" width="9" style="698"/>
    <col min="11679" max="11679" width="3.5703125" style="698" customWidth="1"/>
    <col min="11680" max="11680" width="26.42578125" style="698" customWidth="1"/>
    <col min="11681" max="11681" width="5.42578125" style="698" customWidth="1"/>
    <col min="11682" max="11682" width="7.42578125" style="698" customWidth="1"/>
    <col min="11683" max="11683" width="5" style="698" customWidth="1"/>
    <col min="11684" max="11684" width="7.5703125" style="698" customWidth="1"/>
    <col min="11685" max="11685" width="5.140625" style="698" customWidth="1"/>
    <col min="11686" max="11686" width="6.5703125" style="698" customWidth="1"/>
    <col min="11687" max="11687" width="5" style="698" customWidth="1"/>
    <col min="11688" max="11688" width="7.42578125" style="698" customWidth="1"/>
    <col min="11689" max="11689" width="5.42578125" style="698" customWidth="1"/>
    <col min="11690" max="11690" width="6.42578125" style="698" customWidth="1"/>
    <col min="11691" max="11691" width="8.85546875" style="698" customWidth="1"/>
    <col min="11692" max="11692" width="5" style="698" customWidth="1"/>
    <col min="11693" max="11693" width="12.140625" style="698" customWidth="1"/>
    <col min="11694" max="11694" width="11.42578125" style="698" customWidth="1"/>
    <col min="11695" max="11934" width="9" style="698"/>
    <col min="11935" max="11935" width="3.5703125" style="698" customWidth="1"/>
    <col min="11936" max="11936" width="26.42578125" style="698" customWidth="1"/>
    <col min="11937" max="11937" width="5.42578125" style="698" customWidth="1"/>
    <col min="11938" max="11938" width="7.42578125" style="698" customWidth="1"/>
    <col min="11939" max="11939" width="5" style="698" customWidth="1"/>
    <col min="11940" max="11940" width="7.5703125" style="698" customWidth="1"/>
    <col min="11941" max="11941" width="5.140625" style="698" customWidth="1"/>
    <col min="11942" max="11942" width="6.5703125" style="698" customWidth="1"/>
    <col min="11943" max="11943" width="5" style="698" customWidth="1"/>
    <col min="11944" max="11944" width="7.42578125" style="698" customWidth="1"/>
    <col min="11945" max="11945" width="5.42578125" style="698" customWidth="1"/>
    <col min="11946" max="11946" width="6.42578125" style="698" customWidth="1"/>
    <col min="11947" max="11947" width="8.85546875" style="698" customWidth="1"/>
    <col min="11948" max="11948" width="5" style="698" customWidth="1"/>
    <col min="11949" max="11949" width="12.140625" style="698" customWidth="1"/>
    <col min="11950" max="11950" width="11.42578125" style="698" customWidth="1"/>
    <col min="11951" max="12190" width="9" style="698"/>
    <col min="12191" max="12191" width="3.5703125" style="698" customWidth="1"/>
    <col min="12192" max="12192" width="26.42578125" style="698" customWidth="1"/>
    <col min="12193" max="12193" width="5.42578125" style="698" customWidth="1"/>
    <col min="12194" max="12194" width="7.42578125" style="698" customWidth="1"/>
    <col min="12195" max="12195" width="5" style="698" customWidth="1"/>
    <col min="12196" max="12196" width="7.5703125" style="698" customWidth="1"/>
    <col min="12197" max="12197" width="5.140625" style="698" customWidth="1"/>
    <col min="12198" max="12198" width="6.5703125" style="698" customWidth="1"/>
    <col min="12199" max="12199" width="5" style="698" customWidth="1"/>
    <col min="12200" max="12200" width="7.42578125" style="698" customWidth="1"/>
    <col min="12201" max="12201" width="5.42578125" style="698" customWidth="1"/>
    <col min="12202" max="12202" width="6.42578125" style="698" customWidth="1"/>
    <col min="12203" max="12203" width="8.85546875" style="698" customWidth="1"/>
    <col min="12204" max="12204" width="5" style="698" customWidth="1"/>
    <col min="12205" max="12205" width="12.140625" style="698" customWidth="1"/>
    <col min="12206" max="12206" width="11.42578125" style="698" customWidth="1"/>
    <col min="12207" max="12446" width="9" style="698"/>
    <col min="12447" max="12447" width="3.5703125" style="698" customWidth="1"/>
    <col min="12448" max="12448" width="26.42578125" style="698" customWidth="1"/>
    <col min="12449" max="12449" width="5.42578125" style="698" customWidth="1"/>
    <col min="12450" max="12450" width="7.42578125" style="698" customWidth="1"/>
    <col min="12451" max="12451" width="5" style="698" customWidth="1"/>
    <col min="12452" max="12452" width="7.5703125" style="698" customWidth="1"/>
    <col min="12453" max="12453" width="5.140625" style="698" customWidth="1"/>
    <col min="12454" max="12454" width="6.5703125" style="698" customWidth="1"/>
    <col min="12455" max="12455" width="5" style="698" customWidth="1"/>
    <col min="12456" max="12456" width="7.42578125" style="698" customWidth="1"/>
    <col min="12457" max="12457" width="5.42578125" style="698" customWidth="1"/>
    <col min="12458" max="12458" width="6.42578125" style="698" customWidth="1"/>
    <col min="12459" max="12459" width="8.85546875" style="698" customWidth="1"/>
    <col min="12460" max="12460" width="5" style="698" customWidth="1"/>
    <col min="12461" max="12461" width="12.140625" style="698" customWidth="1"/>
    <col min="12462" max="12462" width="11.42578125" style="698" customWidth="1"/>
    <col min="12463" max="12702" width="9" style="698"/>
    <col min="12703" max="12703" width="3.5703125" style="698" customWidth="1"/>
    <col min="12704" max="12704" width="26.42578125" style="698" customWidth="1"/>
    <col min="12705" max="12705" width="5.42578125" style="698" customWidth="1"/>
    <col min="12706" max="12706" width="7.42578125" style="698" customWidth="1"/>
    <col min="12707" max="12707" width="5" style="698" customWidth="1"/>
    <col min="12708" max="12708" width="7.5703125" style="698" customWidth="1"/>
    <col min="12709" max="12709" width="5.140625" style="698" customWidth="1"/>
    <col min="12710" max="12710" width="6.5703125" style="698" customWidth="1"/>
    <col min="12711" max="12711" width="5" style="698" customWidth="1"/>
    <col min="12712" max="12712" width="7.42578125" style="698" customWidth="1"/>
    <col min="12713" max="12713" width="5.42578125" style="698" customWidth="1"/>
    <col min="12714" max="12714" width="6.42578125" style="698" customWidth="1"/>
    <col min="12715" max="12715" width="8.85546875" style="698" customWidth="1"/>
    <col min="12716" max="12716" width="5" style="698" customWidth="1"/>
    <col min="12717" max="12717" width="12.140625" style="698" customWidth="1"/>
    <col min="12718" max="12718" width="11.42578125" style="698" customWidth="1"/>
    <col min="12719" max="12958" width="9" style="698"/>
    <col min="12959" max="12959" width="3.5703125" style="698" customWidth="1"/>
    <col min="12960" max="12960" width="26.42578125" style="698" customWidth="1"/>
    <col min="12961" max="12961" width="5.42578125" style="698" customWidth="1"/>
    <col min="12962" max="12962" width="7.42578125" style="698" customWidth="1"/>
    <col min="12963" max="12963" width="5" style="698" customWidth="1"/>
    <col min="12964" max="12964" width="7.5703125" style="698" customWidth="1"/>
    <col min="12965" max="12965" width="5.140625" style="698" customWidth="1"/>
    <col min="12966" max="12966" width="6.5703125" style="698" customWidth="1"/>
    <col min="12967" max="12967" width="5" style="698" customWidth="1"/>
    <col min="12968" max="12968" width="7.42578125" style="698" customWidth="1"/>
    <col min="12969" max="12969" width="5.42578125" style="698" customWidth="1"/>
    <col min="12970" max="12970" width="6.42578125" style="698" customWidth="1"/>
    <col min="12971" max="12971" width="8.85546875" style="698" customWidth="1"/>
    <col min="12972" max="12972" width="5" style="698" customWidth="1"/>
    <col min="12973" max="12973" width="12.140625" style="698" customWidth="1"/>
    <col min="12974" max="12974" width="11.42578125" style="698" customWidth="1"/>
    <col min="12975" max="13214" width="9" style="698"/>
    <col min="13215" max="13215" width="3.5703125" style="698" customWidth="1"/>
    <col min="13216" max="13216" width="26.42578125" style="698" customWidth="1"/>
    <col min="13217" max="13217" width="5.42578125" style="698" customWidth="1"/>
    <col min="13218" max="13218" width="7.42578125" style="698" customWidth="1"/>
    <col min="13219" max="13219" width="5" style="698" customWidth="1"/>
    <col min="13220" max="13220" width="7.5703125" style="698" customWidth="1"/>
    <col min="13221" max="13221" width="5.140625" style="698" customWidth="1"/>
    <col min="13222" max="13222" width="6.5703125" style="698" customWidth="1"/>
    <col min="13223" max="13223" width="5" style="698" customWidth="1"/>
    <col min="13224" max="13224" width="7.42578125" style="698" customWidth="1"/>
    <col min="13225" max="13225" width="5.42578125" style="698" customWidth="1"/>
    <col min="13226" max="13226" width="6.42578125" style="698" customWidth="1"/>
    <col min="13227" max="13227" width="8.85546875" style="698" customWidth="1"/>
    <col min="13228" max="13228" width="5" style="698" customWidth="1"/>
    <col min="13229" max="13229" width="12.140625" style="698" customWidth="1"/>
    <col min="13230" max="13230" width="11.42578125" style="698" customWidth="1"/>
    <col min="13231" max="13470" width="9" style="698"/>
    <col min="13471" max="13471" width="3.5703125" style="698" customWidth="1"/>
    <col min="13472" max="13472" width="26.42578125" style="698" customWidth="1"/>
    <col min="13473" max="13473" width="5.42578125" style="698" customWidth="1"/>
    <col min="13474" max="13474" width="7.42578125" style="698" customWidth="1"/>
    <col min="13475" max="13475" width="5" style="698" customWidth="1"/>
    <col min="13476" max="13476" width="7.5703125" style="698" customWidth="1"/>
    <col min="13477" max="13477" width="5.140625" style="698" customWidth="1"/>
    <col min="13478" max="13478" width="6.5703125" style="698" customWidth="1"/>
    <col min="13479" max="13479" width="5" style="698" customWidth="1"/>
    <col min="13480" max="13480" width="7.42578125" style="698" customWidth="1"/>
    <col min="13481" max="13481" width="5.42578125" style="698" customWidth="1"/>
    <col min="13482" max="13482" width="6.42578125" style="698" customWidth="1"/>
    <col min="13483" max="13483" width="8.85546875" style="698" customWidth="1"/>
    <col min="13484" max="13484" width="5" style="698" customWidth="1"/>
    <col min="13485" max="13485" width="12.140625" style="698" customWidth="1"/>
    <col min="13486" max="13486" width="11.42578125" style="698" customWidth="1"/>
    <col min="13487" max="13726" width="9" style="698"/>
    <col min="13727" max="13727" width="3.5703125" style="698" customWidth="1"/>
    <col min="13728" max="13728" width="26.42578125" style="698" customWidth="1"/>
    <col min="13729" max="13729" width="5.42578125" style="698" customWidth="1"/>
    <col min="13730" max="13730" width="7.42578125" style="698" customWidth="1"/>
    <col min="13731" max="13731" width="5" style="698" customWidth="1"/>
    <col min="13732" max="13732" width="7.5703125" style="698" customWidth="1"/>
    <col min="13733" max="13733" width="5.140625" style="698" customWidth="1"/>
    <col min="13734" max="13734" width="6.5703125" style="698" customWidth="1"/>
    <col min="13735" max="13735" width="5" style="698" customWidth="1"/>
    <col min="13736" max="13736" width="7.42578125" style="698" customWidth="1"/>
    <col min="13737" max="13737" width="5.42578125" style="698" customWidth="1"/>
    <col min="13738" max="13738" width="6.42578125" style="698" customWidth="1"/>
    <col min="13739" max="13739" width="8.85546875" style="698" customWidth="1"/>
    <col min="13740" max="13740" width="5" style="698" customWidth="1"/>
    <col min="13741" max="13741" width="12.140625" style="698" customWidth="1"/>
    <col min="13742" max="13742" width="11.42578125" style="698" customWidth="1"/>
    <col min="13743" max="13982" width="9" style="698"/>
    <col min="13983" max="13983" width="3.5703125" style="698" customWidth="1"/>
    <col min="13984" max="13984" width="26.42578125" style="698" customWidth="1"/>
    <col min="13985" max="13985" width="5.42578125" style="698" customWidth="1"/>
    <col min="13986" max="13986" width="7.42578125" style="698" customWidth="1"/>
    <col min="13987" max="13987" width="5" style="698" customWidth="1"/>
    <col min="13988" max="13988" width="7.5703125" style="698" customWidth="1"/>
    <col min="13989" max="13989" width="5.140625" style="698" customWidth="1"/>
    <col min="13990" max="13990" width="6.5703125" style="698" customWidth="1"/>
    <col min="13991" max="13991" width="5" style="698" customWidth="1"/>
    <col min="13992" max="13992" width="7.42578125" style="698" customWidth="1"/>
    <col min="13993" max="13993" width="5.42578125" style="698" customWidth="1"/>
    <col min="13994" max="13994" width="6.42578125" style="698" customWidth="1"/>
    <col min="13995" max="13995" width="8.85546875" style="698" customWidth="1"/>
    <col min="13996" max="13996" width="5" style="698" customWidth="1"/>
    <col min="13997" max="13997" width="12.140625" style="698" customWidth="1"/>
    <col min="13998" max="13998" width="11.42578125" style="698" customWidth="1"/>
    <col min="13999" max="14238" width="9" style="698"/>
    <col min="14239" max="14239" width="3.5703125" style="698" customWidth="1"/>
    <col min="14240" max="14240" width="26.42578125" style="698" customWidth="1"/>
    <col min="14241" max="14241" width="5.42578125" style="698" customWidth="1"/>
    <col min="14242" max="14242" width="7.42578125" style="698" customWidth="1"/>
    <col min="14243" max="14243" width="5" style="698" customWidth="1"/>
    <col min="14244" max="14244" width="7.5703125" style="698" customWidth="1"/>
    <col min="14245" max="14245" width="5.140625" style="698" customWidth="1"/>
    <col min="14246" max="14246" width="6.5703125" style="698" customWidth="1"/>
    <col min="14247" max="14247" width="5" style="698" customWidth="1"/>
    <col min="14248" max="14248" width="7.42578125" style="698" customWidth="1"/>
    <col min="14249" max="14249" width="5.42578125" style="698" customWidth="1"/>
    <col min="14250" max="14250" width="6.42578125" style="698" customWidth="1"/>
    <col min="14251" max="14251" width="8.85546875" style="698" customWidth="1"/>
    <col min="14252" max="14252" width="5" style="698" customWidth="1"/>
    <col min="14253" max="14253" width="12.140625" style="698" customWidth="1"/>
    <col min="14254" max="14254" width="11.42578125" style="698" customWidth="1"/>
    <col min="14255" max="14494" width="9" style="698"/>
    <col min="14495" max="14495" width="3.5703125" style="698" customWidth="1"/>
    <col min="14496" max="14496" width="26.42578125" style="698" customWidth="1"/>
    <col min="14497" max="14497" width="5.42578125" style="698" customWidth="1"/>
    <col min="14498" max="14498" width="7.42578125" style="698" customWidth="1"/>
    <col min="14499" max="14499" width="5" style="698" customWidth="1"/>
    <col min="14500" max="14500" width="7.5703125" style="698" customWidth="1"/>
    <col min="14501" max="14501" width="5.140625" style="698" customWidth="1"/>
    <col min="14502" max="14502" width="6.5703125" style="698" customWidth="1"/>
    <col min="14503" max="14503" width="5" style="698" customWidth="1"/>
    <col min="14504" max="14504" width="7.42578125" style="698" customWidth="1"/>
    <col min="14505" max="14505" width="5.42578125" style="698" customWidth="1"/>
    <col min="14506" max="14506" width="6.42578125" style="698" customWidth="1"/>
    <col min="14507" max="14507" width="8.85546875" style="698" customWidth="1"/>
    <col min="14508" max="14508" width="5" style="698" customWidth="1"/>
    <col min="14509" max="14509" width="12.140625" style="698" customWidth="1"/>
    <col min="14510" max="14510" width="11.42578125" style="698" customWidth="1"/>
    <col min="14511" max="14750" width="9" style="698"/>
    <col min="14751" max="14751" width="3.5703125" style="698" customWidth="1"/>
    <col min="14752" max="14752" width="26.42578125" style="698" customWidth="1"/>
    <col min="14753" max="14753" width="5.42578125" style="698" customWidth="1"/>
    <col min="14754" max="14754" width="7.42578125" style="698" customWidth="1"/>
    <col min="14755" max="14755" width="5" style="698" customWidth="1"/>
    <col min="14756" max="14756" width="7.5703125" style="698" customWidth="1"/>
    <col min="14757" max="14757" width="5.140625" style="698" customWidth="1"/>
    <col min="14758" max="14758" width="6.5703125" style="698" customWidth="1"/>
    <col min="14759" max="14759" width="5" style="698" customWidth="1"/>
    <col min="14760" max="14760" width="7.42578125" style="698" customWidth="1"/>
    <col min="14761" max="14761" width="5.42578125" style="698" customWidth="1"/>
    <col min="14762" max="14762" width="6.42578125" style="698" customWidth="1"/>
    <col min="14763" max="14763" width="8.85546875" style="698" customWidth="1"/>
    <col min="14764" max="14764" width="5" style="698" customWidth="1"/>
    <col min="14765" max="14765" width="12.140625" style="698" customWidth="1"/>
    <col min="14766" max="14766" width="11.42578125" style="698" customWidth="1"/>
    <col min="14767" max="15006" width="9" style="698"/>
    <col min="15007" max="15007" width="3.5703125" style="698" customWidth="1"/>
    <col min="15008" max="15008" width="26.42578125" style="698" customWidth="1"/>
    <col min="15009" max="15009" width="5.42578125" style="698" customWidth="1"/>
    <col min="15010" max="15010" width="7.42578125" style="698" customWidth="1"/>
    <col min="15011" max="15011" width="5" style="698" customWidth="1"/>
    <col min="15012" max="15012" width="7.5703125" style="698" customWidth="1"/>
    <col min="15013" max="15013" width="5.140625" style="698" customWidth="1"/>
    <col min="15014" max="15014" width="6.5703125" style="698" customWidth="1"/>
    <col min="15015" max="15015" width="5" style="698" customWidth="1"/>
    <col min="15016" max="15016" width="7.42578125" style="698" customWidth="1"/>
    <col min="15017" max="15017" width="5.42578125" style="698" customWidth="1"/>
    <col min="15018" max="15018" width="6.42578125" style="698" customWidth="1"/>
    <col min="15019" max="15019" width="8.85546875" style="698" customWidth="1"/>
    <col min="15020" max="15020" width="5" style="698" customWidth="1"/>
    <col min="15021" max="15021" width="12.140625" style="698" customWidth="1"/>
    <col min="15022" max="15022" width="11.42578125" style="698" customWidth="1"/>
    <col min="15023" max="15262" width="9" style="698"/>
    <col min="15263" max="15263" width="3.5703125" style="698" customWidth="1"/>
    <col min="15264" max="15264" width="26.42578125" style="698" customWidth="1"/>
    <col min="15265" max="15265" width="5.42578125" style="698" customWidth="1"/>
    <col min="15266" max="15266" width="7.42578125" style="698" customWidth="1"/>
    <col min="15267" max="15267" width="5" style="698" customWidth="1"/>
    <col min="15268" max="15268" width="7.5703125" style="698" customWidth="1"/>
    <col min="15269" max="15269" width="5.140625" style="698" customWidth="1"/>
    <col min="15270" max="15270" width="6.5703125" style="698" customWidth="1"/>
    <col min="15271" max="15271" width="5" style="698" customWidth="1"/>
    <col min="15272" max="15272" width="7.42578125" style="698" customWidth="1"/>
    <col min="15273" max="15273" width="5.42578125" style="698" customWidth="1"/>
    <col min="15274" max="15274" width="6.42578125" style="698" customWidth="1"/>
    <col min="15275" max="15275" width="8.85546875" style="698" customWidth="1"/>
    <col min="15276" max="15276" width="5" style="698" customWidth="1"/>
    <col min="15277" max="15277" width="12.140625" style="698" customWidth="1"/>
    <col min="15278" max="15278" width="11.42578125" style="698" customWidth="1"/>
    <col min="15279" max="15518" width="9" style="698"/>
    <col min="15519" max="15519" width="3.5703125" style="698" customWidth="1"/>
    <col min="15520" max="15520" width="26.42578125" style="698" customWidth="1"/>
    <col min="15521" max="15521" width="5.42578125" style="698" customWidth="1"/>
    <col min="15522" max="15522" width="7.42578125" style="698" customWidth="1"/>
    <col min="15523" max="15523" width="5" style="698" customWidth="1"/>
    <col min="15524" max="15524" width="7.5703125" style="698" customWidth="1"/>
    <col min="15525" max="15525" width="5.140625" style="698" customWidth="1"/>
    <col min="15526" max="15526" width="6.5703125" style="698" customWidth="1"/>
    <col min="15527" max="15527" width="5" style="698" customWidth="1"/>
    <col min="15528" max="15528" width="7.42578125" style="698" customWidth="1"/>
    <col min="15529" max="15529" width="5.42578125" style="698" customWidth="1"/>
    <col min="15530" max="15530" width="6.42578125" style="698" customWidth="1"/>
    <col min="15531" max="15531" width="8.85546875" style="698" customWidth="1"/>
    <col min="15532" max="15532" width="5" style="698" customWidth="1"/>
    <col min="15533" max="15533" width="12.140625" style="698" customWidth="1"/>
    <col min="15534" max="15534" width="11.42578125" style="698" customWidth="1"/>
    <col min="15535" max="15774" width="9" style="698"/>
    <col min="15775" max="15775" width="3.5703125" style="698" customWidth="1"/>
    <col min="15776" max="15776" width="26.42578125" style="698" customWidth="1"/>
    <col min="15777" max="15777" width="5.42578125" style="698" customWidth="1"/>
    <col min="15778" max="15778" width="7.42578125" style="698" customWidth="1"/>
    <col min="15779" max="15779" width="5" style="698" customWidth="1"/>
    <col min="15780" max="15780" width="7.5703125" style="698" customWidth="1"/>
    <col min="15781" max="15781" width="5.140625" style="698" customWidth="1"/>
    <col min="15782" max="15782" width="6.5703125" style="698" customWidth="1"/>
    <col min="15783" max="15783" width="5" style="698" customWidth="1"/>
    <col min="15784" max="15784" width="7.42578125" style="698" customWidth="1"/>
    <col min="15785" max="15785" width="5.42578125" style="698" customWidth="1"/>
    <col min="15786" max="15786" width="6.42578125" style="698" customWidth="1"/>
    <col min="15787" max="15787" width="8.85546875" style="698" customWidth="1"/>
    <col min="15788" max="15788" width="5" style="698" customWidth="1"/>
    <col min="15789" max="15789" width="12.140625" style="698" customWidth="1"/>
    <col min="15790" max="15790" width="11.42578125" style="698" customWidth="1"/>
    <col min="15791" max="16030" width="9" style="698"/>
    <col min="16031" max="16031" width="3.5703125" style="698" customWidth="1"/>
    <col min="16032" max="16032" width="26.42578125" style="698" customWidth="1"/>
    <col min="16033" max="16033" width="5.42578125" style="698" customWidth="1"/>
    <col min="16034" max="16034" width="7.42578125" style="698" customWidth="1"/>
    <col min="16035" max="16035" width="5" style="698" customWidth="1"/>
    <col min="16036" max="16036" width="7.5703125" style="698" customWidth="1"/>
    <col min="16037" max="16037" width="5.140625" style="698" customWidth="1"/>
    <col min="16038" max="16038" width="6.5703125" style="698" customWidth="1"/>
    <col min="16039" max="16039" width="5" style="698" customWidth="1"/>
    <col min="16040" max="16040" width="7.42578125" style="698" customWidth="1"/>
    <col min="16041" max="16041" width="5.42578125" style="698" customWidth="1"/>
    <col min="16042" max="16042" width="6.42578125" style="698" customWidth="1"/>
    <col min="16043" max="16043" width="8.85546875" style="698" customWidth="1"/>
    <col min="16044" max="16044" width="5" style="698" customWidth="1"/>
    <col min="16045" max="16045" width="12.140625" style="698" customWidth="1"/>
    <col min="16046" max="16046" width="11.42578125" style="698" customWidth="1"/>
    <col min="16047" max="16384" width="9" style="698"/>
  </cols>
  <sheetData>
    <row r="1" spans="1:22">
      <c r="A1" s="3828" t="s">
        <v>656</v>
      </c>
      <c r="B1" s="3828"/>
      <c r="C1" s="3828"/>
      <c r="D1" s="3828"/>
      <c r="E1" s="696"/>
      <c r="F1" s="696"/>
      <c r="G1" s="696"/>
      <c r="H1" s="697"/>
      <c r="I1" s="696"/>
      <c r="J1" s="3829" t="s">
        <v>23</v>
      </c>
      <c r="K1" s="3829"/>
      <c r="L1" s="3829"/>
      <c r="M1" s="3829"/>
      <c r="N1" s="3829"/>
      <c r="O1" s="3829"/>
      <c r="P1" s="3829"/>
    </row>
    <row r="2" spans="1:22">
      <c r="A2" s="3829" t="s">
        <v>90</v>
      </c>
      <c r="B2" s="3829"/>
      <c r="C2" s="3829"/>
      <c r="D2" s="3829"/>
      <c r="E2" s="698"/>
      <c r="F2" s="698"/>
      <c r="G2" s="698"/>
      <c r="H2" s="699"/>
      <c r="I2" s="698"/>
      <c r="J2" s="3828" t="s">
        <v>657</v>
      </c>
      <c r="K2" s="3828"/>
      <c r="L2" s="3828"/>
      <c r="M2" s="3828"/>
      <c r="N2" s="3828"/>
      <c r="O2" s="3828"/>
      <c r="P2" s="3828"/>
    </row>
    <row r="3" spans="1:22">
      <c r="A3" s="867"/>
      <c r="B3" s="867"/>
      <c r="C3" s="1210"/>
      <c r="D3" s="696"/>
      <c r="E3" s="1210"/>
      <c r="F3" s="1210"/>
      <c r="G3" s="1210"/>
      <c r="H3" s="938"/>
      <c r="I3" s="1210"/>
      <c r="J3" s="938"/>
      <c r="K3" s="1210"/>
      <c r="L3" s="938"/>
      <c r="M3" s="1124"/>
      <c r="N3" s="696"/>
      <c r="O3" s="1067"/>
      <c r="P3" s="696"/>
    </row>
    <row r="4" spans="1:22" ht="20.25">
      <c r="A4" s="4255" t="s">
        <v>1016</v>
      </c>
      <c r="B4" s="4255"/>
      <c r="C4" s="4255"/>
      <c r="D4" s="4255"/>
      <c r="E4" s="4255"/>
      <c r="F4" s="4255"/>
      <c r="G4" s="4255"/>
      <c r="H4" s="4255"/>
      <c r="I4" s="4255"/>
      <c r="J4" s="4255"/>
      <c r="K4" s="4255"/>
      <c r="L4" s="4255"/>
      <c r="M4" s="4255"/>
      <c r="N4" s="4255"/>
      <c r="O4" s="4255"/>
      <c r="P4" s="4255"/>
    </row>
    <row r="5" spans="1:22">
      <c r="A5" s="3828" t="s">
        <v>1017</v>
      </c>
      <c r="B5" s="3828"/>
      <c r="C5" s="3828"/>
      <c r="D5" s="3828"/>
      <c r="E5" s="3828"/>
      <c r="F5" s="3828"/>
      <c r="G5" s="3828"/>
      <c r="H5" s="3828"/>
      <c r="I5" s="3828"/>
      <c r="J5" s="3828"/>
      <c r="K5" s="3828"/>
      <c r="L5" s="3828"/>
      <c r="M5" s="3828"/>
      <c r="N5" s="3828"/>
      <c r="O5" s="3828"/>
      <c r="P5" s="3828"/>
    </row>
    <row r="6" spans="1:22" s="1209" customFormat="1" ht="31.5">
      <c r="A6" s="474" t="s">
        <v>0</v>
      </c>
      <c r="B6" s="474" t="s">
        <v>807</v>
      </c>
      <c r="C6" s="474" t="s">
        <v>13</v>
      </c>
      <c r="D6" s="939" t="s">
        <v>808</v>
      </c>
      <c r="E6" s="4244" t="s">
        <v>809</v>
      </c>
      <c r="F6" s="4244"/>
      <c r="G6" s="4244"/>
      <c r="H6" s="4244"/>
      <c r="I6" s="4244"/>
      <c r="J6" s="4244"/>
      <c r="K6" s="4244"/>
      <c r="L6" s="4244"/>
      <c r="M6" s="4244"/>
      <c r="N6" s="4245" t="s">
        <v>810</v>
      </c>
      <c r="O6" s="1056" t="s">
        <v>26</v>
      </c>
      <c r="P6" s="940" t="s">
        <v>92</v>
      </c>
    </row>
    <row r="7" spans="1:22" s="1209" customFormat="1">
      <c r="A7" s="474"/>
      <c r="B7" s="474"/>
      <c r="C7" s="474"/>
      <c r="D7" s="1212"/>
      <c r="E7" s="1212" t="s">
        <v>811</v>
      </c>
      <c r="F7" s="1212" t="s">
        <v>812</v>
      </c>
      <c r="G7" s="1212" t="s">
        <v>811</v>
      </c>
      <c r="H7" s="700" t="s">
        <v>812</v>
      </c>
      <c r="I7" s="1212" t="s">
        <v>811</v>
      </c>
      <c r="J7" s="700" t="s">
        <v>812</v>
      </c>
      <c r="K7" s="1212" t="s">
        <v>811</v>
      </c>
      <c r="L7" s="700" t="s">
        <v>812</v>
      </c>
      <c r="M7" s="1125" t="s">
        <v>42</v>
      </c>
      <c r="N7" s="4246"/>
      <c r="O7" s="1056"/>
      <c r="P7" s="940"/>
    </row>
    <row r="8" spans="1:22" s="1209" customFormat="1">
      <c r="A8" s="474" t="s">
        <v>141</v>
      </c>
      <c r="B8" s="475" t="s">
        <v>813</v>
      </c>
      <c r="C8" s="283"/>
      <c r="D8" s="1057"/>
      <c r="E8" s="1058"/>
      <c r="F8" s="1058"/>
      <c r="G8" s="1058"/>
      <c r="H8" s="701"/>
      <c r="I8" s="1058"/>
      <c r="J8" s="701"/>
      <c r="K8" s="1058"/>
      <c r="L8" s="701"/>
      <c r="M8" s="1126"/>
      <c r="N8" s="1059"/>
      <c r="O8" s="1127">
        <f>SUBTOTAL(9,O9:O40)</f>
        <v>5108.91</v>
      </c>
      <c r="P8" s="868"/>
    </row>
    <row r="9" spans="1:22" s="870" customFormat="1">
      <c r="A9" s="474" t="s">
        <v>140</v>
      </c>
      <c r="B9" s="475" t="s">
        <v>814</v>
      </c>
      <c r="C9" s="474" t="s">
        <v>815</v>
      </c>
      <c r="D9" s="703"/>
      <c r="E9" s="700"/>
      <c r="F9" s="700"/>
      <c r="G9" s="700"/>
      <c r="H9" s="700"/>
      <c r="I9" s="700"/>
      <c r="J9" s="700"/>
      <c r="K9" s="700"/>
      <c r="L9" s="700"/>
      <c r="M9" s="1126"/>
      <c r="N9" s="700"/>
      <c r="O9" s="1127"/>
      <c r="P9" s="869"/>
    </row>
    <row r="10" spans="1:22" s="1209" customFormat="1">
      <c r="A10" s="688">
        <v>1.1000000000000001</v>
      </c>
      <c r="B10" s="871" t="s">
        <v>816</v>
      </c>
      <c r="C10" s="284" t="s">
        <v>815</v>
      </c>
      <c r="D10" s="872"/>
      <c r="E10" s="872"/>
      <c r="F10" s="872"/>
      <c r="G10" s="872"/>
      <c r="H10" s="872"/>
      <c r="I10" s="872"/>
      <c r="J10" s="941"/>
      <c r="K10" s="941"/>
      <c r="L10" s="872"/>
      <c r="M10" s="1134">
        <v>134454</v>
      </c>
      <c r="N10" s="872"/>
      <c r="O10" s="1128"/>
      <c r="P10" s="873" t="s">
        <v>817</v>
      </c>
    </row>
    <row r="11" spans="1:22" s="1209" customFormat="1">
      <c r="A11" s="284">
        <v>1.2</v>
      </c>
      <c r="B11" s="285" t="s">
        <v>818</v>
      </c>
      <c r="C11" s="284" t="s">
        <v>815</v>
      </c>
      <c r="D11" s="874"/>
      <c r="E11" s="874"/>
      <c r="F11" s="874"/>
      <c r="G11" s="874"/>
      <c r="H11" s="874"/>
      <c r="I11" s="874"/>
      <c r="J11" s="942"/>
      <c r="K11" s="942"/>
      <c r="L11" s="874"/>
      <c r="M11" s="1129"/>
      <c r="N11" s="874"/>
      <c r="O11" s="1130"/>
      <c r="P11" s="875"/>
    </row>
    <row r="12" spans="1:22" s="1209" customFormat="1">
      <c r="A12" s="284">
        <v>1.3</v>
      </c>
      <c r="B12" s="285" t="s">
        <v>251</v>
      </c>
      <c r="C12" s="284" t="s">
        <v>815</v>
      </c>
      <c r="D12" s="874"/>
      <c r="E12" s="874"/>
      <c r="F12" s="874"/>
      <c r="G12" s="874"/>
      <c r="H12" s="874"/>
      <c r="I12" s="874"/>
      <c r="J12" s="942"/>
      <c r="K12" s="942"/>
      <c r="L12" s="874"/>
      <c r="M12" s="1129"/>
      <c r="N12" s="874"/>
      <c r="O12" s="1130"/>
      <c r="P12" s="876"/>
    </row>
    <row r="13" spans="1:22" s="1209" customFormat="1">
      <c r="A13" s="284">
        <v>1.4</v>
      </c>
      <c r="B13" s="285" t="s">
        <v>819</v>
      </c>
      <c r="C13" s="284" t="s">
        <v>820</v>
      </c>
      <c r="D13" s="874"/>
      <c r="E13" s="874"/>
      <c r="F13" s="874"/>
      <c r="G13" s="874"/>
      <c r="H13" s="874"/>
      <c r="I13" s="874"/>
      <c r="J13" s="942"/>
      <c r="K13" s="942"/>
      <c r="L13" s="874"/>
      <c r="M13" s="1129"/>
      <c r="N13" s="874"/>
      <c r="O13" s="1130"/>
      <c r="P13" s="876"/>
    </row>
    <row r="14" spans="1:22" s="1209" customFormat="1">
      <c r="A14" s="877">
        <v>1.5</v>
      </c>
      <c r="B14" s="878" t="s">
        <v>1018</v>
      </c>
      <c r="C14" s="877" t="s">
        <v>815</v>
      </c>
      <c r="D14" s="879"/>
      <c r="E14" s="879"/>
      <c r="F14" s="879"/>
      <c r="G14" s="879"/>
      <c r="H14" s="879"/>
      <c r="I14" s="879"/>
      <c r="J14" s="943"/>
      <c r="K14" s="943"/>
      <c r="L14" s="879"/>
      <c r="M14" s="1131">
        <v>120000</v>
      </c>
      <c r="N14" s="879"/>
      <c r="O14" s="1132"/>
      <c r="P14" s="880"/>
    </row>
    <row r="15" spans="1:22" s="870" customFormat="1">
      <c r="A15" s="474" t="s">
        <v>821</v>
      </c>
      <c r="B15" s="475" t="s">
        <v>822</v>
      </c>
      <c r="C15" s="474" t="s">
        <v>252</v>
      </c>
      <c r="D15" s="700"/>
      <c r="E15" s="700"/>
      <c r="F15" s="700"/>
      <c r="G15" s="700"/>
      <c r="H15" s="700"/>
      <c r="I15" s="700"/>
      <c r="J15" s="944"/>
      <c r="K15" s="944"/>
      <c r="L15" s="700"/>
      <c r="M15" s="1133"/>
      <c r="N15" s="700"/>
      <c r="O15" s="1056">
        <f>SUBTOTAL(9,O16:O17)</f>
        <v>3893</v>
      </c>
      <c r="P15" s="869"/>
      <c r="V15" s="1093"/>
    </row>
    <row r="16" spans="1:22" s="1209" customFormat="1">
      <c r="A16" s="688">
        <v>2.1</v>
      </c>
      <c r="B16" s="871" t="s">
        <v>823</v>
      </c>
      <c r="C16" s="688" t="s">
        <v>252</v>
      </c>
      <c r="D16" s="705"/>
      <c r="E16" s="706"/>
      <c r="F16" s="706"/>
      <c r="G16" s="706"/>
      <c r="H16" s="706"/>
      <c r="I16" s="706"/>
      <c r="J16" s="706"/>
      <c r="K16" s="706"/>
      <c r="L16" s="706"/>
      <c r="M16" s="1134">
        <v>595</v>
      </c>
      <c r="N16" s="705"/>
      <c r="O16" s="1106">
        <f>ROUND(M16*35/25,1)</f>
        <v>833</v>
      </c>
      <c r="P16" s="881"/>
    </row>
    <row r="17" spans="1:23" s="1209" customFormat="1">
      <c r="A17" s="877">
        <v>2.2000000000000002</v>
      </c>
      <c r="B17" s="878" t="s">
        <v>824</v>
      </c>
      <c r="C17" s="877" t="s">
        <v>252</v>
      </c>
      <c r="D17" s="945"/>
      <c r="E17" s="946"/>
      <c r="F17" s="946"/>
      <c r="G17" s="946"/>
      <c r="H17" s="946"/>
      <c r="I17" s="946"/>
      <c r="J17" s="946"/>
      <c r="K17" s="946"/>
      <c r="L17" s="946"/>
      <c r="M17" s="1131">
        <v>3060</v>
      </c>
      <c r="N17" s="707"/>
      <c r="O17" s="810">
        <f>M17</f>
        <v>3060</v>
      </c>
      <c r="P17" s="882"/>
    </row>
    <row r="18" spans="1:23" s="870" customFormat="1">
      <c r="A18" s="883" t="s">
        <v>220</v>
      </c>
      <c r="B18" s="884" t="s">
        <v>825</v>
      </c>
      <c r="C18" s="885"/>
      <c r="D18" s="886"/>
      <c r="E18" s="886"/>
      <c r="F18" s="947"/>
      <c r="G18" s="947"/>
      <c r="H18" s="947"/>
      <c r="I18" s="886"/>
      <c r="J18" s="947"/>
      <c r="K18" s="947"/>
      <c r="L18" s="947"/>
      <c r="M18" s="1135"/>
      <c r="N18" s="886"/>
      <c r="O18" s="1056">
        <f>+SUBTOTAL(9,O19:O40)</f>
        <v>1215.9099999999999</v>
      </c>
      <c r="P18" s="887"/>
      <c r="V18" s="1094"/>
      <c r="W18" s="1094"/>
    </row>
    <row r="19" spans="1:23" s="870" customFormat="1">
      <c r="A19" s="474">
        <v>1</v>
      </c>
      <c r="B19" s="475" t="s">
        <v>709</v>
      </c>
      <c r="C19" s="475"/>
      <c r="D19" s="944"/>
      <c r="E19" s="944"/>
      <c r="F19" s="944"/>
      <c r="G19" s="701"/>
      <c r="H19" s="944"/>
      <c r="I19" s="701"/>
      <c r="J19" s="944"/>
      <c r="K19" s="944"/>
      <c r="L19" s="944"/>
      <c r="M19" s="1136"/>
      <c r="N19" s="701"/>
      <c r="O19" s="1056">
        <f>SUBTOTAL(9,O20:O20)</f>
        <v>4</v>
      </c>
      <c r="P19" s="868"/>
    </row>
    <row r="20" spans="1:23" s="870" customFormat="1">
      <c r="A20" s="688">
        <v>1.1000000000000001</v>
      </c>
      <c r="B20" s="871" t="s">
        <v>1001</v>
      </c>
      <c r="C20" s="871" t="s">
        <v>1000</v>
      </c>
      <c r="D20" s="1109">
        <v>3</v>
      </c>
      <c r="E20" s="941"/>
      <c r="F20" s="941"/>
      <c r="G20" s="705"/>
      <c r="H20" s="941"/>
      <c r="I20" s="705"/>
      <c r="J20" s="941"/>
      <c r="K20" s="941"/>
      <c r="L20" s="941"/>
      <c r="M20" s="1055">
        <v>12</v>
      </c>
      <c r="N20" s="716">
        <v>1</v>
      </c>
      <c r="O20" s="1106">
        <f>ROUND(M20/D20*N20,2)</f>
        <v>4</v>
      </c>
      <c r="P20" s="916"/>
      <c r="V20" s="1094"/>
    </row>
    <row r="21" spans="1:23" s="870" customFormat="1">
      <c r="A21" s="474">
        <v>2</v>
      </c>
      <c r="B21" s="475" t="s">
        <v>658</v>
      </c>
      <c r="C21" s="475"/>
      <c r="D21" s="944"/>
      <c r="E21" s="944"/>
      <c r="F21" s="944"/>
      <c r="G21" s="701"/>
      <c r="H21" s="944"/>
      <c r="I21" s="701"/>
      <c r="J21" s="944"/>
      <c r="K21" s="944"/>
      <c r="L21" s="944"/>
      <c r="M21" s="1136"/>
      <c r="N21" s="701"/>
      <c r="O21" s="1056">
        <f>SUBTOTAL(9,O22:O26)</f>
        <v>166.07999999999998</v>
      </c>
      <c r="P21" s="868"/>
    </row>
    <row r="22" spans="1:23" s="870" customFormat="1">
      <c r="A22" s="688">
        <v>2.1</v>
      </c>
      <c r="B22" s="871" t="s">
        <v>1001</v>
      </c>
      <c r="C22" s="285" t="s">
        <v>1000</v>
      </c>
      <c r="D22" s="1109">
        <v>3</v>
      </c>
      <c r="E22" s="941"/>
      <c r="F22" s="941"/>
      <c r="G22" s="705"/>
      <c r="H22" s="941"/>
      <c r="I22" s="705"/>
      <c r="J22" s="941"/>
      <c r="K22" s="941"/>
      <c r="L22" s="941"/>
      <c r="M22" s="1055">
        <v>40</v>
      </c>
      <c r="N22" s="716">
        <v>1</v>
      </c>
      <c r="O22" s="1106">
        <f>ROUND(M22/D22*N22,2)</f>
        <v>13.33</v>
      </c>
      <c r="P22" s="916"/>
    </row>
    <row r="23" spans="1:23" s="870" customFormat="1">
      <c r="A23" s="284">
        <v>2.2000000000000002</v>
      </c>
      <c r="B23" s="285" t="s">
        <v>1019</v>
      </c>
      <c r="C23" s="285" t="s">
        <v>1000</v>
      </c>
      <c r="D23" s="1110">
        <v>0.5</v>
      </c>
      <c r="E23" s="942"/>
      <c r="F23" s="942"/>
      <c r="G23" s="713"/>
      <c r="H23" s="942"/>
      <c r="I23" s="713"/>
      <c r="J23" s="942"/>
      <c r="K23" s="942"/>
      <c r="L23" s="942"/>
      <c r="M23" s="1137">
        <v>40</v>
      </c>
      <c r="N23" s="711">
        <v>1</v>
      </c>
      <c r="O23" s="720">
        <f>ROUND(M23/D23*N23,2)</f>
        <v>80</v>
      </c>
      <c r="P23" s="1100"/>
    </row>
    <row r="24" spans="1:23" s="870" customFormat="1">
      <c r="A24" s="284">
        <v>2.2999999999999998</v>
      </c>
      <c r="B24" s="285" t="s">
        <v>1020</v>
      </c>
      <c r="C24" s="285" t="s">
        <v>1000</v>
      </c>
      <c r="D24" s="720">
        <v>0.66666666666666663</v>
      </c>
      <c r="E24" s="942"/>
      <c r="F24" s="942"/>
      <c r="G24" s="713"/>
      <c r="H24" s="942"/>
      <c r="I24" s="713"/>
      <c r="J24" s="942"/>
      <c r="K24" s="942"/>
      <c r="L24" s="942"/>
      <c r="M24" s="1137">
        <v>40</v>
      </c>
      <c r="N24" s="711">
        <v>1</v>
      </c>
      <c r="O24" s="720">
        <f>ROUND(M24/D24*N24,2)</f>
        <v>60</v>
      </c>
      <c r="P24" s="1100"/>
    </row>
    <row r="25" spans="1:23" s="870" customFormat="1">
      <c r="A25" s="284">
        <v>2.2000000000000002</v>
      </c>
      <c r="B25" s="937" t="s">
        <v>760</v>
      </c>
      <c r="C25" s="284" t="s">
        <v>659</v>
      </c>
      <c r="D25" s="1060">
        <f>1/5</f>
        <v>0.2</v>
      </c>
      <c r="E25" s="1112"/>
      <c r="F25" s="1112"/>
      <c r="G25" s="1113"/>
      <c r="H25" s="1112"/>
      <c r="I25" s="1113"/>
      <c r="J25" s="1112"/>
      <c r="K25" s="1112"/>
      <c r="L25" s="1112"/>
      <c r="M25" s="1138">
        <f>+SUM(E26:L26)</f>
        <v>2.5499999999999998</v>
      </c>
      <c r="N25" s="711">
        <v>1</v>
      </c>
      <c r="O25" s="720">
        <f>ROUND(M25/D25*N25,2)</f>
        <v>12.75</v>
      </c>
      <c r="P25" s="1100"/>
      <c r="U25" s="870">
        <v>12.75</v>
      </c>
      <c r="V25" s="1017">
        <f>O25-U25</f>
        <v>0</v>
      </c>
    </row>
    <row r="26" spans="1:23" s="870" customFormat="1">
      <c r="A26" s="286"/>
      <c r="B26" s="1139"/>
      <c r="C26" s="286"/>
      <c r="D26" s="1140"/>
      <c r="E26" s="1247" t="s">
        <v>715</v>
      </c>
      <c r="F26" s="1248">
        <v>2.5499999999999998</v>
      </c>
      <c r="G26" s="1247"/>
      <c r="H26" s="1248"/>
      <c r="I26" s="1247"/>
      <c r="J26" s="1248"/>
      <c r="K26" s="1249"/>
      <c r="L26" s="1249"/>
      <c r="M26" s="1141"/>
      <c r="N26" s="1142"/>
      <c r="O26" s="1143"/>
      <c r="P26" s="1103"/>
      <c r="V26" s="1123"/>
    </row>
    <row r="27" spans="1:23" s="870" customFormat="1">
      <c r="A27" s="474">
        <v>3</v>
      </c>
      <c r="B27" s="475" t="s">
        <v>835</v>
      </c>
      <c r="C27" s="475"/>
      <c r="D27" s="944"/>
      <c r="E27" s="944"/>
      <c r="F27" s="944"/>
      <c r="G27" s="701"/>
      <c r="H27" s="944"/>
      <c r="I27" s="701"/>
      <c r="J27" s="944"/>
      <c r="K27" s="944"/>
      <c r="L27" s="944"/>
      <c r="M27" s="1136"/>
      <c r="N27" s="701"/>
      <c r="O27" s="1056">
        <f>SUBTOTAL(9,O28:O30)</f>
        <v>304.27</v>
      </c>
      <c r="P27" s="868"/>
    </row>
    <row r="28" spans="1:23" s="870" customFormat="1">
      <c r="A28" s="423">
        <v>3.1</v>
      </c>
      <c r="B28" s="424" t="s">
        <v>1001</v>
      </c>
      <c r="C28" s="424" t="s">
        <v>1000</v>
      </c>
      <c r="D28" s="1144">
        <v>3</v>
      </c>
      <c r="E28" s="1145"/>
      <c r="F28" s="1145"/>
      <c r="G28" s="1146"/>
      <c r="H28" s="1145"/>
      <c r="I28" s="1146"/>
      <c r="J28" s="1145"/>
      <c r="K28" s="1145"/>
      <c r="L28" s="1145"/>
      <c r="M28" s="1147">
        <v>272</v>
      </c>
      <c r="N28" s="1148">
        <v>1</v>
      </c>
      <c r="O28" s="1149">
        <f>ROUND(M28/D28*N28,2)</f>
        <v>90.67</v>
      </c>
      <c r="P28" s="1150"/>
      <c r="V28" s="1151"/>
    </row>
    <row r="29" spans="1:23" s="870" customFormat="1">
      <c r="A29" s="284">
        <v>3.2</v>
      </c>
      <c r="B29" s="937" t="s">
        <v>760</v>
      </c>
      <c r="C29" s="284" t="s">
        <v>659</v>
      </c>
      <c r="D29" s="1060">
        <f>1/6</f>
        <v>0.16666666666666666</v>
      </c>
      <c r="E29" s="942"/>
      <c r="F29" s="942"/>
      <c r="G29" s="713"/>
      <c r="H29" s="942"/>
      <c r="I29" s="713"/>
      <c r="J29" s="942"/>
      <c r="K29" s="942"/>
      <c r="L29" s="942"/>
      <c r="M29" s="1138">
        <f>+SUM(E30:L30)</f>
        <v>35.6</v>
      </c>
      <c r="N29" s="711">
        <v>1</v>
      </c>
      <c r="O29" s="720">
        <f>ROUND(M29/D29*N29,2)</f>
        <v>213.6</v>
      </c>
      <c r="P29" s="1100"/>
      <c r="U29" s="870">
        <v>178</v>
      </c>
      <c r="V29" s="1094">
        <f>O29-U29</f>
        <v>35.599999999999994</v>
      </c>
    </row>
    <row r="30" spans="1:23" s="870" customFormat="1">
      <c r="A30" s="284"/>
      <c r="B30" s="937"/>
      <c r="C30" s="284"/>
      <c r="D30" s="1111"/>
      <c r="E30" s="1102" t="s">
        <v>1021</v>
      </c>
      <c r="F30" s="1115">
        <v>11.6</v>
      </c>
      <c r="G30" s="1115" t="s">
        <v>1022</v>
      </c>
      <c r="H30" s="1115">
        <v>4</v>
      </c>
      <c r="I30" s="1115" t="s">
        <v>1023</v>
      </c>
      <c r="J30" s="1115">
        <v>20</v>
      </c>
      <c r="K30" s="1115"/>
      <c r="L30" s="1115"/>
      <c r="M30" s="1137"/>
      <c r="N30" s="711"/>
      <c r="O30" s="720"/>
      <c r="P30" s="1100"/>
    </row>
    <row r="31" spans="1:23" s="1209" customFormat="1">
      <c r="A31" s="474">
        <v>4</v>
      </c>
      <c r="B31" s="475" t="s">
        <v>988</v>
      </c>
      <c r="C31" s="475"/>
      <c r="D31" s="944"/>
      <c r="E31" s="944"/>
      <c r="F31" s="944"/>
      <c r="G31" s="701"/>
      <c r="H31" s="944"/>
      <c r="I31" s="701"/>
      <c r="J31" s="944"/>
      <c r="K31" s="944"/>
      <c r="L31" s="944"/>
      <c r="M31" s="1136"/>
      <c r="N31" s="701"/>
      <c r="O31" s="1056">
        <f>SUBTOTAL(9,O32:O35)</f>
        <v>469.74</v>
      </c>
      <c r="P31" s="868"/>
    </row>
    <row r="32" spans="1:23" s="1209" customFormat="1">
      <c r="A32" s="688">
        <v>4.0999999999999996</v>
      </c>
      <c r="B32" s="871" t="s">
        <v>1001</v>
      </c>
      <c r="C32" s="871" t="s">
        <v>1000</v>
      </c>
      <c r="D32" s="1109">
        <v>3</v>
      </c>
      <c r="E32" s="941"/>
      <c r="F32" s="941"/>
      <c r="G32" s="705"/>
      <c r="H32" s="941"/>
      <c r="I32" s="705"/>
      <c r="J32" s="941"/>
      <c r="K32" s="941"/>
      <c r="L32" s="941"/>
      <c r="M32" s="1055">
        <v>128</v>
      </c>
      <c r="N32" s="716">
        <v>1</v>
      </c>
      <c r="O32" s="1106">
        <f>ROUND(M32/D32*N32,2)</f>
        <v>42.67</v>
      </c>
      <c r="P32" s="916"/>
      <c r="V32" s="1201"/>
    </row>
    <row r="33" spans="1:22" s="1220" customFormat="1">
      <c r="A33" s="1221">
        <v>4.2</v>
      </c>
      <c r="B33" s="1222" t="s">
        <v>760</v>
      </c>
      <c r="C33" s="1221" t="s">
        <v>659</v>
      </c>
      <c r="D33" s="1223">
        <f>1/7</f>
        <v>0.14285714285714285</v>
      </c>
      <c r="E33" s="1224"/>
      <c r="F33" s="1224"/>
      <c r="G33" s="1225"/>
      <c r="H33" s="1224"/>
      <c r="I33" s="1225"/>
      <c r="J33" s="1224"/>
      <c r="K33" s="1224"/>
      <c r="L33" s="1224"/>
      <c r="M33" s="1226">
        <f>+SUM(E34:L35)</f>
        <v>61.010000000000005</v>
      </c>
      <c r="N33" s="1227">
        <v>1</v>
      </c>
      <c r="O33" s="1228">
        <f>ROUND(M33/D33*N33,2)</f>
        <v>427.07</v>
      </c>
      <c r="P33" s="1229"/>
      <c r="U33" s="1220">
        <v>305.05</v>
      </c>
      <c r="V33" s="1230">
        <f>O33-U33</f>
        <v>122.01999999999998</v>
      </c>
    </row>
    <row r="34" spans="1:22" s="1220" customFormat="1">
      <c r="A34" s="1221"/>
      <c r="B34" s="1231"/>
      <c r="C34" s="1231"/>
      <c r="D34" s="1232"/>
      <c r="E34" s="1224" t="s">
        <v>742</v>
      </c>
      <c r="F34" s="1224">
        <v>11.02</v>
      </c>
      <c r="G34" s="1225" t="s">
        <v>1024</v>
      </c>
      <c r="H34" s="1224">
        <v>3.1</v>
      </c>
      <c r="I34" s="1225" t="s">
        <v>754</v>
      </c>
      <c r="J34" s="1224">
        <v>13.27</v>
      </c>
      <c r="K34" s="1224" t="s">
        <v>757</v>
      </c>
      <c r="L34" s="1224">
        <v>3.47</v>
      </c>
      <c r="M34" s="1233"/>
      <c r="N34" s="1227"/>
      <c r="O34" s="1228"/>
      <c r="P34" s="1229"/>
      <c r="V34" s="1230"/>
    </row>
    <row r="35" spans="1:22" s="1220" customFormat="1">
      <c r="A35" s="1234"/>
      <c r="B35" s="1235"/>
      <c r="C35" s="1235"/>
      <c r="D35" s="1236"/>
      <c r="E35" s="1237" t="s">
        <v>692</v>
      </c>
      <c r="F35" s="1237">
        <v>10.07</v>
      </c>
      <c r="G35" s="1238" t="s">
        <v>758</v>
      </c>
      <c r="H35" s="1237">
        <v>2.7</v>
      </c>
      <c r="I35" s="1238" t="s">
        <v>693</v>
      </c>
      <c r="J35" s="1237">
        <v>13.38</v>
      </c>
      <c r="K35" s="1237" t="s">
        <v>759</v>
      </c>
      <c r="L35" s="1237">
        <v>4</v>
      </c>
      <c r="M35" s="1239"/>
      <c r="N35" s="1240"/>
      <c r="O35" s="1241"/>
      <c r="P35" s="1242"/>
    </row>
    <row r="36" spans="1:22" s="1209" customFormat="1">
      <c r="A36" s="474">
        <v>5</v>
      </c>
      <c r="B36" s="475" t="s">
        <v>698</v>
      </c>
      <c r="C36" s="474"/>
      <c r="D36" s="701"/>
      <c r="E36" s="1063"/>
      <c r="F36" s="1063"/>
      <c r="G36" s="1064"/>
      <c r="H36" s="1065"/>
      <c r="I36" s="1063"/>
      <c r="J36" s="1063"/>
      <c r="K36" s="1065"/>
      <c r="L36" s="1065"/>
      <c r="M36" s="1136"/>
      <c r="N36" s="701"/>
      <c r="O36" s="1056">
        <f>+SUBTOTAL(9,O37:O40)</f>
        <v>271.82</v>
      </c>
      <c r="P36" s="888"/>
    </row>
    <row r="37" spans="1:22" s="1209" customFormat="1">
      <c r="A37" s="688">
        <v>5.0999999999999996</v>
      </c>
      <c r="B37" s="871" t="s">
        <v>1001</v>
      </c>
      <c r="C37" s="871" t="s">
        <v>1000</v>
      </c>
      <c r="D37" s="1109">
        <v>3</v>
      </c>
      <c r="E37" s="941"/>
      <c r="F37" s="941"/>
      <c r="G37" s="705"/>
      <c r="H37" s="941"/>
      <c r="I37" s="705"/>
      <c r="J37" s="941"/>
      <c r="K37" s="941"/>
      <c r="L37" s="941"/>
      <c r="M37" s="1055">
        <v>32</v>
      </c>
      <c r="N37" s="716">
        <v>1</v>
      </c>
      <c r="O37" s="1106">
        <f>ROUND(M37/D37*N37,2)</f>
        <v>10.67</v>
      </c>
      <c r="P37" s="1107"/>
      <c r="V37" s="1017"/>
    </row>
    <row r="38" spans="1:22" s="1220" customFormat="1">
      <c r="A38" s="1221">
        <v>5.2</v>
      </c>
      <c r="B38" s="1222" t="s">
        <v>760</v>
      </c>
      <c r="C38" s="1221" t="s">
        <v>659</v>
      </c>
      <c r="D38" s="1223">
        <f>1/5</f>
        <v>0.2</v>
      </c>
      <c r="E38" s="1243"/>
      <c r="F38" s="1243"/>
      <c r="G38" s="1244"/>
      <c r="H38" s="1243"/>
      <c r="I38" s="1244"/>
      <c r="J38" s="1243"/>
      <c r="K38" s="1243"/>
      <c r="L38" s="1243"/>
      <c r="M38" s="1226">
        <f>+SUM(E39:L40)</f>
        <v>52.230000000000004</v>
      </c>
      <c r="N38" s="1227">
        <v>1</v>
      </c>
      <c r="O38" s="1228">
        <f>ROUND(M38/D38*N38,2)</f>
        <v>261.14999999999998</v>
      </c>
      <c r="P38" s="1245"/>
      <c r="U38" s="1220">
        <v>261.14999999999998</v>
      </c>
      <c r="V38" s="1230">
        <f>O38-U38</f>
        <v>0</v>
      </c>
    </row>
    <row r="39" spans="1:22" s="1220" customFormat="1">
      <c r="A39" s="1221"/>
      <c r="B39" s="1222"/>
      <c r="C39" s="1221"/>
      <c r="D39" s="1246"/>
      <c r="E39" s="1224" t="s">
        <v>758</v>
      </c>
      <c r="F39" s="1224">
        <v>6.85</v>
      </c>
      <c r="G39" s="1225" t="s">
        <v>1024</v>
      </c>
      <c r="H39" s="1224">
        <v>6.8</v>
      </c>
      <c r="I39" s="1225" t="s">
        <v>757</v>
      </c>
      <c r="J39" s="1224">
        <v>3.93</v>
      </c>
      <c r="K39" s="1224" t="s">
        <v>759</v>
      </c>
      <c r="L39" s="1224">
        <v>6.8</v>
      </c>
      <c r="M39" s="1233"/>
      <c r="N39" s="1227"/>
      <c r="O39" s="1228"/>
      <c r="P39" s="1245"/>
      <c r="V39" s="1230">
        <f>SUM(V25:V38)</f>
        <v>157.61999999999998</v>
      </c>
    </row>
    <row r="40" spans="1:22" s="1209" customFormat="1">
      <c r="A40" s="284"/>
      <c r="B40" s="937"/>
      <c r="C40" s="284"/>
      <c r="D40" s="1111"/>
      <c r="E40" s="943" t="s">
        <v>1023</v>
      </c>
      <c r="F40" s="943">
        <v>12.13</v>
      </c>
      <c r="G40" s="877" t="s">
        <v>1025</v>
      </c>
      <c r="H40" s="877">
        <v>5.0999999999999996</v>
      </c>
      <c r="I40" s="877" t="s">
        <v>776</v>
      </c>
      <c r="J40" s="877">
        <v>4.49</v>
      </c>
      <c r="K40" s="1153" t="s">
        <v>754</v>
      </c>
      <c r="L40" s="1153">
        <v>6.13</v>
      </c>
      <c r="M40" s="1137"/>
      <c r="N40" s="711"/>
      <c r="O40" s="720"/>
      <c r="P40" s="924"/>
      <c r="V40" s="1209">
        <v>158.22</v>
      </c>
    </row>
    <row r="41" spans="1:22" s="1209" customFormat="1">
      <c r="A41" s="1061" t="s">
        <v>138</v>
      </c>
      <c r="B41" s="717" t="s">
        <v>223</v>
      </c>
      <c r="C41" s="1061"/>
      <c r="D41" s="700"/>
      <c r="E41" s="700"/>
      <c r="F41" s="700"/>
      <c r="G41" s="700"/>
      <c r="H41" s="700"/>
      <c r="I41" s="700"/>
      <c r="J41" s="700"/>
      <c r="K41" s="700"/>
      <c r="L41" s="700"/>
      <c r="M41" s="1126"/>
      <c r="N41" s="1062"/>
      <c r="O41" s="1056">
        <f>+SUBTOTAL(9,O42:O88)</f>
        <v>2245.31</v>
      </c>
      <c r="P41" s="888"/>
      <c r="U41" s="1122"/>
      <c r="V41" s="1154">
        <f>+V40-V39</f>
        <v>0.60000000000002274</v>
      </c>
    </row>
    <row r="42" spans="1:22" s="1209" customFormat="1">
      <c r="A42" s="1118">
        <v>2</v>
      </c>
      <c r="B42" s="717" t="s">
        <v>1002</v>
      </c>
      <c r="C42" s="474"/>
      <c r="D42" s="701"/>
      <c r="E42" s="948"/>
      <c r="F42" s="949"/>
      <c r="G42" s="948"/>
      <c r="H42" s="949"/>
      <c r="I42" s="948"/>
      <c r="J42" s="949"/>
      <c r="K42" s="948"/>
      <c r="L42" s="949"/>
      <c r="M42" s="1136"/>
      <c r="N42" s="701"/>
      <c r="O42" s="1056">
        <f>+SUBTOTAL(9,O43:O44)</f>
        <v>49.2</v>
      </c>
      <c r="P42" s="888"/>
    </row>
    <row r="43" spans="1:22" s="1209" customFormat="1">
      <c r="A43" s="688">
        <v>1.1000000000000001</v>
      </c>
      <c r="B43" s="871" t="s">
        <v>760</v>
      </c>
      <c r="C43" s="688" t="s">
        <v>659</v>
      </c>
      <c r="D43" s="1106">
        <f>1/6</f>
        <v>0.16666666666666666</v>
      </c>
      <c r="E43" s="941"/>
      <c r="F43" s="941"/>
      <c r="G43" s="705"/>
      <c r="H43" s="941"/>
      <c r="I43" s="705"/>
      <c r="J43" s="941"/>
      <c r="K43" s="941"/>
      <c r="L43" s="941"/>
      <c r="M43" s="1155">
        <f>+SUM(E44:L44)</f>
        <v>8.1999999999999993</v>
      </c>
      <c r="N43" s="716">
        <v>1</v>
      </c>
      <c r="O43" s="1106">
        <f>ROUND(M43/D43*N43,2)</f>
        <v>49.2</v>
      </c>
      <c r="P43" s="1100"/>
    </row>
    <row r="44" spans="1:22" s="1209" customFormat="1">
      <c r="A44" s="877"/>
      <c r="B44" s="878"/>
      <c r="C44" s="878"/>
      <c r="D44" s="1116"/>
      <c r="E44" s="943" t="s">
        <v>1030</v>
      </c>
      <c r="F44" s="943">
        <v>8.1999999999999993</v>
      </c>
      <c r="G44" s="707"/>
      <c r="H44" s="943"/>
      <c r="I44" s="707"/>
      <c r="J44" s="943"/>
      <c r="K44" s="943"/>
      <c r="L44" s="943"/>
      <c r="M44" s="1152"/>
      <c r="N44" s="889"/>
      <c r="O44" s="810"/>
      <c r="P44" s="1117"/>
    </row>
    <row r="45" spans="1:22" s="1209" customFormat="1">
      <c r="A45" s="1118">
        <v>2</v>
      </c>
      <c r="B45" s="717" t="s">
        <v>1031</v>
      </c>
      <c r="C45" s="474"/>
      <c r="D45" s="701"/>
      <c r="E45" s="948"/>
      <c r="F45" s="949"/>
      <c r="G45" s="948"/>
      <c r="H45" s="949"/>
      <c r="I45" s="948"/>
      <c r="J45" s="949"/>
      <c r="K45" s="948"/>
      <c r="L45" s="949"/>
      <c r="M45" s="1136"/>
      <c r="N45" s="701"/>
      <c r="O45" s="1056">
        <f>+SUBTOTAL(9,O46:O60)</f>
        <v>646.88</v>
      </c>
      <c r="P45" s="888"/>
    </row>
    <row r="46" spans="1:22" s="1209" customFormat="1">
      <c r="A46" s="423">
        <v>1</v>
      </c>
      <c r="B46" s="1156" t="s">
        <v>514</v>
      </c>
      <c r="C46" s="423" t="s">
        <v>659</v>
      </c>
      <c r="D46" s="1146">
        <v>3</v>
      </c>
      <c r="E46" s="1145"/>
      <c r="F46" s="1145"/>
      <c r="G46" s="1146"/>
      <c r="H46" s="1145"/>
      <c r="I46" s="1146"/>
      <c r="J46" s="1145"/>
      <c r="K46" s="1145"/>
      <c r="L46" s="1145"/>
      <c r="M46" s="1155">
        <f>+SUM(E47:L53)</f>
        <v>116.88</v>
      </c>
      <c r="N46" s="716">
        <v>1</v>
      </c>
      <c r="O46" s="1106">
        <f>ROUND(M46/D46*N46,2)</f>
        <v>38.96</v>
      </c>
      <c r="P46" s="1150"/>
    </row>
    <row r="47" spans="1:22" s="1209" customFormat="1">
      <c r="A47" s="284"/>
      <c r="B47" s="285"/>
      <c r="C47" s="1157"/>
      <c r="D47" s="1158"/>
      <c r="E47" s="1157" t="s">
        <v>713</v>
      </c>
      <c r="F47" s="1159">
        <v>1.69</v>
      </c>
      <c r="G47" s="1160" t="s">
        <v>1032</v>
      </c>
      <c r="H47" s="1159">
        <v>7</v>
      </c>
      <c r="I47" s="1160" t="s">
        <v>1033</v>
      </c>
      <c r="J47" s="1159">
        <v>1.49</v>
      </c>
      <c r="K47" s="1160" t="s">
        <v>1034</v>
      </c>
      <c r="L47" s="1159">
        <v>6.54</v>
      </c>
      <c r="M47" s="1137"/>
      <c r="N47" s="711"/>
      <c r="O47" s="720"/>
      <c r="P47" s="1100"/>
    </row>
    <row r="48" spans="1:22" s="1209" customFormat="1">
      <c r="A48" s="284"/>
      <c r="B48" s="285"/>
      <c r="C48" s="1157"/>
      <c r="D48" s="1158"/>
      <c r="E48" s="1157" t="s">
        <v>995</v>
      </c>
      <c r="F48" s="1159">
        <v>5.41</v>
      </c>
      <c r="G48" s="1160" t="s">
        <v>1035</v>
      </c>
      <c r="H48" s="1159">
        <v>5.74</v>
      </c>
      <c r="I48" s="1160" t="s">
        <v>1036</v>
      </c>
      <c r="J48" s="1159">
        <v>2.66</v>
      </c>
      <c r="K48" s="1160" t="s">
        <v>1037</v>
      </c>
      <c r="L48" s="1159">
        <v>7.85</v>
      </c>
      <c r="M48" s="1137"/>
      <c r="N48" s="711"/>
      <c r="O48" s="720"/>
      <c r="P48" s="1100"/>
    </row>
    <row r="49" spans="1:23" s="1209" customFormat="1">
      <c r="A49" s="284"/>
      <c r="B49" s="285"/>
      <c r="C49" s="1157"/>
      <c r="D49" s="1158"/>
      <c r="E49" s="1157" t="s">
        <v>1038</v>
      </c>
      <c r="F49" s="1159">
        <v>5.9</v>
      </c>
      <c r="G49" s="1160" t="s">
        <v>1039</v>
      </c>
      <c r="H49" s="1159">
        <v>4.9800000000000004</v>
      </c>
      <c r="I49" s="1160" t="s">
        <v>1040</v>
      </c>
      <c r="J49" s="1159">
        <v>3.94</v>
      </c>
      <c r="K49" s="1160" t="s">
        <v>1041</v>
      </c>
      <c r="L49" s="1159">
        <v>5.7</v>
      </c>
      <c r="M49" s="1137"/>
      <c r="N49" s="711"/>
      <c r="O49" s="720"/>
      <c r="P49" s="1100"/>
    </row>
    <row r="50" spans="1:23" s="1209" customFormat="1">
      <c r="A50" s="284"/>
      <c r="B50" s="285"/>
      <c r="C50" s="1157"/>
      <c r="D50" s="1158"/>
      <c r="E50" s="1157" t="s">
        <v>1042</v>
      </c>
      <c r="F50" s="1159">
        <v>2.56</v>
      </c>
      <c r="G50" s="1160" t="s">
        <v>1043</v>
      </c>
      <c r="H50" s="1159">
        <v>4.5199999999999996</v>
      </c>
      <c r="I50" s="1160" t="s">
        <v>1044</v>
      </c>
      <c r="J50" s="1159">
        <v>3.82</v>
      </c>
      <c r="K50" s="942" t="s">
        <v>1045</v>
      </c>
      <c r="L50" s="720">
        <v>3.01</v>
      </c>
      <c r="M50" s="1137"/>
      <c r="N50" s="711"/>
      <c r="O50" s="720"/>
      <c r="P50" s="1100"/>
    </row>
    <row r="51" spans="1:23" s="1209" customFormat="1">
      <c r="A51" s="284"/>
      <c r="B51" s="285"/>
      <c r="C51" s="1157"/>
      <c r="D51" s="1158"/>
      <c r="E51" s="1157" t="s">
        <v>1046</v>
      </c>
      <c r="F51" s="1159">
        <v>7.6</v>
      </c>
      <c r="G51" s="1160" t="s">
        <v>1047</v>
      </c>
      <c r="H51" s="1159">
        <v>6.33</v>
      </c>
      <c r="I51" s="1160" t="s">
        <v>1048</v>
      </c>
      <c r="J51" s="1159">
        <v>5.8</v>
      </c>
      <c r="K51" s="942" t="s">
        <v>1028</v>
      </c>
      <c r="L51" s="942">
        <v>8.65</v>
      </c>
      <c r="M51" s="1137"/>
      <c r="N51" s="711"/>
      <c r="O51" s="720"/>
      <c r="P51" s="1100"/>
    </row>
    <row r="52" spans="1:23" s="1209" customFormat="1">
      <c r="A52" s="284"/>
      <c r="B52" s="285"/>
      <c r="C52" s="1157"/>
      <c r="D52" s="1158"/>
      <c r="E52" s="1157" t="s">
        <v>1049</v>
      </c>
      <c r="F52" s="1159">
        <v>4.51</v>
      </c>
      <c r="G52" s="1160" t="s">
        <v>1050</v>
      </c>
      <c r="H52" s="1159">
        <v>2.29</v>
      </c>
      <c r="I52" s="1160" t="s">
        <v>1051</v>
      </c>
      <c r="J52" s="1159">
        <v>2.95</v>
      </c>
      <c r="K52" s="942" t="s">
        <v>1052</v>
      </c>
      <c r="L52" s="942">
        <v>1.74</v>
      </c>
      <c r="M52" s="1137"/>
      <c r="N52" s="711"/>
      <c r="O52" s="720"/>
      <c r="P52" s="1100"/>
    </row>
    <row r="53" spans="1:23" s="1209" customFormat="1">
      <c r="A53" s="284"/>
      <c r="B53" s="285"/>
      <c r="C53" s="1157"/>
      <c r="D53" s="1158"/>
      <c r="E53" s="1157" t="s">
        <v>1053</v>
      </c>
      <c r="F53" s="1159">
        <v>4.2</v>
      </c>
      <c r="G53" s="1160"/>
      <c r="H53" s="1159"/>
      <c r="I53" s="1160"/>
      <c r="J53" s="1159"/>
      <c r="K53" s="942"/>
      <c r="L53" s="942"/>
      <c r="M53" s="1137"/>
      <c r="N53" s="711"/>
      <c r="O53" s="720"/>
      <c r="P53" s="1100"/>
    </row>
    <row r="54" spans="1:23" s="1209" customFormat="1">
      <c r="A54" s="284">
        <v>2</v>
      </c>
      <c r="B54" s="285" t="s">
        <v>760</v>
      </c>
      <c r="C54" s="284" t="s">
        <v>659</v>
      </c>
      <c r="D54" s="720">
        <f>1/6</f>
        <v>0.16666666666666666</v>
      </c>
      <c r="E54" s="1157"/>
      <c r="F54" s="1158"/>
      <c r="G54" s="1160"/>
      <c r="H54" s="1158"/>
      <c r="I54" s="1160"/>
      <c r="J54" s="1158"/>
      <c r="K54" s="942"/>
      <c r="L54" s="942"/>
      <c r="M54" s="1138">
        <f>+SUM(E55:L60)</f>
        <v>101.32000000000001</v>
      </c>
      <c r="N54" s="711">
        <v>1</v>
      </c>
      <c r="O54" s="720">
        <f>ROUND(M54/D54*N54,2)</f>
        <v>607.91999999999996</v>
      </c>
      <c r="P54" s="1100"/>
    </row>
    <row r="55" spans="1:23" s="1209" customFormat="1">
      <c r="A55" s="284"/>
      <c r="B55" s="285"/>
      <c r="C55" s="1157"/>
      <c r="D55" s="1158"/>
      <c r="E55" s="1157" t="s">
        <v>1046</v>
      </c>
      <c r="F55" s="1159">
        <v>7.6</v>
      </c>
      <c r="G55" s="1157" t="s">
        <v>1039</v>
      </c>
      <c r="H55" s="1159">
        <v>4.9800000000000004</v>
      </c>
      <c r="I55" s="1160" t="s">
        <v>1036</v>
      </c>
      <c r="J55" s="1159">
        <v>2.66</v>
      </c>
      <c r="K55" s="1160" t="s">
        <v>1034</v>
      </c>
      <c r="L55" s="1159">
        <v>6.54</v>
      </c>
      <c r="M55" s="1137"/>
      <c r="N55" s="711"/>
      <c r="O55" s="720"/>
      <c r="P55" s="1100"/>
    </row>
    <row r="56" spans="1:23" s="1209" customFormat="1">
      <c r="A56" s="284"/>
      <c r="B56" s="285"/>
      <c r="C56" s="1157"/>
      <c r="D56" s="1158"/>
      <c r="E56" s="1157" t="s">
        <v>1049</v>
      </c>
      <c r="F56" s="1159">
        <v>4.51</v>
      </c>
      <c r="G56" s="1160" t="s">
        <v>1043</v>
      </c>
      <c r="H56" s="1159">
        <v>4.5199999999999996</v>
      </c>
      <c r="I56" s="1160" t="s">
        <v>1040</v>
      </c>
      <c r="J56" s="1159">
        <v>3.94</v>
      </c>
      <c r="K56" s="1160" t="s">
        <v>1037</v>
      </c>
      <c r="L56" s="1159">
        <v>7.85</v>
      </c>
      <c r="M56" s="1137"/>
      <c r="N56" s="711"/>
      <c r="O56" s="720"/>
      <c r="P56" s="1100"/>
    </row>
    <row r="57" spans="1:23" s="1209" customFormat="1">
      <c r="A57" s="284"/>
      <c r="B57" s="285"/>
      <c r="C57" s="1157"/>
      <c r="D57" s="1158"/>
      <c r="E57" s="1157" t="s">
        <v>1053</v>
      </c>
      <c r="F57" s="1159">
        <v>4.2</v>
      </c>
      <c r="G57" s="1160" t="s">
        <v>1047</v>
      </c>
      <c r="H57" s="1159">
        <v>6.33</v>
      </c>
      <c r="I57" s="1160" t="s">
        <v>1044</v>
      </c>
      <c r="J57" s="1159">
        <v>3.82</v>
      </c>
      <c r="K57" s="1160" t="s">
        <v>1041</v>
      </c>
      <c r="L57" s="1159">
        <v>5.7</v>
      </c>
      <c r="M57" s="1137"/>
      <c r="N57" s="711"/>
      <c r="O57" s="720"/>
      <c r="P57" s="1100"/>
    </row>
    <row r="58" spans="1:23" s="1209" customFormat="1">
      <c r="A58" s="284"/>
      <c r="B58" s="285"/>
      <c r="C58" s="1157"/>
      <c r="D58" s="1158"/>
      <c r="E58" s="1157" t="s">
        <v>1032</v>
      </c>
      <c r="F58" s="1159">
        <v>7</v>
      </c>
      <c r="G58" s="1160" t="s">
        <v>1050</v>
      </c>
      <c r="H58" s="1159">
        <v>2.29</v>
      </c>
      <c r="I58" s="1160" t="s">
        <v>1048</v>
      </c>
      <c r="J58" s="1159">
        <v>5.8</v>
      </c>
      <c r="K58" s="1160" t="s">
        <v>1045</v>
      </c>
      <c r="L58" s="1159">
        <v>3.01</v>
      </c>
      <c r="M58" s="1137"/>
      <c r="N58" s="711"/>
      <c r="O58" s="720"/>
      <c r="P58" s="1100"/>
    </row>
    <row r="59" spans="1:23" s="1209" customFormat="1">
      <c r="A59" s="284"/>
      <c r="B59" s="285"/>
      <c r="C59" s="1157"/>
      <c r="D59" s="1158"/>
      <c r="E59" s="1157" t="s">
        <v>1035</v>
      </c>
      <c r="F59" s="1159">
        <v>5.74</v>
      </c>
      <c r="G59" s="1160" t="s">
        <v>1033</v>
      </c>
      <c r="H59" s="1159">
        <v>1.49</v>
      </c>
      <c r="I59" s="1160" t="s">
        <v>1051</v>
      </c>
      <c r="J59" s="1159">
        <v>2.95</v>
      </c>
      <c r="K59" s="942" t="s">
        <v>1028</v>
      </c>
      <c r="L59" s="942">
        <v>8.65</v>
      </c>
      <c r="M59" s="1137"/>
      <c r="N59" s="711"/>
      <c r="O59" s="720"/>
      <c r="P59" s="1100"/>
    </row>
    <row r="60" spans="1:23" s="1209" customFormat="1">
      <c r="A60" s="284"/>
      <c r="B60" s="285"/>
      <c r="C60" s="1157"/>
      <c r="D60" s="1158"/>
      <c r="E60" s="1157" t="s">
        <v>1052</v>
      </c>
      <c r="F60" s="1159">
        <v>1.74</v>
      </c>
      <c r="G60" s="1160"/>
      <c r="H60" s="1159"/>
      <c r="I60" s="1160"/>
      <c r="J60" s="1159"/>
      <c r="K60" s="942"/>
      <c r="L60" s="942"/>
      <c r="M60" s="1137"/>
      <c r="N60" s="711"/>
      <c r="O60" s="720"/>
      <c r="P60" s="1100"/>
    </row>
    <row r="61" spans="1:23" s="1209" customFormat="1">
      <c r="A61" s="1118">
        <v>2</v>
      </c>
      <c r="B61" s="717" t="s">
        <v>663</v>
      </c>
      <c r="C61" s="474"/>
      <c r="D61" s="701"/>
      <c r="E61" s="948"/>
      <c r="F61" s="949"/>
      <c r="G61" s="948"/>
      <c r="H61" s="949"/>
      <c r="I61" s="948"/>
      <c r="J61" s="949"/>
      <c r="K61" s="948"/>
      <c r="L61" s="949"/>
      <c r="M61" s="1136"/>
      <c r="N61" s="701"/>
      <c r="O61" s="1056">
        <f>+SUBTOTAL(9,O62:O88)</f>
        <v>1549.2299999999998</v>
      </c>
      <c r="P61" s="888"/>
      <c r="V61" s="1122">
        <f>+'[6]Đội 1'!H80+'[6]Đội 2'!H36+[6]Đội3!H21</f>
        <v>1549.2199999999998</v>
      </c>
      <c r="W61" s="1122">
        <f>+O61-V61</f>
        <v>9.9999999999909051E-3</v>
      </c>
    </row>
    <row r="62" spans="1:23" s="1209" customFormat="1">
      <c r="A62" s="423">
        <v>2.1</v>
      </c>
      <c r="B62" s="1156" t="s">
        <v>514</v>
      </c>
      <c r="C62" s="423" t="s">
        <v>659</v>
      </c>
      <c r="D62" s="1146">
        <v>2</v>
      </c>
      <c r="E62" s="1161"/>
      <c r="F62" s="1162"/>
      <c r="G62" s="1163"/>
      <c r="H62" s="1164"/>
      <c r="I62" s="1163"/>
      <c r="J62" s="1162"/>
      <c r="K62" s="1145"/>
      <c r="L62" s="1165"/>
      <c r="M62" s="1138">
        <f>+SUM(E63:L73)</f>
        <v>374.28999999999996</v>
      </c>
      <c r="N62" s="1148">
        <v>1</v>
      </c>
      <c r="O62" s="720">
        <f>ROUND(M62/D62*N62,2)</f>
        <v>187.15</v>
      </c>
      <c r="P62" s="1150"/>
    </row>
    <row r="63" spans="1:23" s="1209" customFormat="1">
      <c r="A63" s="284"/>
      <c r="B63" s="285"/>
      <c r="C63" s="1157"/>
      <c r="D63" s="1166"/>
      <c r="E63" s="284" t="s">
        <v>987</v>
      </c>
      <c r="F63" s="284">
        <v>6.02</v>
      </c>
      <c r="G63" s="942" t="s">
        <v>684</v>
      </c>
      <c r="H63" s="942">
        <v>6.78</v>
      </c>
      <c r="I63" s="720" t="s">
        <v>1027</v>
      </c>
      <c r="J63" s="720">
        <v>1.29</v>
      </c>
      <c r="K63" s="1167" t="s">
        <v>774</v>
      </c>
      <c r="L63" s="1167">
        <v>17.53</v>
      </c>
      <c r="M63" s="1138"/>
      <c r="N63" s="711"/>
      <c r="O63" s="720"/>
      <c r="P63" s="1100"/>
    </row>
    <row r="64" spans="1:23" s="1209" customFormat="1">
      <c r="A64" s="284"/>
      <c r="B64" s="285"/>
      <c r="C64" s="1157"/>
      <c r="D64" s="1166"/>
      <c r="E64" s="284" t="s">
        <v>671</v>
      </c>
      <c r="F64" s="779">
        <v>3.7</v>
      </c>
      <c r="G64" s="942" t="s">
        <v>1054</v>
      </c>
      <c r="H64" s="942">
        <v>9.75</v>
      </c>
      <c r="I64" s="720" t="s">
        <v>1028</v>
      </c>
      <c r="J64" s="720">
        <v>9.6600000000000019</v>
      </c>
      <c r="K64" s="1167" t="s">
        <v>679</v>
      </c>
      <c r="L64" s="1167">
        <v>5.62</v>
      </c>
      <c r="M64" s="1138"/>
      <c r="N64" s="711"/>
      <c r="O64" s="720"/>
      <c r="P64" s="1100"/>
    </row>
    <row r="65" spans="1:28" s="1209" customFormat="1">
      <c r="A65" s="284"/>
      <c r="B65" s="285"/>
      <c r="C65" s="1157"/>
      <c r="D65" s="1166"/>
      <c r="E65" s="284" t="s">
        <v>1055</v>
      </c>
      <c r="F65" s="779">
        <v>6.4</v>
      </c>
      <c r="G65" s="1157" t="s">
        <v>1056</v>
      </c>
      <c r="H65" s="1159">
        <v>19.04</v>
      </c>
      <c r="I65" s="1168" t="s">
        <v>745</v>
      </c>
      <c r="J65" s="1167">
        <v>1.07</v>
      </c>
      <c r="K65" s="1167" t="s">
        <v>683</v>
      </c>
      <c r="L65" s="1167">
        <v>13.36</v>
      </c>
      <c r="M65" s="1138"/>
      <c r="N65" s="711"/>
      <c r="O65" s="720"/>
      <c r="P65" s="1100"/>
    </row>
    <row r="66" spans="1:28" s="1209" customFormat="1">
      <c r="A66" s="284"/>
      <c r="B66" s="285"/>
      <c r="C66" s="1157"/>
      <c r="D66" s="1166"/>
      <c r="E66" s="1169" t="s">
        <v>1038</v>
      </c>
      <c r="F66" s="1170">
        <v>3.3</v>
      </c>
      <c r="G66" s="1160" t="s">
        <v>1057</v>
      </c>
      <c r="H66" s="1159">
        <v>1.5</v>
      </c>
      <c r="I66" s="1168" t="s">
        <v>780</v>
      </c>
      <c r="J66" s="1167">
        <v>17.52</v>
      </c>
      <c r="K66" s="1167" t="s">
        <v>1058</v>
      </c>
      <c r="L66" s="1167">
        <v>3.8</v>
      </c>
      <c r="M66" s="1138"/>
      <c r="N66" s="711"/>
      <c r="O66" s="720"/>
      <c r="P66" s="1100"/>
    </row>
    <row r="67" spans="1:28" s="1209" customFormat="1">
      <c r="A67" s="284"/>
      <c r="B67" s="285"/>
      <c r="C67" s="1157"/>
      <c r="D67" s="1166"/>
      <c r="E67" s="284" t="s">
        <v>1042</v>
      </c>
      <c r="F67" s="284">
        <v>14.24</v>
      </c>
      <c r="G67" s="720" t="s">
        <v>1052</v>
      </c>
      <c r="H67" s="720">
        <v>10.36</v>
      </c>
      <c r="I67" s="1167" t="s">
        <v>682</v>
      </c>
      <c r="J67" s="1167">
        <v>9.06</v>
      </c>
      <c r="K67" s="1167" t="s">
        <v>770</v>
      </c>
      <c r="L67" s="1167">
        <v>9.36</v>
      </c>
      <c r="M67" s="1138"/>
      <c r="N67" s="711"/>
      <c r="O67" s="720"/>
      <c r="P67" s="1100"/>
    </row>
    <row r="68" spans="1:28" s="1209" customFormat="1">
      <c r="A68" s="284"/>
      <c r="B68" s="285"/>
      <c r="C68" s="1157"/>
      <c r="D68" s="1166"/>
      <c r="E68" s="1160" t="s">
        <v>1059</v>
      </c>
      <c r="F68" s="1159">
        <v>20.09</v>
      </c>
      <c r="G68" s="720" t="s">
        <v>1029</v>
      </c>
      <c r="H68" s="720">
        <v>14.34</v>
      </c>
      <c r="I68" s="1168" t="s">
        <v>744</v>
      </c>
      <c r="J68" s="1167">
        <v>1.01</v>
      </c>
      <c r="K68" s="1167" t="s">
        <v>776</v>
      </c>
      <c r="L68" s="1167">
        <v>6.95</v>
      </c>
      <c r="M68" s="1138"/>
      <c r="N68" s="711"/>
      <c r="O68" s="720"/>
      <c r="P68" s="1100"/>
    </row>
    <row r="69" spans="1:28" s="1209" customFormat="1">
      <c r="A69" s="284"/>
      <c r="B69" s="285"/>
      <c r="C69" s="1157"/>
      <c r="D69" s="1166"/>
      <c r="E69" s="1171" t="s">
        <v>672</v>
      </c>
      <c r="F69" s="1167">
        <v>5.91</v>
      </c>
      <c r="G69" s="1171" t="s">
        <v>661</v>
      </c>
      <c r="H69" s="1167">
        <v>5.3</v>
      </c>
      <c r="I69" s="1171" t="s">
        <v>680</v>
      </c>
      <c r="J69" s="1167">
        <v>4.0599999999999996</v>
      </c>
      <c r="K69" s="1167" t="s">
        <v>777</v>
      </c>
      <c r="L69" s="1167">
        <v>10.8</v>
      </c>
      <c r="M69" s="1138"/>
      <c r="N69" s="711"/>
      <c r="O69" s="720"/>
      <c r="P69" s="1100"/>
      <c r="W69" s="1169" t="s">
        <v>661</v>
      </c>
      <c r="X69" s="1170">
        <v>5.3</v>
      </c>
      <c r="Y69" s="284" t="s">
        <v>681</v>
      </c>
      <c r="Z69" s="284">
        <v>10.029999999999999</v>
      </c>
    </row>
    <row r="70" spans="1:28" s="1209" customFormat="1">
      <c r="A70" s="284"/>
      <c r="B70" s="285"/>
      <c r="C70" s="1157"/>
      <c r="D70" s="1166"/>
      <c r="E70" s="1171" t="s">
        <v>773</v>
      </c>
      <c r="F70" s="1167">
        <v>2.35</v>
      </c>
      <c r="G70" s="1172" t="s">
        <v>673</v>
      </c>
      <c r="H70" s="1167">
        <v>3.53</v>
      </c>
      <c r="I70" s="1171" t="s">
        <v>681</v>
      </c>
      <c r="J70" s="1167">
        <v>10.029999999999999</v>
      </c>
      <c r="K70" s="1172" t="s">
        <v>772</v>
      </c>
      <c r="L70" s="1172">
        <v>5.45</v>
      </c>
      <c r="M70" s="1138"/>
      <c r="N70" s="711"/>
      <c r="O70" s="720"/>
      <c r="P70" s="1100"/>
      <c r="W70" s="284" t="s">
        <v>673</v>
      </c>
      <c r="X70" s="284">
        <v>3.53</v>
      </c>
      <c r="Y70" s="284" t="s">
        <v>682</v>
      </c>
      <c r="Z70" s="284">
        <v>9.06</v>
      </c>
    </row>
    <row r="71" spans="1:28" s="1209" customFormat="1">
      <c r="A71" s="284"/>
      <c r="B71" s="285"/>
      <c r="C71" s="1157"/>
      <c r="D71" s="1166"/>
      <c r="E71" s="1171" t="s">
        <v>688</v>
      </c>
      <c r="F71" s="1167">
        <v>17.46</v>
      </c>
      <c r="G71" s="1172" t="s">
        <v>685</v>
      </c>
      <c r="H71" s="1167">
        <v>10.79</v>
      </c>
      <c r="I71" s="1173" t="s">
        <v>700</v>
      </c>
      <c r="J71" s="1167">
        <v>2.2000000000000002</v>
      </c>
      <c r="K71" s="1172" t="s">
        <v>775</v>
      </c>
      <c r="L71" s="1172">
        <v>9.27</v>
      </c>
      <c r="M71" s="1138"/>
      <c r="N71" s="711"/>
      <c r="O71" s="720"/>
      <c r="P71" s="1100"/>
      <c r="W71" s="284" t="s">
        <v>773</v>
      </c>
      <c r="X71" s="284">
        <v>2.35</v>
      </c>
      <c r="Y71" s="284" t="s">
        <v>744</v>
      </c>
      <c r="Z71" s="284">
        <v>1.01</v>
      </c>
    </row>
    <row r="72" spans="1:28" s="1209" customFormat="1">
      <c r="A72" s="284"/>
      <c r="B72" s="285"/>
      <c r="C72" s="1157"/>
      <c r="D72" s="1166"/>
      <c r="E72" s="1171" t="s">
        <v>662</v>
      </c>
      <c r="F72" s="1167">
        <v>11.13</v>
      </c>
      <c r="G72" s="1167" t="s">
        <v>699</v>
      </c>
      <c r="H72" s="1167">
        <v>7.1</v>
      </c>
      <c r="I72" s="1167" t="s">
        <v>678</v>
      </c>
      <c r="J72" s="1167">
        <v>13.56</v>
      </c>
      <c r="K72" s="1172" t="s">
        <v>781</v>
      </c>
      <c r="L72" s="1172">
        <v>16.32</v>
      </c>
      <c r="M72" s="1138"/>
      <c r="N72" s="711"/>
      <c r="O72" s="720"/>
      <c r="P72" s="1100"/>
      <c r="V72" s="1017" t="e">
        <f>#REF!+O81+O35</f>
        <v>#REF!</v>
      </c>
      <c r="W72" s="1157" t="s">
        <v>662</v>
      </c>
      <c r="X72" s="1158"/>
      <c r="Y72" s="284" t="s">
        <v>745</v>
      </c>
      <c r="Z72" s="284">
        <v>1.07</v>
      </c>
    </row>
    <row r="73" spans="1:28" s="1209" customFormat="1">
      <c r="A73" s="284"/>
      <c r="B73" s="285"/>
      <c r="C73" s="1157"/>
      <c r="D73" s="1166"/>
      <c r="E73" s="720" t="s">
        <v>766</v>
      </c>
      <c r="F73" s="720">
        <v>1.7</v>
      </c>
      <c r="G73" s="284" t="s">
        <v>686</v>
      </c>
      <c r="H73" s="284">
        <v>5.15</v>
      </c>
      <c r="I73" s="1167" t="s">
        <v>985</v>
      </c>
      <c r="J73" s="1167">
        <v>17.63</v>
      </c>
      <c r="K73" s="1172" t="s">
        <v>690</v>
      </c>
      <c r="L73" s="1172">
        <v>2.8</v>
      </c>
      <c r="M73" s="1138"/>
      <c r="N73" s="711"/>
      <c r="O73" s="720"/>
      <c r="P73" s="1100"/>
      <c r="V73" s="1017"/>
      <c r="W73" s="1174"/>
      <c r="X73" s="1175"/>
    </row>
    <row r="74" spans="1:28" s="1209" customFormat="1">
      <c r="A74" s="284">
        <v>2.2000000000000002</v>
      </c>
      <c r="B74" s="285" t="s">
        <v>760</v>
      </c>
      <c r="C74" s="1157" t="s">
        <v>659</v>
      </c>
      <c r="D74" s="1166">
        <f>1/6</f>
        <v>0.16666666666666666</v>
      </c>
      <c r="E74" s="1157"/>
      <c r="F74" s="1158"/>
      <c r="G74" s="1160"/>
      <c r="H74" s="1159"/>
      <c r="I74" s="1160"/>
      <c r="J74" s="1158"/>
      <c r="K74" s="942"/>
      <c r="L74" s="1101"/>
      <c r="M74" s="1138">
        <f>+SUM(E75:L79)</f>
        <v>176.93000000000004</v>
      </c>
      <c r="N74" s="711">
        <v>1</v>
      </c>
      <c r="O74" s="720">
        <f>ROUND(M74/D74*N74,2)</f>
        <v>1061.58</v>
      </c>
      <c r="P74" s="1100"/>
      <c r="AA74" s="284" t="s">
        <v>699</v>
      </c>
      <c r="AB74" s="779">
        <v>7.1</v>
      </c>
    </row>
    <row r="75" spans="1:28" s="1209" customFormat="1">
      <c r="A75" s="284"/>
      <c r="B75" s="285"/>
      <c r="C75" s="1157"/>
      <c r="D75" s="1166"/>
      <c r="E75" s="1168" t="s">
        <v>745</v>
      </c>
      <c r="F75" s="1167">
        <v>1.07</v>
      </c>
      <c r="G75" s="1171" t="s">
        <v>688</v>
      </c>
      <c r="H75" s="1167">
        <v>11.46</v>
      </c>
      <c r="I75" s="1168" t="s">
        <v>744</v>
      </c>
      <c r="J75" s="1167">
        <v>1.01</v>
      </c>
      <c r="K75" s="1157" t="s">
        <v>1060</v>
      </c>
      <c r="L75" s="1159">
        <v>11.4</v>
      </c>
      <c r="M75" s="1138"/>
      <c r="N75" s="711"/>
      <c r="O75" s="720"/>
      <c r="P75" s="1100"/>
      <c r="AA75" s="1160"/>
      <c r="AB75" s="1158"/>
    </row>
    <row r="76" spans="1:28" s="1209" customFormat="1">
      <c r="A76" s="284"/>
      <c r="B76" s="285"/>
      <c r="C76" s="1157"/>
      <c r="D76" s="1166"/>
      <c r="E76" s="1157" t="s">
        <v>1026</v>
      </c>
      <c r="F76" s="1159">
        <v>2.29</v>
      </c>
      <c r="G76" s="1171" t="s">
        <v>773</v>
      </c>
      <c r="H76" s="1167">
        <v>2.35</v>
      </c>
      <c r="I76" s="720" t="s">
        <v>766</v>
      </c>
      <c r="J76" s="720">
        <v>1.7</v>
      </c>
      <c r="K76" s="1172" t="s">
        <v>671</v>
      </c>
      <c r="L76" s="1167">
        <v>3.7</v>
      </c>
      <c r="M76" s="1138"/>
      <c r="N76" s="711"/>
      <c r="O76" s="720"/>
      <c r="P76" s="1100"/>
      <c r="U76" s="1017"/>
    </row>
    <row r="77" spans="1:28" s="1209" customFormat="1">
      <c r="A77" s="284"/>
      <c r="B77" s="284"/>
      <c r="C77" s="285"/>
      <c r="D77" s="284"/>
      <c r="E77" s="1167" t="s">
        <v>1027</v>
      </c>
      <c r="F77" s="1167">
        <v>1.29</v>
      </c>
      <c r="G77" s="284" t="s">
        <v>1028</v>
      </c>
      <c r="H77" s="284">
        <v>9.66</v>
      </c>
      <c r="I77" s="284" t="s">
        <v>1029</v>
      </c>
      <c r="J77" s="284">
        <v>14.34</v>
      </c>
      <c r="K77" s="284" t="s">
        <v>1061</v>
      </c>
      <c r="L77" s="284">
        <v>17.100000000000001</v>
      </c>
      <c r="M77" s="1176"/>
      <c r="N77" s="710"/>
      <c r="O77" s="720"/>
      <c r="P77" s="709"/>
    </row>
    <row r="78" spans="1:28" s="1209" customFormat="1">
      <c r="A78" s="284"/>
      <c r="B78" s="284"/>
      <c r="C78" s="285"/>
      <c r="D78" s="284"/>
      <c r="E78" s="1167" t="s">
        <v>1052</v>
      </c>
      <c r="F78" s="1167">
        <v>10.36</v>
      </c>
      <c r="G78" s="1167" t="s">
        <v>1059</v>
      </c>
      <c r="H78" s="1167">
        <v>20.09</v>
      </c>
      <c r="I78" s="1167" t="s">
        <v>1056</v>
      </c>
      <c r="J78" s="1167">
        <v>19.04</v>
      </c>
      <c r="K78" s="942" t="s">
        <v>679</v>
      </c>
      <c r="L78" s="1101">
        <v>5.62</v>
      </c>
      <c r="M78" s="1176"/>
      <c r="N78" s="710"/>
      <c r="O78" s="720"/>
      <c r="P78" s="709"/>
    </row>
    <row r="79" spans="1:28" s="1209" customFormat="1">
      <c r="A79" s="284"/>
      <c r="B79" s="285"/>
      <c r="C79" s="1157"/>
      <c r="D79" s="1166"/>
      <c r="E79" s="284" t="s">
        <v>683</v>
      </c>
      <c r="F79" s="284">
        <v>13.36</v>
      </c>
      <c r="G79" s="1160" t="s">
        <v>678</v>
      </c>
      <c r="H79" s="1159">
        <v>13.56</v>
      </c>
      <c r="I79" s="1160" t="s">
        <v>774</v>
      </c>
      <c r="J79" s="1159">
        <v>17.53</v>
      </c>
      <c r="K79" s="284"/>
      <c r="L79" s="284"/>
      <c r="M79" s="1138"/>
      <c r="N79" s="711"/>
      <c r="O79" s="720"/>
      <c r="P79" s="709"/>
    </row>
    <row r="80" spans="1:28" s="1209" customFormat="1">
      <c r="A80" s="284">
        <v>2.2999999999999998</v>
      </c>
      <c r="B80" s="285" t="s">
        <v>1003</v>
      </c>
      <c r="C80" s="284" t="s">
        <v>659</v>
      </c>
      <c r="D80" s="720">
        <f>1/2.5</f>
        <v>0.4</v>
      </c>
      <c r="E80" s="942"/>
      <c r="F80" s="942"/>
      <c r="G80" s="713"/>
      <c r="H80" s="942"/>
      <c r="I80" s="713"/>
      <c r="J80" s="942"/>
      <c r="K80" s="942"/>
      <c r="L80" s="942"/>
      <c r="M80" s="1138">
        <f>+SUM(E81:L82)</f>
        <v>28.529999999999998</v>
      </c>
      <c r="N80" s="711">
        <v>1</v>
      </c>
      <c r="O80" s="720">
        <f>ROUND(M80/D80*N80,2)</f>
        <v>71.33</v>
      </c>
      <c r="P80" s="924"/>
      <c r="U80" s="1017"/>
    </row>
    <row r="81" spans="1:16" s="1209" customFormat="1" ht="20.25">
      <c r="A81" s="477"/>
      <c r="B81" s="805"/>
      <c r="C81" s="284"/>
      <c r="D81" s="713"/>
      <c r="E81" s="1177" t="s">
        <v>672</v>
      </c>
      <c r="F81" s="1178">
        <v>5.91</v>
      </c>
      <c r="G81" s="1177" t="s">
        <v>685</v>
      </c>
      <c r="H81" s="1178">
        <v>10.78</v>
      </c>
      <c r="I81" s="1179" t="s">
        <v>690</v>
      </c>
      <c r="J81" s="1178">
        <v>2.2799999999999998</v>
      </c>
      <c r="K81" s="1177" t="s">
        <v>680</v>
      </c>
      <c r="L81" s="1178">
        <v>4.0599999999999996</v>
      </c>
      <c r="M81" s="1180"/>
      <c r="N81" s="711"/>
      <c r="O81" s="1181"/>
      <c r="P81" s="1100"/>
    </row>
    <row r="82" spans="1:16" s="1209" customFormat="1" ht="20.25">
      <c r="A82" s="477"/>
      <c r="B82" s="805"/>
      <c r="C82" s="284"/>
      <c r="D82" s="713"/>
      <c r="E82" s="1177" t="s">
        <v>778</v>
      </c>
      <c r="F82" s="1178">
        <v>2.4</v>
      </c>
      <c r="G82" s="1177" t="s">
        <v>779</v>
      </c>
      <c r="H82" s="1178">
        <v>3.1</v>
      </c>
      <c r="I82" s="1179"/>
      <c r="J82" s="1178"/>
      <c r="K82" s="1182"/>
      <c r="L82" s="1182"/>
      <c r="M82" s="1180"/>
      <c r="N82" s="711"/>
      <c r="O82" s="1181"/>
      <c r="P82" s="1100"/>
    </row>
    <row r="83" spans="1:16" s="1209" customFormat="1">
      <c r="A83" s="284">
        <v>2.4</v>
      </c>
      <c r="B83" s="285" t="s">
        <v>1062</v>
      </c>
      <c r="C83" s="284" t="s">
        <v>659</v>
      </c>
      <c r="D83" s="713">
        <f>1/1.5</f>
        <v>0.66666666666666663</v>
      </c>
      <c r="E83" s="1177"/>
      <c r="F83" s="1178"/>
      <c r="G83" s="1177"/>
      <c r="H83" s="1178"/>
      <c r="I83" s="1179"/>
      <c r="J83" s="1178"/>
      <c r="K83" s="1177"/>
      <c r="L83" s="1178"/>
      <c r="M83" s="1138">
        <f>+SUM(E84:L86)</f>
        <v>94.059999999999988</v>
      </c>
      <c r="N83" s="711">
        <v>1</v>
      </c>
      <c r="O83" s="720">
        <f>ROUND(M83/D83*N83,2)</f>
        <v>141.09</v>
      </c>
      <c r="P83" s="1100"/>
    </row>
    <row r="84" spans="1:16" s="1209" customFormat="1" ht="20.25">
      <c r="A84" s="477"/>
      <c r="B84" s="805"/>
      <c r="C84" s="284"/>
      <c r="D84" s="713"/>
      <c r="E84" s="1171" t="s">
        <v>688</v>
      </c>
      <c r="F84" s="1167">
        <v>17.46</v>
      </c>
      <c r="G84" s="1171" t="s">
        <v>681</v>
      </c>
      <c r="H84" s="1167">
        <v>10.029999999999999</v>
      </c>
      <c r="I84" s="1168" t="s">
        <v>780</v>
      </c>
      <c r="J84" s="1167">
        <v>17.52</v>
      </c>
      <c r="K84" s="1171" t="s">
        <v>672</v>
      </c>
      <c r="L84" s="1167">
        <v>5.91</v>
      </c>
      <c r="M84" s="1180"/>
      <c r="N84" s="711"/>
      <c r="O84" s="1181"/>
      <c r="P84" s="1100"/>
    </row>
    <row r="85" spans="1:16" s="1209" customFormat="1" ht="20.25">
      <c r="A85" s="477"/>
      <c r="B85" s="805"/>
      <c r="C85" s="284"/>
      <c r="D85" s="713"/>
      <c r="E85" s="1171" t="s">
        <v>662</v>
      </c>
      <c r="F85" s="1167">
        <v>11.13</v>
      </c>
      <c r="G85" s="1167" t="s">
        <v>682</v>
      </c>
      <c r="H85" s="1167">
        <v>9.06</v>
      </c>
      <c r="I85" s="1171" t="s">
        <v>680</v>
      </c>
      <c r="J85" s="1167">
        <v>4.0599999999999996</v>
      </c>
      <c r="K85" s="1171" t="s">
        <v>661</v>
      </c>
      <c r="L85" s="1167">
        <v>5.3</v>
      </c>
      <c r="M85" s="1180"/>
      <c r="N85" s="711"/>
      <c r="O85" s="1181"/>
      <c r="P85" s="1100"/>
    </row>
    <row r="86" spans="1:16" s="1209" customFormat="1" ht="20.25">
      <c r="A86" s="477"/>
      <c r="B86" s="805"/>
      <c r="C86" s="284"/>
      <c r="D86" s="713"/>
      <c r="E86" s="1171" t="s">
        <v>685</v>
      </c>
      <c r="F86" s="1167">
        <v>10.79</v>
      </c>
      <c r="G86" s="1167" t="s">
        <v>690</v>
      </c>
      <c r="H86" s="1167">
        <v>2.8</v>
      </c>
      <c r="I86" s="1171"/>
      <c r="J86" s="1167"/>
      <c r="K86" s="1171"/>
      <c r="L86" s="1167"/>
      <c r="M86" s="1180"/>
      <c r="N86" s="711"/>
      <c r="O86" s="1181"/>
      <c r="P86" s="1100"/>
    </row>
    <row r="87" spans="1:16" s="1209" customFormat="1">
      <c r="A87" s="284">
        <v>2.5</v>
      </c>
      <c r="B87" s="285" t="s">
        <v>1063</v>
      </c>
      <c r="C87" s="284" t="s">
        <v>659</v>
      </c>
      <c r="D87" s="713">
        <f>1/2</f>
        <v>0.5</v>
      </c>
      <c r="E87" s="1177"/>
      <c r="F87" s="1178"/>
      <c r="G87" s="1177"/>
      <c r="H87" s="1178"/>
      <c r="I87" s="1179"/>
      <c r="J87" s="1178"/>
      <c r="K87" s="1177"/>
      <c r="L87" s="1178"/>
      <c r="M87" s="1138">
        <f>+SUM(E88:L88)</f>
        <v>44.040000000000006</v>
      </c>
      <c r="N87" s="711">
        <v>1</v>
      </c>
      <c r="O87" s="720">
        <f>ROUND(M87/D87*N87,2)</f>
        <v>88.08</v>
      </c>
      <c r="P87" s="1100"/>
    </row>
    <row r="88" spans="1:16" s="1209" customFormat="1" ht="20.25">
      <c r="A88" s="1104"/>
      <c r="B88" s="1105"/>
      <c r="C88" s="877"/>
      <c r="D88" s="707"/>
      <c r="E88" s="1183" t="s">
        <v>688</v>
      </c>
      <c r="F88" s="1184">
        <v>17.46</v>
      </c>
      <c r="G88" s="1185" t="s">
        <v>780</v>
      </c>
      <c r="H88" s="1184">
        <v>17.52</v>
      </c>
      <c r="I88" s="1184" t="s">
        <v>682</v>
      </c>
      <c r="J88" s="1184">
        <v>9.06</v>
      </c>
      <c r="K88" s="1119"/>
      <c r="L88" s="1120"/>
      <c r="M88" s="1186"/>
      <c r="N88" s="889"/>
      <c r="O88" s="1187"/>
      <c r="P88" s="1117"/>
    </row>
    <row r="89" spans="1:16" s="1209" customFormat="1" ht="20.25">
      <c r="A89" s="1066" t="s">
        <v>168</v>
      </c>
      <c r="B89" s="475" t="s">
        <v>826</v>
      </c>
      <c r="C89" s="283"/>
      <c r="D89" s="701"/>
      <c r="E89" s="701"/>
      <c r="F89" s="701"/>
      <c r="G89" s="701"/>
      <c r="H89" s="701"/>
      <c r="I89" s="701"/>
      <c r="J89" s="701"/>
      <c r="K89" s="701"/>
      <c r="L89" s="701"/>
      <c r="M89" s="1126"/>
      <c r="N89" s="718"/>
      <c r="O89" s="1121">
        <f>+SUBTOTAL(9,O90:O93)</f>
        <v>975.54240000000004</v>
      </c>
      <c r="P89" s="868"/>
    </row>
    <row r="90" spans="1:16" s="1209" customFormat="1">
      <c r="A90" s="688">
        <v>1</v>
      </c>
      <c r="B90" s="871" t="s">
        <v>827</v>
      </c>
      <c r="C90" s="688" t="s">
        <v>828</v>
      </c>
      <c r="D90" s="705"/>
      <c r="E90" s="4247" t="s">
        <v>829</v>
      </c>
      <c r="F90" s="4247"/>
      <c r="G90" s="4247"/>
      <c r="H90" s="4247"/>
      <c r="I90" s="4247"/>
      <c r="J90" s="4247"/>
      <c r="K90" s="4247"/>
      <c r="L90" s="4247"/>
      <c r="M90" s="1188"/>
      <c r="N90" s="716"/>
      <c r="O90" s="1106">
        <f>740*9444/25000</f>
        <v>279.54239999999999</v>
      </c>
      <c r="P90" s="1189"/>
    </row>
    <row r="91" spans="1:16" s="1209" customFormat="1">
      <c r="A91" s="284">
        <v>2</v>
      </c>
      <c r="B91" s="285" t="s">
        <v>235</v>
      </c>
      <c r="C91" s="284" t="s">
        <v>252</v>
      </c>
      <c r="D91" s="713"/>
      <c r="E91" s="4248" t="s">
        <v>1064</v>
      </c>
      <c r="F91" s="4248"/>
      <c r="G91" s="4248"/>
      <c r="H91" s="4248"/>
      <c r="I91" s="4248"/>
      <c r="J91" s="4248"/>
      <c r="K91" s="4248"/>
      <c r="L91" s="4248"/>
      <c r="M91" s="1190"/>
      <c r="N91" s="711"/>
      <c r="O91" s="720">
        <f>+(900000*15)/25000</f>
        <v>540</v>
      </c>
      <c r="P91" s="937"/>
    </row>
    <row r="92" spans="1:16" s="1209" customFormat="1">
      <c r="A92" s="428">
        <v>3</v>
      </c>
      <c r="B92" s="1096" t="s">
        <v>996</v>
      </c>
      <c r="C92" s="1095" t="s">
        <v>252</v>
      </c>
      <c r="D92" s="1097"/>
      <c r="E92" s="4249" t="s">
        <v>1073</v>
      </c>
      <c r="F92" s="4250"/>
      <c r="G92" s="4250"/>
      <c r="H92" s="4250"/>
      <c r="I92" s="4250"/>
      <c r="J92" s="4250"/>
      <c r="K92" s="4250"/>
      <c r="L92" s="4250"/>
      <c r="M92" s="4251"/>
      <c r="N92" s="1099"/>
      <c r="O92" s="1098">
        <f>+((3*900000)/25000)</f>
        <v>108</v>
      </c>
      <c r="P92" s="1114"/>
    </row>
    <row r="93" spans="1:16" s="1209" customFormat="1">
      <c r="A93" s="1153">
        <v>3</v>
      </c>
      <c r="B93" s="878" t="s">
        <v>989</v>
      </c>
      <c r="C93" s="877" t="s">
        <v>252</v>
      </c>
      <c r="D93" s="707"/>
      <c r="E93" s="1191" t="s">
        <v>1065</v>
      </c>
      <c r="F93" s="1192"/>
      <c r="G93" s="1192"/>
      <c r="H93" s="1192"/>
      <c r="I93" s="1192"/>
      <c r="J93" s="1192"/>
      <c r="K93" s="1192"/>
      <c r="L93" s="1192"/>
      <c r="M93" s="1193"/>
      <c r="N93" s="1194"/>
      <c r="O93" s="810">
        <f>+((1*1200000)/25000)</f>
        <v>48</v>
      </c>
      <c r="P93" s="1195"/>
    </row>
    <row r="94" spans="1:16" s="1209" customFormat="1" ht="20.25">
      <c r="A94" s="474" t="s">
        <v>224</v>
      </c>
      <c r="B94" s="475" t="s">
        <v>234</v>
      </c>
      <c r="C94" s="283"/>
      <c r="D94" s="701"/>
      <c r="E94" s="701"/>
      <c r="F94" s="701"/>
      <c r="G94" s="701"/>
      <c r="H94" s="701"/>
      <c r="I94" s="701"/>
      <c r="J94" s="701"/>
      <c r="K94" s="701"/>
      <c r="L94" s="701"/>
      <c r="M94" s="1126"/>
      <c r="N94" s="718"/>
      <c r="O94" s="1121">
        <f>SUBTOTAL(9,O95:O98)</f>
        <v>100.52</v>
      </c>
      <c r="P94" s="868"/>
    </row>
    <row r="95" spans="1:16" s="1209" customFormat="1">
      <c r="A95" s="688">
        <v>1</v>
      </c>
      <c r="B95" s="1189" t="s">
        <v>965</v>
      </c>
      <c r="C95" s="688" t="s">
        <v>828</v>
      </c>
      <c r="D95" s="716"/>
      <c r="E95" s="705"/>
      <c r="F95" s="705"/>
      <c r="G95" s="705"/>
      <c r="H95" s="705"/>
      <c r="I95" s="705"/>
      <c r="J95" s="705"/>
      <c r="K95" s="705"/>
      <c r="L95" s="705"/>
      <c r="M95" s="1196"/>
      <c r="N95" s="716">
        <v>1</v>
      </c>
      <c r="O95" s="1106">
        <v>15</v>
      </c>
      <c r="P95" s="873"/>
    </row>
    <row r="96" spans="1:16" s="1209" customFormat="1">
      <c r="A96" s="284">
        <v>2</v>
      </c>
      <c r="B96" s="937" t="s">
        <v>1066</v>
      </c>
      <c r="C96" s="284" t="s">
        <v>252</v>
      </c>
      <c r="D96" s="711"/>
      <c r="E96" s="4252" t="s">
        <v>1067</v>
      </c>
      <c r="F96" s="4253"/>
      <c r="G96" s="4253"/>
      <c r="H96" s="4253"/>
      <c r="I96" s="4253"/>
      <c r="J96" s="4253"/>
      <c r="K96" s="4253"/>
      <c r="L96" s="4253"/>
      <c r="M96" s="4254"/>
      <c r="N96" s="711">
        <v>1</v>
      </c>
      <c r="O96" s="720">
        <v>20</v>
      </c>
      <c r="P96" s="875"/>
    </row>
    <row r="97" spans="1:26" s="1209" customFormat="1">
      <c r="A97" s="284">
        <v>3</v>
      </c>
      <c r="B97" s="937" t="s">
        <v>1068</v>
      </c>
      <c r="C97" s="284" t="s">
        <v>252</v>
      </c>
      <c r="D97" s="757">
        <v>6000</v>
      </c>
      <c r="E97" s="713"/>
      <c r="F97" s="713"/>
      <c r="G97" s="713"/>
      <c r="H97" s="713"/>
      <c r="I97" s="713"/>
      <c r="J97" s="713"/>
      <c r="K97" s="713"/>
      <c r="L97" s="713"/>
      <c r="M97" s="711">
        <f>273</f>
        <v>273</v>
      </c>
      <c r="N97" s="711">
        <v>1</v>
      </c>
      <c r="O97" s="720">
        <f>+M97*D97/25000</f>
        <v>65.52</v>
      </c>
      <c r="P97" s="875"/>
    </row>
    <row r="98" spans="1:26" s="1209" customFormat="1">
      <c r="A98" s="877">
        <v>4</v>
      </c>
      <c r="B98" s="1197" t="s">
        <v>1069</v>
      </c>
      <c r="C98" s="877" t="s">
        <v>252</v>
      </c>
      <c r="D98" s="889"/>
      <c r="E98" s="707"/>
      <c r="F98" s="707"/>
      <c r="G98" s="707"/>
      <c r="H98" s="707"/>
      <c r="I98" s="707"/>
      <c r="J98" s="707"/>
      <c r="K98" s="707"/>
      <c r="L98" s="707"/>
      <c r="M98" s="707"/>
      <c r="N98" s="889">
        <v>1</v>
      </c>
      <c r="O98" s="810"/>
      <c r="P98" s="882" t="s">
        <v>1074</v>
      </c>
    </row>
    <row r="99" spans="1:26" s="1209" customFormat="1" ht="20.25">
      <c r="A99" s="890" t="s">
        <v>830</v>
      </c>
      <c r="B99" s="474"/>
      <c r="C99" s="474"/>
      <c r="D99" s="474"/>
      <c r="E99" s="474"/>
      <c r="F99" s="474"/>
      <c r="G99" s="474"/>
      <c r="H99" s="474"/>
      <c r="I99" s="474"/>
      <c r="J99" s="474"/>
      <c r="K99" s="474"/>
      <c r="L99" s="474"/>
      <c r="M99" s="1126"/>
      <c r="N99" s="474"/>
      <c r="O99" s="1121">
        <f>+SUBTOTAL(9,O8:O98)</f>
        <v>8430.2824000000001</v>
      </c>
      <c r="P99" s="474"/>
      <c r="V99" s="1017">
        <v>8400.8824000000004</v>
      </c>
      <c r="W99" s="1017">
        <f>O99-V99</f>
        <v>29.399999999999636</v>
      </c>
      <c r="X99" s="1017"/>
    </row>
    <row r="100" spans="1:26" s="1209" customFormat="1">
      <c r="A100" s="891"/>
      <c r="B100" s="1210"/>
      <c r="C100" s="1210"/>
      <c r="D100" s="1210"/>
      <c r="E100" s="1210"/>
      <c r="F100" s="1210"/>
      <c r="G100" s="1210"/>
      <c r="H100" s="1210"/>
      <c r="I100" s="1210"/>
      <c r="J100" s="1210"/>
      <c r="K100" s="1210"/>
      <c r="L100" s="1210"/>
      <c r="M100" s="4242" t="s">
        <v>1070</v>
      </c>
      <c r="N100" s="4242"/>
      <c r="O100" s="4242"/>
      <c r="P100" s="4242"/>
      <c r="Q100" s="723" t="s">
        <v>1071</v>
      </c>
    </row>
    <row r="101" spans="1:26" s="1209" customFormat="1">
      <c r="A101" s="891" t="s">
        <v>674</v>
      </c>
      <c r="B101" s="1210"/>
      <c r="C101" s="3829" t="s">
        <v>547</v>
      </c>
      <c r="D101" s="3829"/>
      <c r="E101" s="3829"/>
      <c r="F101" s="3829"/>
      <c r="G101" s="1108"/>
      <c r="H101" s="1108"/>
      <c r="I101" s="1108" t="s">
        <v>195</v>
      </c>
      <c r="J101" s="1108"/>
      <c r="K101" s="1108"/>
      <c r="L101" s="1108"/>
      <c r="M101" s="1198"/>
      <c r="N101" s="1210"/>
      <c r="O101" s="1108" t="s">
        <v>1072</v>
      </c>
      <c r="P101" s="1108"/>
      <c r="V101" s="1122"/>
    </row>
    <row r="102" spans="1:26" s="1209" customFormat="1">
      <c r="B102" s="1210"/>
      <c r="C102" s="1210"/>
      <c r="D102" s="1210"/>
      <c r="E102" s="1210"/>
      <c r="F102" s="1210"/>
      <c r="G102" s="1210"/>
      <c r="H102" s="938"/>
      <c r="I102" s="1211"/>
      <c r="J102" s="938"/>
      <c r="K102" s="1210"/>
      <c r="L102" s="938"/>
      <c r="M102" s="1124"/>
      <c r="N102" s="1210"/>
      <c r="O102" s="1067"/>
      <c r="P102" s="1210"/>
    </row>
    <row r="103" spans="1:26" s="1209" customFormat="1">
      <c r="A103" s="1210"/>
      <c r="B103" s="1210"/>
      <c r="C103" s="1210"/>
      <c r="D103" s="1210"/>
      <c r="E103" s="1210"/>
      <c r="F103" s="1210"/>
      <c r="G103" s="1210"/>
      <c r="H103" s="938"/>
      <c r="I103" s="1211"/>
      <c r="J103" s="938"/>
      <c r="K103" s="1210"/>
      <c r="L103" s="938"/>
      <c r="M103" s="1124"/>
      <c r="N103" s="1210"/>
      <c r="O103" s="1067"/>
      <c r="P103" s="1210"/>
    </row>
    <row r="104" spans="1:26" s="1209" customFormat="1">
      <c r="A104" s="1210"/>
      <c r="B104" s="1210"/>
      <c r="C104" s="1210"/>
      <c r="D104" s="1210"/>
      <c r="E104" s="1210"/>
      <c r="F104" s="1210"/>
      <c r="G104" s="1210"/>
      <c r="H104" s="938"/>
      <c r="I104" s="1211"/>
      <c r="J104" s="938"/>
      <c r="K104" s="1210"/>
      <c r="L104" s="938"/>
      <c r="M104" s="1124"/>
      <c r="N104" s="1210"/>
      <c r="O104" s="1067"/>
      <c r="P104" s="1210"/>
      <c r="U104" s="1210"/>
      <c r="V104" s="1210"/>
      <c r="W104" s="1210"/>
      <c r="X104" s="1210"/>
      <c r="Y104" s="1210"/>
      <c r="Z104" s="1210"/>
    </row>
    <row r="105" spans="1:26" s="1209" customFormat="1">
      <c r="A105" s="1210"/>
      <c r="B105" s="1210"/>
      <c r="C105" s="1210"/>
      <c r="D105" s="1210"/>
      <c r="E105" s="1210"/>
      <c r="F105" s="1210"/>
      <c r="G105" s="1210"/>
      <c r="H105" s="938"/>
      <c r="I105" s="1211"/>
      <c r="J105" s="938"/>
      <c r="K105" s="1210"/>
      <c r="L105" s="938"/>
      <c r="M105" s="1124"/>
      <c r="N105" s="1210"/>
      <c r="O105" s="1067"/>
      <c r="P105" s="1210"/>
      <c r="U105" s="698"/>
      <c r="V105" s="698"/>
      <c r="W105" s="698"/>
      <c r="X105" s="698"/>
      <c r="Y105" s="698"/>
      <c r="Z105" s="698"/>
    </row>
    <row r="106" spans="1:26" s="1209" customFormat="1">
      <c r="A106" s="1210"/>
      <c r="B106" s="696"/>
      <c r="C106" s="1210"/>
      <c r="D106" s="696"/>
      <c r="E106" s="696"/>
      <c r="F106" s="950"/>
      <c r="G106" s="950"/>
      <c r="H106" s="951"/>
      <c r="I106" s="950"/>
      <c r="J106" s="951"/>
      <c r="K106" s="950"/>
      <c r="L106" s="951"/>
      <c r="M106" s="1124"/>
      <c r="N106" s="892"/>
      <c r="O106" s="1067"/>
      <c r="P106" s="893"/>
      <c r="U106" s="698"/>
      <c r="V106" s="698"/>
      <c r="W106" s="698"/>
      <c r="X106" s="698"/>
      <c r="Y106" s="698"/>
      <c r="Z106" s="698"/>
    </row>
    <row r="107" spans="1:26" s="1209" customFormat="1">
      <c r="A107" s="696"/>
      <c r="B107" s="891"/>
      <c r="C107" s="891"/>
      <c r="D107" s="1210"/>
      <c r="E107" s="3829"/>
      <c r="F107" s="3829"/>
      <c r="G107" s="3829"/>
      <c r="H107" s="894"/>
      <c r="I107" s="1210"/>
      <c r="J107" s="1210"/>
      <c r="K107" s="894"/>
      <c r="L107" s="1210"/>
      <c r="M107" s="1124"/>
      <c r="N107" s="895"/>
      <c r="O107" s="1067"/>
      <c r="P107" s="895"/>
      <c r="U107" s="698"/>
      <c r="V107" s="698"/>
      <c r="W107" s="698"/>
      <c r="X107" s="698"/>
      <c r="Y107" s="698"/>
      <c r="Z107" s="698"/>
    </row>
    <row r="108" spans="1:26" s="1209" customFormat="1">
      <c r="A108" s="894"/>
      <c r="B108" s="867"/>
      <c r="C108" s="867"/>
      <c r="D108" s="867"/>
      <c r="E108" s="867"/>
      <c r="F108" s="867"/>
      <c r="G108" s="952" t="s">
        <v>666</v>
      </c>
      <c r="H108" s="867"/>
      <c r="I108" s="867"/>
      <c r="J108" s="867"/>
      <c r="K108" s="867"/>
      <c r="L108" s="867"/>
      <c r="M108" s="1199"/>
      <c r="N108" s="867"/>
      <c r="O108" s="1068"/>
      <c r="P108" s="867"/>
      <c r="U108" s="698"/>
      <c r="V108" s="698"/>
      <c r="W108" s="698"/>
      <c r="X108" s="698"/>
      <c r="Y108" s="698"/>
      <c r="Z108" s="698"/>
    </row>
    <row r="109" spans="1:26" s="1210" customFormat="1">
      <c r="A109" s="1209"/>
      <c r="B109" s="696"/>
      <c r="C109" s="698"/>
      <c r="D109" s="696"/>
      <c r="G109" s="698"/>
      <c r="H109" s="722"/>
      <c r="J109" s="698"/>
      <c r="K109" s="950"/>
      <c r="L109" s="722"/>
      <c r="M109" s="1124"/>
      <c r="N109" s="698"/>
      <c r="O109" s="813"/>
      <c r="P109" s="1209"/>
      <c r="U109" s="698"/>
      <c r="V109" s="698"/>
      <c r="W109" s="698"/>
      <c r="X109" s="698"/>
      <c r="Y109" s="698"/>
      <c r="Z109" s="698"/>
    </row>
    <row r="110" spans="1:26">
      <c r="A110" s="891" t="s">
        <v>670</v>
      </c>
      <c r="B110" s="696"/>
      <c r="C110" s="698"/>
      <c r="E110" s="698"/>
      <c r="F110" s="950"/>
      <c r="G110" s="950"/>
      <c r="H110" s="1210" t="s">
        <v>667</v>
      </c>
      <c r="I110" s="950"/>
      <c r="J110" s="951"/>
      <c r="K110" s="950"/>
      <c r="L110" s="950" t="s">
        <v>668</v>
      </c>
      <c r="M110" s="1124"/>
      <c r="N110" s="892"/>
      <c r="O110" s="4243" t="s">
        <v>669</v>
      </c>
      <c r="P110" s="4243"/>
    </row>
    <row r="113" spans="1:26">
      <c r="U113" s="894"/>
      <c r="V113" s="894"/>
      <c r="W113" s="894"/>
      <c r="X113" s="894"/>
      <c r="Y113" s="894"/>
      <c r="Z113" s="894"/>
    </row>
    <row r="118" spans="1:26" s="894" customFormat="1">
      <c r="A118" s="1209"/>
      <c r="B118" s="698"/>
      <c r="C118" s="1209"/>
      <c r="D118" s="698"/>
      <c r="E118" s="724"/>
      <c r="F118" s="724"/>
      <c r="G118" s="724"/>
      <c r="H118" s="722"/>
      <c r="I118" s="724"/>
      <c r="J118" s="722"/>
      <c r="K118" s="724"/>
      <c r="L118" s="722"/>
      <c r="M118" s="1200"/>
      <c r="N118" s="726"/>
      <c r="O118" s="813"/>
      <c r="P118" s="1209"/>
      <c r="U118" s="698"/>
      <c r="V118" s="698"/>
      <c r="W118" s="698"/>
      <c r="X118" s="698"/>
      <c r="Y118" s="698"/>
      <c r="Z118" s="698"/>
    </row>
    <row r="126" spans="1:26">
      <c r="A126" s="698"/>
      <c r="C126" s="698"/>
      <c r="E126" s="698"/>
      <c r="F126" s="698"/>
      <c r="G126" s="698"/>
      <c r="H126" s="698"/>
      <c r="I126" s="698"/>
      <c r="J126" s="698"/>
      <c r="K126" s="698"/>
      <c r="L126" s="698"/>
      <c r="M126" s="698"/>
      <c r="N126" s="698"/>
      <c r="O126" s="698"/>
      <c r="P126" s="698"/>
    </row>
    <row r="127" spans="1:26">
      <c r="A127" s="698"/>
      <c r="C127" s="698"/>
      <c r="E127" s="698"/>
      <c r="F127" s="698"/>
      <c r="G127" s="698"/>
      <c r="H127" s="698"/>
      <c r="I127" s="698"/>
      <c r="J127" s="698"/>
      <c r="K127" s="698"/>
      <c r="L127" s="698"/>
      <c r="M127" s="698"/>
      <c r="N127" s="698"/>
      <c r="O127" s="698"/>
      <c r="P127" s="698"/>
    </row>
    <row r="128" spans="1:26">
      <c r="A128" s="698"/>
      <c r="C128" s="698"/>
      <c r="E128" s="698"/>
      <c r="F128" s="698"/>
      <c r="G128" s="698"/>
      <c r="H128" s="698"/>
      <c r="I128" s="698"/>
      <c r="J128" s="698"/>
      <c r="K128" s="698"/>
      <c r="L128" s="698"/>
      <c r="M128" s="698"/>
      <c r="N128" s="698"/>
      <c r="O128" s="698"/>
      <c r="P128" s="698"/>
    </row>
    <row r="129" spans="1:16">
      <c r="A129" s="698"/>
      <c r="C129" s="698"/>
      <c r="E129" s="698"/>
      <c r="F129" s="698"/>
      <c r="G129" s="698"/>
      <c r="H129" s="698"/>
      <c r="I129" s="698"/>
      <c r="J129" s="698"/>
      <c r="K129" s="698"/>
      <c r="L129" s="698"/>
      <c r="M129" s="698"/>
      <c r="N129" s="698"/>
      <c r="O129" s="698"/>
      <c r="P129" s="698"/>
    </row>
    <row r="130" spans="1:16">
      <c r="A130" s="698"/>
      <c r="C130" s="698"/>
      <c r="E130" s="698"/>
      <c r="F130" s="698"/>
      <c r="G130" s="698"/>
      <c r="H130" s="698"/>
      <c r="I130" s="698"/>
      <c r="J130" s="698"/>
      <c r="K130" s="698"/>
      <c r="L130" s="698"/>
      <c r="M130" s="698"/>
      <c r="N130" s="698"/>
      <c r="O130" s="698"/>
      <c r="P130" s="698"/>
    </row>
    <row r="131" spans="1:16">
      <c r="A131" s="698"/>
      <c r="C131" s="698"/>
      <c r="E131" s="698"/>
      <c r="F131" s="698"/>
      <c r="G131" s="698"/>
      <c r="H131" s="698"/>
      <c r="I131" s="698"/>
      <c r="J131" s="698"/>
      <c r="K131" s="698"/>
      <c r="L131" s="698"/>
      <c r="M131" s="698"/>
      <c r="N131" s="698"/>
      <c r="O131" s="698"/>
      <c r="P131" s="698"/>
    </row>
    <row r="132" spans="1:16">
      <c r="A132" s="698"/>
      <c r="C132" s="698"/>
      <c r="E132" s="698"/>
      <c r="F132" s="698"/>
      <c r="G132" s="698"/>
      <c r="H132" s="698"/>
      <c r="I132" s="698"/>
      <c r="J132" s="698"/>
      <c r="K132" s="698"/>
      <c r="L132" s="698"/>
      <c r="M132" s="698"/>
      <c r="N132" s="698"/>
      <c r="O132" s="698"/>
      <c r="P132" s="698"/>
    </row>
    <row r="133" spans="1:16">
      <c r="A133" s="698"/>
      <c r="C133" s="698"/>
      <c r="E133" s="698"/>
      <c r="F133" s="698"/>
      <c r="G133" s="698"/>
      <c r="H133" s="698"/>
      <c r="I133" s="698"/>
      <c r="J133" s="698"/>
      <c r="K133" s="698"/>
      <c r="L133" s="698"/>
      <c r="M133" s="698"/>
      <c r="N133" s="698"/>
      <c r="O133" s="698"/>
      <c r="P133" s="698"/>
    </row>
    <row r="134" spans="1:16">
      <c r="A134" s="698"/>
      <c r="C134" s="698"/>
      <c r="E134" s="698"/>
      <c r="F134" s="698"/>
      <c r="G134" s="698"/>
      <c r="H134" s="698"/>
      <c r="I134" s="698"/>
      <c r="J134" s="698"/>
      <c r="K134" s="698"/>
      <c r="L134" s="698"/>
      <c r="M134" s="698"/>
      <c r="N134" s="698"/>
      <c r="O134" s="698"/>
      <c r="P134" s="698"/>
    </row>
    <row r="135" spans="1:16">
      <c r="A135" s="698"/>
      <c r="C135" s="698"/>
      <c r="E135" s="698"/>
      <c r="F135" s="698"/>
      <c r="G135" s="698"/>
      <c r="H135" s="698"/>
      <c r="I135" s="698"/>
      <c r="J135" s="698"/>
      <c r="K135" s="698"/>
      <c r="L135" s="698"/>
      <c r="M135" s="698"/>
      <c r="N135" s="698"/>
      <c r="O135" s="698"/>
      <c r="P135" s="698"/>
    </row>
    <row r="136" spans="1:16">
      <c r="A136" s="698"/>
      <c r="C136" s="698"/>
      <c r="E136" s="698"/>
      <c r="F136" s="698"/>
      <c r="G136" s="698"/>
      <c r="H136" s="698"/>
      <c r="I136" s="698"/>
      <c r="J136" s="698"/>
      <c r="K136" s="698"/>
      <c r="L136" s="698"/>
      <c r="M136" s="698"/>
      <c r="N136" s="698"/>
      <c r="O136" s="698"/>
      <c r="P136" s="698"/>
    </row>
    <row r="137" spans="1:16">
      <c r="A137" s="698"/>
      <c r="C137" s="698"/>
      <c r="E137" s="698"/>
      <c r="F137" s="698"/>
      <c r="G137" s="698"/>
      <c r="H137" s="698"/>
      <c r="I137" s="698"/>
      <c r="J137" s="698"/>
      <c r="K137" s="698"/>
      <c r="L137" s="698"/>
      <c r="M137" s="698"/>
      <c r="N137" s="698"/>
      <c r="O137" s="698"/>
      <c r="P137" s="698"/>
    </row>
    <row r="138" spans="1:16">
      <c r="A138" s="698"/>
      <c r="C138" s="698"/>
      <c r="E138" s="698"/>
      <c r="F138" s="698"/>
      <c r="G138" s="698"/>
      <c r="H138" s="698"/>
      <c r="I138" s="698"/>
      <c r="J138" s="698"/>
      <c r="K138" s="698"/>
      <c r="L138" s="698"/>
      <c r="M138" s="698"/>
      <c r="N138" s="698"/>
      <c r="O138" s="698"/>
      <c r="P138" s="698"/>
    </row>
    <row r="139" spans="1:16">
      <c r="A139" s="698"/>
      <c r="C139" s="698"/>
      <c r="E139" s="698"/>
      <c r="F139" s="698"/>
      <c r="G139" s="698"/>
      <c r="H139" s="698"/>
      <c r="I139" s="698"/>
      <c r="J139" s="698"/>
      <c r="K139" s="698"/>
      <c r="L139" s="698"/>
      <c r="M139" s="698"/>
      <c r="N139" s="698"/>
      <c r="O139" s="698"/>
      <c r="P139" s="698"/>
    </row>
    <row r="140" spans="1:16">
      <c r="A140" s="698"/>
      <c r="C140" s="698"/>
      <c r="E140" s="698"/>
      <c r="F140" s="698"/>
      <c r="G140" s="698"/>
      <c r="H140" s="698"/>
      <c r="I140" s="698"/>
      <c r="J140" s="698"/>
      <c r="K140" s="698"/>
      <c r="L140" s="698"/>
      <c r="M140" s="698"/>
      <c r="N140" s="698"/>
      <c r="O140" s="698"/>
      <c r="P140" s="698"/>
    </row>
    <row r="141" spans="1:16">
      <c r="A141" s="698"/>
      <c r="C141" s="698"/>
      <c r="E141" s="698"/>
      <c r="F141" s="698"/>
      <c r="G141" s="698"/>
      <c r="H141" s="698"/>
      <c r="I141" s="698"/>
      <c r="J141" s="698"/>
      <c r="K141" s="698"/>
      <c r="L141" s="698"/>
      <c r="M141" s="698"/>
      <c r="N141" s="698"/>
      <c r="O141" s="698"/>
      <c r="P141" s="698"/>
    </row>
    <row r="142" spans="1:16">
      <c r="A142" s="698"/>
      <c r="C142" s="698"/>
      <c r="E142" s="698"/>
      <c r="F142" s="698"/>
      <c r="G142" s="698"/>
      <c r="H142" s="698"/>
      <c r="I142" s="698"/>
      <c r="J142" s="698"/>
      <c r="K142" s="698"/>
      <c r="L142" s="698"/>
      <c r="M142" s="698"/>
      <c r="N142" s="698"/>
      <c r="O142" s="698"/>
      <c r="P142" s="698"/>
    </row>
    <row r="143" spans="1:16">
      <c r="A143" s="698"/>
      <c r="C143" s="698"/>
      <c r="E143" s="698"/>
      <c r="F143" s="698"/>
      <c r="G143" s="698"/>
      <c r="H143" s="698"/>
      <c r="I143" s="698"/>
      <c r="J143" s="698"/>
      <c r="K143" s="698"/>
      <c r="L143" s="698"/>
      <c r="M143" s="698"/>
      <c r="N143" s="698"/>
      <c r="O143" s="698"/>
      <c r="P143" s="698"/>
    </row>
    <row r="158" spans="1:16">
      <c r="A158" s="698"/>
      <c r="C158" s="698"/>
      <c r="E158" s="698"/>
      <c r="F158" s="698"/>
      <c r="G158" s="698"/>
      <c r="H158" s="698"/>
      <c r="I158" s="698"/>
      <c r="J158" s="698"/>
      <c r="K158" s="698"/>
      <c r="L158" s="698"/>
      <c r="M158" s="698"/>
      <c r="N158" s="698"/>
      <c r="O158" s="698"/>
      <c r="P158" s="698"/>
    </row>
    <row r="159" spans="1:16">
      <c r="A159" s="698"/>
      <c r="C159" s="698"/>
      <c r="E159" s="698"/>
      <c r="F159" s="698"/>
      <c r="G159" s="698"/>
      <c r="H159" s="698"/>
      <c r="I159" s="698"/>
      <c r="J159" s="698"/>
      <c r="K159" s="698"/>
      <c r="L159" s="698"/>
      <c r="M159" s="698"/>
      <c r="N159" s="698"/>
      <c r="O159" s="698"/>
      <c r="P159" s="698"/>
    </row>
    <row r="160" spans="1:16">
      <c r="A160" s="698"/>
      <c r="C160" s="698"/>
      <c r="E160" s="698"/>
      <c r="F160" s="698"/>
      <c r="G160" s="698"/>
      <c r="H160" s="698"/>
      <c r="I160" s="698"/>
      <c r="J160" s="698"/>
      <c r="K160" s="698"/>
      <c r="L160" s="698"/>
      <c r="M160" s="698"/>
      <c r="N160" s="698"/>
      <c r="O160" s="698"/>
      <c r="P160" s="698"/>
    </row>
    <row r="161" s="698" customFormat="1"/>
    <row r="162" s="698" customFormat="1"/>
    <row r="163" s="698" customFormat="1"/>
    <row r="164" s="698" customFormat="1"/>
    <row r="165" s="698" customFormat="1"/>
    <row r="166" s="698" customFormat="1"/>
    <row r="167" s="698" customFormat="1"/>
    <row r="168" s="698" customFormat="1"/>
    <row r="169" s="698" customFormat="1"/>
    <row r="170" s="698" customFormat="1"/>
    <row r="171" s="698" customFormat="1"/>
    <row r="172" s="698" customFormat="1"/>
    <row r="173" s="698" customFormat="1"/>
    <row r="174" s="698" customFormat="1"/>
    <row r="175" s="698" customFormat="1"/>
    <row r="176" s="698" customFormat="1"/>
    <row r="177" s="698" customFormat="1"/>
    <row r="178" s="698" customFormat="1"/>
    <row r="179" s="698" customFormat="1"/>
    <row r="180" s="698" customFormat="1"/>
    <row r="181" s="698" customFormat="1"/>
    <row r="182" s="698" customFormat="1"/>
    <row r="183" s="698" customFormat="1"/>
    <row r="184" s="698" customFormat="1"/>
    <row r="185" s="698" customFormat="1"/>
    <row r="186" s="698" customFormat="1"/>
    <row r="187" s="698" customFormat="1"/>
    <row r="188" s="698" customFormat="1"/>
    <row r="189" s="698" customFormat="1"/>
    <row r="190" s="698" customFormat="1"/>
    <row r="191" s="698" customFormat="1"/>
    <row r="192" s="698" customFormat="1"/>
    <row r="193" s="698" customFormat="1"/>
    <row r="194" s="698" customFormat="1"/>
    <row r="195" s="698" customFormat="1"/>
    <row r="196" s="698" customFormat="1"/>
    <row r="197" s="698" customFormat="1"/>
    <row r="198" s="698" customFormat="1"/>
    <row r="199" s="698" customFormat="1"/>
    <row r="200" s="698" customFormat="1"/>
    <row r="201" s="698" customFormat="1"/>
    <row r="202" s="698" customFormat="1"/>
    <row r="203" s="698" customFormat="1"/>
    <row r="204" s="698" customFormat="1"/>
    <row r="205" s="698" customFormat="1"/>
    <row r="206" s="698" customFormat="1"/>
    <row r="207" s="698" customFormat="1"/>
    <row r="208" s="698" customFormat="1"/>
    <row r="209" s="698" customFormat="1"/>
    <row r="210" s="698" customFormat="1"/>
    <row r="211" s="698" customFormat="1"/>
    <row r="212" s="698" customFormat="1"/>
    <row r="213" s="698" customFormat="1"/>
    <row r="214" s="698" customFormat="1"/>
    <row r="215" s="698" customFormat="1"/>
    <row r="216" s="698" customFormat="1"/>
    <row r="217" s="698" customFormat="1"/>
    <row r="218" s="698" customFormat="1"/>
    <row r="219" s="698" customFormat="1"/>
    <row r="220" s="698" customFormat="1"/>
    <row r="221" s="698" customFormat="1"/>
    <row r="222" s="698" customFormat="1"/>
    <row r="223" s="698" customFormat="1"/>
    <row r="224" s="698" customFormat="1"/>
  </sheetData>
  <mergeCells count="16">
    <mergeCell ref="A5:P5"/>
    <mergeCell ref="A1:D1"/>
    <mergeCell ref="J1:P1"/>
    <mergeCell ref="A2:D2"/>
    <mergeCell ref="J2:P2"/>
    <mergeCell ref="A4:P4"/>
    <mergeCell ref="M100:P100"/>
    <mergeCell ref="C101:F101"/>
    <mergeCell ref="E107:G107"/>
    <mergeCell ref="O110:P110"/>
    <mergeCell ref="E6:M6"/>
    <mergeCell ref="N6:N7"/>
    <mergeCell ref="E90:L90"/>
    <mergeCell ref="E91:L91"/>
    <mergeCell ref="E92:M92"/>
    <mergeCell ref="E96:M96"/>
  </mergeCells>
  <pageMargins left="0.31496062992126" right="0.196850393700787" top="0.21" bottom="0.2" header="0.196850393700787" footer="0.196850393700787"/>
  <pageSetup paperSize="9" scale="85" fitToHeight="0" orientation="landscape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72"/>
  <sheetViews>
    <sheetView topLeftCell="A10" zoomScale="70" zoomScaleNormal="70" workbookViewId="0">
      <selection activeCell="G36" sqref="G36"/>
    </sheetView>
  </sheetViews>
  <sheetFormatPr defaultRowHeight="12.75"/>
  <cols>
    <col min="1" max="1" width="6.140625" style="953" customWidth="1"/>
    <col min="2" max="2" width="25.5703125" style="953" customWidth="1"/>
    <col min="3" max="3" width="18.42578125" style="953" customWidth="1"/>
    <col min="4" max="4" width="12.140625" style="953" customWidth="1"/>
    <col min="5" max="5" width="11.42578125" style="953" customWidth="1"/>
    <col min="6" max="6" width="11.7109375" style="953" customWidth="1"/>
    <col min="7" max="7" width="13.140625" style="953" customWidth="1"/>
    <col min="8" max="8" width="13.5703125" style="953" hidden="1" customWidth="1"/>
    <col min="9" max="9" width="13.5703125" style="953" customWidth="1"/>
    <col min="10" max="10" width="14.42578125" style="953" customWidth="1"/>
    <col min="11" max="11" width="14.85546875" style="953" customWidth="1"/>
    <col min="12" max="12" width="18.7109375" style="953" bestFit="1" customWidth="1"/>
    <col min="13" max="13" width="16.140625" style="953" customWidth="1"/>
    <col min="14" max="14" width="12.42578125" style="953" hidden="1" customWidth="1"/>
    <col min="15" max="15" width="16.7109375" style="953" customWidth="1"/>
    <col min="16" max="16" width="15" style="953" customWidth="1"/>
    <col min="17" max="17" width="17.42578125" style="953" customWidth="1"/>
    <col min="18" max="18" width="18.28515625" style="953" customWidth="1"/>
    <col min="19" max="19" width="9.140625" style="953"/>
    <col min="20" max="20" width="18.85546875" style="953" bestFit="1" customWidth="1"/>
    <col min="21" max="21" width="11.5703125" style="953" bestFit="1" customWidth="1"/>
    <col min="22" max="258" width="9.140625" style="953"/>
    <col min="259" max="259" width="4.5703125" style="953" customWidth="1"/>
    <col min="260" max="260" width="22.42578125" style="953" bestFit="1" customWidth="1"/>
    <col min="261" max="261" width="16.42578125" style="953" customWidth="1"/>
    <col min="262" max="262" width="10.7109375" style="953" customWidth="1"/>
    <col min="263" max="263" width="11.5703125" style="953" customWidth="1"/>
    <col min="264" max="264" width="7.140625" style="953" customWidth="1"/>
    <col min="265" max="265" width="14.5703125" style="953" customWidth="1"/>
    <col min="266" max="266" width="15.5703125" style="953" bestFit="1" customWidth="1"/>
    <col min="267" max="267" width="0" style="953" hidden="1" customWidth="1"/>
    <col min="268" max="268" width="15" style="953" bestFit="1" customWidth="1"/>
    <col min="269" max="269" width="12.5703125" style="953" bestFit="1" customWidth="1"/>
    <col min="270" max="270" width="0" style="953" hidden="1" customWidth="1"/>
    <col min="271" max="271" width="16.7109375" style="953" customWidth="1"/>
    <col min="272" max="272" width="14.85546875" style="953" customWidth="1"/>
    <col min="273" max="273" width="17.42578125" style="953" customWidth="1"/>
    <col min="274" max="274" width="15.42578125" style="953" customWidth="1"/>
    <col min="275" max="275" width="9.140625" style="953"/>
    <col min="276" max="276" width="18.85546875" style="953" bestFit="1" customWidth="1"/>
    <col min="277" max="514" width="9.140625" style="953"/>
    <col min="515" max="515" width="4.5703125" style="953" customWidth="1"/>
    <col min="516" max="516" width="22.42578125" style="953" bestFit="1" customWidth="1"/>
    <col min="517" max="517" width="16.42578125" style="953" customWidth="1"/>
    <col min="518" max="518" width="10.7109375" style="953" customWidth="1"/>
    <col min="519" max="519" width="11.5703125" style="953" customWidth="1"/>
    <col min="520" max="520" width="7.140625" style="953" customWidth="1"/>
    <col min="521" max="521" width="14.5703125" style="953" customWidth="1"/>
    <col min="522" max="522" width="15.5703125" style="953" bestFit="1" customWidth="1"/>
    <col min="523" max="523" width="0" style="953" hidden="1" customWidth="1"/>
    <col min="524" max="524" width="15" style="953" bestFit="1" customWidth="1"/>
    <col min="525" max="525" width="12.5703125" style="953" bestFit="1" customWidth="1"/>
    <col min="526" max="526" width="0" style="953" hidden="1" customWidth="1"/>
    <col min="527" max="527" width="16.7109375" style="953" customWidth="1"/>
    <col min="528" max="528" width="14.85546875" style="953" customWidth="1"/>
    <col min="529" max="529" width="17.42578125" style="953" customWidth="1"/>
    <col min="530" max="530" width="15.42578125" style="953" customWidth="1"/>
    <col min="531" max="531" width="9.140625" style="953"/>
    <col min="532" max="532" width="18.85546875" style="953" bestFit="1" customWidth="1"/>
    <col min="533" max="770" width="9.140625" style="953"/>
    <col min="771" max="771" width="4.5703125" style="953" customWidth="1"/>
    <col min="772" max="772" width="22.42578125" style="953" bestFit="1" customWidth="1"/>
    <col min="773" max="773" width="16.42578125" style="953" customWidth="1"/>
    <col min="774" max="774" width="10.7109375" style="953" customWidth="1"/>
    <col min="775" max="775" width="11.5703125" style="953" customWidth="1"/>
    <col min="776" max="776" width="7.140625" style="953" customWidth="1"/>
    <col min="777" max="777" width="14.5703125" style="953" customWidth="1"/>
    <col min="778" max="778" width="15.5703125" style="953" bestFit="1" customWidth="1"/>
    <col min="779" max="779" width="0" style="953" hidden="1" customWidth="1"/>
    <col min="780" max="780" width="15" style="953" bestFit="1" customWidth="1"/>
    <col min="781" max="781" width="12.5703125" style="953" bestFit="1" customWidth="1"/>
    <col min="782" max="782" width="0" style="953" hidden="1" customWidth="1"/>
    <col min="783" max="783" width="16.7109375" style="953" customWidth="1"/>
    <col min="784" max="784" width="14.85546875" style="953" customWidth="1"/>
    <col min="785" max="785" width="17.42578125" style="953" customWidth="1"/>
    <col min="786" max="786" width="15.42578125" style="953" customWidth="1"/>
    <col min="787" max="787" width="9.140625" style="953"/>
    <col min="788" max="788" width="18.85546875" style="953" bestFit="1" customWidth="1"/>
    <col min="789" max="1026" width="9.140625" style="953"/>
    <col min="1027" max="1027" width="4.5703125" style="953" customWidth="1"/>
    <col min="1028" max="1028" width="22.42578125" style="953" bestFit="1" customWidth="1"/>
    <col min="1029" max="1029" width="16.42578125" style="953" customWidth="1"/>
    <col min="1030" max="1030" width="10.7109375" style="953" customWidth="1"/>
    <col min="1031" max="1031" width="11.5703125" style="953" customWidth="1"/>
    <col min="1032" max="1032" width="7.140625" style="953" customWidth="1"/>
    <col min="1033" max="1033" width="14.5703125" style="953" customWidth="1"/>
    <col min="1034" max="1034" width="15.5703125" style="953" bestFit="1" customWidth="1"/>
    <col min="1035" max="1035" width="0" style="953" hidden="1" customWidth="1"/>
    <col min="1036" max="1036" width="15" style="953" bestFit="1" customWidth="1"/>
    <col min="1037" max="1037" width="12.5703125" style="953" bestFit="1" customWidth="1"/>
    <col min="1038" max="1038" width="0" style="953" hidden="1" customWidth="1"/>
    <col min="1039" max="1039" width="16.7109375" style="953" customWidth="1"/>
    <col min="1040" max="1040" width="14.85546875" style="953" customWidth="1"/>
    <col min="1041" max="1041" width="17.42578125" style="953" customWidth="1"/>
    <col min="1042" max="1042" width="15.42578125" style="953" customWidth="1"/>
    <col min="1043" max="1043" width="9.140625" style="953"/>
    <col min="1044" max="1044" width="18.85546875" style="953" bestFit="1" customWidth="1"/>
    <col min="1045" max="1282" width="9.140625" style="953"/>
    <col min="1283" max="1283" width="4.5703125" style="953" customWidth="1"/>
    <col min="1284" max="1284" width="22.42578125" style="953" bestFit="1" customWidth="1"/>
    <col min="1285" max="1285" width="16.42578125" style="953" customWidth="1"/>
    <col min="1286" max="1286" width="10.7109375" style="953" customWidth="1"/>
    <col min="1287" max="1287" width="11.5703125" style="953" customWidth="1"/>
    <col min="1288" max="1288" width="7.140625" style="953" customWidth="1"/>
    <col min="1289" max="1289" width="14.5703125" style="953" customWidth="1"/>
    <col min="1290" max="1290" width="15.5703125" style="953" bestFit="1" customWidth="1"/>
    <col min="1291" max="1291" width="0" style="953" hidden="1" customWidth="1"/>
    <col min="1292" max="1292" width="15" style="953" bestFit="1" customWidth="1"/>
    <col min="1293" max="1293" width="12.5703125" style="953" bestFit="1" customWidth="1"/>
    <col min="1294" max="1294" width="0" style="953" hidden="1" customWidth="1"/>
    <col min="1295" max="1295" width="16.7109375" style="953" customWidth="1"/>
    <col min="1296" max="1296" width="14.85546875" style="953" customWidth="1"/>
    <col min="1297" max="1297" width="17.42578125" style="953" customWidth="1"/>
    <col min="1298" max="1298" width="15.42578125" style="953" customWidth="1"/>
    <col min="1299" max="1299" width="9.140625" style="953"/>
    <col min="1300" max="1300" width="18.85546875" style="953" bestFit="1" customWidth="1"/>
    <col min="1301" max="1538" width="9.140625" style="953"/>
    <col min="1539" max="1539" width="4.5703125" style="953" customWidth="1"/>
    <col min="1540" max="1540" width="22.42578125" style="953" bestFit="1" customWidth="1"/>
    <col min="1541" max="1541" width="16.42578125" style="953" customWidth="1"/>
    <col min="1542" max="1542" width="10.7109375" style="953" customWidth="1"/>
    <col min="1543" max="1543" width="11.5703125" style="953" customWidth="1"/>
    <col min="1544" max="1544" width="7.140625" style="953" customWidth="1"/>
    <col min="1545" max="1545" width="14.5703125" style="953" customWidth="1"/>
    <col min="1546" max="1546" width="15.5703125" style="953" bestFit="1" customWidth="1"/>
    <col min="1547" max="1547" width="0" style="953" hidden="1" customWidth="1"/>
    <col min="1548" max="1548" width="15" style="953" bestFit="1" customWidth="1"/>
    <col min="1549" max="1549" width="12.5703125" style="953" bestFit="1" customWidth="1"/>
    <col min="1550" max="1550" width="0" style="953" hidden="1" customWidth="1"/>
    <col min="1551" max="1551" width="16.7109375" style="953" customWidth="1"/>
    <col min="1552" max="1552" width="14.85546875" style="953" customWidth="1"/>
    <col min="1553" max="1553" width="17.42578125" style="953" customWidth="1"/>
    <col min="1554" max="1554" width="15.42578125" style="953" customWidth="1"/>
    <col min="1555" max="1555" width="9.140625" style="953"/>
    <col min="1556" max="1556" width="18.85546875" style="953" bestFit="1" customWidth="1"/>
    <col min="1557" max="1794" width="9.140625" style="953"/>
    <col min="1795" max="1795" width="4.5703125" style="953" customWidth="1"/>
    <col min="1796" max="1796" width="22.42578125" style="953" bestFit="1" customWidth="1"/>
    <col min="1797" max="1797" width="16.42578125" style="953" customWidth="1"/>
    <col min="1798" max="1798" width="10.7109375" style="953" customWidth="1"/>
    <col min="1799" max="1799" width="11.5703125" style="953" customWidth="1"/>
    <col min="1800" max="1800" width="7.140625" style="953" customWidth="1"/>
    <col min="1801" max="1801" width="14.5703125" style="953" customWidth="1"/>
    <col min="1802" max="1802" width="15.5703125" style="953" bestFit="1" customWidth="1"/>
    <col min="1803" max="1803" width="0" style="953" hidden="1" customWidth="1"/>
    <col min="1804" max="1804" width="15" style="953" bestFit="1" customWidth="1"/>
    <col min="1805" max="1805" width="12.5703125" style="953" bestFit="1" customWidth="1"/>
    <col min="1806" max="1806" width="0" style="953" hidden="1" customWidth="1"/>
    <col min="1807" max="1807" width="16.7109375" style="953" customWidth="1"/>
    <col min="1808" max="1808" width="14.85546875" style="953" customWidth="1"/>
    <col min="1809" max="1809" width="17.42578125" style="953" customWidth="1"/>
    <col min="1810" max="1810" width="15.42578125" style="953" customWidth="1"/>
    <col min="1811" max="1811" width="9.140625" style="953"/>
    <col min="1812" max="1812" width="18.85546875" style="953" bestFit="1" customWidth="1"/>
    <col min="1813" max="2050" width="9.140625" style="953"/>
    <col min="2051" max="2051" width="4.5703125" style="953" customWidth="1"/>
    <col min="2052" max="2052" width="22.42578125" style="953" bestFit="1" customWidth="1"/>
    <col min="2053" max="2053" width="16.42578125" style="953" customWidth="1"/>
    <col min="2054" max="2054" width="10.7109375" style="953" customWidth="1"/>
    <col min="2055" max="2055" width="11.5703125" style="953" customWidth="1"/>
    <col min="2056" max="2056" width="7.140625" style="953" customWidth="1"/>
    <col min="2057" max="2057" width="14.5703125" style="953" customWidth="1"/>
    <col min="2058" max="2058" width="15.5703125" style="953" bestFit="1" customWidth="1"/>
    <col min="2059" max="2059" width="0" style="953" hidden="1" customWidth="1"/>
    <col min="2060" max="2060" width="15" style="953" bestFit="1" customWidth="1"/>
    <col min="2061" max="2061" width="12.5703125" style="953" bestFit="1" customWidth="1"/>
    <col min="2062" max="2062" width="0" style="953" hidden="1" customWidth="1"/>
    <col min="2063" max="2063" width="16.7109375" style="953" customWidth="1"/>
    <col min="2064" max="2064" width="14.85546875" style="953" customWidth="1"/>
    <col min="2065" max="2065" width="17.42578125" style="953" customWidth="1"/>
    <col min="2066" max="2066" width="15.42578125" style="953" customWidth="1"/>
    <col min="2067" max="2067" width="9.140625" style="953"/>
    <col min="2068" max="2068" width="18.85546875" style="953" bestFit="1" customWidth="1"/>
    <col min="2069" max="2306" width="9.140625" style="953"/>
    <col min="2307" max="2307" width="4.5703125" style="953" customWidth="1"/>
    <col min="2308" max="2308" width="22.42578125" style="953" bestFit="1" customWidth="1"/>
    <col min="2309" max="2309" width="16.42578125" style="953" customWidth="1"/>
    <col min="2310" max="2310" width="10.7109375" style="953" customWidth="1"/>
    <col min="2311" max="2311" width="11.5703125" style="953" customWidth="1"/>
    <col min="2312" max="2312" width="7.140625" style="953" customWidth="1"/>
    <col min="2313" max="2313" width="14.5703125" style="953" customWidth="1"/>
    <col min="2314" max="2314" width="15.5703125" style="953" bestFit="1" customWidth="1"/>
    <col min="2315" max="2315" width="0" style="953" hidden="1" customWidth="1"/>
    <col min="2316" max="2316" width="15" style="953" bestFit="1" customWidth="1"/>
    <col min="2317" max="2317" width="12.5703125" style="953" bestFit="1" customWidth="1"/>
    <col min="2318" max="2318" width="0" style="953" hidden="1" customWidth="1"/>
    <col min="2319" max="2319" width="16.7109375" style="953" customWidth="1"/>
    <col min="2320" max="2320" width="14.85546875" style="953" customWidth="1"/>
    <col min="2321" max="2321" width="17.42578125" style="953" customWidth="1"/>
    <col min="2322" max="2322" width="15.42578125" style="953" customWidth="1"/>
    <col min="2323" max="2323" width="9.140625" style="953"/>
    <col min="2324" max="2324" width="18.85546875" style="953" bestFit="1" customWidth="1"/>
    <col min="2325" max="2562" width="9.140625" style="953"/>
    <col min="2563" max="2563" width="4.5703125" style="953" customWidth="1"/>
    <col min="2564" max="2564" width="22.42578125" style="953" bestFit="1" customWidth="1"/>
    <col min="2565" max="2565" width="16.42578125" style="953" customWidth="1"/>
    <col min="2566" max="2566" width="10.7109375" style="953" customWidth="1"/>
    <col min="2567" max="2567" width="11.5703125" style="953" customWidth="1"/>
    <col min="2568" max="2568" width="7.140625" style="953" customWidth="1"/>
    <col min="2569" max="2569" width="14.5703125" style="953" customWidth="1"/>
    <col min="2570" max="2570" width="15.5703125" style="953" bestFit="1" customWidth="1"/>
    <col min="2571" max="2571" width="0" style="953" hidden="1" customWidth="1"/>
    <col min="2572" max="2572" width="15" style="953" bestFit="1" customWidth="1"/>
    <col min="2573" max="2573" width="12.5703125" style="953" bestFit="1" customWidth="1"/>
    <col min="2574" max="2574" width="0" style="953" hidden="1" customWidth="1"/>
    <col min="2575" max="2575" width="16.7109375" style="953" customWidth="1"/>
    <col min="2576" max="2576" width="14.85546875" style="953" customWidth="1"/>
    <col min="2577" max="2577" width="17.42578125" style="953" customWidth="1"/>
    <col min="2578" max="2578" width="15.42578125" style="953" customWidth="1"/>
    <col min="2579" max="2579" width="9.140625" style="953"/>
    <col min="2580" max="2580" width="18.85546875" style="953" bestFit="1" customWidth="1"/>
    <col min="2581" max="2818" width="9.140625" style="953"/>
    <col min="2819" max="2819" width="4.5703125" style="953" customWidth="1"/>
    <col min="2820" max="2820" width="22.42578125" style="953" bestFit="1" customWidth="1"/>
    <col min="2821" max="2821" width="16.42578125" style="953" customWidth="1"/>
    <col min="2822" max="2822" width="10.7109375" style="953" customWidth="1"/>
    <col min="2823" max="2823" width="11.5703125" style="953" customWidth="1"/>
    <col min="2824" max="2824" width="7.140625" style="953" customWidth="1"/>
    <col min="2825" max="2825" width="14.5703125" style="953" customWidth="1"/>
    <col min="2826" max="2826" width="15.5703125" style="953" bestFit="1" customWidth="1"/>
    <col min="2827" max="2827" width="0" style="953" hidden="1" customWidth="1"/>
    <col min="2828" max="2828" width="15" style="953" bestFit="1" customWidth="1"/>
    <col min="2829" max="2829" width="12.5703125" style="953" bestFit="1" customWidth="1"/>
    <col min="2830" max="2830" width="0" style="953" hidden="1" customWidth="1"/>
    <col min="2831" max="2831" width="16.7109375" style="953" customWidth="1"/>
    <col min="2832" max="2832" width="14.85546875" style="953" customWidth="1"/>
    <col min="2833" max="2833" width="17.42578125" style="953" customWidth="1"/>
    <col min="2834" max="2834" width="15.42578125" style="953" customWidth="1"/>
    <col min="2835" max="2835" width="9.140625" style="953"/>
    <col min="2836" max="2836" width="18.85546875" style="953" bestFit="1" customWidth="1"/>
    <col min="2837" max="3074" width="9.140625" style="953"/>
    <col min="3075" max="3075" width="4.5703125" style="953" customWidth="1"/>
    <col min="3076" max="3076" width="22.42578125" style="953" bestFit="1" customWidth="1"/>
    <col min="3077" max="3077" width="16.42578125" style="953" customWidth="1"/>
    <col min="3078" max="3078" width="10.7109375" style="953" customWidth="1"/>
    <col min="3079" max="3079" width="11.5703125" style="953" customWidth="1"/>
    <col min="3080" max="3080" width="7.140625" style="953" customWidth="1"/>
    <col min="3081" max="3081" width="14.5703125" style="953" customWidth="1"/>
    <col min="3082" max="3082" width="15.5703125" style="953" bestFit="1" customWidth="1"/>
    <col min="3083" max="3083" width="0" style="953" hidden="1" customWidth="1"/>
    <col min="3084" max="3084" width="15" style="953" bestFit="1" customWidth="1"/>
    <col min="3085" max="3085" width="12.5703125" style="953" bestFit="1" customWidth="1"/>
    <col min="3086" max="3086" width="0" style="953" hidden="1" customWidth="1"/>
    <col min="3087" max="3087" width="16.7109375" style="953" customWidth="1"/>
    <col min="3088" max="3088" width="14.85546875" style="953" customWidth="1"/>
    <col min="3089" max="3089" width="17.42578125" style="953" customWidth="1"/>
    <col min="3090" max="3090" width="15.42578125" style="953" customWidth="1"/>
    <col min="3091" max="3091" width="9.140625" style="953"/>
    <col min="3092" max="3092" width="18.85546875" style="953" bestFit="1" customWidth="1"/>
    <col min="3093" max="3330" width="9.140625" style="953"/>
    <col min="3331" max="3331" width="4.5703125" style="953" customWidth="1"/>
    <col min="3332" max="3332" width="22.42578125" style="953" bestFit="1" customWidth="1"/>
    <col min="3333" max="3333" width="16.42578125" style="953" customWidth="1"/>
    <col min="3334" max="3334" width="10.7109375" style="953" customWidth="1"/>
    <col min="3335" max="3335" width="11.5703125" style="953" customWidth="1"/>
    <col min="3336" max="3336" width="7.140625" style="953" customWidth="1"/>
    <col min="3337" max="3337" width="14.5703125" style="953" customWidth="1"/>
    <col min="3338" max="3338" width="15.5703125" style="953" bestFit="1" customWidth="1"/>
    <col min="3339" max="3339" width="0" style="953" hidden="1" customWidth="1"/>
    <col min="3340" max="3340" width="15" style="953" bestFit="1" customWidth="1"/>
    <col min="3341" max="3341" width="12.5703125" style="953" bestFit="1" customWidth="1"/>
    <col min="3342" max="3342" width="0" style="953" hidden="1" customWidth="1"/>
    <col min="3343" max="3343" width="16.7109375" style="953" customWidth="1"/>
    <col min="3344" max="3344" width="14.85546875" style="953" customWidth="1"/>
    <col min="3345" max="3345" width="17.42578125" style="953" customWidth="1"/>
    <col min="3346" max="3346" width="15.42578125" style="953" customWidth="1"/>
    <col min="3347" max="3347" width="9.140625" style="953"/>
    <col min="3348" max="3348" width="18.85546875" style="953" bestFit="1" customWidth="1"/>
    <col min="3349" max="3586" width="9.140625" style="953"/>
    <col min="3587" max="3587" width="4.5703125" style="953" customWidth="1"/>
    <col min="3588" max="3588" width="22.42578125" style="953" bestFit="1" customWidth="1"/>
    <col min="3589" max="3589" width="16.42578125" style="953" customWidth="1"/>
    <col min="3590" max="3590" width="10.7109375" style="953" customWidth="1"/>
    <col min="3591" max="3591" width="11.5703125" style="953" customWidth="1"/>
    <col min="3592" max="3592" width="7.140625" style="953" customWidth="1"/>
    <col min="3593" max="3593" width="14.5703125" style="953" customWidth="1"/>
    <col min="3594" max="3594" width="15.5703125" style="953" bestFit="1" customWidth="1"/>
    <col min="3595" max="3595" width="0" style="953" hidden="1" customWidth="1"/>
    <col min="3596" max="3596" width="15" style="953" bestFit="1" customWidth="1"/>
    <col min="3597" max="3597" width="12.5703125" style="953" bestFit="1" customWidth="1"/>
    <col min="3598" max="3598" width="0" style="953" hidden="1" customWidth="1"/>
    <col min="3599" max="3599" width="16.7109375" style="953" customWidth="1"/>
    <col min="3600" max="3600" width="14.85546875" style="953" customWidth="1"/>
    <col min="3601" max="3601" width="17.42578125" style="953" customWidth="1"/>
    <col min="3602" max="3602" width="15.42578125" style="953" customWidth="1"/>
    <col min="3603" max="3603" width="9.140625" style="953"/>
    <col min="3604" max="3604" width="18.85546875" style="953" bestFit="1" customWidth="1"/>
    <col min="3605" max="3842" width="9.140625" style="953"/>
    <col min="3843" max="3843" width="4.5703125" style="953" customWidth="1"/>
    <col min="3844" max="3844" width="22.42578125" style="953" bestFit="1" customWidth="1"/>
    <col min="3845" max="3845" width="16.42578125" style="953" customWidth="1"/>
    <col min="3846" max="3846" width="10.7109375" style="953" customWidth="1"/>
    <col min="3847" max="3847" width="11.5703125" style="953" customWidth="1"/>
    <col min="3848" max="3848" width="7.140625" style="953" customWidth="1"/>
    <col min="3849" max="3849" width="14.5703125" style="953" customWidth="1"/>
    <col min="3850" max="3850" width="15.5703125" style="953" bestFit="1" customWidth="1"/>
    <col min="3851" max="3851" width="0" style="953" hidden="1" customWidth="1"/>
    <col min="3852" max="3852" width="15" style="953" bestFit="1" customWidth="1"/>
    <col min="3853" max="3853" width="12.5703125" style="953" bestFit="1" customWidth="1"/>
    <col min="3854" max="3854" width="0" style="953" hidden="1" customWidth="1"/>
    <col min="3855" max="3855" width="16.7109375" style="953" customWidth="1"/>
    <col min="3856" max="3856" width="14.85546875" style="953" customWidth="1"/>
    <col min="3857" max="3857" width="17.42578125" style="953" customWidth="1"/>
    <col min="3858" max="3858" width="15.42578125" style="953" customWidth="1"/>
    <col min="3859" max="3859" width="9.140625" style="953"/>
    <col min="3860" max="3860" width="18.85546875" style="953" bestFit="1" customWidth="1"/>
    <col min="3861" max="4098" width="9.140625" style="953"/>
    <col min="4099" max="4099" width="4.5703125" style="953" customWidth="1"/>
    <col min="4100" max="4100" width="22.42578125" style="953" bestFit="1" customWidth="1"/>
    <col min="4101" max="4101" width="16.42578125" style="953" customWidth="1"/>
    <col min="4102" max="4102" width="10.7109375" style="953" customWidth="1"/>
    <col min="4103" max="4103" width="11.5703125" style="953" customWidth="1"/>
    <col min="4104" max="4104" width="7.140625" style="953" customWidth="1"/>
    <col min="4105" max="4105" width="14.5703125" style="953" customWidth="1"/>
    <col min="4106" max="4106" width="15.5703125" style="953" bestFit="1" customWidth="1"/>
    <col min="4107" max="4107" width="0" style="953" hidden="1" customWidth="1"/>
    <col min="4108" max="4108" width="15" style="953" bestFit="1" customWidth="1"/>
    <col min="4109" max="4109" width="12.5703125" style="953" bestFit="1" customWidth="1"/>
    <col min="4110" max="4110" width="0" style="953" hidden="1" customWidth="1"/>
    <col min="4111" max="4111" width="16.7109375" style="953" customWidth="1"/>
    <col min="4112" max="4112" width="14.85546875" style="953" customWidth="1"/>
    <col min="4113" max="4113" width="17.42578125" style="953" customWidth="1"/>
    <col min="4114" max="4114" width="15.42578125" style="953" customWidth="1"/>
    <col min="4115" max="4115" width="9.140625" style="953"/>
    <col min="4116" max="4116" width="18.85546875" style="953" bestFit="1" customWidth="1"/>
    <col min="4117" max="4354" width="9.140625" style="953"/>
    <col min="4355" max="4355" width="4.5703125" style="953" customWidth="1"/>
    <col min="4356" max="4356" width="22.42578125" style="953" bestFit="1" customWidth="1"/>
    <col min="4357" max="4357" width="16.42578125" style="953" customWidth="1"/>
    <col min="4358" max="4358" width="10.7109375" style="953" customWidth="1"/>
    <col min="4359" max="4359" width="11.5703125" style="953" customWidth="1"/>
    <col min="4360" max="4360" width="7.140625" style="953" customWidth="1"/>
    <col min="4361" max="4361" width="14.5703125" style="953" customWidth="1"/>
    <col min="4362" max="4362" width="15.5703125" style="953" bestFit="1" customWidth="1"/>
    <col min="4363" max="4363" width="0" style="953" hidden="1" customWidth="1"/>
    <col min="4364" max="4364" width="15" style="953" bestFit="1" customWidth="1"/>
    <col min="4365" max="4365" width="12.5703125" style="953" bestFit="1" customWidth="1"/>
    <col min="4366" max="4366" width="0" style="953" hidden="1" customWidth="1"/>
    <col min="4367" max="4367" width="16.7109375" style="953" customWidth="1"/>
    <col min="4368" max="4368" width="14.85546875" style="953" customWidth="1"/>
    <col min="4369" max="4369" width="17.42578125" style="953" customWidth="1"/>
    <col min="4370" max="4370" width="15.42578125" style="953" customWidth="1"/>
    <col min="4371" max="4371" width="9.140625" style="953"/>
    <col min="4372" max="4372" width="18.85546875" style="953" bestFit="1" customWidth="1"/>
    <col min="4373" max="4610" width="9.140625" style="953"/>
    <col min="4611" max="4611" width="4.5703125" style="953" customWidth="1"/>
    <col min="4612" max="4612" width="22.42578125" style="953" bestFit="1" customWidth="1"/>
    <col min="4613" max="4613" width="16.42578125" style="953" customWidth="1"/>
    <col min="4614" max="4614" width="10.7109375" style="953" customWidth="1"/>
    <col min="4615" max="4615" width="11.5703125" style="953" customWidth="1"/>
    <col min="4616" max="4616" width="7.140625" style="953" customWidth="1"/>
    <col min="4617" max="4617" width="14.5703125" style="953" customWidth="1"/>
    <col min="4618" max="4618" width="15.5703125" style="953" bestFit="1" customWidth="1"/>
    <col min="4619" max="4619" width="0" style="953" hidden="1" customWidth="1"/>
    <col min="4620" max="4620" width="15" style="953" bestFit="1" customWidth="1"/>
    <col min="4621" max="4621" width="12.5703125" style="953" bestFit="1" customWidth="1"/>
    <col min="4622" max="4622" width="0" style="953" hidden="1" customWidth="1"/>
    <col min="4623" max="4623" width="16.7109375" style="953" customWidth="1"/>
    <col min="4624" max="4624" width="14.85546875" style="953" customWidth="1"/>
    <col min="4625" max="4625" width="17.42578125" style="953" customWidth="1"/>
    <col min="4626" max="4626" width="15.42578125" style="953" customWidth="1"/>
    <col min="4627" max="4627" width="9.140625" style="953"/>
    <col min="4628" max="4628" width="18.85546875" style="953" bestFit="1" customWidth="1"/>
    <col min="4629" max="4866" width="9.140625" style="953"/>
    <col min="4867" max="4867" width="4.5703125" style="953" customWidth="1"/>
    <col min="4868" max="4868" width="22.42578125" style="953" bestFit="1" customWidth="1"/>
    <col min="4869" max="4869" width="16.42578125" style="953" customWidth="1"/>
    <col min="4870" max="4870" width="10.7109375" style="953" customWidth="1"/>
    <col min="4871" max="4871" width="11.5703125" style="953" customWidth="1"/>
    <col min="4872" max="4872" width="7.140625" style="953" customWidth="1"/>
    <col min="4873" max="4873" width="14.5703125" style="953" customWidth="1"/>
    <col min="4874" max="4874" width="15.5703125" style="953" bestFit="1" customWidth="1"/>
    <col min="4875" max="4875" width="0" style="953" hidden="1" customWidth="1"/>
    <col min="4876" max="4876" width="15" style="953" bestFit="1" customWidth="1"/>
    <col min="4877" max="4877" width="12.5703125" style="953" bestFit="1" customWidth="1"/>
    <col min="4878" max="4878" width="0" style="953" hidden="1" customWidth="1"/>
    <col min="4879" max="4879" width="16.7109375" style="953" customWidth="1"/>
    <col min="4880" max="4880" width="14.85546875" style="953" customWidth="1"/>
    <col min="4881" max="4881" width="17.42578125" style="953" customWidth="1"/>
    <col min="4882" max="4882" width="15.42578125" style="953" customWidth="1"/>
    <col min="4883" max="4883" width="9.140625" style="953"/>
    <col min="4884" max="4884" width="18.85546875" style="953" bestFit="1" customWidth="1"/>
    <col min="4885" max="5122" width="9.140625" style="953"/>
    <col min="5123" max="5123" width="4.5703125" style="953" customWidth="1"/>
    <col min="5124" max="5124" width="22.42578125" style="953" bestFit="1" customWidth="1"/>
    <col min="5125" max="5125" width="16.42578125" style="953" customWidth="1"/>
    <col min="5126" max="5126" width="10.7109375" style="953" customWidth="1"/>
    <col min="5127" max="5127" width="11.5703125" style="953" customWidth="1"/>
    <col min="5128" max="5128" width="7.140625" style="953" customWidth="1"/>
    <col min="5129" max="5129" width="14.5703125" style="953" customWidth="1"/>
    <col min="5130" max="5130" width="15.5703125" style="953" bestFit="1" customWidth="1"/>
    <col min="5131" max="5131" width="0" style="953" hidden="1" customWidth="1"/>
    <col min="5132" max="5132" width="15" style="953" bestFit="1" customWidth="1"/>
    <col min="5133" max="5133" width="12.5703125" style="953" bestFit="1" customWidth="1"/>
    <col min="5134" max="5134" width="0" style="953" hidden="1" customWidth="1"/>
    <col min="5135" max="5135" width="16.7109375" style="953" customWidth="1"/>
    <col min="5136" max="5136" width="14.85546875" style="953" customWidth="1"/>
    <col min="5137" max="5137" width="17.42578125" style="953" customWidth="1"/>
    <col min="5138" max="5138" width="15.42578125" style="953" customWidth="1"/>
    <col min="5139" max="5139" width="9.140625" style="953"/>
    <col min="5140" max="5140" width="18.85546875" style="953" bestFit="1" customWidth="1"/>
    <col min="5141" max="5378" width="9.140625" style="953"/>
    <col min="5379" max="5379" width="4.5703125" style="953" customWidth="1"/>
    <col min="5380" max="5380" width="22.42578125" style="953" bestFit="1" customWidth="1"/>
    <col min="5381" max="5381" width="16.42578125" style="953" customWidth="1"/>
    <col min="5382" max="5382" width="10.7109375" style="953" customWidth="1"/>
    <col min="5383" max="5383" width="11.5703125" style="953" customWidth="1"/>
    <col min="5384" max="5384" width="7.140625" style="953" customWidth="1"/>
    <col min="5385" max="5385" width="14.5703125" style="953" customWidth="1"/>
    <col min="5386" max="5386" width="15.5703125" style="953" bestFit="1" customWidth="1"/>
    <col min="5387" max="5387" width="0" style="953" hidden="1" customWidth="1"/>
    <col min="5388" max="5388" width="15" style="953" bestFit="1" customWidth="1"/>
    <col min="5389" max="5389" width="12.5703125" style="953" bestFit="1" customWidth="1"/>
    <col min="5390" max="5390" width="0" style="953" hidden="1" customWidth="1"/>
    <col min="5391" max="5391" width="16.7109375" style="953" customWidth="1"/>
    <col min="5392" max="5392" width="14.85546875" style="953" customWidth="1"/>
    <col min="5393" max="5393" width="17.42578125" style="953" customWidth="1"/>
    <col min="5394" max="5394" width="15.42578125" style="953" customWidth="1"/>
    <col min="5395" max="5395" width="9.140625" style="953"/>
    <col min="5396" max="5396" width="18.85546875" style="953" bestFit="1" customWidth="1"/>
    <col min="5397" max="5634" width="9.140625" style="953"/>
    <col min="5635" max="5635" width="4.5703125" style="953" customWidth="1"/>
    <col min="5636" max="5636" width="22.42578125" style="953" bestFit="1" customWidth="1"/>
    <col min="5637" max="5637" width="16.42578125" style="953" customWidth="1"/>
    <col min="5638" max="5638" width="10.7109375" style="953" customWidth="1"/>
    <col min="5639" max="5639" width="11.5703125" style="953" customWidth="1"/>
    <col min="5640" max="5640" width="7.140625" style="953" customWidth="1"/>
    <col min="5641" max="5641" width="14.5703125" style="953" customWidth="1"/>
    <col min="5642" max="5642" width="15.5703125" style="953" bestFit="1" customWidth="1"/>
    <col min="5643" max="5643" width="0" style="953" hidden="1" customWidth="1"/>
    <col min="5644" max="5644" width="15" style="953" bestFit="1" customWidth="1"/>
    <col min="5645" max="5645" width="12.5703125" style="953" bestFit="1" customWidth="1"/>
    <col min="5646" max="5646" width="0" style="953" hidden="1" customWidth="1"/>
    <col min="5647" max="5647" width="16.7109375" style="953" customWidth="1"/>
    <col min="5648" max="5648" width="14.85546875" style="953" customWidth="1"/>
    <col min="5649" max="5649" width="17.42578125" style="953" customWidth="1"/>
    <col min="5650" max="5650" width="15.42578125" style="953" customWidth="1"/>
    <col min="5651" max="5651" width="9.140625" style="953"/>
    <col min="5652" max="5652" width="18.85546875" style="953" bestFit="1" customWidth="1"/>
    <col min="5653" max="5890" width="9.140625" style="953"/>
    <col min="5891" max="5891" width="4.5703125" style="953" customWidth="1"/>
    <col min="5892" max="5892" width="22.42578125" style="953" bestFit="1" customWidth="1"/>
    <col min="5893" max="5893" width="16.42578125" style="953" customWidth="1"/>
    <col min="5894" max="5894" width="10.7109375" style="953" customWidth="1"/>
    <col min="5895" max="5895" width="11.5703125" style="953" customWidth="1"/>
    <col min="5896" max="5896" width="7.140625" style="953" customWidth="1"/>
    <col min="5897" max="5897" width="14.5703125" style="953" customWidth="1"/>
    <col min="5898" max="5898" width="15.5703125" style="953" bestFit="1" customWidth="1"/>
    <col min="5899" max="5899" width="0" style="953" hidden="1" customWidth="1"/>
    <col min="5900" max="5900" width="15" style="953" bestFit="1" customWidth="1"/>
    <col min="5901" max="5901" width="12.5703125" style="953" bestFit="1" customWidth="1"/>
    <col min="5902" max="5902" width="0" style="953" hidden="1" customWidth="1"/>
    <col min="5903" max="5903" width="16.7109375" style="953" customWidth="1"/>
    <col min="5904" max="5904" width="14.85546875" style="953" customWidth="1"/>
    <col min="5905" max="5905" width="17.42578125" style="953" customWidth="1"/>
    <col min="5906" max="5906" width="15.42578125" style="953" customWidth="1"/>
    <col min="5907" max="5907" width="9.140625" style="953"/>
    <col min="5908" max="5908" width="18.85546875" style="953" bestFit="1" customWidth="1"/>
    <col min="5909" max="6146" width="9.140625" style="953"/>
    <col min="6147" max="6147" width="4.5703125" style="953" customWidth="1"/>
    <col min="6148" max="6148" width="22.42578125" style="953" bestFit="1" customWidth="1"/>
    <col min="6149" max="6149" width="16.42578125" style="953" customWidth="1"/>
    <col min="6150" max="6150" width="10.7109375" style="953" customWidth="1"/>
    <col min="6151" max="6151" width="11.5703125" style="953" customWidth="1"/>
    <col min="6152" max="6152" width="7.140625" style="953" customWidth="1"/>
    <col min="6153" max="6153" width="14.5703125" style="953" customWidth="1"/>
    <col min="6154" max="6154" width="15.5703125" style="953" bestFit="1" customWidth="1"/>
    <col min="6155" max="6155" width="0" style="953" hidden="1" customWidth="1"/>
    <col min="6156" max="6156" width="15" style="953" bestFit="1" customWidth="1"/>
    <col min="6157" max="6157" width="12.5703125" style="953" bestFit="1" customWidth="1"/>
    <col min="6158" max="6158" width="0" style="953" hidden="1" customWidth="1"/>
    <col min="6159" max="6159" width="16.7109375" style="953" customWidth="1"/>
    <col min="6160" max="6160" width="14.85546875" style="953" customWidth="1"/>
    <col min="6161" max="6161" width="17.42578125" style="953" customWidth="1"/>
    <col min="6162" max="6162" width="15.42578125" style="953" customWidth="1"/>
    <col min="6163" max="6163" width="9.140625" style="953"/>
    <col min="6164" max="6164" width="18.85546875" style="953" bestFit="1" customWidth="1"/>
    <col min="6165" max="6402" width="9.140625" style="953"/>
    <col min="6403" max="6403" width="4.5703125" style="953" customWidth="1"/>
    <col min="6404" max="6404" width="22.42578125" style="953" bestFit="1" customWidth="1"/>
    <col min="6405" max="6405" width="16.42578125" style="953" customWidth="1"/>
    <col min="6406" max="6406" width="10.7109375" style="953" customWidth="1"/>
    <col min="6407" max="6407" width="11.5703125" style="953" customWidth="1"/>
    <col min="6408" max="6408" width="7.140625" style="953" customWidth="1"/>
    <col min="6409" max="6409" width="14.5703125" style="953" customWidth="1"/>
    <col min="6410" max="6410" width="15.5703125" style="953" bestFit="1" customWidth="1"/>
    <col min="6411" max="6411" width="0" style="953" hidden="1" customWidth="1"/>
    <col min="6412" max="6412" width="15" style="953" bestFit="1" customWidth="1"/>
    <col min="6413" max="6413" width="12.5703125" style="953" bestFit="1" customWidth="1"/>
    <col min="6414" max="6414" width="0" style="953" hidden="1" customWidth="1"/>
    <col min="6415" max="6415" width="16.7109375" style="953" customWidth="1"/>
    <col min="6416" max="6416" width="14.85546875" style="953" customWidth="1"/>
    <col min="6417" max="6417" width="17.42578125" style="953" customWidth="1"/>
    <col min="6418" max="6418" width="15.42578125" style="953" customWidth="1"/>
    <col min="6419" max="6419" width="9.140625" style="953"/>
    <col min="6420" max="6420" width="18.85546875" style="953" bestFit="1" customWidth="1"/>
    <col min="6421" max="6658" width="9.140625" style="953"/>
    <col min="6659" max="6659" width="4.5703125" style="953" customWidth="1"/>
    <col min="6660" max="6660" width="22.42578125" style="953" bestFit="1" customWidth="1"/>
    <col min="6661" max="6661" width="16.42578125" style="953" customWidth="1"/>
    <col min="6662" max="6662" width="10.7109375" style="953" customWidth="1"/>
    <col min="6663" max="6663" width="11.5703125" style="953" customWidth="1"/>
    <col min="6664" max="6664" width="7.140625" style="953" customWidth="1"/>
    <col min="6665" max="6665" width="14.5703125" style="953" customWidth="1"/>
    <col min="6666" max="6666" width="15.5703125" style="953" bestFit="1" customWidth="1"/>
    <col min="6667" max="6667" width="0" style="953" hidden="1" customWidth="1"/>
    <col min="6668" max="6668" width="15" style="953" bestFit="1" customWidth="1"/>
    <col min="6669" max="6669" width="12.5703125" style="953" bestFit="1" customWidth="1"/>
    <col min="6670" max="6670" width="0" style="953" hidden="1" customWidth="1"/>
    <col min="6671" max="6671" width="16.7109375" style="953" customWidth="1"/>
    <col min="6672" max="6672" width="14.85546875" style="953" customWidth="1"/>
    <col min="6673" max="6673" width="17.42578125" style="953" customWidth="1"/>
    <col min="6674" max="6674" width="15.42578125" style="953" customWidth="1"/>
    <col min="6675" max="6675" width="9.140625" style="953"/>
    <col min="6676" max="6676" width="18.85546875" style="953" bestFit="1" customWidth="1"/>
    <col min="6677" max="6914" width="9.140625" style="953"/>
    <col min="6915" max="6915" width="4.5703125" style="953" customWidth="1"/>
    <col min="6916" max="6916" width="22.42578125" style="953" bestFit="1" customWidth="1"/>
    <col min="6917" max="6917" width="16.42578125" style="953" customWidth="1"/>
    <col min="6918" max="6918" width="10.7109375" style="953" customWidth="1"/>
    <col min="6919" max="6919" width="11.5703125" style="953" customWidth="1"/>
    <col min="6920" max="6920" width="7.140625" style="953" customWidth="1"/>
    <col min="6921" max="6921" width="14.5703125" style="953" customWidth="1"/>
    <col min="6922" max="6922" width="15.5703125" style="953" bestFit="1" customWidth="1"/>
    <col min="6923" max="6923" width="0" style="953" hidden="1" customWidth="1"/>
    <col min="6924" max="6924" width="15" style="953" bestFit="1" customWidth="1"/>
    <col min="6925" max="6925" width="12.5703125" style="953" bestFit="1" customWidth="1"/>
    <col min="6926" max="6926" width="0" style="953" hidden="1" customWidth="1"/>
    <col min="6927" max="6927" width="16.7109375" style="953" customWidth="1"/>
    <col min="6928" max="6928" width="14.85546875" style="953" customWidth="1"/>
    <col min="6929" max="6929" width="17.42578125" style="953" customWidth="1"/>
    <col min="6930" max="6930" width="15.42578125" style="953" customWidth="1"/>
    <col min="6931" max="6931" width="9.140625" style="953"/>
    <col min="6932" max="6932" width="18.85546875" style="953" bestFit="1" customWidth="1"/>
    <col min="6933" max="7170" width="9.140625" style="953"/>
    <col min="7171" max="7171" width="4.5703125" style="953" customWidth="1"/>
    <col min="7172" max="7172" width="22.42578125" style="953" bestFit="1" customWidth="1"/>
    <col min="7173" max="7173" width="16.42578125" style="953" customWidth="1"/>
    <col min="7174" max="7174" width="10.7109375" style="953" customWidth="1"/>
    <col min="7175" max="7175" width="11.5703125" style="953" customWidth="1"/>
    <col min="7176" max="7176" width="7.140625" style="953" customWidth="1"/>
    <col min="7177" max="7177" width="14.5703125" style="953" customWidth="1"/>
    <col min="7178" max="7178" width="15.5703125" style="953" bestFit="1" customWidth="1"/>
    <col min="7179" max="7179" width="0" style="953" hidden="1" customWidth="1"/>
    <col min="7180" max="7180" width="15" style="953" bestFit="1" customWidth="1"/>
    <col min="7181" max="7181" width="12.5703125" style="953" bestFit="1" customWidth="1"/>
    <col min="7182" max="7182" width="0" style="953" hidden="1" customWidth="1"/>
    <col min="7183" max="7183" width="16.7109375" style="953" customWidth="1"/>
    <col min="7184" max="7184" width="14.85546875" style="953" customWidth="1"/>
    <col min="7185" max="7185" width="17.42578125" style="953" customWidth="1"/>
    <col min="7186" max="7186" width="15.42578125" style="953" customWidth="1"/>
    <col min="7187" max="7187" width="9.140625" style="953"/>
    <col min="7188" max="7188" width="18.85546875" style="953" bestFit="1" customWidth="1"/>
    <col min="7189" max="7426" width="9.140625" style="953"/>
    <col min="7427" max="7427" width="4.5703125" style="953" customWidth="1"/>
    <col min="7428" max="7428" width="22.42578125" style="953" bestFit="1" customWidth="1"/>
    <col min="7429" max="7429" width="16.42578125" style="953" customWidth="1"/>
    <col min="7430" max="7430" width="10.7109375" style="953" customWidth="1"/>
    <col min="7431" max="7431" width="11.5703125" style="953" customWidth="1"/>
    <col min="7432" max="7432" width="7.140625" style="953" customWidth="1"/>
    <col min="7433" max="7433" width="14.5703125" style="953" customWidth="1"/>
    <col min="7434" max="7434" width="15.5703125" style="953" bestFit="1" customWidth="1"/>
    <col min="7435" max="7435" width="0" style="953" hidden="1" customWidth="1"/>
    <col min="7436" max="7436" width="15" style="953" bestFit="1" customWidth="1"/>
    <col min="7437" max="7437" width="12.5703125" style="953" bestFit="1" customWidth="1"/>
    <col min="7438" max="7438" width="0" style="953" hidden="1" customWidth="1"/>
    <col min="7439" max="7439" width="16.7109375" style="953" customWidth="1"/>
    <col min="7440" max="7440" width="14.85546875" style="953" customWidth="1"/>
    <col min="7441" max="7441" width="17.42578125" style="953" customWidth="1"/>
    <col min="7442" max="7442" width="15.42578125" style="953" customWidth="1"/>
    <col min="7443" max="7443" width="9.140625" style="953"/>
    <col min="7444" max="7444" width="18.85546875" style="953" bestFit="1" customWidth="1"/>
    <col min="7445" max="7682" width="9.140625" style="953"/>
    <col min="7683" max="7683" width="4.5703125" style="953" customWidth="1"/>
    <col min="7684" max="7684" width="22.42578125" style="953" bestFit="1" customWidth="1"/>
    <col min="7685" max="7685" width="16.42578125" style="953" customWidth="1"/>
    <col min="7686" max="7686" width="10.7109375" style="953" customWidth="1"/>
    <col min="7687" max="7687" width="11.5703125" style="953" customWidth="1"/>
    <col min="7688" max="7688" width="7.140625" style="953" customWidth="1"/>
    <col min="7689" max="7689" width="14.5703125" style="953" customWidth="1"/>
    <col min="7690" max="7690" width="15.5703125" style="953" bestFit="1" customWidth="1"/>
    <col min="7691" max="7691" width="0" style="953" hidden="1" customWidth="1"/>
    <col min="7692" max="7692" width="15" style="953" bestFit="1" customWidth="1"/>
    <col min="7693" max="7693" width="12.5703125" style="953" bestFit="1" customWidth="1"/>
    <col min="7694" max="7694" width="0" style="953" hidden="1" customWidth="1"/>
    <col min="7695" max="7695" width="16.7109375" style="953" customWidth="1"/>
    <col min="7696" max="7696" width="14.85546875" style="953" customWidth="1"/>
    <col min="7697" max="7697" width="17.42578125" style="953" customWidth="1"/>
    <col min="7698" max="7698" width="15.42578125" style="953" customWidth="1"/>
    <col min="7699" max="7699" width="9.140625" style="953"/>
    <col min="7700" max="7700" width="18.85546875" style="953" bestFit="1" customWidth="1"/>
    <col min="7701" max="7938" width="9.140625" style="953"/>
    <col min="7939" max="7939" width="4.5703125" style="953" customWidth="1"/>
    <col min="7940" max="7940" width="22.42578125" style="953" bestFit="1" customWidth="1"/>
    <col min="7941" max="7941" width="16.42578125" style="953" customWidth="1"/>
    <col min="7942" max="7942" width="10.7109375" style="953" customWidth="1"/>
    <col min="7943" max="7943" width="11.5703125" style="953" customWidth="1"/>
    <col min="7944" max="7944" width="7.140625" style="953" customWidth="1"/>
    <col min="7945" max="7945" width="14.5703125" style="953" customWidth="1"/>
    <col min="7946" max="7946" width="15.5703125" style="953" bestFit="1" customWidth="1"/>
    <col min="7947" max="7947" width="0" style="953" hidden="1" customWidth="1"/>
    <col min="7948" max="7948" width="15" style="953" bestFit="1" customWidth="1"/>
    <col min="7949" max="7949" width="12.5703125" style="953" bestFit="1" customWidth="1"/>
    <col min="7950" max="7950" width="0" style="953" hidden="1" customWidth="1"/>
    <col min="7951" max="7951" width="16.7109375" style="953" customWidth="1"/>
    <col min="7952" max="7952" width="14.85546875" style="953" customWidth="1"/>
    <col min="7953" max="7953" width="17.42578125" style="953" customWidth="1"/>
    <col min="7954" max="7954" width="15.42578125" style="953" customWidth="1"/>
    <col min="7955" max="7955" width="9.140625" style="953"/>
    <col min="7956" max="7956" width="18.85546875" style="953" bestFit="1" customWidth="1"/>
    <col min="7957" max="8194" width="9.140625" style="953"/>
    <col min="8195" max="8195" width="4.5703125" style="953" customWidth="1"/>
    <col min="8196" max="8196" width="22.42578125" style="953" bestFit="1" customWidth="1"/>
    <col min="8197" max="8197" width="16.42578125" style="953" customWidth="1"/>
    <col min="8198" max="8198" width="10.7109375" style="953" customWidth="1"/>
    <col min="8199" max="8199" width="11.5703125" style="953" customWidth="1"/>
    <col min="8200" max="8200" width="7.140625" style="953" customWidth="1"/>
    <col min="8201" max="8201" width="14.5703125" style="953" customWidth="1"/>
    <col min="8202" max="8202" width="15.5703125" style="953" bestFit="1" customWidth="1"/>
    <col min="8203" max="8203" width="0" style="953" hidden="1" customWidth="1"/>
    <col min="8204" max="8204" width="15" style="953" bestFit="1" customWidth="1"/>
    <col min="8205" max="8205" width="12.5703125" style="953" bestFit="1" customWidth="1"/>
    <col min="8206" max="8206" width="0" style="953" hidden="1" customWidth="1"/>
    <col min="8207" max="8207" width="16.7109375" style="953" customWidth="1"/>
    <col min="8208" max="8208" width="14.85546875" style="953" customWidth="1"/>
    <col min="8209" max="8209" width="17.42578125" style="953" customWidth="1"/>
    <col min="8210" max="8210" width="15.42578125" style="953" customWidth="1"/>
    <col min="8211" max="8211" width="9.140625" style="953"/>
    <col min="8212" max="8212" width="18.85546875" style="953" bestFit="1" customWidth="1"/>
    <col min="8213" max="8450" width="9.140625" style="953"/>
    <col min="8451" max="8451" width="4.5703125" style="953" customWidth="1"/>
    <col min="8452" max="8452" width="22.42578125" style="953" bestFit="1" customWidth="1"/>
    <col min="8453" max="8453" width="16.42578125" style="953" customWidth="1"/>
    <col min="8454" max="8454" width="10.7109375" style="953" customWidth="1"/>
    <col min="8455" max="8455" width="11.5703125" style="953" customWidth="1"/>
    <col min="8456" max="8456" width="7.140625" style="953" customWidth="1"/>
    <col min="8457" max="8457" width="14.5703125" style="953" customWidth="1"/>
    <col min="8458" max="8458" width="15.5703125" style="953" bestFit="1" customWidth="1"/>
    <col min="8459" max="8459" width="0" style="953" hidden="1" customWidth="1"/>
    <col min="8460" max="8460" width="15" style="953" bestFit="1" customWidth="1"/>
    <col min="8461" max="8461" width="12.5703125" style="953" bestFit="1" customWidth="1"/>
    <col min="8462" max="8462" width="0" style="953" hidden="1" customWidth="1"/>
    <col min="8463" max="8463" width="16.7109375" style="953" customWidth="1"/>
    <col min="8464" max="8464" width="14.85546875" style="953" customWidth="1"/>
    <col min="8465" max="8465" width="17.42578125" style="953" customWidth="1"/>
    <col min="8466" max="8466" width="15.42578125" style="953" customWidth="1"/>
    <col min="8467" max="8467" width="9.140625" style="953"/>
    <col min="8468" max="8468" width="18.85546875" style="953" bestFit="1" customWidth="1"/>
    <col min="8469" max="8706" width="9.140625" style="953"/>
    <col min="8707" max="8707" width="4.5703125" style="953" customWidth="1"/>
    <col min="8708" max="8708" width="22.42578125" style="953" bestFit="1" customWidth="1"/>
    <col min="8709" max="8709" width="16.42578125" style="953" customWidth="1"/>
    <col min="8710" max="8710" width="10.7109375" style="953" customWidth="1"/>
    <col min="8711" max="8711" width="11.5703125" style="953" customWidth="1"/>
    <col min="8712" max="8712" width="7.140625" style="953" customWidth="1"/>
    <col min="8713" max="8713" width="14.5703125" style="953" customWidth="1"/>
    <col min="8714" max="8714" width="15.5703125" style="953" bestFit="1" customWidth="1"/>
    <col min="8715" max="8715" width="0" style="953" hidden="1" customWidth="1"/>
    <col min="8716" max="8716" width="15" style="953" bestFit="1" customWidth="1"/>
    <col min="8717" max="8717" width="12.5703125" style="953" bestFit="1" customWidth="1"/>
    <col min="8718" max="8718" width="0" style="953" hidden="1" customWidth="1"/>
    <col min="8719" max="8719" width="16.7109375" style="953" customWidth="1"/>
    <col min="8720" max="8720" width="14.85546875" style="953" customWidth="1"/>
    <col min="8721" max="8721" width="17.42578125" style="953" customWidth="1"/>
    <col min="8722" max="8722" width="15.42578125" style="953" customWidth="1"/>
    <col min="8723" max="8723" width="9.140625" style="953"/>
    <col min="8724" max="8724" width="18.85546875" style="953" bestFit="1" customWidth="1"/>
    <col min="8725" max="8962" width="9.140625" style="953"/>
    <col min="8963" max="8963" width="4.5703125" style="953" customWidth="1"/>
    <col min="8964" max="8964" width="22.42578125" style="953" bestFit="1" customWidth="1"/>
    <col min="8965" max="8965" width="16.42578125" style="953" customWidth="1"/>
    <col min="8966" max="8966" width="10.7109375" style="953" customWidth="1"/>
    <col min="8967" max="8967" width="11.5703125" style="953" customWidth="1"/>
    <col min="8968" max="8968" width="7.140625" style="953" customWidth="1"/>
    <col min="8969" max="8969" width="14.5703125" style="953" customWidth="1"/>
    <col min="8970" max="8970" width="15.5703125" style="953" bestFit="1" customWidth="1"/>
    <col min="8971" max="8971" width="0" style="953" hidden="1" customWidth="1"/>
    <col min="8972" max="8972" width="15" style="953" bestFit="1" customWidth="1"/>
    <col min="8973" max="8973" width="12.5703125" style="953" bestFit="1" customWidth="1"/>
    <col min="8974" max="8974" width="0" style="953" hidden="1" customWidth="1"/>
    <col min="8975" max="8975" width="16.7109375" style="953" customWidth="1"/>
    <col min="8976" max="8976" width="14.85546875" style="953" customWidth="1"/>
    <col min="8977" max="8977" width="17.42578125" style="953" customWidth="1"/>
    <col min="8978" max="8978" width="15.42578125" style="953" customWidth="1"/>
    <col min="8979" max="8979" width="9.140625" style="953"/>
    <col min="8980" max="8980" width="18.85546875" style="953" bestFit="1" customWidth="1"/>
    <col min="8981" max="9218" width="9.140625" style="953"/>
    <col min="9219" max="9219" width="4.5703125" style="953" customWidth="1"/>
    <col min="9220" max="9220" width="22.42578125" style="953" bestFit="1" customWidth="1"/>
    <col min="9221" max="9221" width="16.42578125" style="953" customWidth="1"/>
    <col min="9222" max="9222" width="10.7109375" style="953" customWidth="1"/>
    <col min="9223" max="9223" width="11.5703125" style="953" customWidth="1"/>
    <col min="9224" max="9224" width="7.140625" style="953" customWidth="1"/>
    <col min="9225" max="9225" width="14.5703125" style="953" customWidth="1"/>
    <col min="9226" max="9226" width="15.5703125" style="953" bestFit="1" customWidth="1"/>
    <col min="9227" max="9227" width="0" style="953" hidden="1" customWidth="1"/>
    <col min="9228" max="9228" width="15" style="953" bestFit="1" customWidth="1"/>
    <col min="9229" max="9229" width="12.5703125" style="953" bestFit="1" customWidth="1"/>
    <col min="9230" max="9230" width="0" style="953" hidden="1" customWidth="1"/>
    <col min="9231" max="9231" width="16.7109375" style="953" customWidth="1"/>
    <col min="9232" max="9232" width="14.85546875" style="953" customWidth="1"/>
    <col min="9233" max="9233" width="17.42578125" style="953" customWidth="1"/>
    <col min="9234" max="9234" width="15.42578125" style="953" customWidth="1"/>
    <col min="9235" max="9235" width="9.140625" style="953"/>
    <col min="9236" max="9236" width="18.85546875" style="953" bestFit="1" customWidth="1"/>
    <col min="9237" max="9474" width="9.140625" style="953"/>
    <col min="9475" max="9475" width="4.5703125" style="953" customWidth="1"/>
    <col min="9476" max="9476" width="22.42578125" style="953" bestFit="1" customWidth="1"/>
    <col min="9477" max="9477" width="16.42578125" style="953" customWidth="1"/>
    <col min="9478" max="9478" width="10.7109375" style="953" customWidth="1"/>
    <col min="9479" max="9479" width="11.5703125" style="953" customWidth="1"/>
    <col min="9480" max="9480" width="7.140625" style="953" customWidth="1"/>
    <col min="9481" max="9481" width="14.5703125" style="953" customWidth="1"/>
    <col min="9482" max="9482" width="15.5703125" style="953" bestFit="1" customWidth="1"/>
    <col min="9483" max="9483" width="0" style="953" hidden="1" customWidth="1"/>
    <col min="9484" max="9484" width="15" style="953" bestFit="1" customWidth="1"/>
    <col min="9485" max="9485" width="12.5703125" style="953" bestFit="1" customWidth="1"/>
    <col min="9486" max="9486" width="0" style="953" hidden="1" customWidth="1"/>
    <col min="9487" max="9487" width="16.7109375" style="953" customWidth="1"/>
    <col min="9488" max="9488" width="14.85546875" style="953" customWidth="1"/>
    <col min="9489" max="9489" width="17.42578125" style="953" customWidth="1"/>
    <col min="9490" max="9490" width="15.42578125" style="953" customWidth="1"/>
    <col min="9491" max="9491" width="9.140625" style="953"/>
    <col min="9492" max="9492" width="18.85546875" style="953" bestFit="1" customWidth="1"/>
    <col min="9493" max="9730" width="9.140625" style="953"/>
    <col min="9731" max="9731" width="4.5703125" style="953" customWidth="1"/>
    <col min="9732" max="9732" width="22.42578125" style="953" bestFit="1" customWidth="1"/>
    <col min="9733" max="9733" width="16.42578125" style="953" customWidth="1"/>
    <col min="9734" max="9734" width="10.7109375" style="953" customWidth="1"/>
    <col min="9735" max="9735" width="11.5703125" style="953" customWidth="1"/>
    <col min="9736" max="9736" width="7.140625" style="953" customWidth="1"/>
    <col min="9737" max="9737" width="14.5703125" style="953" customWidth="1"/>
    <col min="9738" max="9738" width="15.5703125" style="953" bestFit="1" customWidth="1"/>
    <col min="9739" max="9739" width="0" style="953" hidden="1" customWidth="1"/>
    <col min="9740" max="9740" width="15" style="953" bestFit="1" customWidth="1"/>
    <col min="9741" max="9741" width="12.5703125" style="953" bestFit="1" customWidth="1"/>
    <col min="9742" max="9742" width="0" style="953" hidden="1" customWidth="1"/>
    <col min="9743" max="9743" width="16.7109375" style="953" customWidth="1"/>
    <col min="9744" max="9744" width="14.85546875" style="953" customWidth="1"/>
    <col min="9745" max="9745" width="17.42578125" style="953" customWidth="1"/>
    <col min="9746" max="9746" width="15.42578125" style="953" customWidth="1"/>
    <col min="9747" max="9747" width="9.140625" style="953"/>
    <col min="9748" max="9748" width="18.85546875" style="953" bestFit="1" customWidth="1"/>
    <col min="9749" max="9986" width="9.140625" style="953"/>
    <col min="9987" max="9987" width="4.5703125" style="953" customWidth="1"/>
    <col min="9988" max="9988" width="22.42578125" style="953" bestFit="1" customWidth="1"/>
    <col min="9989" max="9989" width="16.42578125" style="953" customWidth="1"/>
    <col min="9990" max="9990" width="10.7109375" style="953" customWidth="1"/>
    <col min="9991" max="9991" width="11.5703125" style="953" customWidth="1"/>
    <col min="9992" max="9992" width="7.140625" style="953" customWidth="1"/>
    <col min="9993" max="9993" width="14.5703125" style="953" customWidth="1"/>
    <col min="9994" max="9994" width="15.5703125" style="953" bestFit="1" customWidth="1"/>
    <col min="9995" max="9995" width="0" style="953" hidden="1" customWidth="1"/>
    <col min="9996" max="9996" width="15" style="953" bestFit="1" customWidth="1"/>
    <col min="9997" max="9997" width="12.5703125" style="953" bestFit="1" customWidth="1"/>
    <col min="9998" max="9998" width="0" style="953" hidden="1" customWidth="1"/>
    <col min="9999" max="9999" width="16.7109375" style="953" customWidth="1"/>
    <col min="10000" max="10000" width="14.85546875" style="953" customWidth="1"/>
    <col min="10001" max="10001" width="17.42578125" style="953" customWidth="1"/>
    <col min="10002" max="10002" width="15.42578125" style="953" customWidth="1"/>
    <col min="10003" max="10003" width="9.140625" style="953"/>
    <col min="10004" max="10004" width="18.85546875" style="953" bestFit="1" customWidth="1"/>
    <col min="10005" max="10242" width="9.140625" style="953"/>
    <col min="10243" max="10243" width="4.5703125" style="953" customWidth="1"/>
    <col min="10244" max="10244" width="22.42578125" style="953" bestFit="1" customWidth="1"/>
    <col min="10245" max="10245" width="16.42578125" style="953" customWidth="1"/>
    <col min="10246" max="10246" width="10.7109375" style="953" customWidth="1"/>
    <col min="10247" max="10247" width="11.5703125" style="953" customWidth="1"/>
    <col min="10248" max="10248" width="7.140625" style="953" customWidth="1"/>
    <col min="10249" max="10249" width="14.5703125" style="953" customWidth="1"/>
    <col min="10250" max="10250" width="15.5703125" style="953" bestFit="1" customWidth="1"/>
    <col min="10251" max="10251" width="0" style="953" hidden="1" customWidth="1"/>
    <col min="10252" max="10252" width="15" style="953" bestFit="1" customWidth="1"/>
    <col min="10253" max="10253" width="12.5703125" style="953" bestFit="1" customWidth="1"/>
    <col min="10254" max="10254" width="0" style="953" hidden="1" customWidth="1"/>
    <col min="10255" max="10255" width="16.7109375" style="953" customWidth="1"/>
    <col min="10256" max="10256" width="14.85546875" style="953" customWidth="1"/>
    <col min="10257" max="10257" width="17.42578125" style="953" customWidth="1"/>
    <col min="10258" max="10258" width="15.42578125" style="953" customWidth="1"/>
    <col min="10259" max="10259" width="9.140625" style="953"/>
    <col min="10260" max="10260" width="18.85546875" style="953" bestFit="1" customWidth="1"/>
    <col min="10261" max="10498" width="9.140625" style="953"/>
    <col min="10499" max="10499" width="4.5703125" style="953" customWidth="1"/>
    <col min="10500" max="10500" width="22.42578125" style="953" bestFit="1" customWidth="1"/>
    <col min="10501" max="10501" width="16.42578125" style="953" customWidth="1"/>
    <col min="10502" max="10502" width="10.7109375" style="953" customWidth="1"/>
    <col min="10503" max="10503" width="11.5703125" style="953" customWidth="1"/>
    <col min="10504" max="10504" width="7.140625" style="953" customWidth="1"/>
    <col min="10505" max="10505" width="14.5703125" style="953" customWidth="1"/>
    <col min="10506" max="10506" width="15.5703125" style="953" bestFit="1" customWidth="1"/>
    <col min="10507" max="10507" width="0" style="953" hidden="1" customWidth="1"/>
    <col min="10508" max="10508" width="15" style="953" bestFit="1" customWidth="1"/>
    <col min="10509" max="10509" width="12.5703125" style="953" bestFit="1" customWidth="1"/>
    <col min="10510" max="10510" width="0" style="953" hidden="1" customWidth="1"/>
    <col min="10511" max="10511" width="16.7109375" style="953" customWidth="1"/>
    <col min="10512" max="10512" width="14.85546875" style="953" customWidth="1"/>
    <col min="10513" max="10513" width="17.42578125" style="953" customWidth="1"/>
    <col min="10514" max="10514" width="15.42578125" style="953" customWidth="1"/>
    <col min="10515" max="10515" width="9.140625" style="953"/>
    <col min="10516" max="10516" width="18.85546875" style="953" bestFit="1" customWidth="1"/>
    <col min="10517" max="10754" width="9.140625" style="953"/>
    <col min="10755" max="10755" width="4.5703125" style="953" customWidth="1"/>
    <col min="10756" max="10756" width="22.42578125" style="953" bestFit="1" customWidth="1"/>
    <col min="10757" max="10757" width="16.42578125" style="953" customWidth="1"/>
    <col min="10758" max="10758" width="10.7109375" style="953" customWidth="1"/>
    <col min="10759" max="10759" width="11.5703125" style="953" customWidth="1"/>
    <col min="10760" max="10760" width="7.140625" style="953" customWidth="1"/>
    <col min="10761" max="10761" width="14.5703125" style="953" customWidth="1"/>
    <col min="10762" max="10762" width="15.5703125" style="953" bestFit="1" customWidth="1"/>
    <col min="10763" max="10763" width="0" style="953" hidden="1" customWidth="1"/>
    <col min="10764" max="10764" width="15" style="953" bestFit="1" customWidth="1"/>
    <col min="10765" max="10765" width="12.5703125" style="953" bestFit="1" customWidth="1"/>
    <col min="10766" max="10766" width="0" style="953" hidden="1" customWidth="1"/>
    <col min="10767" max="10767" width="16.7109375" style="953" customWidth="1"/>
    <col min="10768" max="10768" width="14.85546875" style="953" customWidth="1"/>
    <col min="10769" max="10769" width="17.42578125" style="953" customWidth="1"/>
    <col min="10770" max="10770" width="15.42578125" style="953" customWidth="1"/>
    <col min="10771" max="10771" width="9.140625" style="953"/>
    <col min="10772" max="10772" width="18.85546875" style="953" bestFit="1" customWidth="1"/>
    <col min="10773" max="11010" width="9.140625" style="953"/>
    <col min="11011" max="11011" width="4.5703125" style="953" customWidth="1"/>
    <col min="11012" max="11012" width="22.42578125" style="953" bestFit="1" customWidth="1"/>
    <col min="11013" max="11013" width="16.42578125" style="953" customWidth="1"/>
    <col min="11014" max="11014" width="10.7109375" style="953" customWidth="1"/>
    <col min="11015" max="11015" width="11.5703125" style="953" customWidth="1"/>
    <col min="11016" max="11016" width="7.140625" style="953" customWidth="1"/>
    <col min="11017" max="11017" width="14.5703125" style="953" customWidth="1"/>
    <col min="11018" max="11018" width="15.5703125" style="953" bestFit="1" customWidth="1"/>
    <col min="11019" max="11019" width="0" style="953" hidden="1" customWidth="1"/>
    <col min="11020" max="11020" width="15" style="953" bestFit="1" customWidth="1"/>
    <col min="11021" max="11021" width="12.5703125" style="953" bestFit="1" customWidth="1"/>
    <col min="11022" max="11022" width="0" style="953" hidden="1" customWidth="1"/>
    <col min="11023" max="11023" width="16.7109375" style="953" customWidth="1"/>
    <col min="11024" max="11024" width="14.85546875" style="953" customWidth="1"/>
    <col min="11025" max="11025" width="17.42578125" style="953" customWidth="1"/>
    <col min="11026" max="11026" width="15.42578125" style="953" customWidth="1"/>
    <col min="11027" max="11027" width="9.140625" style="953"/>
    <col min="11028" max="11028" width="18.85546875" style="953" bestFit="1" customWidth="1"/>
    <col min="11029" max="11266" width="9.140625" style="953"/>
    <col min="11267" max="11267" width="4.5703125" style="953" customWidth="1"/>
    <col min="11268" max="11268" width="22.42578125" style="953" bestFit="1" customWidth="1"/>
    <col min="11269" max="11269" width="16.42578125" style="953" customWidth="1"/>
    <col min="11270" max="11270" width="10.7109375" style="953" customWidth="1"/>
    <col min="11271" max="11271" width="11.5703125" style="953" customWidth="1"/>
    <col min="11272" max="11272" width="7.140625" style="953" customWidth="1"/>
    <col min="11273" max="11273" width="14.5703125" style="953" customWidth="1"/>
    <col min="11274" max="11274" width="15.5703125" style="953" bestFit="1" customWidth="1"/>
    <col min="11275" max="11275" width="0" style="953" hidden="1" customWidth="1"/>
    <col min="11276" max="11276" width="15" style="953" bestFit="1" customWidth="1"/>
    <col min="11277" max="11277" width="12.5703125" style="953" bestFit="1" customWidth="1"/>
    <col min="11278" max="11278" width="0" style="953" hidden="1" customWidth="1"/>
    <col min="11279" max="11279" width="16.7109375" style="953" customWidth="1"/>
    <col min="11280" max="11280" width="14.85546875" style="953" customWidth="1"/>
    <col min="11281" max="11281" width="17.42578125" style="953" customWidth="1"/>
    <col min="11282" max="11282" width="15.42578125" style="953" customWidth="1"/>
    <col min="11283" max="11283" width="9.140625" style="953"/>
    <col min="11284" max="11284" width="18.85546875" style="953" bestFit="1" customWidth="1"/>
    <col min="11285" max="11522" width="9.140625" style="953"/>
    <col min="11523" max="11523" width="4.5703125" style="953" customWidth="1"/>
    <col min="11524" max="11524" width="22.42578125" style="953" bestFit="1" customWidth="1"/>
    <col min="11525" max="11525" width="16.42578125" style="953" customWidth="1"/>
    <col min="11526" max="11526" width="10.7109375" style="953" customWidth="1"/>
    <col min="11527" max="11527" width="11.5703125" style="953" customWidth="1"/>
    <col min="11528" max="11528" width="7.140625" style="953" customWidth="1"/>
    <col min="11529" max="11529" width="14.5703125" style="953" customWidth="1"/>
    <col min="11530" max="11530" width="15.5703125" style="953" bestFit="1" customWidth="1"/>
    <col min="11531" max="11531" width="0" style="953" hidden="1" customWidth="1"/>
    <col min="11532" max="11532" width="15" style="953" bestFit="1" customWidth="1"/>
    <col min="11533" max="11533" width="12.5703125" style="953" bestFit="1" customWidth="1"/>
    <col min="11534" max="11534" width="0" style="953" hidden="1" customWidth="1"/>
    <col min="11535" max="11535" width="16.7109375" style="953" customWidth="1"/>
    <col min="11536" max="11536" width="14.85546875" style="953" customWidth="1"/>
    <col min="11537" max="11537" width="17.42578125" style="953" customWidth="1"/>
    <col min="11538" max="11538" width="15.42578125" style="953" customWidth="1"/>
    <col min="11539" max="11539" width="9.140625" style="953"/>
    <col min="11540" max="11540" width="18.85546875" style="953" bestFit="1" customWidth="1"/>
    <col min="11541" max="11778" width="9.140625" style="953"/>
    <col min="11779" max="11779" width="4.5703125" style="953" customWidth="1"/>
    <col min="11780" max="11780" width="22.42578125" style="953" bestFit="1" customWidth="1"/>
    <col min="11781" max="11781" width="16.42578125" style="953" customWidth="1"/>
    <col min="11782" max="11782" width="10.7109375" style="953" customWidth="1"/>
    <col min="11783" max="11783" width="11.5703125" style="953" customWidth="1"/>
    <col min="11784" max="11784" width="7.140625" style="953" customWidth="1"/>
    <col min="11785" max="11785" width="14.5703125" style="953" customWidth="1"/>
    <col min="11786" max="11786" width="15.5703125" style="953" bestFit="1" customWidth="1"/>
    <col min="11787" max="11787" width="0" style="953" hidden="1" customWidth="1"/>
    <col min="11788" max="11788" width="15" style="953" bestFit="1" customWidth="1"/>
    <col min="11789" max="11789" width="12.5703125" style="953" bestFit="1" customWidth="1"/>
    <col min="11790" max="11790" width="0" style="953" hidden="1" customWidth="1"/>
    <col min="11791" max="11791" width="16.7109375" style="953" customWidth="1"/>
    <col min="11792" max="11792" width="14.85546875" style="953" customWidth="1"/>
    <col min="11793" max="11793" width="17.42578125" style="953" customWidth="1"/>
    <col min="11794" max="11794" width="15.42578125" style="953" customWidth="1"/>
    <col min="11795" max="11795" width="9.140625" style="953"/>
    <col min="11796" max="11796" width="18.85546875" style="953" bestFit="1" customWidth="1"/>
    <col min="11797" max="12034" width="9.140625" style="953"/>
    <col min="12035" max="12035" width="4.5703125" style="953" customWidth="1"/>
    <col min="12036" max="12036" width="22.42578125" style="953" bestFit="1" customWidth="1"/>
    <col min="12037" max="12037" width="16.42578125" style="953" customWidth="1"/>
    <col min="12038" max="12038" width="10.7109375" style="953" customWidth="1"/>
    <col min="12039" max="12039" width="11.5703125" style="953" customWidth="1"/>
    <col min="12040" max="12040" width="7.140625" style="953" customWidth="1"/>
    <col min="12041" max="12041" width="14.5703125" style="953" customWidth="1"/>
    <col min="12042" max="12042" width="15.5703125" style="953" bestFit="1" customWidth="1"/>
    <col min="12043" max="12043" width="0" style="953" hidden="1" customWidth="1"/>
    <col min="12044" max="12044" width="15" style="953" bestFit="1" customWidth="1"/>
    <col min="12045" max="12045" width="12.5703125" style="953" bestFit="1" customWidth="1"/>
    <col min="12046" max="12046" width="0" style="953" hidden="1" customWidth="1"/>
    <col min="12047" max="12047" width="16.7109375" style="953" customWidth="1"/>
    <col min="12048" max="12048" width="14.85546875" style="953" customWidth="1"/>
    <col min="12049" max="12049" width="17.42578125" style="953" customWidth="1"/>
    <col min="12050" max="12050" width="15.42578125" style="953" customWidth="1"/>
    <col min="12051" max="12051" width="9.140625" style="953"/>
    <col min="12052" max="12052" width="18.85546875" style="953" bestFit="1" customWidth="1"/>
    <col min="12053" max="12290" width="9.140625" style="953"/>
    <col min="12291" max="12291" width="4.5703125" style="953" customWidth="1"/>
    <col min="12292" max="12292" width="22.42578125" style="953" bestFit="1" customWidth="1"/>
    <col min="12293" max="12293" width="16.42578125" style="953" customWidth="1"/>
    <col min="12294" max="12294" width="10.7109375" style="953" customWidth="1"/>
    <col min="12295" max="12295" width="11.5703125" style="953" customWidth="1"/>
    <col min="12296" max="12296" width="7.140625" style="953" customWidth="1"/>
    <col min="12297" max="12297" width="14.5703125" style="953" customWidth="1"/>
    <col min="12298" max="12298" width="15.5703125" style="953" bestFit="1" customWidth="1"/>
    <col min="12299" max="12299" width="0" style="953" hidden="1" customWidth="1"/>
    <col min="12300" max="12300" width="15" style="953" bestFit="1" customWidth="1"/>
    <col min="12301" max="12301" width="12.5703125" style="953" bestFit="1" customWidth="1"/>
    <col min="12302" max="12302" width="0" style="953" hidden="1" customWidth="1"/>
    <col min="12303" max="12303" width="16.7109375" style="953" customWidth="1"/>
    <col min="12304" max="12304" width="14.85546875" style="953" customWidth="1"/>
    <col min="12305" max="12305" width="17.42578125" style="953" customWidth="1"/>
    <col min="12306" max="12306" width="15.42578125" style="953" customWidth="1"/>
    <col min="12307" max="12307" width="9.140625" style="953"/>
    <col min="12308" max="12308" width="18.85546875" style="953" bestFit="1" customWidth="1"/>
    <col min="12309" max="12546" width="9.140625" style="953"/>
    <col min="12547" max="12547" width="4.5703125" style="953" customWidth="1"/>
    <col min="12548" max="12548" width="22.42578125" style="953" bestFit="1" customWidth="1"/>
    <col min="12549" max="12549" width="16.42578125" style="953" customWidth="1"/>
    <col min="12550" max="12550" width="10.7109375" style="953" customWidth="1"/>
    <col min="12551" max="12551" width="11.5703125" style="953" customWidth="1"/>
    <col min="12552" max="12552" width="7.140625" style="953" customWidth="1"/>
    <col min="12553" max="12553" width="14.5703125" style="953" customWidth="1"/>
    <col min="12554" max="12554" width="15.5703125" style="953" bestFit="1" customWidth="1"/>
    <col min="12555" max="12555" width="0" style="953" hidden="1" customWidth="1"/>
    <col min="12556" max="12556" width="15" style="953" bestFit="1" customWidth="1"/>
    <col min="12557" max="12557" width="12.5703125" style="953" bestFit="1" customWidth="1"/>
    <col min="12558" max="12558" width="0" style="953" hidden="1" customWidth="1"/>
    <col min="12559" max="12559" width="16.7109375" style="953" customWidth="1"/>
    <col min="12560" max="12560" width="14.85546875" style="953" customWidth="1"/>
    <col min="12561" max="12561" width="17.42578125" style="953" customWidth="1"/>
    <col min="12562" max="12562" width="15.42578125" style="953" customWidth="1"/>
    <col min="12563" max="12563" width="9.140625" style="953"/>
    <col min="12564" max="12564" width="18.85546875" style="953" bestFit="1" customWidth="1"/>
    <col min="12565" max="12802" width="9.140625" style="953"/>
    <col min="12803" max="12803" width="4.5703125" style="953" customWidth="1"/>
    <col min="12804" max="12804" width="22.42578125" style="953" bestFit="1" customWidth="1"/>
    <col min="12805" max="12805" width="16.42578125" style="953" customWidth="1"/>
    <col min="12806" max="12806" width="10.7109375" style="953" customWidth="1"/>
    <col min="12807" max="12807" width="11.5703125" style="953" customWidth="1"/>
    <col min="12808" max="12808" width="7.140625" style="953" customWidth="1"/>
    <col min="12809" max="12809" width="14.5703125" style="953" customWidth="1"/>
    <col min="12810" max="12810" width="15.5703125" style="953" bestFit="1" customWidth="1"/>
    <col min="12811" max="12811" width="0" style="953" hidden="1" customWidth="1"/>
    <col min="12812" max="12812" width="15" style="953" bestFit="1" customWidth="1"/>
    <col min="12813" max="12813" width="12.5703125" style="953" bestFit="1" customWidth="1"/>
    <col min="12814" max="12814" width="0" style="953" hidden="1" customWidth="1"/>
    <col min="12815" max="12815" width="16.7109375" style="953" customWidth="1"/>
    <col min="12816" max="12816" width="14.85546875" style="953" customWidth="1"/>
    <col min="12817" max="12817" width="17.42578125" style="953" customWidth="1"/>
    <col min="12818" max="12818" width="15.42578125" style="953" customWidth="1"/>
    <col min="12819" max="12819" width="9.140625" style="953"/>
    <col min="12820" max="12820" width="18.85546875" style="953" bestFit="1" customWidth="1"/>
    <col min="12821" max="13058" width="9.140625" style="953"/>
    <col min="13059" max="13059" width="4.5703125" style="953" customWidth="1"/>
    <col min="13060" max="13060" width="22.42578125" style="953" bestFit="1" customWidth="1"/>
    <col min="13061" max="13061" width="16.42578125" style="953" customWidth="1"/>
    <col min="13062" max="13062" width="10.7109375" style="953" customWidth="1"/>
    <col min="13063" max="13063" width="11.5703125" style="953" customWidth="1"/>
    <col min="13064" max="13064" width="7.140625" style="953" customWidth="1"/>
    <col min="13065" max="13065" width="14.5703125" style="953" customWidth="1"/>
    <col min="13066" max="13066" width="15.5703125" style="953" bestFit="1" customWidth="1"/>
    <col min="13067" max="13067" width="0" style="953" hidden="1" customWidth="1"/>
    <col min="13068" max="13068" width="15" style="953" bestFit="1" customWidth="1"/>
    <col min="13069" max="13069" width="12.5703125" style="953" bestFit="1" customWidth="1"/>
    <col min="13070" max="13070" width="0" style="953" hidden="1" customWidth="1"/>
    <col min="13071" max="13071" width="16.7109375" style="953" customWidth="1"/>
    <col min="13072" max="13072" width="14.85546875" style="953" customWidth="1"/>
    <col min="13073" max="13073" width="17.42578125" style="953" customWidth="1"/>
    <col min="13074" max="13074" width="15.42578125" style="953" customWidth="1"/>
    <col min="13075" max="13075" width="9.140625" style="953"/>
    <col min="13076" max="13076" width="18.85546875" style="953" bestFit="1" customWidth="1"/>
    <col min="13077" max="13314" width="9.140625" style="953"/>
    <col min="13315" max="13315" width="4.5703125" style="953" customWidth="1"/>
    <col min="13316" max="13316" width="22.42578125" style="953" bestFit="1" customWidth="1"/>
    <col min="13317" max="13317" width="16.42578125" style="953" customWidth="1"/>
    <col min="13318" max="13318" width="10.7109375" style="953" customWidth="1"/>
    <col min="13319" max="13319" width="11.5703125" style="953" customWidth="1"/>
    <col min="13320" max="13320" width="7.140625" style="953" customWidth="1"/>
    <col min="13321" max="13321" width="14.5703125" style="953" customWidth="1"/>
    <col min="13322" max="13322" width="15.5703125" style="953" bestFit="1" customWidth="1"/>
    <col min="13323" max="13323" width="0" style="953" hidden="1" customWidth="1"/>
    <col min="13324" max="13324" width="15" style="953" bestFit="1" customWidth="1"/>
    <col min="13325" max="13325" width="12.5703125" style="953" bestFit="1" customWidth="1"/>
    <col min="13326" max="13326" width="0" style="953" hidden="1" customWidth="1"/>
    <col min="13327" max="13327" width="16.7109375" style="953" customWidth="1"/>
    <col min="13328" max="13328" width="14.85546875" style="953" customWidth="1"/>
    <col min="13329" max="13329" width="17.42578125" style="953" customWidth="1"/>
    <col min="13330" max="13330" width="15.42578125" style="953" customWidth="1"/>
    <col min="13331" max="13331" width="9.140625" style="953"/>
    <col min="13332" max="13332" width="18.85546875" style="953" bestFit="1" customWidth="1"/>
    <col min="13333" max="13570" width="9.140625" style="953"/>
    <col min="13571" max="13571" width="4.5703125" style="953" customWidth="1"/>
    <col min="13572" max="13572" width="22.42578125" style="953" bestFit="1" customWidth="1"/>
    <col min="13573" max="13573" width="16.42578125" style="953" customWidth="1"/>
    <col min="13574" max="13574" width="10.7109375" style="953" customWidth="1"/>
    <col min="13575" max="13575" width="11.5703125" style="953" customWidth="1"/>
    <col min="13576" max="13576" width="7.140625" style="953" customWidth="1"/>
    <col min="13577" max="13577" width="14.5703125" style="953" customWidth="1"/>
    <col min="13578" max="13578" width="15.5703125" style="953" bestFit="1" customWidth="1"/>
    <col min="13579" max="13579" width="0" style="953" hidden="1" customWidth="1"/>
    <col min="13580" max="13580" width="15" style="953" bestFit="1" customWidth="1"/>
    <col min="13581" max="13581" width="12.5703125" style="953" bestFit="1" customWidth="1"/>
    <col min="13582" max="13582" width="0" style="953" hidden="1" customWidth="1"/>
    <col min="13583" max="13583" width="16.7109375" style="953" customWidth="1"/>
    <col min="13584" max="13584" width="14.85546875" style="953" customWidth="1"/>
    <col min="13585" max="13585" width="17.42578125" style="953" customWidth="1"/>
    <col min="13586" max="13586" width="15.42578125" style="953" customWidth="1"/>
    <col min="13587" max="13587" width="9.140625" style="953"/>
    <col min="13588" max="13588" width="18.85546875" style="953" bestFit="1" customWidth="1"/>
    <col min="13589" max="13826" width="9.140625" style="953"/>
    <col min="13827" max="13827" width="4.5703125" style="953" customWidth="1"/>
    <col min="13828" max="13828" width="22.42578125" style="953" bestFit="1" customWidth="1"/>
    <col min="13829" max="13829" width="16.42578125" style="953" customWidth="1"/>
    <col min="13830" max="13830" width="10.7109375" style="953" customWidth="1"/>
    <col min="13831" max="13831" width="11.5703125" style="953" customWidth="1"/>
    <col min="13832" max="13832" width="7.140625" style="953" customWidth="1"/>
    <col min="13833" max="13833" width="14.5703125" style="953" customWidth="1"/>
    <col min="13834" max="13834" width="15.5703125" style="953" bestFit="1" customWidth="1"/>
    <col min="13835" max="13835" width="0" style="953" hidden="1" customWidth="1"/>
    <col min="13836" max="13836" width="15" style="953" bestFit="1" customWidth="1"/>
    <col min="13837" max="13837" width="12.5703125" style="953" bestFit="1" customWidth="1"/>
    <col min="13838" max="13838" width="0" style="953" hidden="1" customWidth="1"/>
    <col min="13839" max="13839" width="16.7109375" style="953" customWidth="1"/>
    <col min="13840" max="13840" width="14.85546875" style="953" customWidth="1"/>
    <col min="13841" max="13841" width="17.42578125" style="953" customWidth="1"/>
    <col min="13842" max="13842" width="15.42578125" style="953" customWidth="1"/>
    <col min="13843" max="13843" width="9.140625" style="953"/>
    <col min="13844" max="13844" width="18.85546875" style="953" bestFit="1" customWidth="1"/>
    <col min="13845" max="14082" width="9.140625" style="953"/>
    <col min="14083" max="14083" width="4.5703125" style="953" customWidth="1"/>
    <col min="14084" max="14084" width="22.42578125" style="953" bestFit="1" customWidth="1"/>
    <col min="14085" max="14085" width="16.42578125" style="953" customWidth="1"/>
    <col min="14086" max="14086" width="10.7109375" style="953" customWidth="1"/>
    <col min="14087" max="14087" width="11.5703125" style="953" customWidth="1"/>
    <col min="14088" max="14088" width="7.140625" style="953" customWidth="1"/>
    <col min="14089" max="14089" width="14.5703125" style="953" customWidth="1"/>
    <col min="14090" max="14090" width="15.5703125" style="953" bestFit="1" customWidth="1"/>
    <col min="14091" max="14091" width="0" style="953" hidden="1" customWidth="1"/>
    <col min="14092" max="14092" width="15" style="953" bestFit="1" customWidth="1"/>
    <col min="14093" max="14093" width="12.5703125" style="953" bestFit="1" customWidth="1"/>
    <col min="14094" max="14094" width="0" style="953" hidden="1" customWidth="1"/>
    <col min="14095" max="14095" width="16.7109375" style="953" customWidth="1"/>
    <col min="14096" max="14096" width="14.85546875" style="953" customWidth="1"/>
    <col min="14097" max="14097" width="17.42578125" style="953" customWidth="1"/>
    <col min="14098" max="14098" width="15.42578125" style="953" customWidth="1"/>
    <col min="14099" max="14099" width="9.140625" style="953"/>
    <col min="14100" max="14100" width="18.85546875" style="953" bestFit="1" customWidth="1"/>
    <col min="14101" max="14338" width="9.140625" style="953"/>
    <col min="14339" max="14339" width="4.5703125" style="953" customWidth="1"/>
    <col min="14340" max="14340" width="22.42578125" style="953" bestFit="1" customWidth="1"/>
    <col min="14341" max="14341" width="16.42578125" style="953" customWidth="1"/>
    <col min="14342" max="14342" width="10.7109375" style="953" customWidth="1"/>
    <col min="14343" max="14343" width="11.5703125" style="953" customWidth="1"/>
    <col min="14344" max="14344" width="7.140625" style="953" customWidth="1"/>
    <col min="14345" max="14345" width="14.5703125" style="953" customWidth="1"/>
    <col min="14346" max="14346" width="15.5703125" style="953" bestFit="1" customWidth="1"/>
    <col min="14347" max="14347" width="0" style="953" hidden="1" customWidth="1"/>
    <col min="14348" max="14348" width="15" style="953" bestFit="1" customWidth="1"/>
    <col min="14349" max="14349" width="12.5703125" style="953" bestFit="1" customWidth="1"/>
    <col min="14350" max="14350" width="0" style="953" hidden="1" customWidth="1"/>
    <col min="14351" max="14351" width="16.7109375" style="953" customWidth="1"/>
    <col min="14352" max="14352" width="14.85546875" style="953" customWidth="1"/>
    <col min="14353" max="14353" width="17.42578125" style="953" customWidth="1"/>
    <col min="14354" max="14354" width="15.42578125" style="953" customWidth="1"/>
    <col min="14355" max="14355" width="9.140625" style="953"/>
    <col min="14356" max="14356" width="18.85546875" style="953" bestFit="1" customWidth="1"/>
    <col min="14357" max="14594" width="9.140625" style="953"/>
    <col min="14595" max="14595" width="4.5703125" style="953" customWidth="1"/>
    <col min="14596" max="14596" width="22.42578125" style="953" bestFit="1" customWidth="1"/>
    <col min="14597" max="14597" width="16.42578125" style="953" customWidth="1"/>
    <col min="14598" max="14598" width="10.7109375" style="953" customWidth="1"/>
    <col min="14599" max="14599" width="11.5703125" style="953" customWidth="1"/>
    <col min="14600" max="14600" width="7.140625" style="953" customWidth="1"/>
    <col min="14601" max="14601" width="14.5703125" style="953" customWidth="1"/>
    <col min="14602" max="14602" width="15.5703125" style="953" bestFit="1" customWidth="1"/>
    <col min="14603" max="14603" width="0" style="953" hidden="1" customWidth="1"/>
    <col min="14604" max="14604" width="15" style="953" bestFit="1" customWidth="1"/>
    <col min="14605" max="14605" width="12.5703125" style="953" bestFit="1" customWidth="1"/>
    <col min="14606" max="14606" width="0" style="953" hidden="1" customWidth="1"/>
    <col min="14607" max="14607" width="16.7109375" style="953" customWidth="1"/>
    <col min="14608" max="14608" width="14.85546875" style="953" customWidth="1"/>
    <col min="14609" max="14609" width="17.42578125" style="953" customWidth="1"/>
    <col min="14610" max="14610" width="15.42578125" style="953" customWidth="1"/>
    <col min="14611" max="14611" width="9.140625" style="953"/>
    <col min="14612" max="14612" width="18.85546875" style="953" bestFit="1" customWidth="1"/>
    <col min="14613" max="14850" width="9.140625" style="953"/>
    <col min="14851" max="14851" width="4.5703125" style="953" customWidth="1"/>
    <col min="14852" max="14852" width="22.42578125" style="953" bestFit="1" customWidth="1"/>
    <col min="14853" max="14853" width="16.42578125" style="953" customWidth="1"/>
    <col min="14854" max="14854" width="10.7109375" style="953" customWidth="1"/>
    <col min="14855" max="14855" width="11.5703125" style="953" customWidth="1"/>
    <col min="14856" max="14856" width="7.140625" style="953" customWidth="1"/>
    <col min="14857" max="14857" width="14.5703125" style="953" customWidth="1"/>
    <col min="14858" max="14858" width="15.5703125" style="953" bestFit="1" customWidth="1"/>
    <col min="14859" max="14859" width="0" style="953" hidden="1" customWidth="1"/>
    <col min="14860" max="14860" width="15" style="953" bestFit="1" customWidth="1"/>
    <col min="14861" max="14861" width="12.5703125" style="953" bestFit="1" customWidth="1"/>
    <col min="14862" max="14862" width="0" style="953" hidden="1" customWidth="1"/>
    <col min="14863" max="14863" width="16.7109375" style="953" customWidth="1"/>
    <col min="14864" max="14864" width="14.85546875" style="953" customWidth="1"/>
    <col min="14865" max="14865" width="17.42578125" style="953" customWidth="1"/>
    <col min="14866" max="14866" width="15.42578125" style="953" customWidth="1"/>
    <col min="14867" max="14867" width="9.140625" style="953"/>
    <col min="14868" max="14868" width="18.85546875" style="953" bestFit="1" customWidth="1"/>
    <col min="14869" max="15106" width="9.140625" style="953"/>
    <col min="15107" max="15107" width="4.5703125" style="953" customWidth="1"/>
    <col min="15108" max="15108" width="22.42578125" style="953" bestFit="1" customWidth="1"/>
    <col min="15109" max="15109" width="16.42578125" style="953" customWidth="1"/>
    <col min="15110" max="15110" width="10.7109375" style="953" customWidth="1"/>
    <col min="15111" max="15111" width="11.5703125" style="953" customWidth="1"/>
    <col min="15112" max="15112" width="7.140625" style="953" customWidth="1"/>
    <col min="15113" max="15113" width="14.5703125" style="953" customWidth="1"/>
    <col min="15114" max="15114" width="15.5703125" style="953" bestFit="1" customWidth="1"/>
    <col min="15115" max="15115" width="0" style="953" hidden="1" customWidth="1"/>
    <col min="15116" max="15116" width="15" style="953" bestFit="1" customWidth="1"/>
    <col min="15117" max="15117" width="12.5703125" style="953" bestFit="1" customWidth="1"/>
    <col min="15118" max="15118" width="0" style="953" hidden="1" customWidth="1"/>
    <col min="15119" max="15119" width="16.7109375" style="953" customWidth="1"/>
    <col min="15120" max="15120" width="14.85546875" style="953" customWidth="1"/>
    <col min="15121" max="15121" width="17.42578125" style="953" customWidth="1"/>
    <col min="15122" max="15122" width="15.42578125" style="953" customWidth="1"/>
    <col min="15123" max="15123" width="9.140625" style="953"/>
    <col min="15124" max="15124" width="18.85546875" style="953" bestFit="1" customWidth="1"/>
    <col min="15125" max="15362" width="9.140625" style="953"/>
    <col min="15363" max="15363" width="4.5703125" style="953" customWidth="1"/>
    <col min="15364" max="15364" width="22.42578125" style="953" bestFit="1" customWidth="1"/>
    <col min="15365" max="15365" width="16.42578125" style="953" customWidth="1"/>
    <col min="15366" max="15366" width="10.7109375" style="953" customWidth="1"/>
    <col min="15367" max="15367" width="11.5703125" style="953" customWidth="1"/>
    <col min="15368" max="15368" width="7.140625" style="953" customWidth="1"/>
    <col min="15369" max="15369" width="14.5703125" style="953" customWidth="1"/>
    <col min="15370" max="15370" width="15.5703125" style="953" bestFit="1" customWidth="1"/>
    <col min="15371" max="15371" width="0" style="953" hidden="1" customWidth="1"/>
    <col min="15372" max="15372" width="15" style="953" bestFit="1" customWidth="1"/>
    <col min="15373" max="15373" width="12.5703125" style="953" bestFit="1" customWidth="1"/>
    <col min="15374" max="15374" width="0" style="953" hidden="1" customWidth="1"/>
    <col min="15375" max="15375" width="16.7109375" style="953" customWidth="1"/>
    <col min="15376" max="15376" width="14.85546875" style="953" customWidth="1"/>
    <col min="15377" max="15377" width="17.42578125" style="953" customWidth="1"/>
    <col min="15378" max="15378" width="15.42578125" style="953" customWidth="1"/>
    <col min="15379" max="15379" width="9.140625" style="953"/>
    <col min="15380" max="15380" width="18.85546875" style="953" bestFit="1" customWidth="1"/>
    <col min="15381" max="15618" width="9.140625" style="953"/>
    <col min="15619" max="15619" width="4.5703125" style="953" customWidth="1"/>
    <col min="15620" max="15620" width="22.42578125" style="953" bestFit="1" customWidth="1"/>
    <col min="15621" max="15621" width="16.42578125" style="953" customWidth="1"/>
    <col min="15622" max="15622" width="10.7109375" style="953" customWidth="1"/>
    <col min="15623" max="15623" width="11.5703125" style="953" customWidth="1"/>
    <col min="15624" max="15624" width="7.140625" style="953" customWidth="1"/>
    <col min="15625" max="15625" width="14.5703125" style="953" customWidth="1"/>
    <col min="15626" max="15626" width="15.5703125" style="953" bestFit="1" customWidth="1"/>
    <col min="15627" max="15627" width="0" style="953" hidden="1" customWidth="1"/>
    <col min="15628" max="15628" width="15" style="953" bestFit="1" customWidth="1"/>
    <col min="15629" max="15629" width="12.5703125" style="953" bestFit="1" customWidth="1"/>
    <col min="15630" max="15630" width="0" style="953" hidden="1" customWidth="1"/>
    <col min="15631" max="15631" width="16.7109375" style="953" customWidth="1"/>
    <col min="15632" max="15632" width="14.85546875" style="953" customWidth="1"/>
    <col min="15633" max="15633" width="17.42578125" style="953" customWidth="1"/>
    <col min="15634" max="15634" width="15.42578125" style="953" customWidth="1"/>
    <col min="15635" max="15635" width="9.140625" style="953"/>
    <col min="15636" max="15636" width="18.85546875" style="953" bestFit="1" customWidth="1"/>
    <col min="15637" max="15874" width="9.140625" style="953"/>
    <col min="15875" max="15875" width="4.5703125" style="953" customWidth="1"/>
    <col min="15876" max="15876" width="22.42578125" style="953" bestFit="1" customWidth="1"/>
    <col min="15877" max="15877" width="16.42578125" style="953" customWidth="1"/>
    <col min="15878" max="15878" width="10.7109375" style="953" customWidth="1"/>
    <col min="15879" max="15879" width="11.5703125" style="953" customWidth="1"/>
    <col min="15880" max="15880" width="7.140625" style="953" customWidth="1"/>
    <col min="15881" max="15881" width="14.5703125" style="953" customWidth="1"/>
    <col min="15882" max="15882" width="15.5703125" style="953" bestFit="1" customWidth="1"/>
    <col min="15883" max="15883" width="0" style="953" hidden="1" customWidth="1"/>
    <col min="15884" max="15884" width="15" style="953" bestFit="1" customWidth="1"/>
    <col min="15885" max="15885" width="12.5703125" style="953" bestFit="1" customWidth="1"/>
    <col min="15886" max="15886" width="0" style="953" hidden="1" customWidth="1"/>
    <col min="15887" max="15887" width="16.7109375" style="953" customWidth="1"/>
    <col min="15888" max="15888" width="14.85546875" style="953" customWidth="1"/>
    <col min="15889" max="15889" width="17.42578125" style="953" customWidth="1"/>
    <col min="15890" max="15890" width="15.42578125" style="953" customWidth="1"/>
    <col min="15891" max="15891" width="9.140625" style="953"/>
    <col min="15892" max="15892" width="18.85546875" style="953" bestFit="1" customWidth="1"/>
    <col min="15893" max="16130" width="9.140625" style="953"/>
    <col min="16131" max="16131" width="4.5703125" style="953" customWidth="1"/>
    <col min="16132" max="16132" width="22.42578125" style="953" bestFit="1" customWidth="1"/>
    <col min="16133" max="16133" width="16.42578125" style="953" customWidth="1"/>
    <col min="16134" max="16134" width="10.7109375" style="953" customWidth="1"/>
    <col min="16135" max="16135" width="11.5703125" style="953" customWidth="1"/>
    <col min="16136" max="16136" width="7.140625" style="953" customWidth="1"/>
    <col min="16137" max="16137" width="14.5703125" style="953" customWidth="1"/>
    <col min="16138" max="16138" width="15.5703125" style="953" bestFit="1" customWidth="1"/>
    <col min="16139" max="16139" width="0" style="953" hidden="1" customWidth="1"/>
    <col min="16140" max="16140" width="15" style="953" bestFit="1" customWidth="1"/>
    <col min="16141" max="16141" width="12.5703125" style="953" bestFit="1" customWidth="1"/>
    <col min="16142" max="16142" width="0" style="953" hidden="1" customWidth="1"/>
    <col min="16143" max="16143" width="16.7109375" style="953" customWidth="1"/>
    <col min="16144" max="16144" width="14.85546875" style="953" customWidth="1"/>
    <col min="16145" max="16145" width="17.42578125" style="953" customWidth="1"/>
    <col min="16146" max="16146" width="15.42578125" style="953" customWidth="1"/>
    <col min="16147" max="16147" width="9.140625" style="953"/>
    <col min="16148" max="16148" width="18.85546875" style="953" bestFit="1" customWidth="1"/>
    <col min="16149" max="16384" width="9.140625" style="953"/>
  </cols>
  <sheetData>
    <row r="1" spans="1:20" s="979" customFormat="1" ht="18.75" customHeight="1">
      <c r="A1" s="3920" t="s">
        <v>23</v>
      </c>
      <c r="B1" s="3920"/>
      <c r="C1" s="3920"/>
      <c r="D1" s="3920"/>
      <c r="E1" s="3920"/>
      <c r="F1" s="3920"/>
      <c r="G1" s="3920"/>
      <c r="H1" s="3920"/>
      <c r="I1" s="3920"/>
      <c r="J1" s="3920"/>
      <c r="K1" s="3920"/>
      <c r="L1" s="3920"/>
      <c r="M1" s="3920"/>
      <c r="N1" s="3920"/>
      <c r="O1" s="3920"/>
      <c r="P1" s="3920"/>
      <c r="Q1" s="3920"/>
      <c r="R1" s="3920"/>
    </row>
    <row r="2" spans="1:20" s="979" customFormat="1" ht="18.75" customHeight="1">
      <c r="A2" s="3920" t="s">
        <v>45</v>
      </c>
      <c r="B2" s="3920"/>
      <c r="C2" s="3920"/>
      <c r="D2" s="3920"/>
      <c r="E2" s="3920"/>
      <c r="F2" s="3920"/>
      <c r="G2" s="3920"/>
      <c r="H2" s="3920"/>
      <c r="I2" s="3920"/>
      <c r="J2" s="3920"/>
      <c r="K2" s="3920"/>
      <c r="L2" s="3920"/>
      <c r="M2" s="3920"/>
      <c r="N2" s="3920"/>
      <c r="O2" s="3920"/>
      <c r="P2" s="3920"/>
      <c r="Q2" s="3920"/>
      <c r="R2" s="3920"/>
    </row>
    <row r="3" spans="1:20" s="979" customFormat="1" ht="18.75" customHeight="1"/>
    <row r="4" spans="1:20" s="979" customFormat="1" ht="18.75" customHeight="1">
      <c r="A4" s="4016" t="s">
        <v>929</v>
      </c>
      <c r="B4" s="4016"/>
      <c r="C4" s="4016"/>
      <c r="D4" s="4016"/>
      <c r="E4" s="4016"/>
    </row>
    <row r="5" spans="1:20" s="979" customFormat="1" ht="18.75" customHeight="1">
      <c r="A5" s="3947" t="s">
        <v>90</v>
      </c>
      <c r="B5" s="3947"/>
      <c r="C5" s="3947"/>
      <c r="D5" s="3947"/>
      <c r="E5" s="3947"/>
    </row>
    <row r="6" spans="1:20" s="979" customFormat="1" ht="18.75" customHeight="1"/>
    <row r="7" spans="1:20" ht="18.75" customHeight="1"/>
    <row r="8" spans="1:20" ht="22.5" customHeight="1">
      <c r="A8" s="4258" t="s">
        <v>1437</v>
      </c>
      <c r="B8" s="4258"/>
      <c r="C8" s="4258"/>
      <c r="D8" s="4258"/>
      <c r="E8" s="4258"/>
      <c r="F8" s="4258"/>
      <c r="G8" s="4258"/>
      <c r="H8" s="4258"/>
      <c r="I8" s="4258"/>
      <c r="J8" s="4258"/>
      <c r="K8" s="4258"/>
      <c r="L8" s="4258"/>
      <c r="M8" s="4258"/>
      <c r="N8" s="4258"/>
      <c r="O8" s="4258"/>
      <c r="P8" s="4258"/>
      <c r="Q8" s="4258"/>
      <c r="R8" s="4258"/>
    </row>
    <row r="9" spans="1:20" ht="18.75">
      <c r="A9" s="990"/>
      <c r="B9" s="991" t="s">
        <v>930</v>
      </c>
      <c r="C9" s="992">
        <f>+'BẢNG KÊ LƯƠNG'!C7</f>
        <v>20939</v>
      </c>
      <c r="D9" s="990"/>
      <c r="E9" s="990"/>
      <c r="F9" s="990"/>
      <c r="G9" s="990"/>
      <c r="H9" s="990"/>
      <c r="I9" s="990"/>
      <c r="J9" s="990"/>
      <c r="K9" s="990"/>
      <c r="L9" s="990"/>
      <c r="M9" s="990"/>
      <c r="N9" s="990"/>
      <c r="O9" s="990"/>
      <c r="P9" s="990"/>
      <c r="Q9" s="990"/>
      <c r="R9" s="990"/>
    </row>
    <row r="10" spans="1:20" ht="18.75">
      <c r="A10" s="990"/>
      <c r="B10" s="991" t="s">
        <v>931</v>
      </c>
      <c r="C10" s="1604">
        <f>+'BẢNG KÊ LƯƠNG'!C8</f>
        <v>0.99009999999999998</v>
      </c>
      <c r="D10" s="990"/>
      <c r="E10" s="990"/>
      <c r="F10" s="990"/>
      <c r="G10" s="990"/>
      <c r="H10" s="990"/>
      <c r="I10" s="990"/>
      <c r="J10" s="990"/>
      <c r="K10" s="993"/>
      <c r="L10" s="990"/>
      <c r="M10" s="990"/>
      <c r="N10" s="990"/>
      <c r="O10" s="990"/>
      <c r="P10" s="990"/>
      <c r="Q10" s="990"/>
      <c r="R10" s="990"/>
    </row>
    <row r="11" spans="1:20" ht="20.25" customHeight="1">
      <c r="Q11" s="4263" t="s">
        <v>1358</v>
      </c>
      <c r="R11" s="4263"/>
      <c r="T11" s="994">
        <v>27</v>
      </c>
    </row>
    <row r="12" spans="1:20" s="961" customFormat="1" ht="22.5" customHeight="1">
      <c r="A12" s="4267" t="s">
        <v>932</v>
      </c>
      <c r="B12" s="4267" t="s">
        <v>1</v>
      </c>
      <c r="C12" s="4267" t="s">
        <v>46</v>
      </c>
      <c r="D12" s="4259" t="s">
        <v>959</v>
      </c>
      <c r="E12" s="4259" t="s">
        <v>1408</v>
      </c>
      <c r="F12" s="4259"/>
      <c r="G12" s="4259"/>
      <c r="H12" s="4260" t="s">
        <v>1347</v>
      </c>
      <c r="I12" s="4260" t="s">
        <v>1411</v>
      </c>
      <c r="J12" s="4260" t="s">
        <v>1348</v>
      </c>
      <c r="K12" s="4256" t="s">
        <v>1352</v>
      </c>
      <c r="L12" s="4259" t="s">
        <v>1353</v>
      </c>
      <c r="M12" s="4259" t="s">
        <v>1354</v>
      </c>
      <c r="N12" s="4259" t="s">
        <v>957</v>
      </c>
      <c r="O12" s="4259" t="s">
        <v>1355</v>
      </c>
      <c r="P12" s="4259" t="s">
        <v>936</v>
      </c>
      <c r="Q12" s="4266" t="s">
        <v>1356</v>
      </c>
      <c r="R12" s="4267" t="s">
        <v>10</v>
      </c>
    </row>
    <row r="13" spans="1:20" s="961" customFormat="1" ht="22.5" customHeight="1">
      <c r="A13" s="4267"/>
      <c r="B13" s="4267"/>
      <c r="C13" s="4267"/>
      <c r="D13" s="4259"/>
      <c r="E13" s="4264" t="s">
        <v>1409</v>
      </c>
      <c r="F13" s="4256" t="s">
        <v>27</v>
      </c>
      <c r="G13" s="4256"/>
      <c r="H13" s="4261"/>
      <c r="I13" s="4261"/>
      <c r="J13" s="4261"/>
      <c r="K13" s="4256"/>
      <c r="L13" s="4259"/>
      <c r="M13" s="4259"/>
      <c r="N13" s="4259"/>
      <c r="O13" s="4259"/>
      <c r="P13" s="4259"/>
      <c r="Q13" s="4264"/>
      <c r="R13" s="4267"/>
    </row>
    <row r="14" spans="1:20" s="961" customFormat="1" ht="35.25" customHeight="1">
      <c r="A14" s="4267"/>
      <c r="B14" s="4267"/>
      <c r="C14" s="4267"/>
      <c r="D14" s="4259"/>
      <c r="E14" s="4265"/>
      <c r="F14" s="2168" t="s">
        <v>1406</v>
      </c>
      <c r="G14" s="2168" t="s">
        <v>46</v>
      </c>
      <c r="H14" s="4262"/>
      <c r="I14" s="4262"/>
      <c r="J14" s="4262"/>
      <c r="K14" s="4257"/>
      <c r="L14" s="4259"/>
      <c r="M14" s="4267"/>
      <c r="N14" s="4259"/>
      <c r="O14" s="4259"/>
      <c r="P14" s="4267"/>
      <c r="Q14" s="4265"/>
      <c r="R14" s="4267"/>
      <c r="T14" s="997"/>
    </row>
    <row r="15" spans="1:20" s="961" customFormat="1" ht="21.75" hidden="1" customHeight="1">
      <c r="A15" s="970">
        <v>1</v>
      </c>
      <c r="B15" s="970">
        <v>2</v>
      </c>
      <c r="C15" s="970">
        <v>3</v>
      </c>
      <c r="D15" s="962">
        <v>4</v>
      </c>
      <c r="E15" s="995">
        <v>5</v>
      </c>
      <c r="F15" s="996">
        <v>7</v>
      </c>
      <c r="G15" s="1715">
        <v>8</v>
      </c>
      <c r="H15" s="1771"/>
      <c r="I15" s="2167"/>
      <c r="J15" s="1595">
        <v>9</v>
      </c>
      <c r="K15" s="998">
        <v>10</v>
      </c>
      <c r="L15" s="995">
        <v>11</v>
      </c>
      <c r="M15" s="970">
        <v>12</v>
      </c>
      <c r="N15" s="962"/>
      <c r="O15" s="962" t="s">
        <v>1340</v>
      </c>
      <c r="P15" s="970">
        <v>14</v>
      </c>
      <c r="Q15" s="962" t="s">
        <v>1085</v>
      </c>
      <c r="R15" s="970"/>
      <c r="T15" s="997"/>
    </row>
    <row r="16" spans="1:20" s="961" customFormat="1" ht="43.5" customHeight="1">
      <c r="A16" s="965" t="s">
        <v>140</v>
      </c>
      <c r="B16" s="4268" t="s">
        <v>951</v>
      </c>
      <c r="C16" s="4269"/>
      <c r="D16" s="1775" t="e">
        <f>SUM(D17:D28)</f>
        <v>#N/A</v>
      </c>
      <c r="E16" s="1775">
        <f>SUM(E17:E28)</f>
        <v>4554</v>
      </c>
      <c r="F16" s="1775">
        <f>SUM(F17:F28)</f>
        <v>1841.2</v>
      </c>
      <c r="G16" s="1808">
        <f>SUM(G17:G28)</f>
        <v>839.99999999999989</v>
      </c>
      <c r="H16" s="1775">
        <f>SUM(H17:H33)</f>
        <v>0</v>
      </c>
      <c r="I16" s="1775"/>
      <c r="J16" s="1775">
        <f>SUM(J17:J28)</f>
        <v>7235.2</v>
      </c>
      <c r="K16" s="1808">
        <f>SUM(K17:K28)</f>
        <v>259.46678446917235</v>
      </c>
      <c r="L16" s="1808">
        <f>SUM(L17:L28)</f>
        <v>6975.7332155308277</v>
      </c>
      <c r="M16" s="1808">
        <f>SUM(M17:N28)</f>
        <v>561.28597640766043</v>
      </c>
      <c r="N16" s="1775">
        <f>SUM(N17:N33)</f>
        <v>0</v>
      </c>
      <c r="O16" s="1808">
        <f>SUM(O17:O28)</f>
        <v>6414.4472391231666</v>
      </c>
      <c r="P16" s="1808">
        <f>SUM(P17:P28)</f>
        <v>64.144467262046902</v>
      </c>
      <c r="Q16" s="1808">
        <f>SUM(Q17:Q28)</f>
        <v>6350.3027718611211</v>
      </c>
      <c r="R16" s="965"/>
      <c r="T16" s="997"/>
    </row>
    <row r="17" spans="1:20" s="2177" customFormat="1" ht="43.5" customHeight="1">
      <c r="A17" s="1354">
        <v>1</v>
      </c>
      <c r="B17" s="1769" t="str">
        <f>+'BẢNG KÊ LƯƠNG'!B14</f>
        <v>Nguyễn Minh Thành</v>
      </c>
      <c r="C17" s="1769" t="s">
        <v>962</v>
      </c>
      <c r="D17" s="1761" t="e">
        <f>+VLOOKUP(B17,'chấm công người việt'!C12:AL26,37,0)</f>
        <v>#N/A</v>
      </c>
      <c r="E17" s="1360">
        <f>+VLOOKUP(B17,'BẢNG KÊ LƯƠNG'!B14:D25,3,0)</f>
        <v>650</v>
      </c>
      <c r="F17" s="1761">
        <f>+VLOOKUP(B17,'BẢNG KÊ LƯƠNG'!B14:E24,4,0)</f>
        <v>250</v>
      </c>
      <c r="G17" s="1773">
        <f>+VLOOKUP(B17,'BẢNG KÊ LƯƠNG'!B14:F25,5,0)</f>
        <v>0</v>
      </c>
      <c r="H17" s="1773">
        <f>+VLOOKUP(B17,'BẢNG KÊ LƯƠNG'!B14:I30,7,0)</f>
        <v>0</v>
      </c>
      <c r="I17" s="1773"/>
      <c r="J17" s="1761">
        <f>+E17+F17+G17+I17</f>
        <v>900</v>
      </c>
      <c r="K17" s="1762">
        <f>+VLOOKUP(B17,'BẢNG KÊ LƯƠNG'!B14:P32,15,0)</f>
        <v>52.119298915898561</v>
      </c>
      <c r="L17" s="1762">
        <f>+J17-K17</f>
        <v>847.88070108410147</v>
      </c>
      <c r="M17" s="1762">
        <f>+VLOOKUP(B17,'BẢNG KÊ LƯƠNG'!B14:S32,18,0)</f>
        <v>76.32007736759158</v>
      </c>
      <c r="N17" s="1762"/>
      <c r="O17" s="1762">
        <f>+L17-M17</f>
        <v>771.56062371650989</v>
      </c>
      <c r="P17" s="1345">
        <f>+VLOOKUP(B17,'BẢNG KÊ LƯƠNG'!B14:W32,22,0)</f>
        <v>7.7156024643010648</v>
      </c>
      <c r="Q17" s="1345">
        <f>O17-P17</f>
        <v>763.84502125220888</v>
      </c>
      <c r="R17" s="1346"/>
      <c r="S17" s="2177">
        <v>1</v>
      </c>
      <c r="T17" s="2178"/>
    </row>
    <row r="18" spans="1:20" s="1292" customFormat="1" ht="43.5" customHeight="1">
      <c r="A18" s="1355">
        <v>2</v>
      </c>
      <c r="B18" s="1350" t="s">
        <v>1257</v>
      </c>
      <c r="C18" s="1348" t="str">
        <f>+'BẢNG KÊ LƯƠNG'!C15</f>
        <v>PGĐ</v>
      </c>
      <c r="D18" s="1763" t="e">
        <f>+VLOOKUP(B18,'chấm công người việt'!C13:AL32,37,0)</f>
        <v>#N/A</v>
      </c>
      <c r="E18" s="1361">
        <f>+VLOOKUP(B18,'BẢNG KÊ LƯƠNG'!B15:D26,3,0)</f>
        <v>624</v>
      </c>
      <c r="F18" s="1763">
        <f>+VLOOKUP(B18,'BẢNG KÊ LƯƠNG'!B15:E25,4,0)</f>
        <v>211.20000000000002</v>
      </c>
      <c r="G18" s="1295">
        <f>+VLOOKUP(B18,'BẢNG KÊ LƯƠNG'!B15:F26,5,0)</f>
        <v>243.59999999999997</v>
      </c>
      <c r="H18" s="1295">
        <f>+VLOOKUP(B18,'BẢNG KÊ LƯƠNG'!B15:I26,7,0)</f>
        <v>0</v>
      </c>
      <c r="I18" s="1295"/>
      <c r="J18" s="1763">
        <f t="shared" ref="J18:J28" si="0">+E18+F18+G18+I18</f>
        <v>1078.8</v>
      </c>
      <c r="K18" s="1764">
        <f>+VLOOKUP(B18,'BẢNG KÊ LƯƠNG'!B15:P33,15,0)</f>
        <v>48.730693920435549</v>
      </c>
      <c r="L18" s="1764">
        <f t="shared" ref="L18:L33" si="1">+J18-K18</f>
        <v>1030.0693060795645</v>
      </c>
      <c r="M18" s="1764">
        <f>+VLOOKUP(B18,'BẢNG KÊ LƯƠNG'!B15:S33,18,0)</f>
        <v>103.64836811691102</v>
      </c>
      <c r="N18" s="1764"/>
      <c r="O18" s="1764">
        <f t="shared" ref="O18:O28" si="2">+L18-M18</f>
        <v>926.42093796265351</v>
      </c>
      <c r="P18" s="1765">
        <f>+VLOOKUP(B18,'BẢNG KÊ LƯƠNG'!B15:W33,22,0)</f>
        <v>9.2641959978986588</v>
      </c>
      <c r="Q18" s="1765">
        <f t="shared" ref="Q18:Q27" si="3">O18-P18</f>
        <v>917.15674196475481</v>
      </c>
      <c r="R18" s="1351"/>
      <c r="S18" s="1292">
        <v>2</v>
      </c>
      <c r="T18" s="2179"/>
    </row>
    <row r="19" spans="1:20" s="1292" customFormat="1" ht="43.5" customHeight="1">
      <c r="A19" s="1355">
        <v>3</v>
      </c>
      <c r="B19" s="1347" t="s">
        <v>1157</v>
      </c>
      <c r="C19" s="1348" t="s">
        <v>952</v>
      </c>
      <c r="D19" s="1763" t="e">
        <f>+VLOOKUP(B19,'chấm công người việt'!C13:AL33,37,0)</f>
        <v>#N/A</v>
      </c>
      <c r="E19" s="1361">
        <f>+VLOOKUP(B19,'BẢNG KÊ LƯƠNG'!B16:D27,3,0)</f>
        <v>410</v>
      </c>
      <c r="F19" s="1763">
        <f>+VLOOKUP(B19,'BẢNG KÊ LƯƠNG'!B16:E26,4,0)</f>
        <v>200</v>
      </c>
      <c r="G19" s="1295">
        <f>+VLOOKUP(B19,'BẢNG KÊ LƯƠNG'!B16:F27,5,0)</f>
        <v>170.79999999999998</v>
      </c>
      <c r="H19" s="1295">
        <f>+VLOOKUP(B19,'BẢNG KÊ LƯƠNG'!B16:I27,7,0)</f>
        <v>0</v>
      </c>
      <c r="I19" s="1295"/>
      <c r="J19" s="1763">
        <f t="shared" si="0"/>
        <v>780.8</v>
      </c>
      <c r="K19" s="1764">
        <f>+VLOOKUP(B19,'BẢNG KÊ LƯƠNG'!B16:P34,15,0)</f>
        <v>25.656191795214671</v>
      </c>
      <c r="L19" s="1764">
        <f t="shared" si="1"/>
        <v>755.14380820478527</v>
      </c>
      <c r="M19" s="1764">
        <f>+VLOOKUP(B19,'BẢNG KÊ LƯƠNG'!B16:S34,18,0)</f>
        <v>62.409543435694154</v>
      </c>
      <c r="N19" s="1764"/>
      <c r="O19" s="1764">
        <f t="shared" si="2"/>
        <v>692.73426476909117</v>
      </c>
      <c r="P19" s="1765">
        <f>+VLOOKUP(B19,'BẢNG KÊ LƯƠNG'!B16:W34,22,0)</f>
        <v>6.9273604279096421</v>
      </c>
      <c r="Q19" s="1765">
        <f t="shared" si="3"/>
        <v>685.80690434118151</v>
      </c>
      <c r="R19" s="1349"/>
      <c r="S19" s="1292">
        <v>3</v>
      </c>
      <c r="T19" s="2179"/>
    </row>
    <row r="20" spans="1:20" s="1292" customFormat="1" ht="43.5" customHeight="1">
      <c r="A20" s="1355">
        <v>4</v>
      </c>
      <c r="B20" s="1348" t="s">
        <v>533</v>
      </c>
      <c r="C20" s="1348" t="s">
        <v>535</v>
      </c>
      <c r="D20" s="1763" t="e">
        <f>+VLOOKUP(B20,'chấm công người việt'!C14:AL34,37,0)</f>
        <v>#N/A</v>
      </c>
      <c r="E20" s="1361">
        <f>+VLOOKUP(B20,'BẢNG KÊ LƯƠNG'!B17:D28,3,0)</f>
        <v>410</v>
      </c>
      <c r="F20" s="1763">
        <f>+VLOOKUP(B20,'BẢNG KÊ LƯƠNG'!B17:E27,4,0)</f>
        <v>200</v>
      </c>
      <c r="G20" s="1295">
        <f>+VLOOKUP(B20,'BẢNG KÊ LƯƠNG'!B17:F28,5,0)</f>
        <v>0</v>
      </c>
      <c r="H20" s="1295">
        <f>+VLOOKUP(B20,'BẢNG KÊ LƯƠNG'!B17:I28,7,0)</f>
        <v>0</v>
      </c>
      <c r="I20" s="1295"/>
      <c r="J20" s="1763">
        <f t="shared" si="0"/>
        <v>610</v>
      </c>
      <c r="K20" s="1764">
        <f>+VLOOKUP(B20,'BẢNG KÊ LƯƠNG'!B17:P35,15,0)</f>
        <v>24.203973446678447</v>
      </c>
      <c r="L20" s="1764">
        <f>+J20-K20</f>
        <v>585.79602655332155</v>
      </c>
      <c r="M20" s="1764">
        <f>+VLOOKUP(B20,'BẢNG KÊ LƯƠNG'!B17:S35,18,0)</f>
        <v>43.535904293423755</v>
      </c>
      <c r="N20" s="1764"/>
      <c r="O20" s="1764">
        <f t="shared" si="2"/>
        <v>542.2601222598978</v>
      </c>
      <c r="P20" s="1765">
        <f>+VLOOKUP(B20,'BẢNG KÊ LƯƠNG'!B17:W35,22,0)</f>
        <v>5.4226085295381825</v>
      </c>
      <c r="Q20" s="1765">
        <f t="shared" si="3"/>
        <v>536.83751373035966</v>
      </c>
      <c r="R20" s="1349"/>
      <c r="S20" s="1292">
        <v>4</v>
      </c>
      <c r="T20" s="2179"/>
    </row>
    <row r="21" spans="1:20" s="1292" customFormat="1" ht="43.5" customHeight="1">
      <c r="A21" s="1355">
        <v>5</v>
      </c>
      <c r="B21" s="1348" t="s">
        <v>1013</v>
      </c>
      <c r="C21" s="1348" t="s">
        <v>1014</v>
      </c>
      <c r="D21" s="1763" t="e">
        <f>+VLOOKUP(B21,'chấm công người việt'!C15:AL35,37,0)</f>
        <v>#N/A</v>
      </c>
      <c r="E21" s="1361">
        <f>+VLOOKUP(B21,'BẢNG KÊ LƯƠNG'!B18:D29,3,0)</f>
        <v>450</v>
      </c>
      <c r="F21" s="1763">
        <f>+VLOOKUP(B21,'BẢNG KÊ LƯƠNG'!B18:E28,4,0)</f>
        <v>210</v>
      </c>
      <c r="G21" s="1295">
        <f>+VLOOKUP(B21,'BẢNG KÊ LƯƠNG'!B18:F29,5,0)</f>
        <v>184.79999999999998</v>
      </c>
      <c r="H21" s="1295">
        <f>+VLOOKUP(B21,'BẢNG KÊ LƯƠNG'!B18:I29,7,0)</f>
        <v>0</v>
      </c>
      <c r="I21" s="1295"/>
      <c r="J21" s="1763">
        <f t="shared" si="0"/>
        <v>844.8</v>
      </c>
      <c r="K21" s="1764">
        <f>+VLOOKUP(B21,'BẢNG KÊ LƯƠNG'!B18:P36,15,0)</f>
        <v>28.560724007832274</v>
      </c>
      <c r="L21" s="1764">
        <f t="shared" si="1"/>
        <v>816.23927599216768</v>
      </c>
      <c r="M21" s="1764">
        <f>+VLOOKUP(B21,'BẢNG KÊ LƯƠNG'!B18:S36,18,0)</f>
        <v>71.573863603801513</v>
      </c>
      <c r="N21" s="1764"/>
      <c r="O21" s="1764">
        <f t="shared" si="2"/>
        <v>744.66541238836612</v>
      </c>
      <c r="P21" s="1765">
        <f>+VLOOKUP(B21,'BẢNG KÊ LƯƠNG'!B18:W36,22,0)</f>
        <v>7.4466306891446585</v>
      </c>
      <c r="Q21" s="1765">
        <f t="shared" si="3"/>
        <v>737.21878169922149</v>
      </c>
      <c r="R21" s="1349"/>
      <c r="S21" s="1292">
        <v>5</v>
      </c>
      <c r="T21" s="2179"/>
    </row>
    <row r="22" spans="1:20" s="1292" customFormat="1" ht="43.5" customHeight="1">
      <c r="A22" s="1355">
        <v>6</v>
      </c>
      <c r="B22" s="1348" t="str">
        <f>+'BẢNG KÊ LƯƠNG'!B19</f>
        <v>Nguyễn Thanh Hải</v>
      </c>
      <c r="C22" s="1348" t="str">
        <f>+'BẢNG KÊ LƯƠNG'!C19</f>
        <v>TL.BV</v>
      </c>
      <c r="D22" s="1763" t="e">
        <f>+VLOOKUP(B22,'chấm công người việt'!C22:AL36,37,0)</f>
        <v>#N/A</v>
      </c>
      <c r="E22" s="1361">
        <f>+VLOOKUP(B22,'BẢNG KÊ LƯƠNG'!B19:D30,3,0)</f>
        <v>420</v>
      </c>
      <c r="F22" s="1763">
        <f>+VLOOKUP(B22,'BẢNG KÊ LƯƠNG'!B19:E29,4,0)</f>
        <v>200</v>
      </c>
      <c r="G22" s="1295">
        <f>+VLOOKUP(B22,'BẢNG KÊ LƯƠNG'!B19:F30,5,0)</f>
        <v>0</v>
      </c>
      <c r="H22" s="1295">
        <f>+VLOOKUP(B22,'BẢNG KÊ LƯƠNG'!B19:I31,7,0)</f>
        <v>0</v>
      </c>
      <c r="I22" s="1295"/>
      <c r="J22" s="1763">
        <f t="shared" si="0"/>
        <v>620</v>
      </c>
      <c r="K22" s="1764">
        <f>+VLOOKUP(B22,'BẢNG KÊ LƯƠNG'!B19:P37,15,0)</f>
        <v>19.04049859114571</v>
      </c>
      <c r="L22" s="1764">
        <f t="shared" si="1"/>
        <v>600.95950140885429</v>
      </c>
      <c r="M22" s="1764">
        <f>+VLOOKUP(B22,'BẢNG KÊ LƯƠNG'!B19:S37,18,0)</f>
        <v>45.05225177897703</v>
      </c>
      <c r="N22" s="1764"/>
      <c r="O22" s="1764">
        <f t="shared" si="2"/>
        <v>555.90724962987724</v>
      </c>
      <c r="P22" s="1765">
        <f>+VLOOKUP(B22,'BẢNG KÊ LƯƠNG'!B19:W37,22,0)</f>
        <v>5.5590524857920629</v>
      </c>
      <c r="Q22" s="1765">
        <f>O22-P22</f>
        <v>550.34819714408513</v>
      </c>
      <c r="R22" s="1349"/>
      <c r="S22" s="1292">
        <v>6</v>
      </c>
      <c r="T22" s="2179"/>
    </row>
    <row r="23" spans="1:20" s="1292" customFormat="1" ht="43.5" customHeight="1">
      <c r="A23" s="1355">
        <v>7</v>
      </c>
      <c r="B23" s="1348" t="s">
        <v>541</v>
      </c>
      <c r="C23" s="1348" t="s">
        <v>52</v>
      </c>
      <c r="D23" s="1295">
        <v>0</v>
      </c>
      <c r="E23" s="1774">
        <f>+VLOOKUP(B23,'BẢNG KÊ LƯƠNG'!B20:D31,3,0)</f>
        <v>0</v>
      </c>
      <c r="F23" s="1295">
        <f>+VLOOKUP(B23,'BẢNG KÊ LƯƠNG'!B20:E30,4,0)</f>
        <v>0</v>
      </c>
      <c r="G23" s="1295">
        <f>+VLOOKUP(B23,'BẢNG KÊ LƯƠNG'!B20:F31,5,0)</f>
        <v>0</v>
      </c>
      <c r="H23" s="1774">
        <v>0</v>
      </c>
      <c r="I23" s="1774"/>
      <c r="J23" s="1295">
        <f t="shared" si="0"/>
        <v>0</v>
      </c>
      <c r="K23" s="2240">
        <f>+VLOOKUP(B23,'BẢNG KÊ LƯƠNG'!B20:P38,15,0)</f>
        <v>0</v>
      </c>
      <c r="L23" s="2240">
        <f t="shared" si="1"/>
        <v>0</v>
      </c>
      <c r="M23" s="2240">
        <f>+VLOOKUP(B23,'BẢNG KÊ LƯƠNG'!B20:S38,18,0)</f>
        <v>0</v>
      </c>
      <c r="N23" s="2240"/>
      <c r="O23" s="2240">
        <f t="shared" si="2"/>
        <v>0</v>
      </c>
      <c r="P23" s="1295">
        <f>+VLOOKUP(B23,'BẢNG KÊ LƯƠNG'!B20:W38,22,0)</f>
        <v>0</v>
      </c>
      <c r="Q23" s="1295">
        <f t="shared" si="3"/>
        <v>0</v>
      </c>
      <c r="R23" s="1774">
        <v>0</v>
      </c>
      <c r="S23" s="1292">
        <v>7</v>
      </c>
      <c r="T23" s="2179"/>
    </row>
    <row r="24" spans="1:20" s="1292" customFormat="1" ht="43.5" customHeight="1">
      <c r="A24" s="1355">
        <v>7</v>
      </c>
      <c r="B24" s="1348" t="s">
        <v>308</v>
      </c>
      <c r="C24" s="1348" t="s">
        <v>53</v>
      </c>
      <c r="D24" s="1763" t="e">
        <f>+VLOOKUP(B24,'chấm công người việt'!C12:AL26,37,0)</f>
        <v>#N/A</v>
      </c>
      <c r="E24" s="1361">
        <f>+VLOOKUP(B24,'BẢNG KÊ LƯƠNG'!B21:D32,3,0)</f>
        <v>300</v>
      </c>
      <c r="F24" s="1763">
        <f>+VLOOKUP(B24,'BẢNG KÊ LƯƠNG'!B21:E31,4,0)</f>
        <v>100</v>
      </c>
      <c r="G24" s="1295">
        <f>+VLOOKUP(B24,'BẢNG KÊ LƯƠNG'!B21:F32,5,0)</f>
        <v>112</v>
      </c>
      <c r="H24" s="1295">
        <f>+VLOOKUP(B24,'BẢNG KÊ LƯƠNG'!B21:I33,7,0)</f>
        <v>0</v>
      </c>
      <c r="I24" s="1295"/>
      <c r="J24" s="1763">
        <f t="shared" si="0"/>
        <v>512</v>
      </c>
      <c r="K24" s="1764">
        <f>+VLOOKUP(B24,'BẢNG KÊ LƯƠNG'!B21:P39,15,0)</f>
        <v>19.363197860451788</v>
      </c>
      <c r="L24" s="1764">
        <f t="shared" si="1"/>
        <v>492.63680213954819</v>
      </c>
      <c r="M24" s="1764">
        <f>+VLOOKUP(B24,'BẢNG KÊ LƯƠNG'!B21:S39,18,0)</f>
        <v>34.219981852046423</v>
      </c>
      <c r="N24" s="1764"/>
      <c r="O24" s="1764">
        <f t="shared" si="2"/>
        <v>458.41682028750176</v>
      </c>
      <c r="P24" s="1765">
        <f>+VLOOKUP(B24,'BẢNG KÊ LƯƠNG'!B21:W39,22,0)</f>
        <v>4.584173074167821</v>
      </c>
      <c r="Q24" s="1765">
        <f t="shared" si="3"/>
        <v>453.83264721333393</v>
      </c>
      <c r="R24" s="1349"/>
      <c r="S24" s="1292">
        <v>9</v>
      </c>
      <c r="T24" s="2179"/>
    </row>
    <row r="25" spans="1:20" s="1292" customFormat="1" ht="43.5" customHeight="1">
      <c r="A25" s="1355">
        <v>8</v>
      </c>
      <c r="B25" s="1348" t="s">
        <v>32</v>
      </c>
      <c r="C25" s="1348" t="s">
        <v>53</v>
      </c>
      <c r="D25" s="1763" t="e">
        <f>+VLOOKUP(B25,'chấm công người việt'!C13:AL32,37,0)</f>
        <v>#REF!</v>
      </c>
      <c r="E25" s="1361">
        <f>+VLOOKUP(B25,'BẢNG KÊ LƯƠNG'!B22:D33,3,0)</f>
        <v>300</v>
      </c>
      <c r="F25" s="1763">
        <f>+VLOOKUP(B25,'BẢNG KÊ LƯƠNG'!B22:E32,4,0)</f>
        <v>100</v>
      </c>
      <c r="G25" s="1295">
        <f>+VLOOKUP(B25,'BẢNG KÊ LƯƠNG'!B22:F33,5,0)</f>
        <v>0</v>
      </c>
      <c r="H25" s="1295">
        <f>+VLOOKUP(B25,'BẢNG KÊ LƯƠNG'!B22:I34,7,0)</f>
        <v>0</v>
      </c>
      <c r="I25" s="1295"/>
      <c r="J25" s="1763">
        <f t="shared" si="0"/>
        <v>400</v>
      </c>
      <c r="K25" s="1764">
        <f>+VLOOKUP(B25,'BẢNG KÊ LƯƠNG'!B22:P40,15,0)</f>
        <v>19.685897129757869</v>
      </c>
      <c r="L25" s="1764">
        <f t="shared" si="1"/>
        <v>380.31410287024215</v>
      </c>
      <c r="M25" s="1764">
        <f>+VLOOKUP(B25,'BẢNG KÊ LƯƠNG'!B22:S40,18,0)</f>
        <v>22.987711925115814</v>
      </c>
      <c r="N25" s="1764"/>
      <c r="O25" s="1764">
        <f t="shared" si="2"/>
        <v>357.32639094512632</v>
      </c>
      <c r="P25" s="1765">
        <f>+VLOOKUP(B25,'BẢNG KÊ LƯƠNG'!B22:W40,22,0)</f>
        <v>3.5732843020201539</v>
      </c>
      <c r="Q25" s="1765">
        <f t="shared" si="3"/>
        <v>353.75310664310615</v>
      </c>
      <c r="R25" s="1349"/>
      <c r="S25" s="1292">
        <v>10</v>
      </c>
      <c r="T25" s="2179"/>
    </row>
    <row r="26" spans="1:20" s="1292" customFormat="1" ht="43.5" customHeight="1">
      <c r="A26" s="1355">
        <v>9</v>
      </c>
      <c r="B26" s="1348" t="s">
        <v>1431</v>
      </c>
      <c r="C26" s="1348" t="s">
        <v>1423</v>
      </c>
      <c r="D26" s="1763" t="e">
        <f>+VLOOKUP(B26,'chấm công người việt'!C13:AL33,37,0)</f>
        <v>#N/A</v>
      </c>
      <c r="E26" s="1361">
        <v>320</v>
      </c>
      <c r="F26" s="1763">
        <v>150</v>
      </c>
      <c r="G26" s="1295"/>
      <c r="H26" s="1295"/>
      <c r="I26" s="1295"/>
      <c r="J26" s="1763">
        <f>+E26+F26+G26+I26</f>
        <v>470</v>
      </c>
      <c r="K26" s="2240">
        <f>+VLOOKUP(B26,'BẢNG KÊ LƯƠNG'!B23:P41,15,0)</f>
        <v>0</v>
      </c>
      <c r="L26" s="1764">
        <f>+J26-K26</f>
        <v>470</v>
      </c>
      <c r="M26" s="1764">
        <f>+VLOOKUP(B26,'BẢNG KÊ LƯƠNG'!B23:S41,18,0)</f>
        <v>31.956301638091599</v>
      </c>
      <c r="N26" s="1764"/>
      <c r="O26" s="1764">
        <f>+L26-M26</f>
        <v>438.04369836190841</v>
      </c>
      <c r="P26" s="1295">
        <f>+VLOOKUP(B26,'BẢNG KÊ LƯƠNG'!B23:W41,22,0)</f>
        <v>4.3804384163522609</v>
      </c>
      <c r="Q26" s="1765">
        <f>O26-P26</f>
        <v>433.66325994555615</v>
      </c>
      <c r="R26" s="1349"/>
      <c r="T26" s="2179"/>
    </row>
    <row r="27" spans="1:20" s="1447" customFormat="1" ht="43.5" customHeight="1">
      <c r="A27" s="1355">
        <v>10</v>
      </c>
      <c r="B27" s="1350" t="str">
        <f>+'BẢNG KÊ LƯƠNG'!B24</f>
        <v>Tăng Trung</v>
      </c>
      <c r="C27" s="1348" t="str">
        <f>+'BẢNG KÊ LƯƠNG'!C24</f>
        <v>Tài xế</v>
      </c>
      <c r="D27" s="1763" t="e">
        <f>+VLOOKUP(B27,'chấm công người việt'!C14:AL34,37,0)</f>
        <v>#REF!</v>
      </c>
      <c r="E27" s="1361">
        <f>+VLOOKUP(B27,'BẢNG KÊ LƯƠNG'!B24:D34,3,0)</f>
        <v>320</v>
      </c>
      <c r="F27" s="1763">
        <f>+VLOOKUP(B27,'BẢNG KÊ LƯƠNG'!B24:E33,4,0)</f>
        <v>110</v>
      </c>
      <c r="G27" s="1295">
        <f>+VLOOKUP(B27,'BẢNG KÊ LƯƠNG'!B24:F34,5,0)</f>
        <v>0</v>
      </c>
      <c r="H27" s="1295">
        <f>+VLOOKUP(B27,'BẢNG KÊ LƯƠNG'!B24:I35,7,0)</f>
        <v>0</v>
      </c>
      <c r="I27" s="1295"/>
      <c r="J27" s="1763">
        <f t="shared" si="0"/>
        <v>430</v>
      </c>
      <c r="K27" s="1764">
        <f>+VLOOKUP(B27,'BẢNG KÊ LƯƠNG'!B24:P41,15,0)</f>
        <v>22.106308801757486</v>
      </c>
      <c r="L27" s="1764">
        <f t="shared" si="1"/>
        <v>407.89369119824249</v>
      </c>
      <c r="M27" s="1764">
        <f>+VLOOKUP(B27,'BẢNG KÊ LƯƠNG'!B24:S41,18,0)</f>
        <v>25.745670757915857</v>
      </c>
      <c r="N27" s="1764"/>
      <c r="O27" s="1764">
        <f t="shared" si="2"/>
        <v>382.14802044032666</v>
      </c>
      <c r="P27" s="1765">
        <f>+VLOOKUP(B27,'BẢNG KÊ LƯƠNG'!B24:W41,22,0)</f>
        <v>3.8214814461053535</v>
      </c>
      <c r="Q27" s="1765">
        <f t="shared" si="3"/>
        <v>378.32653899422132</v>
      </c>
      <c r="R27" s="1351"/>
      <c r="S27" s="1292">
        <v>12</v>
      </c>
      <c r="T27" s="2180"/>
    </row>
    <row r="28" spans="1:20" s="2183" customFormat="1" ht="43.5" customHeight="1">
      <c r="A28" s="1448">
        <v>11</v>
      </c>
      <c r="B28" s="1770" t="str">
        <f>+'BẢNG KÊ LƯƠNG'!B25</f>
        <v>Nguyễn Phúc Hào</v>
      </c>
      <c r="C28" s="1352" t="str">
        <f>+'BẢNG KÊ LƯƠNG'!C25</f>
        <v>NVNN</v>
      </c>
      <c r="D28" s="1766" t="e">
        <f>+VLOOKUP(B28,'chấm công người việt'!C15:AL35,37,0)</f>
        <v>#REF!</v>
      </c>
      <c r="E28" s="2184">
        <f>+VLOOKUP(B28,'BẢNG KÊ LƯƠNG'!B25:D35,3,0)</f>
        <v>350</v>
      </c>
      <c r="F28" s="1766">
        <f>+VLOOKUP(B28,'BẢNG KÊ LƯƠNG'!B25:E34,4,0)</f>
        <v>110</v>
      </c>
      <c r="G28" s="1760">
        <f>+VLOOKUP(B28,'BẢNG KÊ LƯƠNG'!B25:F35,5,0)</f>
        <v>128.79999999999998</v>
      </c>
      <c r="H28" s="1760">
        <f>+VLOOKUP(B28,'BẢNG KÊ LƯƠNG'!B25:I36,7,0)</f>
        <v>0</v>
      </c>
      <c r="I28" s="1760"/>
      <c r="J28" s="1766">
        <f t="shared" si="0"/>
        <v>588.79999999999995</v>
      </c>
      <c r="K28" s="1809">
        <f>+VLOOKUP(B28,'BẢNG KÊ LƯƠNG'!B25:P42,15,0)</f>
        <v>0</v>
      </c>
      <c r="L28" s="1767">
        <f t="shared" si="1"/>
        <v>588.79999999999995</v>
      </c>
      <c r="M28" s="1767">
        <f>+VLOOKUP(B28,'BẢNG KÊ LƯƠNG'!B25:S42,18,0)</f>
        <v>43.836301638091598</v>
      </c>
      <c r="N28" s="1767"/>
      <c r="O28" s="1767">
        <f t="shared" si="2"/>
        <v>544.96369836190831</v>
      </c>
      <c r="P28" s="1768">
        <f>+VLOOKUP(B28,'BẢNG KÊ LƯƠNG'!B25:W42,22,0)</f>
        <v>5.44963942881704</v>
      </c>
      <c r="Q28" s="1768">
        <f>O28-P28</f>
        <v>539.51405893309129</v>
      </c>
      <c r="R28" s="1353"/>
      <c r="S28" s="2181"/>
      <c r="T28" s="2182"/>
    </row>
    <row r="29" spans="1:20" s="974" customFormat="1" ht="43.5" customHeight="1">
      <c r="A29" s="1022" t="s">
        <v>143</v>
      </c>
      <c r="B29" s="971" t="s">
        <v>963</v>
      </c>
      <c r="C29" s="972"/>
      <c r="D29" s="1000" t="e">
        <f>SUM(D30:D33)</f>
        <v>#N/A</v>
      </c>
      <c r="E29" s="1000">
        <f>SUM(E30:E33)</f>
        <v>0</v>
      </c>
      <c r="F29" s="1815">
        <f>SUM(F30:F33)</f>
        <v>0</v>
      </c>
      <c r="G29" s="1021" t="e">
        <f>SUM(G30:G33)</f>
        <v>#N/A</v>
      </c>
      <c r="H29" s="1021">
        <f>SUM(H30:H33)</f>
        <v>0</v>
      </c>
      <c r="I29" s="1021"/>
      <c r="J29" s="1021" t="e">
        <f t="shared" ref="J29:Q29" si="4">SUM(J30:J33)</f>
        <v>#N/A</v>
      </c>
      <c r="K29" s="1021">
        <f t="shared" si="4"/>
        <v>65.350780839581645</v>
      </c>
      <c r="L29" s="1021" t="e">
        <f t="shared" si="4"/>
        <v>#N/A</v>
      </c>
      <c r="M29" s="1021" t="e">
        <f t="shared" si="4"/>
        <v>#N/A</v>
      </c>
      <c r="N29" s="1021">
        <f t="shared" si="4"/>
        <v>0</v>
      </c>
      <c r="O29" s="1021" t="e">
        <f t="shared" si="4"/>
        <v>#N/A</v>
      </c>
      <c r="P29" s="1021" t="e">
        <f t="shared" si="4"/>
        <v>#N/A</v>
      </c>
      <c r="Q29" s="1021" t="e">
        <f t="shared" si="4"/>
        <v>#N/A</v>
      </c>
      <c r="R29" s="1002"/>
      <c r="T29" s="973"/>
    </row>
    <row r="30" spans="1:20" s="974" customFormat="1" ht="43.5" customHeight="1">
      <c r="A30" s="1265">
        <v>1</v>
      </c>
      <c r="B30" s="2066" t="s">
        <v>36</v>
      </c>
      <c r="C30" s="2066" t="s">
        <v>1160</v>
      </c>
      <c r="D30" s="1761" t="e">
        <f>+VLOOKUP(B30,'chấm công người việt'!C12:AL26,37,0)</f>
        <v>#N/A</v>
      </c>
      <c r="E30" s="1359">
        <f>+VLOOKUP(B30,'BẢNG KÊ LƯƠNG'!B27:D30,3,0)</f>
        <v>0</v>
      </c>
      <c r="F30" s="1271">
        <f>+VLOOKUP(B30,'BẢNG KÊ LƯƠNG'!B27:E30,4,0)</f>
        <v>0</v>
      </c>
      <c r="G30" s="1773">
        <f>+VLOOKUP(B30,'BẢNG KÊ LƯƠNG'!B27:F30,5,0)</f>
        <v>116.6627139270073</v>
      </c>
      <c r="H30" s="1444"/>
      <c r="I30" s="1773">
        <f>+VLOOKUP(B30,'BẢNG KÊ LƯƠNG'!B27:G30,6,0)</f>
        <v>238.08112116788323</v>
      </c>
      <c r="J30" s="1773">
        <f>+SUM(E30:I30)</f>
        <v>354.74383509489053</v>
      </c>
      <c r="K30" s="1762">
        <f>+VLOOKUP(B30,'BẢNG KÊ LƯƠNG'!B27:P44,15,0)</f>
        <v>22.751755098142223</v>
      </c>
      <c r="L30" s="1762">
        <f t="shared" si="1"/>
        <v>331.99207999674832</v>
      </c>
      <c r="M30" s="1762">
        <f>+VLOOKUP(B30,'BẢNG KÊ LƯƠNG'!B27:S44,18,0)</f>
        <v>18.155509637766428</v>
      </c>
      <c r="N30" s="1762"/>
      <c r="O30" s="1762">
        <f>+L30-M30</f>
        <v>313.83657035898187</v>
      </c>
      <c r="P30" s="1345">
        <f>+VLOOKUP(B30,'BẢNG KÊ LƯƠNG'!B27:W44,22,0)</f>
        <v>3.1383542671569797</v>
      </c>
      <c r="Q30" s="1345">
        <f>O30-P30</f>
        <v>310.69821609182492</v>
      </c>
      <c r="R30" s="1321"/>
      <c r="T30" s="973"/>
    </row>
    <row r="31" spans="1:20" s="974" customFormat="1" ht="43.5" customHeight="1">
      <c r="A31" s="1278">
        <v>2</v>
      </c>
      <c r="B31" s="1322" t="s">
        <v>536</v>
      </c>
      <c r="C31" s="1322" t="s">
        <v>1160</v>
      </c>
      <c r="D31" s="1763" t="e">
        <f>+VLOOKUP(B31,'chấm công người việt'!C13:AL32,37,0)</f>
        <v>#REF!</v>
      </c>
      <c r="E31" s="1306">
        <f>+VLOOKUP(B31,'BẢNG KÊ LƯƠNG'!B28:D31,3,0)</f>
        <v>0</v>
      </c>
      <c r="F31" s="1283">
        <f>+VLOOKUP(B31,'BẢNG KÊ LƯƠNG'!B28:E31,4,0)</f>
        <v>0</v>
      </c>
      <c r="G31" s="1295">
        <f>+VLOOKUP(B31,'BẢNG KÊ LƯƠNG'!B28:F31,5,0)</f>
        <v>50</v>
      </c>
      <c r="H31" s="1281"/>
      <c r="I31" s="1295">
        <f>+VLOOKUP(B31,'BẢNG KÊ LƯƠNG'!B28:G31,6,0)</f>
        <v>122.83510823774759</v>
      </c>
      <c r="J31" s="1295">
        <f>+SUM(E31:I31)</f>
        <v>172.83510823774759</v>
      </c>
      <c r="K31" s="1764">
        <f>+VLOOKUP(B31,'BẢNG KÊ LƯƠNG'!B28:P45,15,0)</f>
        <v>22.751755098142223</v>
      </c>
      <c r="L31" s="1764">
        <f t="shared" si="1"/>
        <v>150.08335313960538</v>
      </c>
      <c r="M31" s="1764">
        <f>+VLOOKUP(B31,'BẢNG KÊ LƯƠNG'!B28:S45,18,0)</f>
        <v>4.3999124394436153</v>
      </c>
      <c r="N31" s="1764"/>
      <c r="O31" s="1764">
        <f>+L31-M31</f>
        <v>145.68344070016175</v>
      </c>
      <c r="P31" s="1765">
        <f>+VLOOKUP(B31,'BẢNG KÊ LƯƠNG'!B28:W45,22,0)</f>
        <v>1.4568508524762405</v>
      </c>
      <c r="Q31" s="1765">
        <f>O31-P31</f>
        <v>144.22658984768552</v>
      </c>
      <c r="R31" s="2067"/>
      <c r="T31" s="973"/>
    </row>
    <row r="32" spans="1:20" s="974" customFormat="1" ht="43.5" customHeight="1">
      <c r="A32" s="1278">
        <v>3</v>
      </c>
      <c r="B32" s="1305" t="s">
        <v>789</v>
      </c>
      <c r="C32" s="1305" t="s">
        <v>704</v>
      </c>
      <c r="D32" s="1763" t="e">
        <f>+VLOOKUP(B32,'chấm công người việt'!C13:AL33,37,0)</f>
        <v>#N/A</v>
      </c>
      <c r="E32" s="1306">
        <f>+VLOOKUP(B32,'BẢNG KÊ LƯƠNG'!B29:D32,3,0)</f>
        <v>0</v>
      </c>
      <c r="F32" s="1283">
        <f>+VLOOKUP(B32,'BẢNG KÊ LƯƠNG'!B29:E32,4,0)</f>
        <v>0</v>
      </c>
      <c r="G32" s="1295" t="e">
        <f>+VLOOKUP(B32,'BẢNG KÊ LƯƠNG'!B29:F32,5,0)</f>
        <v>#N/A</v>
      </c>
      <c r="H32" s="1281"/>
      <c r="I32" s="1295" t="e">
        <f>+VLOOKUP(B32,'BẢNG KÊ LƯƠNG'!B29:G32,6,0)</f>
        <v>#N/A</v>
      </c>
      <c r="J32" s="1295" t="e">
        <f>+SUM(E32:I32)</f>
        <v>#N/A</v>
      </c>
      <c r="K32" s="1764">
        <f>+VLOOKUP(B32,'BẢNG KÊ LƯƠNG'!B29:P46,15,0)</f>
        <v>19.847270643297197</v>
      </c>
      <c r="L32" s="1764" t="e">
        <f t="shared" si="1"/>
        <v>#N/A</v>
      </c>
      <c r="M32" s="1764" t="e">
        <f>+VLOOKUP(B32,'BẢNG KÊ LƯƠNG'!B29:S46,18,0)</f>
        <v>#N/A</v>
      </c>
      <c r="N32" s="1764"/>
      <c r="O32" s="1764" t="e">
        <f>+L32-M32</f>
        <v>#N/A</v>
      </c>
      <c r="P32" s="1765" t="e">
        <f>+VLOOKUP(B32,'BẢNG KÊ LƯƠNG'!B29:W46,22,0)</f>
        <v>#N/A</v>
      </c>
      <c r="Q32" s="1765" t="e">
        <f>O32-P32</f>
        <v>#N/A</v>
      </c>
      <c r="R32" s="2067"/>
      <c r="T32" s="973"/>
    </row>
    <row r="33" spans="1:22" s="974" customFormat="1" ht="43.5" customHeight="1">
      <c r="A33" s="1448">
        <v>4</v>
      </c>
      <c r="B33" s="1770" t="s">
        <v>1307</v>
      </c>
      <c r="C33" s="1352" t="str">
        <f>+'BẢNG KÊ LƯƠNG'!C30</f>
        <v>Đội phó</v>
      </c>
      <c r="D33" s="1766" t="e">
        <f>+VLOOKUP(B33,'chấm công người việt'!C14:AL34,37,0)</f>
        <v>#N/A</v>
      </c>
      <c r="E33" s="1532">
        <f>+VLOOKUP(B33,'BẢNG KÊ LƯƠNG'!B30:D33,3,0)</f>
        <v>0</v>
      </c>
      <c r="F33" s="2068">
        <f>+VLOOKUP(B33,'BẢNG KÊ LƯƠNG'!B30:E33,4,0)</f>
        <v>0</v>
      </c>
      <c r="G33" s="1760" t="e">
        <f>+VLOOKUP(B33,'BẢNG KÊ LƯƠNG'!B30:F33,5,0)</f>
        <v>#N/A</v>
      </c>
      <c r="H33" s="1766">
        <f>+VLOOKUP(B33,'BẢNG KÊ LƯƠNG'!B26:I37,7,0)</f>
        <v>0</v>
      </c>
      <c r="I33" s="1760" t="e">
        <f>+VLOOKUP(B33,'BẢNG KÊ LƯƠNG'!B30:G33,6,0)</f>
        <v>#N/A</v>
      </c>
      <c r="J33" s="1760" t="e">
        <f>+SUM(E33:I33)</f>
        <v>#N/A</v>
      </c>
      <c r="K33" s="1767">
        <f>+VLOOKUP(B33,'BẢNG KÊ LƯƠNG'!B30:P47,15,0)</f>
        <v>0</v>
      </c>
      <c r="L33" s="1767" t="e">
        <f t="shared" si="1"/>
        <v>#N/A</v>
      </c>
      <c r="M33" s="1767" t="e">
        <f>+VLOOKUP(B33,'BẢNG KÊ LƯƠNG'!B30:S47,18,0)</f>
        <v>#N/A</v>
      </c>
      <c r="N33" s="1767"/>
      <c r="O33" s="1767" t="e">
        <f>+L33-M33</f>
        <v>#N/A</v>
      </c>
      <c r="P33" s="1768" t="e">
        <f>+VLOOKUP(B33,'BẢNG KÊ LƯƠNG'!B30:W47,22,0)</f>
        <v>#N/A</v>
      </c>
      <c r="Q33" s="1768" t="e">
        <f>O33-P33</f>
        <v>#N/A</v>
      </c>
      <c r="R33" s="1353"/>
      <c r="T33" s="973" t="e">
        <f>O36-P36-#REF!</f>
        <v>#N/A</v>
      </c>
    </row>
    <row r="34" spans="1:22" s="974" customFormat="1" ht="43.5" customHeight="1">
      <c r="A34" s="970" t="s">
        <v>220</v>
      </c>
      <c r="B34" s="971" t="s">
        <v>1107</v>
      </c>
      <c r="C34" s="972"/>
      <c r="D34" s="1000">
        <f>SUM(D35:D35)</f>
        <v>25</v>
      </c>
      <c r="E34" s="1023">
        <f>SUM(E35:E35)</f>
        <v>380</v>
      </c>
      <c r="F34" s="1815">
        <f>SUM(F35:F35)</f>
        <v>130</v>
      </c>
      <c r="G34" s="1021">
        <f>SUM(G35:G35)</f>
        <v>122.39999999999999</v>
      </c>
      <c r="H34" s="1021"/>
      <c r="I34" s="1021"/>
      <c r="J34" s="1815">
        <f t="shared" ref="J34:Q34" si="5">SUM(J35:J35)</f>
        <v>632.4</v>
      </c>
      <c r="K34" s="1597">
        <f t="shared" si="5"/>
        <v>22.590381584602895</v>
      </c>
      <c r="L34" s="1597">
        <f t="shared" si="5"/>
        <v>609.80961841539704</v>
      </c>
      <c r="M34" s="1597">
        <f t="shared" si="5"/>
        <v>45.937263479631312</v>
      </c>
      <c r="N34" s="1597">
        <f t="shared" si="5"/>
        <v>0</v>
      </c>
      <c r="O34" s="1596">
        <f t="shared" si="5"/>
        <v>563.87235493576577</v>
      </c>
      <c r="P34" s="1001">
        <f t="shared" si="5"/>
        <v>5.6387124504513109</v>
      </c>
      <c r="Q34" s="1001">
        <f t="shared" si="5"/>
        <v>558.23364248531448</v>
      </c>
      <c r="R34" s="1002"/>
      <c r="T34" s="973"/>
    </row>
    <row r="35" spans="1:22" s="974" customFormat="1" ht="43.5" customHeight="1">
      <c r="A35" s="1341">
        <v>1</v>
      </c>
      <c r="B35" s="1342" t="s">
        <v>37</v>
      </c>
      <c r="C35" s="1343" t="s">
        <v>1108</v>
      </c>
      <c r="D35" s="1546">
        <v>25</v>
      </c>
      <c r="E35" s="1358">
        <f>+VLOOKUP(B35,'BẢNG KÊ LƯƠNG'!B32:D32,3,0)</f>
        <v>380</v>
      </c>
      <c r="F35" s="1816">
        <f>+VLOOKUP(B35,'BẢNG KÊ LƯƠNG'!B32:E32,4,0)</f>
        <v>130</v>
      </c>
      <c r="G35" s="1760">
        <f>+VLOOKUP(B35,'BẢNG KÊ LƯƠNG'!B32:F35,5,0)</f>
        <v>122.39999999999999</v>
      </c>
      <c r="H35" s="1772">
        <v>0</v>
      </c>
      <c r="I35" s="1772"/>
      <c r="J35" s="1545">
        <f>+SUM(E35:I35)</f>
        <v>632.4</v>
      </c>
      <c r="K35" s="1762">
        <f>+VLOOKUP(B35,'BẢNG KÊ LƯƠNG'!B32:P49,15,0)</f>
        <v>22.590381584602895</v>
      </c>
      <c r="L35" s="1762">
        <f>+J35-K35</f>
        <v>609.80961841539704</v>
      </c>
      <c r="M35" s="1762">
        <f>+VLOOKUP(B35,'BẢNG KÊ LƯƠNG'!B32:S49,18,0)</f>
        <v>45.937263479631312</v>
      </c>
      <c r="N35" s="1762"/>
      <c r="O35" s="1762">
        <f>+L35-M35</f>
        <v>563.87235493576577</v>
      </c>
      <c r="P35" s="1345">
        <f>+VLOOKUP(B35,'BẢNG KÊ LƯƠNG'!B32:W49,22,0)</f>
        <v>5.6387124504513109</v>
      </c>
      <c r="Q35" s="1345">
        <f>O35-P35</f>
        <v>558.23364248531448</v>
      </c>
      <c r="R35" s="1002"/>
      <c r="T35" s="973"/>
    </row>
    <row r="36" spans="1:22" s="969" customFormat="1" ht="43.5" customHeight="1">
      <c r="A36" s="4267" t="s">
        <v>953</v>
      </c>
      <c r="B36" s="4267"/>
      <c r="C36" s="1496"/>
      <c r="D36" s="1003" t="e">
        <f>+D34+D29+D16</f>
        <v>#N/A</v>
      </c>
      <c r="E36" s="1830">
        <f>+E34+E29+E16</f>
        <v>4934</v>
      </c>
      <c r="F36" s="1003">
        <f>+F34+F29+F16</f>
        <v>1971.2</v>
      </c>
      <c r="G36" s="977" t="e">
        <f>+G34+G29+G16</f>
        <v>#N/A</v>
      </c>
      <c r="H36" s="977"/>
      <c r="I36" s="977"/>
      <c r="J36" s="977" t="e">
        <f t="shared" ref="J36:P36" si="6">+J34+J29+J16</f>
        <v>#N/A</v>
      </c>
      <c r="K36" s="1598">
        <f>+K34+K29+K16</f>
        <v>347.40794689335689</v>
      </c>
      <c r="L36" s="1598" t="e">
        <f>+L34+L29+L16</f>
        <v>#N/A</v>
      </c>
      <c r="M36" s="1598" t="e">
        <f t="shared" si="6"/>
        <v>#N/A</v>
      </c>
      <c r="N36" s="1598">
        <f t="shared" si="6"/>
        <v>0</v>
      </c>
      <c r="O36" s="1599" t="e">
        <f t="shared" si="6"/>
        <v>#N/A</v>
      </c>
      <c r="P36" s="977" t="e">
        <f t="shared" si="6"/>
        <v>#N/A</v>
      </c>
      <c r="Q36" s="977" t="e">
        <f>+Q34+Q29+Q16</f>
        <v>#N/A</v>
      </c>
      <c r="R36" s="1003"/>
      <c r="T36" s="1004" t="e">
        <f>F36-K36-M36-P36-#REF!</f>
        <v>#N/A</v>
      </c>
      <c r="V36" s="1089" t="e">
        <f>+F36-K36-M36-P36</f>
        <v>#N/A</v>
      </c>
    </row>
    <row r="37" spans="1:22" s="969" customFormat="1" ht="19.5" customHeight="1">
      <c r="D37" s="1019"/>
      <c r="E37" s="1019"/>
      <c r="F37" s="1600" t="e">
        <f>+'BẢNG KÊ LƯƠNG'!K33</f>
        <v>#N/A</v>
      </c>
      <c r="G37" s="1600"/>
      <c r="H37" s="1600"/>
      <c r="I37" s="1600"/>
      <c r="J37" s="1601"/>
      <c r="K37" s="1601">
        <f>+'BẢNG KÊ LƯƠNG'!O33</f>
        <v>7274375</v>
      </c>
      <c r="L37" s="1601" t="e">
        <f>+'BẢNG KÊ LƯƠNG'!Q33</f>
        <v>#N/A</v>
      </c>
      <c r="M37" s="1601" t="e">
        <f>'BẢNG KÊ LƯƠNG'!R33</f>
        <v>#N/A</v>
      </c>
      <c r="N37" s="1601">
        <f>'[7]BẢNG KÊ LƯƠNG'!K41</f>
        <v>82953529.433999985</v>
      </c>
      <c r="O37" s="1601" t="e">
        <f>'BẢNG KÊ LƯƠNG'!T33</f>
        <v>#N/A</v>
      </c>
      <c r="P37" s="1601" t="e">
        <f>'BẢNG KÊ LƯƠNG'!V33</f>
        <v>#N/A</v>
      </c>
      <c r="Q37" s="1005"/>
      <c r="T37" s="1006"/>
    </row>
    <row r="38" spans="1:22" s="1007" customFormat="1" ht="19.5" customHeight="1">
      <c r="D38" s="1020" t="s">
        <v>966</v>
      </c>
      <c r="E38" s="1020"/>
      <c r="F38" s="1602" t="e">
        <f>F37/$C$9</f>
        <v>#N/A</v>
      </c>
      <c r="G38" s="1602"/>
      <c r="H38" s="1602"/>
      <c r="I38" s="1602"/>
      <c r="J38" s="1602"/>
      <c r="K38" s="1602">
        <f t="shared" ref="K38:P38" si="7">K37/$C$9</f>
        <v>347.40794689335689</v>
      </c>
      <c r="L38" s="1602" t="e">
        <f t="shared" si="7"/>
        <v>#N/A</v>
      </c>
      <c r="M38" s="1602" t="e">
        <f t="shared" si="7"/>
        <v>#N/A</v>
      </c>
      <c r="N38" s="1602">
        <f t="shared" si="7"/>
        <v>3961.675793208844</v>
      </c>
      <c r="O38" s="1602" t="e">
        <f t="shared" si="7"/>
        <v>#N/A</v>
      </c>
      <c r="P38" s="1602" t="e">
        <f t="shared" si="7"/>
        <v>#N/A</v>
      </c>
      <c r="Q38" s="1008"/>
      <c r="T38" s="1009"/>
    </row>
    <row r="39" spans="1:22" s="1007" customFormat="1" ht="19.5" customHeight="1">
      <c r="D39" s="1020"/>
      <c r="E39" s="1020"/>
      <c r="F39" s="1602" t="e">
        <f>+F38-J36-G36</f>
        <v>#N/A</v>
      </c>
      <c r="G39" s="1602"/>
      <c r="H39" s="1602"/>
      <c r="I39" s="1602"/>
      <c r="J39" s="1602"/>
      <c r="K39" s="1602">
        <f t="shared" ref="K39:P39" si="8">K36-K38</f>
        <v>0</v>
      </c>
      <c r="L39" s="1602" t="e">
        <f t="shared" si="8"/>
        <v>#N/A</v>
      </c>
      <c r="M39" s="1602" t="e">
        <f t="shared" si="8"/>
        <v>#N/A</v>
      </c>
      <c r="N39" s="1602">
        <f t="shared" si="8"/>
        <v>-3961.675793208844</v>
      </c>
      <c r="O39" s="1602" t="e">
        <f t="shared" si="8"/>
        <v>#N/A</v>
      </c>
      <c r="P39" s="1602" t="e">
        <f t="shared" si="8"/>
        <v>#N/A</v>
      </c>
      <c r="Q39" s="1008"/>
      <c r="T39" s="1009" t="e">
        <f>+P36-P39</f>
        <v>#N/A</v>
      </c>
    </row>
    <row r="40" spans="1:22" s="1007" customFormat="1" ht="11.25" customHeight="1">
      <c r="F40" s="1008"/>
      <c r="G40" s="1008"/>
      <c r="H40" s="1008"/>
      <c r="I40" s="1008"/>
      <c r="J40" s="1008"/>
      <c r="K40" s="1008"/>
      <c r="L40" s="1008"/>
      <c r="M40" s="1008"/>
      <c r="N40" s="1008"/>
      <c r="O40" s="1008"/>
      <c r="P40" s="1008"/>
      <c r="Q40" s="1008"/>
      <c r="T40" s="1009"/>
    </row>
    <row r="41" spans="1:22" ht="21.75" customHeight="1">
      <c r="A41" s="4270" t="s">
        <v>1438</v>
      </c>
      <c r="B41" s="4270"/>
      <c r="C41" s="4270"/>
      <c r="D41" s="4270"/>
      <c r="E41" s="4270"/>
      <c r="F41" s="4270"/>
      <c r="G41" s="4270"/>
      <c r="H41" s="4270"/>
      <c r="I41" s="4270"/>
      <c r="J41" s="4270"/>
      <c r="K41" s="4270"/>
      <c r="L41" s="4270"/>
      <c r="M41" s="4270"/>
      <c r="N41" s="4270"/>
      <c r="O41" s="4270"/>
      <c r="P41" s="4270"/>
      <c r="Q41" s="4270"/>
      <c r="R41" s="4270"/>
    </row>
    <row r="42" spans="1:22" ht="12" customHeight="1">
      <c r="P42" s="1849"/>
    </row>
    <row r="43" spans="1:22" s="979" customFormat="1" ht="18" customHeight="1">
      <c r="P43" s="4271" t="s">
        <v>1432</v>
      </c>
      <c r="Q43" s="4271"/>
      <c r="R43" s="4271"/>
    </row>
    <row r="44" spans="1:22" s="985" customFormat="1" ht="18" customHeight="1">
      <c r="A44" s="3920" t="s">
        <v>84</v>
      </c>
      <c r="B44" s="3920"/>
      <c r="C44" s="3920"/>
      <c r="D44" s="984" t="s">
        <v>961</v>
      </c>
      <c r="E44" s="984"/>
      <c r="F44" s="984"/>
      <c r="G44" s="984"/>
      <c r="H44" s="984"/>
      <c r="I44" s="984"/>
      <c r="J44" s="984"/>
      <c r="K44" s="984" t="s">
        <v>117</v>
      </c>
      <c r="L44" s="984"/>
      <c r="M44" s="984"/>
      <c r="N44" s="1010"/>
      <c r="O44" s="984" t="s">
        <v>20</v>
      </c>
      <c r="Q44" s="3920" t="s">
        <v>956</v>
      </c>
      <c r="R44" s="3920"/>
    </row>
    <row r="45" spans="1:22" s="979" customFormat="1" ht="18" customHeight="1"/>
    <row r="46" spans="1:22" s="979" customFormat="1" ht="18" customHeight="1">
      <c r="F46" s="982"/>
      <c r="G46" s="982"/>
      <c r="H46" s="982"/>
      <c r="I46" s="982"/>
      <c r="J46" s="982"/>
      <c r="L46" s="982"/>
    </row>
    <row r="47" spans="1:22" s="979" customFormat="1" ht="18" customHeight="1">
      <c r="F47" s="989"/>
      <c r="G47" s="989"/>
      <c r="H47" s="989"/>
      <c r="I47" s="989"/>
      <c r="J47" s="989"/>
      <c r="O47" s="1011"/>
    </row>
    <row r="48" spans="1:22" s="979" customFormat="1" ht="18" customHeight="1"/>
    <row r="49" spans="5:17" s="979" customFormat="1" ht="18" customHeight="1">
      <c r="L49" s="988"/>
      <c r="O49" s="988"/>
      <c r="P49" s="988"/>
    </row>
    <row r="50" spans="5:17" s="979" customFormat="1" ht="18" customHeight="1">
      <c r="O50" s="985"/>
      <c r="Q50" s="985"/>
    </row>
    <row r="51" spans="5:17" s="979" customFormat="1" ht="18" customHeight="1"/>
    <row r="52" spans="5:17" s="979" customFormat="1" ht="18" customHeight="1"/>
    <row r="53" spans="5:17" s="979" customFormat="1" ht="18" customHeight="1">
      <c r="E53" s="982"/>
    </row>
    <row r="54" spans="5:17" s="979" customFormat="1" ht="18" customHeight="1"/>
    <row r="55" spans="5:17" s="979" customFormat="1" ht="18" customHeight="1"/>
    <row r="56" spans="5:17" s="979" customFormat="1" ht="18" customHeight="1"/>
    <row r="57" spans="5:17" s="979" customFormat="1" ht="18" customHeight="1"/>
    <row r="58" spans="5:17" s="979" customFormat="1" ht="18" customHeight="1"/>
    <row r="59" spans="5:17" s="979" customFormat="1" ht="18" customHeight="1"/>
    <row r="60" spans="5:17" s="979" customFormat="1" ht="18" customHeight="1"/>
    <row r="61" spans="5:17" s="979" customFormat="1" ht="18" customHeight="1"/>
    <row r="62" spans="5:17" s="979" customFormat="1" ht="18" customHeight="1"/>
    <row r="63" spans="5:17" s="979" customFormat="1" ht="18" customHeight="1"/>
    <row r="64" spans="5:17" s="979" customFormat="1" ht="18" customHeight="1"/>
    <row r="65" s="979" customFormat="1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</sheetData>
  <mergeCells count="30">
    <mergeCell ref="A44:C44"/>
    <mergeCell ref="Q44:R44"/>
    <mergeCell ref="Q12:Q14"/>
    <mergeCell ref="R12:R14"/>
    <mergeCell ref="B16:C16"/>
    <mergeCell ref="A36:B36"/>
    <mergeCell ref="A41:R41"/>
    <mergeCell ref="P43:R43"/>
    <mergeCell ref="L12:L14"/>
    <mergeCell ref="M12:M14"/>
    <mergeCell ref="N12:N14"/>
    <mergeCell ref="O12:O14"/>
    <mergeCell ref="P12:P14"/>
    <mergeCell ref="A12:A14"/>
    <mergeCell ref="B12:B14"/>
    <mergeCell ref="C12:C14"/>
    <mergeCell ref="K12:K14"/>
    <mergeCell ref="A1:R1"/>
    <mergeCell ref="A2:R2"/>
    <mergeCell ref="A4:E4"/>
    <mergeCell ref="A5:E5"/>
    <mergeCell ref="A8:R8"/>
    <mergeCell ref="D12:D14"/>
    <mergeCell ref="J12:J14"/>
    <mergeCell ref="H12:H14"/>
    <mergeCell ref="Q11:R11"/>
    <mergeCell ref="E12:G12"/>
    <mergeCell ref="E13:E14"/>
    <mergeCell ref="F13:G13"/>
    <mergeCell ref="I12:I14"/>
  </mergeCells>
  <pageMargins left="0.33" right="0.2" top="0.38" bottom="0.75" header="0.3" footer="0.3"/>
  <pageSetup scale="54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65"/>
  <sheetViews>
    <sheetView topLeftCell="A10" zoomScale="50" zoomScaleNormal="50" workbookViewId="0">
      <selection activeCell="W22" sqref="W22:W23"/>
    </sheetView>
  </sheetViews>
  <sheetFormatPr defaultRowHeight="24"/>
  <cols>
    <col min="1" max="1" width="7.140625" style="1908" customWidth="1"/>
    <col min="2" max="2" width="37.42578125" style="1908" customWidth="1"/>
    <col min="3" max="3" width="28.7109375" style="1908" customWidth="1"/>
    <col min="4" max="4" width="21.28515625" style="1908" customWidth="1"/>
    <col min="5" max="5" width="16.7109375" style="1908" customWidth="1"/>
    <col min="6" max="6" width="14.7109375" style="1908" customWidth="1"/>
    <col min="7" max="7" width="16.42578125" style="1908" customWidth="1"/>
    <col min="8" max="8" width="15.140625" style="1908" hidden="1" customWidth="1"/>
    <col min="9" max="9" width="9.85546875" style="1908" hidden="1" customWidth="1"/>
    <col min="10" max="10" width="20.5703125" style="1908" customWidth="1"/>
    <col min="11" max="11" width="24.7109375" style="1908" customWidth="1"/>
    <col min="12" max="12" width="14.7109375" style="1908" customWidth="1"/>
    <col min="13" max="13" width="14" style="1908" customWidth="1"/>
    <col min="14" max="14" width="16.140625" style="1908" customWidth="1"/>
    <col min="15" max="15" width="22" style="2003" customWidth="1"/>
    <col min="16" max="16" width="21.42578125" style="2003" customWidth="1"/>
    <col min="17" max="17" width="23.42578125" style="1908" customWidth="1"/>
    <col min="18" max="18" width="16.42578125" style="1908" customWidth="1"/>
    <col min="19" max="19" width="12.7109375" style="2003" customWidth="1"/>
    <col min="20" max="20" width="24.5703125" style="1908" customWidth="1"/>
    <col min="21" max="21" width="13" style="1908" customWidth="1"/>
    <col min="22" max="22" width="25.85546875" style="1908" customWidth="1"/>
    <col min="23" max="23" width="15.85546875" style="1908" customWidth="1"/>
    <col min="24" max="24" width="22.140625" style="2003" customWidth="1"/>
    <col min="25" max="25" width="20" style="1908" customWidth="1"/>
    <col min="26" max="26" width="14.7109375" style="1908" bestFit="1" customWidth="1"/>
    <col min="27" max="265" width="9.140625" style="1908"/>
    <col min="266" max="266" width="4.5703125" style="1908" customWidth="1"/>
    <col min="267" max="267" width="25" style="1908" customWidth="1"/>
    <col min="268" max="268" width="16" style="1908" customWidth="1"/>
    <col min="269" max="269" width="9.85546875" style="1908" customWidth="1"/>
    <col min="270" max="270" width="14.140625" style="1908" bestFit="1" customWidth="1"/>
    <col min="271" max="272" width="13.42578125" style="1908" customWidth="1"/>
    <col min="273" max="273" width="15.42578125" style="1908" bestFit="1" customWidth="1"/>
    <col min="274" max="275" width="15.42578125" style="1908" customWidth="1"/>
    <col min="276" max="277" width="16.5703125" style="1908" customWidth="1"/>
    <col min="278" max="278" width="15.85546875" style="1908" customWidth="1"/>
    <col min="279" max="279" width="14" style="1908" customWidth="1"/>
    <col min="280" max="280" width="16.85546875" style="1908" customWidth="1"/>
    <col min="281" max="281" width="20" style="1908" customWidth="1"/>
    <col min="282" max="521" width="9.140625" style="1908"/>
    <col min="522" max="522" width="4.5703125" style="1908" customWidth="1"/>
    <col min="523" max="523" width="25" style="1908" customWidth="1"/>
    <col min="524" max="524" width="16" style="1908" customWidth="1"/>
    <col min="525" max="525" width="9.85546875" style="1908" customWidth="1"/>
    <col min="526" max="526" width="14.140625" style="1908" bestFit="1" customWidth="1"/>
    <col min="527" max="528" width="13.42578125" style="1908" customWidth="1"/>
    <col min="529" max="529" width="15.42578125" style="1908" bestFit="1" customWidth="1"/>
    <col min="530" max="531" width="15.42578125" style="1908" customWidth="1"/>
    <col min="532" max="533" width="16.5703125" style="1908" customWidth="1"/>
    <col min="534" max="534" width="15.85546875" style="1908" customWidth="1"/>
    <col min="535" max="535" width="14" style="1908" customWidth="1"/>
    <col min="536" max="536" width="16.85546875" style="1908" customWidth="1"/>
    <col min="537" max="537" width="20" style="1908" customWidth="1"/>
    <col min="538" max="777" width="9.140625" style="1908"/>
    <col min="778" max="778" width="4.5703125" style="1908" customWidth="1"/>
    <col min="779" max="779" width="25" style="1908" customWidth="1"/>
    <col min="780" max="780" width="16" style="1908" customWidth="1"/>
    <col min="781" max="781" width="9.85546875" style="1908" customWidth="1"/>
    <col min="782" max="782" width="14.140625" style="1908" bestFit="1" customWidth="1"/>
    <col min="783" max="784" width="13.42578125" style="1908" customWidth="1"/>
    <col min="785" max="785" width="15.42578125" style="1908" bestFit="1" customWidth="1"/>
    <col min="786" max="787" width="15.42578125" style="1908" customWidth="1"/>
    <col min="788" max="789" width="16.5703125" style="1908" customWidth="1"/>
    <col min="790" max="790" width="15.85546875" style="1908" customWidth="1"/>
    <col min="791" max="791" width="14" style="1908" customWidth="1"/>
    <col min="792" max="792" width="16.85546875" style="1908" customWidth="1"/>
    <col min="793" max="793" width="20" style="1908" customWidth="1"/>
    <col min="794" max="1033" width="9.140625" style="1908"/>
    <col min="1034" max="1034" width="4.5703125" style="1908" customWidth="1"/>
    <col min="1035" max="1035" width="25" style="1908" customWidth="1"/>
    <col min="1036" max="1036" width="16" style="1908" customWidth="1"/>
    <col min="1037" max="1037" width="9.85546875" style="1908" customWidth="1"/>
    <col min="1038" max="1038" width="14.140625" style="1908" bestFit="1" customWidth="1"/>
    <col min="1039" max="1040" width="13.42578125" style="1908" customWidth="1"/>
    <col min="1041" max="1041" width="15.42578125" style="1908" bestFit="1" customWidth="1"/>
    <col min="1042" max="1043" width="15.42578125" style="1908" customWidth="1"/>
    <col min="1044" max="1045" width="16.5703125" style="1908" customWidth="1"/>
    <col min="1046" max="1046" width="15.85546875" style="1908" customWidth="1"/>
    <col min="1047" max="1047" width="14" style="1908" customWidth="1"/>
    <col min="1048" max="1048" width="16.85546875" style="1908" customWidth="1"/>
    <col min="1049" max="1049" width="20" style="1908" customWidth="1"/>
    <col min="1050" max="1289" width="9.140625" style="1908"/>
    <col min="1290" max="1290" width="4.5703125" style="1908" customWidth="1"/>
    <col min="1291" max="1291" width="25" style="1908" customWidth="1"/>
    <col min="1292" max="1292" width="16" style="1908" customWidth="1"/>
    <col min="1293" max="1293" width="9.85546875" style="1908" customWidth="1"/>
    <col min="1294" max="1294" width="14.140625" style="1908" bestFit="1" customWidth="1"/>
    <col min="1295" max="1296" width="13.42578125" style="1908" customWidth="1"/>
    <col min="1297" max="1297" width="15.42578125" style="1908" bestFit="1" customWidth="1"/>
    <col min="1298" max="1299" width="15.42578125" style="1908" customWidth="1"/>
    <col min="1300" max="1301" width="16.5703125" style="1908" customWidth="1"/>
    <col min="1302" max="1302" width="15.85546875" style="1908" customWidth="1"/>
    <col min="1303" max="1303" width="14" style="1908" customWidth="1"/>
    <col min="1304" max="1304" width="16.85546875" style="1908" customWidth="1"/>
    <col min="1305" max="1305" width="20" style="1908" customWidth="1"/>
    <col min="1306" max="1545" width="9.140625" style="1908"/>
    <col min="1546" max="1546" width="4.5703125" style="1908" customWidth="1"/>
    <col min="1547" max="1547" width="25" style="1908" customWidth="1"/>
    <col min="1548" max="1548" width="16" style="1908" customWidth="1"/>
    <col min="1549" max="1549" width="9.85546875" style="1908" customWidth="1"/>
    <col min="1550" max="1550" width="14.140625" style="1908" bestFit="1" customWidth="1"/>
    <col min="1551" max="1552" width="13.42578125" style="1908" customWidth="1"/>
    <col min="1553" max="1553" width="15.42578125" style="1908" bestFit="1" customWidth="1"/>
    <col min="1554" max="1555" width="15.42578125" style="1908" customWidth="1"/>
    <col min="1556" max="1557" width="16.5703125" style="1908" customWidth="1"/>
    <col min="1558" max="1558" width="15.85546875" style="1908" customWidth="1"/>
    <col min="1559" max="1559" width="14" style="1908" customWidth="1"/>
    <col min="1560" max="1560" width="16.85546875" style="1908" customWidth="1"/>
    <col min="1561" max="1561" width="20" style="1908" customWidth="1"/>
    <col min="1562" max="1801" width="9.140625" style="1908"/>
    <col min="1802" max="1802" width="4.5703125" style="1908" customWidth="1"/>
    <col min="1803" max="1803" width="25" style="1908" customWidth="1"/>
    <col min="1804" max="1804" width="16" style="1908" customWidth="1"/>
    <col min="1805" max="1805" width="9.85546875" style="1908" customWidth="1"/>
    <col min="1806" max="1806" width="14.140625" style="1908" bestFit="1" customWidth="1"/>
    <col min="1807" max="1808" width="13.42578125" style="1908" customWidth="1"/>
    <col min="1809" max="1809" width="15.42578125" style="1908" bestFit="1" customWidth="1"/>
    <col min="1810" max="1811" width="15.42578125" style="1908" customWidth="1"/>
    <col min="1812" max="1813" width="16.5703125" style="1908" customWidth="1"/>
    <col min="1814" max="1814" width="15.85546875" style="1908" customWidth="1"/>
    <col min="1815" max="1815" width="14" style="1908" customWidth="1"/>
    <col min="1816" max="1816" width="16.85546875" style="1908" customWidth="1"/>
    <col min="1817" max="1817" width="20" style="1908" customWidth="1"/>
    <col min="1818" max="2057" width="9.140625" style="1908"/>
    <col min="2058" max="2058" width="4.5703125" style="1908" customWidth="1"/>
    <col min="2059" max="2059" width="25" style="1908" customWidth="1"/>
    <col min="2060" max="2060" width="16" style="1908" customWidth="1"/>
    <col min="2061" max="2061" width="9.85546875" style="1908" customWidth="1"/>
    <col min="2062" max="2062" width="14.140625" style="1908" bestFit="1" customWidth="1"/>
    <col min="2063" max="2064" width="13.42578125" style="1908" customWidth="1"/>
    <col min="2065" max="2065" width="15.42578125" style="1908" bestFit="1" customWidth="1"/>
    <col min="2066" max="2067" width="15.42578125" style="1908" customWidth="1"/>
    <col min="2068" max="2069" width="16.5703125" style="1908" customWidth="1"/>
    <col min="2070" max="2070" width="15.85546875" style="1908" customWidth="1"/>
    <col min="2071" max="2071" width="14" style="1908" customWidth="1"/>
    <col min="2072" max="2072" width="16.85546875" style="1908" customWidth="1"/>
    <col min="2073" max="2073" width="20" style="1908" customWidth="1"/>
    <col min="2074" max="2313" width="9.140625" style="1908"/>
    <col min="2314" max="2314" width="4.5703125" style="1908" customWidth="1"/>
    <col min="2315" max="2315" width="25" style="1908" customWidth="1"/>
    <col min="2316" max="2316" width="16" style="1908" customWidth="1"/>
    <col min="2317" max="2317" width="9.85546875" style="1908" customWidth="1"/>
    <col min="2318" max="2318" width="14.140625" style="1908" bestFit="1" customWidth="1"/>
    <col min="2319" max="2320" width="13.42578125" style="1908" customWidth="1"/>
    <col min="2321" max="2321" width="15.42578125" style="1908" bestFit="1" customWidth="1"/>
    <col min="2322" max="2323" width="15.42578125" style="1908" customWidth="1"/>
    <col min="2324" max="2325" width="16.5703125" style="1908" customWidth="1"/>
    <col min="2326" max="2326" width="15.85546875" style="1908" customWidth="1"/>
    <col min="2327" max="2327" width="14" style="1908" customWidth="1"/>
    <col min="2328" max="2328" width="16.85546875" style="1908" customWidth="1"/>
    <col min="2329" max="2329" width="20" style="1908" customWidth="1"/>
    <col min="2330" max="2569" width="9.140625" style="1908"/>
    <col min="2570" max="2570" width="4.5703125" style="1908" customWidth="1"/>
    <col min="2571" max="2571" width="25" style="1908" customWidth="1"/>
    <col min="2572" max="2572" width="16" style="1908" customWidth="1"/>
    <col min="2573" max="2573" width="9.85546875" style="1908" customWidth="1"/>
    <col min="2574" max="2574" width="14.140625" style="1908" bestFit="1" customWidth="1"/>
    <col min="2575" max="2576" width="13.42578125" style="1908" customWidth="1"/>
    <col min="2577" max="2577" width="15.42578125" style="1908" bestFit="1" customWidth="1"/>
    <col min="2578" max="2579" width="15.42578125" style="1908" customWidth="1"/>
    <col min="2580" max="2581" width="16.5703125" style="1908" customWidth="1"/>
    <col min="2582" max="2582" width="15.85546875" style="1908" customWidth="1"/>
    <col min="2583" max="2583" width="14" style="1908" customWidth="1"/>
    <col min="2584" max="2584" width="16.85546875" style="1908" customWidth="1"/>
    <col min="2585" max="2585" width="20" style="1908" customWidth="1"/>
    <col min="2586" max="2825" width="9.140625" style="1908"/>
    <col min="2826" max="2826" width="4.5703125" style="1908" customWidth="1"/>
    <col min="2827" max="2827" width="25" style="1908" customWidth="1"/>
    <col min="2828" max="2828" width="16" style="1908" customWidth="1"/>
    <col min="2829" max="2829" width="9.85546875" style="1908" customWidth="1"/>
    <col min="2830" max="2830" width="14.140625" style="1908" bestFit="1" customWidth="1"/>
    <col min="2831" max="2832" width="13.42578125" style="1908" customWidth="1"/>
    <col min="2833" max="2833" width="15.42578125" style="1908" bestFit="1" customWidth="1"/>
    <col min="2834" max="2835" width="15.42578125" style="1908" customWidth="1"/>
    <col min="2836" max="2837" width="16.5703125" style="1908" customWidth="1"/>
    <col min="2838" max="2838" width="15.85546875" style="1908" customWidth="1"/>
    <col min="2839" max="2839" width="14" style="1908" customWidth="1"/>
    <col min="2840" max="2840" width="16.85546875" style="1908" customWidth="1"/>
    <col min="2841" max="2841" width="20" style="1908" customWidth="1"/>
    <col min="2842" max="3081" width="9.140625" style="1908"/>
    <col min="3082" max="3082" width="4.5703125" style="1908" customWidth="1"/>
    <col min="3083" max="3083" width="25" style="1908" customWidth="1"/>
    <col min="3084" max="3084" width="16" style="1908" customWidth="1"/>
    <col min="3085" max="3085" width="9.85546875" style="1908" customWidth="1"/>
    <col min="3086" max="3086" width="14.140625" style="1908" bestFit="1" customWidth="1"/>
    <col min="3087" max="3088" width="13.42578125" style="1908" customWidth="1"/>
    <col min="3089" max="3089" width="15.42578125" style="1908" bestFit="1" customWidth="1"/>
    <col min="3090" max="3091" width="15.42578125" style="1908" customWidth="1"/>
    <col min="3092" max="3093" width="16.5703125" style="1908" customWidth="1"/>
    <col min="3094" max="3094" width="15.85546875" style="1908" customWidth="1"/>
    <col min="3095" max="3095" width="14" style="1908" customWidth="1"/>
    <col min="3096" max="3096" width="16.85546875" style="1908" customWidth="1"/>
    <col min="3097" max="3097" width="20" style="1908" customWidth="1"/>
    <col min="3098" max="3337" width="9.140625" style="1908"/>
    <col min="3338" max="3338" width="4.5703125" style="1908" customWidth="1"/>
    <col min="3339" max="3339" width="25" style="1908" customWidth="1"/>
    <col min="3340" max="3340" width="16" style="1908" customWidth="1"/>
    <col min="3341" max="3341" width="9.85546875" style="1908" customWidth="1"/>
    <col min="3342" max="3342" width="14.140625" style="1908" bestFit="1" customWidth="1"/>
    <col min="3343" max="3344" width="13.42578125" style="1908" customWidth="1"/>
    <col min="3345" max="3345" width="15.42578125" style="1908" bestFit="1" customWidth="1"/>
    <col min="3346" max="3347" width="15.42578125" style="1908" customWidth="1"/>
    <col min="3348" max="3349" width="16.5703125" style="1908" customWidth="1"/>
    <col min="3350" max="3350" width="15.85546875" style="1908" customWidth="1"/>
    <col min="3351" max="3351" width="14" style="1908" customWidth="1"/>
    <col min="3352" max="3352" width="16.85546875" style="1908" customWidth="1"/>
    <col min="3353" max="3353" width="20" style="1908" customWidth="1"/>
    <col min="3354" max="3593" width="9.140625" style="1908"/>
    <col min="3594" max="3594" width="4.5703125" style="1908" customWidth="1"/>
    <col min="3595" max="3595" width="25" style="1908" customWidth="1"/>
    <col min="3596" max="3596" width="16" style="1908" customWidth="1"/>
    <col min="3597" max="3597" width="9.85546875" style="1908" customWidth="1"/>
    <col min="3598" max="3598" width="14.140625" style="1908" bestFit="1" customWidth="1"/>
    <col min="3599" max="3600" width="13.42578125" style="1908" customWidth="1"/>
    <col min="3601" max="3601" width="15.42578125" style="1908" bestFit="1" customWidth="1"/>
    <col min="3602" max="3603" width="15.42578125" style="1908" customWidth="1"/>
    <col min="3604" max="3605" width="16.5703125" style="1908" customWidth="1"/>
    <col min="3606" max="3606" width="15.85546875" style="1908" customWidth="1"/>
    <col min="3607" max="3607" width="14" style="1908" customWidth="1"/>
    <col min="3608" max="3608" width="16.85546875" style="1908" customWidth="1"/>
    <col min="3609" max="3609" width="20" style="1908" customWidth="1"/>
    <col min="3610" max="3849" width="9.140625" style="1908"/>
    <col min="3850" max="3850" width="4.5703125" style="1908" customWidth="1"/>
    <col min="3851" max="3851" width="25" style="1908" customWidth="1"/>
    <col min="3852" max="3852" width="16" style="1908" customWidth="1"/>
    <col min="3853" max="3853" width="9.85546875" style="1908" customWidth="1"/>
    <col min="3854" max="3854" width="14.140625" style="1908" bestFit="1" customWidth="1"/>
    <col min="3855" max="3856" width="13.42578125" style="1908" customWidth="1"/>
    <col min="3857" max="3857" width="15.42578125" style="1908" bestFit="1" customWidth="1"/>
    <col min="3858" max="3859" width="15.42578125" style="1908" customWidth="1"/>
    <col min="3860" max="3861" width="16.5703125" style="1908" customWidth="1"/>
    <col min="3862" max="3862" width="15.85546875" style="1908" customWidth="1"/>
    <col min="3863" max="3863" width="14" style="1908" customWidth="1"/>
    <col min="3864" max="3864" width="16.85546875" style="1908" customWidth="1"/>
    <col min="3865" max="3865" width="20" style="1908" customWidth="1"/>
    <col min="3866" max="4105" width="9.140625" style="1908"/>
    <col min="4106" max="4106" width="4.5703125" style="1908" customWidth="1"/>
    <col min="4107" max="4107" width="25" style="1908" customWidth="1"/>
    <col min="4108" max="4108" width="16" style="1908" customWidth="1"/>
    <col min="4109" max="4109" width="9.85546875" style="1908" customWidth="1"/>
    <col min="4110" max="4110" width="14.140625" style="1908" bestFit="1" customWidth="1"/>
    <col min="4111" max="4112" width="13.42578125" style="1908" customWidth="1"/>
    <col min="4113" max="4113" width="15.42578125" style="1908" bestFit="1" customWidth="1"/>
    <col min="4114" max="4115" width="15.42578125" style="1908" customWidth="1"/>
    <col min="4116" max="4117" width="16.5703125" style="1908" customWidth="1"/>
    <col min="4118" max="4118" width="15.85546875" style="1908" customWidth="1"/>
    <col min="4119" max="4119" width="14" style="1908" customWidth="1"/>
    <col min="4120" max="4120" width="16.85546875" style="1908" customWidth="1"/>
    <col min="4121" max="4121" width="20" style="1908" customWidth="1"/>
    <col min="4122" max="4361" width="9.140625" style="1908"/>
    <col min="4362" max="4362" width="4.5703125" style="1908" customWidth="1"/>
    <col min="4363" max="4363" width="25" style="1908" customWidth="1"/>
    <col min="4364" max="4364" width="16" style="1908" customWidth="1"/>
    <col min="4365" max="4365" width="9.85546875" style="1908" customWidth="1"/>
    <col min="4366" max="4366" width="14.140625" style="1908" bestFit="1" customWidth="1"/>
    <col min="4367" max="4368" width="13.42578125" style="1908" customWidth="1"/>
    <col min="4369" max="4369" width="15.42578125" style="1908" bestFit="1" customWidth="1"/>
    <col min="4370" max="4371" width="15.42578125" style="1908" customWidth="1"/>
    <col min="4372" max="4373" width="16.5703125" style="1908" customWidth="1"/>
    <col min="4374" max="4374" width="15.85546875" style="1908" customWidth="1"/>
    <col min="4375" max="4375" width="14" style="1908" customWidth="1"/>
    <col min="4376" max="4376" width="16.85546875" style="1908" customWidth="1"/>
    <col min="4377" max="4377" width="20" style="1908" customWidth="1"/>
    <col min="4378" max="4617" width="9.140625" style="1908"/>
    <col min="4618" max="4618" width="4.5703125" style="1908" customWidth="1"/>
    <col min="4619" max="4619" width="25" style="1908" customWidth="1"/>
    <col min="4620" max="4620" width="16" style="1908" customWidth="1"/>
    <col min="4621" max="4621" width="9.85546875" style="1908" customWidth="1"/>
    <col min="4622" max="4622" width="14.140625" style="1908" bestFit="1" customWidth="1"/>
    <col min="4623" max="4624" width="13.42578125" style="1908" customWidth="1"/>
    <col min="4625" max="4625" width="15.42578125" style="1908" bestFit="1" customWidth="1"/>
    <col min="4626" max="4627" width="15.42578125" style="1908" customWidth="1"/>
    <col min="4628" max="4629" width="16.5703125" style="1908" customWidth="1"/>
    <col min="4630" max="4630" width="15.85546875" style="1908" customWidth="1"/>
    <col min="4631" max="4631" width="14" style="1908" customWidth="1"/>
    <col min="4632" max="4632" width="16.85546875" style="1908" customWidth="1"/>
    <col min="4633" max="4633" width="20" style="1908" customWidth="1"/>
    <col min="4634" max="4873" width="9.140625" style="1908"/>
    <col min="4874" max="4874" width="4.5703125" style="1908" customWidth="1"/>
    <col min="4875" max="4875" width="25" style="1908" customWidth="1"/>
    <col min="4876" max="4876" width="16" style="1908" customWidth="1"/>
    <col min="4877" max="4877" width="9.85546875" style="1908" customWidth="1"/>
    <col min="4878" max="4878" width="14.140625" style="1908" bestFit="1" customWidth="1"/>
    <col min="4879" max="4880" width="13.42578125" style="1908" customWidth="1"/>
    <col min="4881" max="4881" width="15.42578125" style="1908" bestFit="1" customWidth="1"/>
    <col min="4882" max="4883" width="15.42578125" style="1908" customWidth="1"/>
    <col min="4884" max="4885" width="16.5703125" style="1908" customWidth="1"/>
    <col min="4886" max="4886" width="15.85546875" style="1908" customWidth="1"/>
    <col min="4887" max="4887" width="14" style="1908" customWidth="1"/>
    <col min="4888" max="4888" width="16.85546875" style="1908" customWidth="1"/>
    <col min="4889" max="4889" width="20" style="1908" customWidth="1"/>
    <col min="4890" max="5129" width="9.140625" style="1908"/>
    <col min="5130" max="5130" width="4.5703125" style="1908" customWidth="1"/>
    <col min="5131" max="5131" width="25" style="1908" customWidth="1"/>
    <col min="5132" max="5132" width="16" style="1908" customWidth="1"/>
    <col min="5133" max="5133" width="9.85546875" style="1908" customWidth="1"/>
    <col min="5134" max="5134" width="14.140625" style="1908" bestFit="1" customWidth="1"/>
    <col min="5135" max="5136" width="13.42578125" style="1908" customWidth="1"/>
    <col min="5137" max="5137" width="15.42578125" style="1908" bestFit="1" customWidth="1"/>
    <col min="5138" max="5139" width="15.42578125" style="1908" customWidth="1"/>
    <col min="5140" max="5141" width="16.5703125" style="1908" customWidth="1"/>
    <col min="5142" max="5142" width="15.85546875" style="1908" customWidth="1"/>
    <col min="5143" max="5143" width="14" style="1908" customWidth="1"/>
    <col min="5144" max="5144" width="16.85546875" style="1908" customWidth="1"/>
    <col min="5145" max="5145" width="20" style="1908" customWidth="1"/>
    <col min="5146" max="5385" width="9.140625" style="1908"/>
    <col min="5386" max="5386" width="4.5703125" style="1908" customWidth="1"/>
    <col min="5387" max="5387" width="25" style="1908" customWidth="1"/>
    <col min="5388" max="5388" width="16" style="1908" customWidth="1"/>
    <col min="5389" max="5389" width="9.85546875" style="1908" customWidth="1"/>
    <col min="5390" max="5390" width="14.140625" style="1908" bestFit="1" customWidth="1"/>
    <col min="5391" max="5392" width="13.42578125" style="1908" customWidth="1"/>
    <col min="5393" max="5393" width="15.42578125" style="1908" bestFit="1" customWidth="1"/>
    <col min="5394" max="5395" width="15.42578125" style="1908" customWidth="1"/>
    <col min="5396" max="5397" width="16.5703125" style="1908" customWidth="1"/>
    <col min="5398" max="5398" width="15.85546875" style="1908" customWidth="1"/>
    <col min="5399" max="5399" width="14" style="1908" customWidth="1"/>
    <col min="5400" max="5400" width="16.85546875" style="1908" customWidth="1"/>
    <col min="5401" max="5401" width="20" style="1908" customWidth="1"/>
    <col min="5402" max="5641" width="9.140625" style="1908"/>
    <col min="5642" max="5642" width="4.5703125" style="1908" customWidth="1"/>
    <col min="5643" max="5643" width="25" style="1908" customWidth="1"/>
    <col min="5644" max="5644" width="16" style="1908" customWidth="1"/>
    <col min="5645" max="5645" width="9.85546875" style="1908" customWidth="1"/>
    <col min="5646" max="5646" width="14.140625" style="1908" bestFit="1" customWidth="1"/>
    <col min="5647" max="5648" width="13.42578125" style="1908" customWidth="1"/>
    <col min="5649" max="5649" width="15.42578125" style="1908" bestFit="1" customWidth="1"/>
    <col min="5650" max="5651" width="15.42578125" style="1908" customWidth="1"/>
    <col min="5652" max="5653" width="16.5703125" style="1908" customWidth="1"/>
    <col min="5654" max="5654" width="15.85546875" style="1908" customWidth="1"/>
    <col min="5655" max="5655" width="14" style="1908" customWidth="1"/>
    <col min="5656" max="5656" width="16.85546875" style="1908" customWidth="1"/>
    <col min="5657" max="5657" width="20" style="1908" customWidth="1"/>
    <col min="5658" max="5897" width="9.140625" style="1908"/>
    <col min="5898" max="5898" width="4.5703125" style="1908" customWidth="1"/>
    <col min="5899" max="5899" width="25" style="1908" customWidth="1"/>
    <col min="5900" max="5900" width="16" style="1908" customWidth="1"/>
    <col min="5901" max="5901" width="9.85546875" style="1908" customWidth="1"/>
    <col min="5902" max="5902" width="14.140625" style="1908" bestFit="1" customWidth="1"/>
    <col min="5903" max="5904" width="13.42578125" style="1908" customWidth="1"/>
    <col min="5905" max="5905" width="15.42578125" style="1908" bestFit="1" customWidth="1"/>
    <col min="5906" max="5907" width="15.42578125" style="1908" customWidth="1"/>
    <col min="5908" max="5909" width="16.5703125" style="1908" customWidth="1"/>
    <col min="5910" max="5910" width="15.85546875" style="1908" customWidth="1"/>
    <col min="5911" max="5911" width="14" style="1908" customWidth="1"/>
    <col min="5912" max="5912" width="16.85546875" style="1908" customWidth="1"/>
    <col min="5913" max="5913" width="20" style="1908" customWidth="1"/>
    <col min="5914" max="6153" width="9.140625" style="1908"/>
    <col min="6154" max="6154" width="4.5703125" style="1908" customWidth="1"/>
    <col min="6155" max="6155" width="25" style="1908" customWidth="1"/>
    <col min="6156" max="6156" width="16" style="1908" customWidth="1"/>
    <col min="6157" max="6157" width="9.85546875" style="1908" customWidth="1"/>
    <col min="6158" max="6158" width="14.140625" style="1908" bestFit="1" customWidth="1"/>
    <col min="6159" max="6160" width="13.42578125" style="1908" customWidth="1"/>
    <col min="6161" max="6161" width="15.42578125" style="1908" bestFit="1" customWidth="1"/>
    <col min="6162" max="6163" width="15.42578125" style="1908" customWidth="1"/>
    <col min="6164" max="6165" width="16.5703125" style="1908" customWidth="1"/>
    <col min="6166" max="6166" width="15.85546875" style="1908" customWidth="1"/>
    <col min="6167" max="6167" width="14" style="1908" customWidth="1"/>
    <col min="6168" max="6168" width="16.85546875" style="1908" customWidth="1"/>
    <col min="6169" max="6169" width="20" style="1908" customWidth="1"/>
    <col min="6170" max="6409" width="9.140625" style="1908"/>
    <col min="6410" max="6410" width="4.5703125" style="1908" customWidth="1"/>
    <col min="6411" max="6411" width="25" style="1908" customWidth="1"/>
    <col min="6412" max="6412" width="16" style="1908" customWidth="1"/>
    <col min="6413" max="6413" width="9.85546875" style="1908" customWidth="1"/>
    <col min="6414" max="6414" width="14.140625" style="1908" bestFit="1" customWidth="1"/>
    <col min="6415" max="6416" width="13.42578125" style="1908" customWidth="1"/>
    <col min="6417" max="6417" width="15.42578125" style="1908" bestFit="1" customWidth="1"/>
    <col min="6418" max="6419" width="15.42578125" style="1908" customWidth="1"/>
    <col min="6420" max="6421" width="16.5703125" style="1908" customWidth="1"/>
    <col min="6422" max="6422" width="15.85546875" style="1908" customWidth="1"/>
    <col min="6423" max="6423" width="14" style="1908" customWidth="1"/>
    <col min="6424" max="6424" width="16.85546875" style="1908" customWidth="1"/>
    <col min="6425" max="6425" width="20" style="1908" customWidth="1"/>
    <col min="6426" max="6665" width="9.140625" style="1908"/>
    <col min="6666" max="6666" width="4.5703125" style="1908" customWidth="1"/>
    <col min="6667" max="6667" width="25" style="1908" customWidth="1"/>
    <col min="6668" max="6668" width="16" style="1908" customWidth="1"/>
    <col min="6669" max="6669" width="9.85546875" style="1908" customWidth="1"/>
    <col min="6670" max="6670" width="14.140625" style="1908" bestFit="1" customWidth="1"/>
    <col min="6671" max="6672" width="13.42578125" style="1908" customWidth="1"/>
    <col min="6673" max="6673" width="15.42578125" style="1908" bestFit="1" customWidth="1"/>
    <col min="6674" max="6675" width="15.42578125" style="1908" customWidth="1"/>
    <col min="6676" max="6677" width="16.5703125" style="1908" customWidth="1"/>
    <col min="6678" max="6678" width="15.85546875" style="1908" customWidth="1"/>
    <col min="6679" max="6679" width="14" style="1908" customWidth="1"/>
    <col min="6680" max="6680" width="16.85546875" style="1908" customWidth="1"/>
    <col min="6681" max="6681" width="20" style="1908" customWidth="1"/>
    <col min="6682" max="6921" width="9.140625" style="1908"/>
    <col min="6922" max="6922" width="4.5703125" style="1908" customWidth="1"/>
    <col min="6923" max="6923" width="25" style="1908" customWidth="1"/>
    <col min="6924" max="6924" width="16" style="1908" customWidth="1"/>
    <col min="6925" max="6925" width="9.85546875" style="1908" customWidth="1"/>
    <col min="6926" max="6926" width="14.140625" style="1908" bestFit="1" customWidth="1"/>
    <col min="6927" max="6928" width="13.42578125" style="1908" customWidth="1"/>
    <col min="6929" max="6929" width="15.42578125" style="1908" bestFit="1" customWidth="1"/>
    <col min="6930" max="6931" width="15.42578125" style="1908" customWidth="1"/>
    <col min="6932" max="6933" width="16.5703125" style="1908" customWidth="1"/>
    <col min="6934" max="6934" width="15.85546875" style="1908" customWidth="1"/>
    <col min="6935" max="6935" width="14" style="1908" customWidth="1"/>
    <col min="6936" max="6936" width="16.85546875" style="1908" customWidth="1"/>
    <col min="6937" max="6937" width="20" style="1908" customWidth="1"/>
    <col min="6938" max="7177" width="9.140625" style="1908"/>
    <col min="7178" max="7178" width="4.5703125" style="1908" customWidth="1"/>
    <col min="7179" max="7179" width="25" style="1908" customWidth="1"/>
    <col min="7180" max="7180" width="16" style="1908" customWidth="1"/>
    <col min="7181" max="7181" width="9.85546875" style="1908" customWidth="1"/>
    <col min="7182" max="7182" width="14.140625" style="1908" bestFit="1" customWidth="1"/>
    <col min="7183" max="7184" width="13.42578125" style="1908" customWidth="1"/>
    <col min="7185" max="7185" width="15.42578125" style="1908" bestFit="1" customWidth="1"/>
    <col min="7186" max="7187" width="15.42578125" style="1908" customWidth="1"/>
    <col min="7188" max="7189" width="16.5703125" style="1908" customWidth="1"/>
    <col min="7190" max="7190" width="15.85546875" style="1908" customWidth="1"/>
    <col min="7191" max="7191" width="14" style="1908" customWidth="1"/>
    <col min="7192" max="7192" width="16.85546875" style="1908" customWidth="1"/>
    <col min="7193" max="7193" width="20" style="1908" customWidth="1"/>
    <col min="7194" max="7433" width="9.140625" style="1908"/>
    <col min="7434" max="7434" width="4.5703125" style="1908" customWidth="1"/>
    <col min="7435" max="7435" width="25" style="1908" customWidth="1"/>
    <col min="7436" max="7436" width="16" style="1908" customWidth="1"/>
    <col min="7437" max="7437" width="9.85546875" style="1908" customWidth="1"/>
    <col min="7438" max="7438" width="14.140625" style="1908" bestFit="1" customWidth="1"/>
    <col min="7439" max="7440" width="13.42578125" style="1908" customWidth="1"/>
    <col min="7441" max="7441" width="15.42578125" style="1908" bestFit="1" customWidth="1"/>
    <col min="7442" max="7443" width="15.42578125" style="1908" customWidth="1"/>
    <col min="7444" max="7445" width="16.5703125" style="1908" customWidth="1"/>
    <col min="7446" max="7446" width="15.85546875" style="1908" customWidth="1"/>
    <col min="7447" max="7447" width="14" style="1908" customWidth="1"/>
    <col min="7448" max="7448" width="16.85546875" style="1908" customWidth="1"/>
    <col min="7449" max="7449" width="20" style="1908" customWidth="1"/>
    <col min="7450" max="7689" width="9.140625" style="1908"/>
    <col min="7690" max="7690" width="4.5703125" style="1908" customWidth="1"/>
    <col min="7691" max="7691" width="25" style="1908" customWidth="1"/>
    <col min="7692" max="7692" width="16" style="1908" customWidth="1"/>
    <col min="7693" max="7693" width="9.85546875" style="1908" customWidth="1"/>
    <col min="7694" max="7694" width="14.140625" style="1908" bestFit="1" customWidth="1"/>
    <col min="7695" max="7696" width="13.42578125" style="1908" customWidth="1"/>
    <col min="7697" max="7697" width="15.42578125" style="1908" bestFit="1" customWidth="1"/>
    <col min="7698" max="7699" width="15.42578125" style="1908" customWidth="1"/>
    <col min="7700" max="7701" width="16.5703125" style="1908" customWidth="1"/>
    <col min="7702" max="7702" width="15.85546875" style="1908" customWidth="1"/>
    <col min="7703" max="7703" width="14" style="1908" customWidth="1"/>
    <col min="7704" max="7704" width="16.85546875" style="1908" customWidth="1"/>
    <col min="7705" max="7705" width="20" style="1908" customWidth="1"/>
    <col min="7706" max="7945" width="9.140625" style="1908"/>
    <col min="7946" max="7946" width="4.5703125" style="1908" customWidth="1"/>
    <col min="7947" max="7947" width="25" style="1908" customWidth="1"/>
    <col min="7948" max="7948" width="16" style="1908" customWidth="1"/>
    <col min="7949" max="7949" width="9.85546875" style="1908" customWidth="1"/>
    <col min="7950" max="7950" width="14.140625" style="1908" bestFit="1" customWidth="1"/>
    <col min="7951" max="7952" width="13.42578125" style="1908" customWidth="1"/>
    <col min="7953" max="7953" width="15.42578125" style="1908" bestFit="1" customWidth="1"/>
    <col min="7954" max="7955" width="15.42578125" style="1908" customWidth="1"/>
    <col min="7956" max="7957" width="16.5703125" style="1908" customWidth="1"/>
    <col min="7958" max="7958" width="15.85546875" style="1908" customWidth="1"/>
    <col min="7959" max="7959" width="14" style="1908" customWidth="1"/>
    <col min="7960" max="7960" width="16.85546875" style="1908" customWidth="1"/>
    <col min="7961" max="7961" width="20" style="1908" customWidth="1"/>
    <col min="7962" max="8201" width="9.140625" style="1908"/>
    <col min="8202" max="8202" width="4.5703125" style="1908" customWidth="1"/>
    <col min="8203" max="8203" width="25" style="1908" customWidth="1"/>
    <col min="8204" max="8204" width="16" style="1908" customWidth="1"/>
    <col min="8205" max="8205" width="9.85546875" style="1908" customWidth="1"/>
    <col min="8206" max="8206" width="14.140625" style="1908" bestFit="1" customWidth="1"/>
    <col min="8207" max="8208" width="13.42578125" style="1908" customWidth="1"/>
    <col min="8209" max="8209" width="15.42578125" style="1908" bestFit="1" customWidth="1"/>
    <col min="8210" max="8211" width="15.42578125" style="1908" customWidth="1"/>
    <col min="8212" max="8213" width="16.5703125" style="1908" customWidth="1"/>
    <col min="8214" max="8214" width="15.85546875" style="1908" customWidth="1"/>
    <col min="8215" max="8215" width="14" style="1908" customWidth="1"/>
    <col min="8216" max="8216" width="16.85546875" style="1908" customWidth="1"/>
    <col min="8217" max="8217" width="20" style="1908" customWidth="1"/>
    <col min="8218" max="8457" width="9.140625" style="1908"/>
    <col min="8458" max="8458" width="4.5703125" style="1908" customWidth="1"/>
    <col min="8459" max="8459" width="25" style="1908" customWidth="1"/>
    <col min="8460" max="8460" width="16" style="1908" customWidth="1"/>
    <col min="8461" max="8461" width="9.85546875" style="1908" customWidth="1"/>
    <col min="8462" max="8462" width="14.140625" style="1908" bestFit="1" customWidth="1"/>
    <col min="8463" max="8464" width="13.42578125" style="1908" customWidth="1"/>
    <col min="8465" max="8465" width="15.42578125" style="1908" bestFit="1" customWidth="1"/>
    <col min="8466" max="8467" width="15.42578125" style="1908" customWidth="1"/>
    <col min="8468" max="8469" width="16.5703125" style="1908" customWidth="1"/>
    <col min="8470" max="8470" width="15.85546875" style="1908" customWidth="1"/>
    <col min="8471" max="8471" width="14" style="1908" customWidth="1"/>
    <col min="8472" max="8472" width="16.85546875" style="1908" customWidth="1"/>
    <col min="8473" max="8473" width="20" style="1908" customWidth="1"/>
    <col min="8474" max="8713" width="9.140625" style="1908"/>
    <col min="8714" max="8714" width="4.5703125" style="1908" customWidth="1"/>
    <col min="8715" max="8715" width="25" style="1908" customWidth="1"/>
    <col min="8716" max="8716" width="16" style="1908" customWidth="1"/>
    <col min="8717" max="8717" width="9.85546875" style="1908" customWidth="1"/>
    <col min="8718" max="8718" width="14.140625" style="1908" bestFit="1" customWidth="1"/>
    <col min="8719" max="8720" width="13.42578125" style="1908" customWidth="1"/>
    <col min="8721" max="8721" width="15.42578125" style="1908" bestFit="1" customWidth="1"/>
    <col min="8722" max="8723" width="15.42578125" style="1908" customWidth="1"/>
    <col min="8724" max="8725" width="16.5703125" style="1908" customWidth="1"/>
    <col min="8726" max="8726" width="15.85546875" style="1908" customWidth="1"/>
    <col min="8727" max="8727" width="14" style="1908" customWidth="1"/>
    <col min="8728" max="8728" width="16.85546875" style="1908" customWidth="1"/>
    <col min="8729" max="8729" width="20" style="1908" customWidth="1"/>
    <col min="8730" max="8969" width="9.140625" style="1908"/>
    <col min="8970" max="8970" width="4.5703125" style="1908" customWidth="1"/>
    <col min="8971" max="8971" width="25" style="1908" customWidth="1"/>
    <col min="8972" max="8972" width="16" style="1908" customWidth="1"/>
    <col min="8973" max="8973" width="9.85546875" style="1908" customWidth="1"/>
    <col min="8974" max="8974" width="14.140625" style="1908" bestFit="1" customWidth="1"/>
    <col min="8975" max="8976" width="13.42578125" style="1908" customWidth="1"/>
    <col min="8977" max="8977" width="15.42578125" style="1908" bestFit="1" customWidth="1"/>
    <col min="8978" max="8979" width="15.42578125" style="1908" customWidth="1"/>
    <col min="8980" max="8981" width="16.5703125" style="1908" customWidth="1"/>
    <col min="8982" max="8982" width="15.85546875" style="1908" customWidth="1"/>
    <col min="8983" max="8983" width="14" style="1908" customWidth="1"/>
    <col min="8984" max="8984" width="16.85546875" style="1908" customWidth="1"/>
    <col min="8985" max="8985" width="20" style="1908" customWidth="1"/>
    <col min="8986" max="9225" width="9.140625" style="1908"/>
    <col min="9226" max="9226" width="4.5703125" style="1908" customWidth="1"/>
    <col min="9227" max="9227" width="25" style="1908" customWidth="1"/>
    <col min="9228" max="9228" width="16" style="1908" customWidth="1"/>
    <col min="9229" max="9229" width="9.85546875" style="1908" customWidth="1"/>
    <col min="9230" max="9230" width="14.140625" style="1908" bestFit="1" customWidth="1"/>
    <col min="9231" max="9232" width="13.42578125" style="1908" customWidth="1"/>
    <col min="9233" max="9233" width="15.42578125" style="1908" bestFit="1" customWidth="1"/>
    <col min="9234" max="9235" width="15.42578125" style="1908" customWidth="1"/>
    <col min="9236" max="9237" width="16.5703125" style="1908" customWidth="1"/>
    <col min="9238" max="9238" width="15.85546875" style="1908" customWidth="1"/>
    <col min="9239" max="9239" width="14" style="1908" customWidth="1"/>
    <col min="9240" max="9240" width="16.85546875" style="1908" customWidth="1"/>
    <col min="9241" max="9241" width="20" style="1908" customWidth="1"/>
    <col min="9242" max="9481" width="9.140625" style="1908"/>
    <col min="9482" max="9482" width="4.5703125" style="1908" customWidth="1"/>
    <col min="9483" max="9483" width="25" style="1908" customWidth="1"/>
    <col min="9484" max="9484" width="16" style="1908" customWidth="1"/>
    <col min="9485" max="9485" width="9.85546875" style="1908" customWidth="1"/>
    <col min="9486" max="9486" width="14.140625" style="1908" bestFit="1" customWidth="1"/>
    <col min="9487" max="9488" width="13.42578125" style="1908" customWidth="1"/>
    <col min="9489" max="9489" width="15.42578125" style="1908" bestFit="1" customWidth="1"/>
    <col min="9490" max="9491" width="15.42578125" style="1908" customWidth="1"/>
    <col min="9492" max="9493" width="16.5703125" style="1908" customWidth="1"/>
    <col min="9494" max="9494" width="15.85546875" style="1908" customWidth="1"/>
    <col min="9495" max="9495" width="14" style="1908" customWidth="1"/>
    <col min="9496" max="9496" width="16.85546875" style="1908" customWidth="1"/>
    <col min="9497" max="9497" width="20" style="1908" customWidth="1"/>
    <col min="9498" max="9737" width="9.140625" style="1908"/>
    <col min="9738" max="9738" width="4.5703125" style="1908" customWidth="1"/>
    <col min="9739" max="9739" width="25" style="1908" customWidth="1"/>
    <col min="9740" max="9740" width="16" style="1908" customWidth="1"/>
    <col min="9741" max="9741" width="9.85546875" style="1908" customWidth="1"/>
    <col min="9742" max="9742" width="14.140625" style="1908" bestFit="1" customWidth="1"/>
    <col min="9743" max="9744" width="13.42578125" style="1908" customWidth="1"/>
    <col min="9745" max="9745" width="15.42578125" style="1908" bestFit="1" customWidth="1"/>
    <col min="9746" max="9747" width="15.42578125" style="1908" customWidth="1"/>
    <col min="9748" max="9749" width="16.5703125" style="1908" customWidth="1"/>
    <col min="9750" max="9750" width="15.85546875" style="1908" customWidth="1"/>
    <col min="9751" max="9751" width="14" style="1908" customWidth="1"/>
    <col min="9752" max="9752" width="16.85546875" style="1908" customWidth="1"/>
    <col min="9753" max="9753" width="20" style="1908" customWidth="1"/>
    <col min="9754" max="9993" width="9.140625" style="1908"/>
    <col min="9994" max="9994" width="4.5703125" style="1908" customWidth="1"/>
    <col min="9995" max="9995" width="25" style="1908" customWidth="1"/>
    <col min="9996" max="9996" width="16" style="1908" customWidth="1"/>
    <col min="9997" max="9997" width="9.85546875" style="1908" customWidth="1"/>
    <col min="9998" max="9998" width="14.140625" style="1908" bestFit="1" customWidth="1"/>
    <col min="9999" max="10000" width="13.42578125" style="1908" customWidth="1"/>
    <col min="10001" max="10001" width="15.42578125" style="1908" bestFit="1" customWidth="1"/>
    <col min="10002" max="10003" width="15.42578125" style="1908" customWidth="1"/>
    <col min="10004" max="10005" width="16.5703125" style="1908" customWidth="1"/>
    <col min="10006" max="10006" width="15.85546875" style="1908" customWidth="1"/>
    <col min="10007" max="10007" width="14" style="1908" customWidth="1"/>
    <col min="10008" max="10008" width="16.85546875" style="1908" customWidth="1"/>
    <col min="10009" max="10009" width="20" style="1908" customWidth="1"/>
    <col min="10010" max="10249" width="9.140625" style="1908"/>
    <col min="10250" max="10250" width="4.5703125" style="1908" customWidth="1"/>
    <col min="10251" max="10251" width="25" style="1908" customWidth="1"/>
    <col min="10252" max="10252" width="16" style="1908" customWidth="1"/>
    <col min="10253" max="10253" width="9.85546875" style="1908" customWidth="1"/>
    <col min="10254" max="10254" width="14.140625" style="1908" bestFit="1" customWidth="1"/>
    <col min="10255" max="10256" width="13.42578125" style="1908" customWidth="1"/>
    <col min="10257" max="10257" width="15.42578125" style="1908" bestFit="1" customWidth="1"/>
    <col min="10258" max="10259" width="15.42578125" style="1908" customWidth="1"/>
    <col min="10260" max="10261" width="16.5703125" style="1908" customWidth="1"/>
    <col min="10262" max="10262" width="15.85546875" style="1908" customWidth="1"/>
    <col min="10263" max="10263" width="14" style="1908" customWidth="1"/>
    <col min="10264" max="10264" width="16.85546875" style="1908" customWidth="1"/>
    <col min="10265" max="10265" width="20" style="1908" customWidth="1"/>
    <col min="10266" max="10505" width="9.140625" style="1908"/>
    <col min="10506" max="10506" width="4.5703125" style="1908" customWidth="1"/>
    <col min="10507" max="10507" width="25" style="1908" customWidth="1"/>
    <col min="10508" max="10508" width="16" style="1908" customWidth="1"/>
    <col min="10509" max="10509" width="9.85546875" style="1908" customWidth="1"/>
    <col min="10510" max="10510" width="14.140625" style="1908" bestFit="1" customWidth="1"/>
    <col min="10511" max="10512" width="13.42578125" style="1908" customWidth="1"/>
    <col min="10513" max="10513" width="15.42578125" style="1908" bestFit="1" customWidth="1"/>
    <col min="10514" max="10515" width="15.42578125" style="1908" customWidth="1"/>
    <col min="10516" max="10517" width="16.5703125" style="1908" customWidth="1"/>
    <col min="10518" max="10518" width="15.85546875" style="1908" customWidth="1"/>
    <col min="10519" max="10519" width="14" style="1908" customWidth="1"/>
    <col min="10520" max="10520" width="16.85546875" style="1908" customWidth="1"/>
    <col min="10521" max="10521" width="20" style="1908" customWidth="1"/>
    <col min="10522" max="10761" width="9.140625" style="1908"/>
    <col min="10762" max="10762" width="4.5703125" style="1908" customWidth="1"/>
    <col min="10763" max="10763" width="25" style="1908" customWidth="1"/>
    <col min="10764" max="10764" width="16" style="1908" customWidth="1"/>
    <col min="10765" max="10765" width="9.85546875" style="1908" customWidth="1"/>
    <col min="10766" max="10766" width="14.140625" style="1908" bestFit="1" customWidth="1"/>
    <col min="10767" max="10768" width="13.42578125" style="1908" customWidth="1"/>
    <col min="10769" max="10769" width="15.42578125" style="1908" bestFit="1" customWidth="1"/>
    <col min="10770" max="10771" width="15.42578125" style="1908" customWidth="1"/>
    <col min="10772" max="10773" width="16.5703125" style="1908" customWidth="1"/>
    <col min="10774" max="10774" width="15.85546875" style="1908" customWidth="1"/>
    <col min="10775" max="10775" width="14" style="1908" customWidth="1"/>
    <col min="10776" max="10776" width="16.85546875" style="1908" customWidth="1"/>
    <col min="10777" max="10777" width="20" style="1908" customWidth="1"/>
    <col min="10778" max="11017" width="9.140625" style="1908"/>
    <col min="11018" max="11018" width="4.5703125" style="1908" customWidth="1"/>
    <col min="11019" max="11019" width="25" style="1908" customWidth="1"/>
    <col min="11020" max="11020" width="16" style="1908" customWidth="1"/>
    <col min="11021" max="11021" width="9.85546875" style="1908" customWidth="1"/>
    <col min="11022" max="11022" width="14.140625" style="1908" bestFit="1" customWidth="1"/>
    <col min="11023" max="11024" width="13.42578125" style="1908" customWidth="1"/>
    <col min="11025" max="11025" width="15.42578125" style="1908" bestFit="1" customWidth="1"/>
    <col min="11026" max="11027" width="15.42578125" style="1908" customWidth="1"/>
    <col min="11028" max="11029" width="16.5703125" style="1908" customWidth="1"/>
    <col min="11030" max="11030" width="15.85546875" style="1908" customWidth="1"/>
    <col min="11031" max="11031" width="14" style="1908" customWidth="1"/>
    <col min="11032" max="11032" width="16.85546875" style="1908" customWidth="1"/>
    <col min="11033" max="11033" width="20" style="1908" customWidth="1"/>
    <col min="11034" max="11273" width="9.140625" style="1908"/>
    <col min="11274" max="11274" width="4.5703125" style="1908" customWidth="1"/>
    <col min="11275" max="11275" width="25" style="1908" customWidth="1"/>
    <col min="11276" max="11276" width="16" style="1908" customWidth="1"/>
    <col min="11277" max="11277" width="9.85546875" style="1908" customWidth="1"/>
    <col min="11278" max="11278" width="14.140625" style="1908" bestFit="1" customWidth="1"/>
    <col min="11279" max="11280" width="13.42578125" style="1908" customWidth="1"/>
    <col min="11281" max="11281" width="15.42578125" style="1908" bestFit="1" customWidth="1"/>
    <col min="11282" max="11283" width="15.42578125" style="1908" customWidth="1"/>
    <col min="11284" max="11285" width="16.5703125" style="1908" customWidth="1"/>
    <col min="11286" max="11286" width="15.85546875" style="1908" customWidth="1"/>
    <col min="11287" max="11287" width="14" style="1908" customWidth="1"/>
    <col min="11288" max="11288" width="16.85546875" style="1908" customWidth="1"/>
    <col min="11289" max="11289" width="20" style="1908" customWidth="1"/>
    <col min="11290" max="11529" width="9.140625" style="1908"/>
    <col min="11530" max="11530" width="4.5703125" style="1908" customWidth="1"/>
    <col min="11531" max="11531" width="25" style="1908" customWidth="1"/>
    <col min="11532" max="11532" width="16" style="1908" customWidth="1"/>
    <col min="11533" max="11533" width="9.85546875" style="1908" customWidth="1"/>
    <col min="11534" max="11534" width="14.140625" style="1908" bestFit="1" customWidth="1"/>
    <col min="11535" max="11536" width="13.42578125" style="1908" customWidth="1"/>
    <col min="11537" max="11537" width="15.42578125" style="1908" bestFit="1" customWidth="1"/>
    <col min="11538" max="11539" width="15.42578125" style="1908" customWidth="1"/>
    <col min="11540" max="11541" width="16.5703125" style="1908" customWidth="1"/>
    <col min="11542" max="11542" width="15.85546875" style="1908" customWidth="1"/>
    <col min="11543" max="11543" width="14" style="1908" customWidth="1"/>
    <col min="11544" max="11544" width="16.85546875" style="1908" customWidth="1"/>
    <col min="11545" max="11545" width="20" style="1908" customWidth="1"/>
    <col min="11546" max="11785" width="9.140625" style="1908"/>
    <col min="11786" max="11786" width="4.5703125" style="1908" customWidth="1"/>
    <col min="11787" max="11787" width="25" style="1908" customWidth="1"/>
    <col min="11788" max="11788" width="16" style="1908" customWidth="1"/>
    <col min="11789" max="11789" width="9.85546875" style="1908" customWidth="1"/>
    <col min="11790" max="11790" width="14.140625" style="1908" bestFit="1" customWidth="1"/>
    <col min="11791" max="11792" width="13.42578125" style="1908" customWidth="1"/>
    <col min="11793" max="11793" width="15.42578125" style="1908" bestFit="1" customWidth="1"/>
    <col min="11794" max="11795" width="15.42578125" style="1908" customWidth="1"/>
    <col min="11796" max="11797" width="16.5703125" style="1908" customWidth="1"/>
    <col min="11798" max="11798" width="15.85546875" style="1908" customWidth="1"/>
    <col min="11799" max="11799" width="14" style="1908" customWidth="1"/>
    <col min="11800" max="11800" width="16.85546875" style="1908" customWidth="1"/>
    <col min="11801" max="11801" width="20" style="1908" customWidth="1"/>
    <col min="11802" max="12041" width="9.140625" style="1908"/>
    <col min="12042" max="12042" width="4.5703125" style="1908" customWidth="1"/>
    <col min="12043" max="12043" width="25" style="1908" customWidth="1"/>
    <col min="12044" max="12044" width="16" style="1908" customWidth="1"/>
    <col min="12045" max="12045" width="9.85546875" style="1908" customWidth="1"/>
    <col min="12046" max="12046" width="14.140625" style="1908" bestFit="1" customWidth="1"/>
    <col min="12047" max="12048" width="13.42578125" style="1908" customWidth="1"/>
    <col min="12049" max="12049" width="15.42578125" style="1908" bestFit="1" customWidth="1"/>
    <col min="12050" max="12051" width="15.42578125" style="1908" customWidth="1"/>
    <col min="12052" max="12053" width="16.5703125" style="1908" customWidth="1"/>
    <col min="12054" max="12054" width="15.85546875" style="1908" customWidth="1"/>
    <col min="12055" max="12055" width="14" style="1908" customWidth="1"/>
    <col min="12056" max="12056" width="16.85546875" style="1908" customWidth="1"/>
    <col min="12057" max="12057" width="20" style="1908" customWidth="1"/>
    <col min="12058" max="12297" width="9.140625" style="1908"/>
    <col min="12298" max="12298" width="4.5703125" style="1908" customWidth="1"/>
    <col min="12299" max="12299" width="25" style="1908" customWidth="1"/>
    <col min="12300" max="12300" width="16" style="1908" customWidth="1"/>
    <col min="12301" max="12301" width="9.85546875" style="1908" customWidth="1"/>
    <col min="12302" max="12302" width="14.140625" style="1908" bestFit="1" customWidth="1"/>
    <col min="12303" max="12304" width="13.42578125" style="1908" customWidth="1"/>
    <col min="12305" max="12305" width="15.42578125" style="1908" bestFit="1" customWidth="1"/>
    <col min="12306" max="12307" width="15.42578125" style="1908" customWidth="1"/>
    <col min="12308" max="12309" width="16.5703125" style="1908" customWidth="1"/>
    <col min="12310" max="12310" width="15.85546875" style="1908" customWidth="1"/>
    <col min="12311" max="12311" width="14" style="1908" customWidth="1"/>
    <col min="12312" max="12312" width="16.85546875" style="1908" customWidth="1"/>
    <col min="12313" max="12313" width="20" style="1908" customWidth="1"/>
    <col min="12314" max="12553" width="9.140625" style="1908"/>
    <col min="12554" max="12554" width="4.5703125" style="1908" customWidth="1"/>
    <col min="12555" max="12555" width="25" style="1908" customWidth="1"/>
    <col min="12556" max="12556" width="16" style="1908" customWidth="1"/>
    <col min="12557" max="12557" width="9.85546875" style="1908" customWidth="1"/>
    <col min="12558" max="12558" width="14.140625" style="1908" bestFit="1" customWidth="1"/>
    <col min="12559" max="12560" width="13.42578125" style="1908" customWidth="1"/>
    <col min="12561" max="12561" width="15.42578125" style="1908" bestFit="1" customWidth="1"/>
    <col min="12562" max="12563" width="15.42578125" style="1908" customWidth="1"/>
    <col min="12564" max="12565" width="16.5703125" style="1908" customWidth="1"/>
    <col min="12566" max="12566" width="15.85546875" style="1908" customWidth="1"/>
    <col min="12567" max="12567" width="14" style="1908" customWidth="1"/>
    <col min="12568" max="12568" width="16.85546875" style="1908" customWidth="1"/>
    <col min="12569" max="12569" width="20" style="1908" customWidth="1"/>
    <col min="12570" max="12809" width="9.140625" style="1908"/>
    <col min="12810" max="12810" width="4.5703125" style="1908" customWidth="1"/>
    <col min="12811" max="12811" width="25" style="1908" customWidth="1"/>
    <col min="12812" max="12812" width="16" style="1908" customWidth="1"/>
    <col min="12813" max="12813" width="9.85546875" style="1908" customWidth="1"/>
    <col min="12814" max="12814" width="14.140625" style="1908" bestFit="1" customWidth="1"/>
    <col min="12815" max="12816" width="13.42578125" style="1908" customWidth="1"/>
    <col min="12817" max="12817" width="15.42578125" style="1908" bestFit="1" customWidth="1"/>
    <col min="12818" max="12819" width="15.42578125" style="1908" customWidth="1"/>
    <col min="12820" max="12821" width="16.5703125" style="1908" customWidth="1"/>
    <col min="12822" max="12822" width="15.85546875" style="1908" customWidth="1"/>
    <col min="12823" max="12823" width="14" style="1908" customWidth="1"/>
    <col min="12824" max="12824" width="16.85546875" style="1908" customWidth="1"/>
    <col min="12825" max="12825" width="20" style="1908" customWidth="1"/>
    <col min="12826" max="13065" width="9.140625" style="1908"/>
    <col min="13066" max="13066" width="4.5703125" style="1908" customWidth="1"/>
    <col min="13067" max="13067" width="25" style="1908" customWidth="1"/>
    <col min="13068" max="13068" width="16" style="1908" customWidth="1"/>
    <col min="13069" max="13069" width="9.85546875" style="1908" customWidth="1"/>
    <col min="13070" max="13070" width="14.140625" style="1908" bestFit="1" customWidth="1"/>
    <col min="13071" max="13072" width="13.42578125" style="1908" customWidth="1"/>
    <col min="13073" max="13073" width="15.42578125" style="1908" bestFit="1" customWidth="1"/>
    <col min="13074" max="13075" width="15.42578125" style="1908" customWidth="1"/>
    <col min="13076" max="13077" width="16.5703125" style="1908" customWidth="1"/>
    <col min="13078" max="13078" width="15.85546875" style="1908" customWidth="1"/>
    <col min="13079" max="13079" width="14" style="1908" customWidth="1"/>
    <col min="13080" max="13080" width="16.85546875" style="1908" customWidth="1"/>
    <col min="13081" max="13081" width="20" style="1908" customWidth="1"/>
    <col min="13082" max="13321" width="9.140625" style="1908"/>
    <col min="13322" max="13322" width="4.5703125" style="1908" customWidth="1"/>
    <col min="13323" max="13323" width="25" style="1908" customWidth="1"/>
    <col min="13324" max="13324" width="16" style="1908" customWidth="1"/>
    <col min="13325" max="13325" width="9.85546875" style="1908" customWidth="1"/>
    <col min="13326" max="13326" width="14.140625" style="1908" bestFit="1" customWidth="1"/>
    <col min="13327" max="13328" width="13.42578125" style="1908" customWidth="1"/>
    <col min="13329" max="13329" width="15.42578125" style="1908" bestFit="1" customWidth="1"/>
    <col min="13330" max="13331" width="15.42578125" style="1908" customWidth="1"/>
    <col min="13332" max="13333" width="16.5703125" style="1908" customWidth="1"/>
    <col min="13334" max="13334" width="15.85546875" style="1908" customWidth="1"/>
    <col min="13335" max="13335" width="14" style="1908" customWidth="1"/>
    <col min="13336" max="13336" width="16.85546875" style="1908" customWidth="1"/>
    <col min="13337" max="13337" width="20" style="1908" customWidth="1"/>
    <col min="13338" max="13577" width="9.140625" style="1908"/>
    <col min="13578" max="13578" width="4.5703125" style="1908" customWidth="1"/>
    <col min="13579" max="13579" width="25" style="1908" customWidth="1"/>
    <col min="13580" max="13580" width="16" style="1908" customWidth="1"/>
    <col min="13581" max="13581" width="9.85546875" style="1908" customWidth="1"/>
    <col min="13582" max="13582" width="14.140625" style="1908" bestFit="1" customWidth="1"/>
    <col min="13583" max="13584" width="13.42578125" style="1908" customWidth="1"/>
    <col min="13585" max="13585" width="15.42578125" style="1908" bestFit="1" customWidth="1"/>
    <col min="13586" max="13587" width="15.42578125" style="1908" customWidth="1"/>
    <col min="13588" max="13589" width="16.5703125" style="1908" customWidth="1"/>
    <col min="13590" max="13590" width="15.85546875" style="1908" customWidth="1"/>
    <col min="13591" max="13591" width="14" style="1908" customWidth="1"/>
    <col min="13592" max="13592" width="16.85546875" style="1908" customWidth="1"/>
    <col min="13593" max="13593" width="20" style="1908" customWidth="1"/>
    <col min="13594" max="13833" width="9.140625" style="1908"/>
    <col min="13834" max="13834" width="4.5703125" style="1908" customWidth="1"/>
    <col min="13835" max="13835" width="25" style="1908" customWidth="1"/>
    <col min="13836" max="13836" width="16" style="1908" customWidth="1"/>
    <col min="13837" max="13837" width="9.85546875" style="1908" customWidth="1"/>
    <col min="13838" max="13838" width="14.140625" style="1908" bestFit="1" customWidth="1"/>
    <col min="13839" max="13840" width="13.42578125" style="1908" customWidth="1"/>
    <col min="13841" max="13841" width="15.42578125" style="1908" bestFit="1" customWidth="1"/>
    <col min="13842" max="13843" width="15.42578125" style="1908" customWidth="1"/>
    <col min="13844" max="13845" width="16.5703125" style="1908" customWidth="1"/>
    <col min="13846" max="13846" width="15.85546875" style="1908" customWidth="1"/>
    <col min="13847" max="13847" width="14" style="1908" customWidth="1"/>
    <col min="13848" max="13848" width="16.85546875" style="1908" customWidth="1"/>
    <col min="13849" max="13849" width="20" style="1908" customWidth="1"/>
    <col min="13850" max="14089" width="9.140625" style="1908"/>
    <col min="14090" max="14090" width="4.5703125" style="1908" customWidth="1"/>
    <col min="14091" max="14091" width="25" style="1908" customWidth="1"/>
    <col min="14092" max="14092" width="16" style="1908" customWidth="1"/>
    <col min="14093" max="14093" width="9.85546875" style="1908" customWidth="1"/>
    <col min="14094" max="14094" width="14.140625" style="1908" bestFit="1" customWidth="1"/>
    <col min="14095" max="14096" width="13.42578125" style="1908" customWidth="1"/>
    <col min="14097" max="14097" width="15.42578125" style="1908" bestFit="1" customWidth="1"/>
    <col min="14098" max="14099" width="15.42578125" style="1908" customWidth="1"/>
    <col min="14100" max="14101" width="16.5703125" style="1908" customWidth="1"/>
    <col min="14102" max="14102" width="15.85546875" style="1908" customWidth="1"/>
    <col min="14103" max="14103" width="14" style="1908" customWidth="1"/>
    <col min="14104" max="14104" width="16.85546875" style="1908" customWidth="1"/>
    <col min="14105" max="14105" width="20" style="1908" customWidth="1"/>
    <col min="14106" max="14345" width="9.140625" style="1908"/>
    <col min="14346" max="14346" width="4.5703125" style="1908" customWidth="1"/>
    <col min="14347" max="14347" width="25" style="1908" customWidth="1"/>
    <col min="14348" max="14348" width="16" style="1908" customWidth="1"/>
    <col min="14349" max="14349" width="9.85546875" style="1908" customWidth="1"/>
    <col min="14350" max="14350" width="14.140625" style="1908" bestFit="1" customWidth="1"/>
    <col min="14351" max="14352" width="13.42578125" style="1908" customWidth="1"/>
    <col min="14353" max="14353" width="15.42578125" style="1908" bestFit="1" customWidth="1"/>
    <col min="14354" max="14355" width="15.42578125" style="1908" customWidth="1"/>
    <col min="14356" max="14357" width="16.5703125" style="1908" customWidth="1"/>
    <col min="14358" max="14358" width="15.85546875" style="1908" customWidth="1"/>
    <col min="14359" max="14359" width="14" style="1908" customWidth="1"/>
    <col min="14360" max="14360" width="16.85546875" style="1908" customWidth="1"/>
    <col min="14361" max="14361" width="20" style="1908" customWidth="1"/>
    <col min="14362" max="14601" width="9.140625" style="1908"/>
    <col min="14602" max="14602" width="4.5703125" style="1908" customWidth="1"/>
    <col min="14603" max="14603" width="25" style="1908" customWidth="1"/>
    <col min="14604" max="14604" width="16" style="1908" customWidth="1"/>
    <col min="14605" max="14605" width="9.85546875" style="1908" customWidth="1"/>
    <col min="14606" max="14606" width="14.140625" style="1908" bestFit="1" customWidth="1"/>
    <col min="14607" max="14608" width="13.42578125" style="1908" customWidth="1"/>
    <col min="14609" max="14609" width="15.42578125" style="1908" bestFit="1" customWidth="1"/>
    <col min="14610" max="14611" width="15.42578125" style="1908" customWidth="1"/>
    <col min="14612" max="14613" width="16.5703125" style="1908" customWidth="1"/>
    <col min="14614" max="14614" width="15.85546875" style="1908" customWidth="1"/>
    <col min="14615" max="14615" width="14" style="1908" customWidth="1"/>
    <col min="14616" max="14616" width="16.85546875" style="1908" customWidth="1"/>
    <col min="14617" max="14617" width="20" style="1908" customWidth="1"/>
    <col min="14618" max="14857" width="9.140625" style="1908"/>
    <col min="14858" max="14858" width="4.5703125" style="1908" customWidth="1"/>
    <col min="14859" max="14859" width="25" style="1908" customWidth="1"/>
    <col min="14860" max="14860" width="16" style="1908" customWidth="1"/>
    <col min="14861" max="14861" width="9.85546875" style="1908" customWidth="1"/>
    <col min="14862" max="14862" width="14.140625" style="1908" bestFit="1" customWidth="1"/>
    <col min="14863" max="14864" width="13.42578125" style="1908" customWidth="1"/>
    <col min="14865" max="14865" width="15.42578125" style="1908" bestFit="1" customWidth="1"/>
    <col min="14866" max="14867" width="15.42578125" style="1908" customWidth="1"/>
    <col min="14868" max="14869" width="16.5703125" style="1908" customWidth="1"/>
    <col min="14870" max="14870" width="15.85546875" style="1908" customWidth="1"/>
    <col min="14871" max="14871" width="14" style="1908" customWidth="1"/>
    <col min="14872" max="14872" width="16.85546875" style="1908" customWidth="1"/>
    <col min="14873" max="14873" width="20" style="1908" customWidth="1"/>
    <col min="14874" max="15113" width="9.140625" style="1908"/>
    <col min="15114" max="15114" width="4.5703125" style="1908" customWidth="1"/>
    <col min="15115" max="15115" width="25" style="1908" customWidth="1"/>
    <col min="15116" max="15116" width="16" style="1908" customWidth="1"/>
    <col min="15117" max="15117" width="9.85546875" style="1908" customWidth="1"/>
    <col min="15118" max="15118" width="14.140625" style="1908" bestFit="1" customWidth="1"/>
    <col min="15119" max="15120" width="13.42578125" style="1908" customWidth="1"/>
    <col min="15121" max="15121" width="15.42578125" style="1908" bestFit="1" customWidth="1"/>
    <col min="15122" max="15123" width="15.42578125" style="1908" customWidth="1"/>
    <col min="15124" max="15125" width="16.5703125" style="1908" customWidth="1"/>
    <col min="15126" max="15126" width="15.85546875" style="1908" customWidth="1"/>
    <col min="15127" max="15127" width="14" style="1908" customWidth="1"/>
    <col min="15128" max="15128" width="16.85546875" style="1908" customWidth="1"/>
    <col min="15129" max="15129" width="20" style="1908" customWidth="1"/>
    <col min="15130" max="15369" width="9.140625" style="1908"/>
    <col min="15370" max="15370" width="4.5703125" style="1908" customWidth="1"/>
    <col min="15371" max="15371" width="25" style="1908" customWidth="1"/>
    <col min="15372" max="15372" width="16" style="1908" customWidth="1"/>
    <col min="15373" max="15373" width="9.85546875" style="1908" customWidth="1"/>
    <col min="15374" max="15374" width="14.140625" style="1908" bestFit="1" customWidth="1"/>
    <col min="15375" max="15376" width="13.42578125" style="1908" customWidth="1"/>
    <col min="15377" max="15377" width="15.42578125" style="1908" bestFit="1" customWidth="1"/>
    <col min="15378" max="15379" width="15.42578125" style="1908" customWidth="1"/>
    <col min="15380" max="15381" width="16.5703125" style="1908" customWidth="1"/>
    <col min="15382" max="15382" width="15.85546875" style="1908" customWidth="1"/>
    <col min="15383" max="15383" width="14" style="1908" customWidth="1"/>
    <col min="15384" max="15384" width="16.85546875" style="1908" customWidth="1"/>
    <col min="15385" max="15385" width="20" style="1908" customWidth="1"/>
    <col min="15386" max="15625" width="9.140625" style="1908"/>
    <col min="15626" max="15626" width="4.5703125" style="1908" customWidth="1"/>
    <col min="15627" max="15627" width="25" style="1908" customWidth="1"/>
    <col min="15628" max="15628" width="16" style="1908" customWidth="1"/>
    <col min="15629" max="15629" width="9.85546875" style="1908" customWidth="1"/>
    <col min="15630" max="15630" width="14.140625" style="1908" bestFit="1" customWidth="1"/>
    <col min="15631" max="15632" width="13.42578125" style="1908" customWidth="1"/>
    <col min="15633" max="15633" width="15.42578125" style="1908" bestFit="1" customWidth="1"/>
    <col min="15634" max="15635" width="15.42578125" style="1908" customWidth="1"/>
    <col min="15636" max="15637" width="16.5703125" style="1908" customWidth="1"/>
    <col min="15638" max="15638" width="15.85546875" style="1908" customWidth="1"/>
    <col min="15639" max="15639" width="14" style="1908" customWidth="1"/>
    <col min="15640" max="15640" width="16.85546875" style="1908" customWidth="1"/>
    <col min="15641" max="15641" width="20" style="1908" customWidth="1"/>
    <col min="15642" max="15881" width="9.140625" style="1908"/>
    <col min="15882" max="15882" width="4.5703125" style="1908" customWidth="1"/>
    <col min="15883" max="15883" width="25" style="1908" customWidth="1"/>
    <col min="15884" max="15884" width="16" style="1908" customWidth="1"/>
    <col min="15885" max="15885" width="9.85546875" style="1908" customWidth="1"/>
    <col min="15886" max="15886" width="14.140625" style="1908" bestFit="1" customWidth="1"/>
    <col min="15887" max="15888" width="13.42578125" style="1908" customWidth="1"/>
    <col min="15889" max="15889" width="15.42578125" style="1908" bestFit="1" customWidth="1"/>
    <col min="15890" max="15891" width="15.42578125" style="1908" customWidth="1"/>
    <col min="15892" max="15893" width="16.5703125" style="1908" customWidth="1"/>
    <col min="15894" max="15894" width="15.85546875" style="1908" customWidth="1"/>
    <col min="15895" max="15895" width="14" style="1908" customWidth="1"/>
    <col min="15896" max="15896" width="16.85546875" style="1908" customWidth="1"/>
    <col min="15897" max="15897" width="20" style="1908" customWidth="1"/>
    <col min="15898" max="16137" width="9.140625" style="1908"/>
    <col min="16138" max="16138" width="4.5703125" style="1908" customWidth="1"/>
    <col min="16139" max="16139" width="25" style="1908" customWidth="1"/>
    <col min="16140" max="16140" width="16" style="1908" customWidth="1"/>
    <col min="16141" max="16141" width="9.85546875" style="1908" customWidth="1"/>
    <col min="16142" max="16142" width="14.140625" style="1908" bestFit="1" customWidth="1"/>
    <col min="16143" max="16144" width="13.42578125" style="1908" customWidth="1"/>
    <col min="16145" max="16145" width="15.42578125" style="1908" bestFit="1" customWidth="1"/>
    <col min="16146" max="16147" width="15.42578125" style="1908" customWidth="1"/>
    <col min="16148" max="16149" width="16.5703125" style="1908" customWidth="1"/>
    <col min="16150" max="16150" width="15.85546875" style="1908" customWidth="1"/>
    <col min="16151" max="16151" width="14" style="1908" customWidth="1"/>
    <col min="16152" max="16152" width="16.85546875" style="1908" customWidth="1"/>
    <col min="16153" max="16153" width="20" style="1908" customWidth="1"/>
    <col min="16154" max="16384" width="9.140625" style="1908"/>
  </cols>
  <sheetData>
    <row r="1" spans="1:26" ht="32.25" customHeight="1">
      <c r="A1" s="4274" t="s">
        <v>23</v>
      </c>
      <c r="B1" s="4274"/>
      <c r="C1" s="4274"/>
      <c r="D1" s="4274"/>
      <c r="E1" s="4274"/>
      <c r="F1" s="4274"/>
      <c r="G1" s="4274"/>
      <c r="H1" s="4274"/>
      <c r="I1" s="4274"/>
      <c r="J1" s="4274"/>
      <c r="K1" s="4274"/>
      <c r="L1" s="4274"/>
      <c r="M1" s="4274"/>
      <c r="N1" s="4274"/>
      <c r="O1" s="4274"/>
      <c r="P1" s="4274"/>
      <c r="Q1" s="4274"/>
      <c r="R1" s="4274"/>
      <c r="S1" s="4274"/>
      <c r="T1" s="4274"/>
      <c r="U1" s="4274"/>
      <c r="V1" s="4274"/>
      <c r="W1" s="4274"/>
      <c r="X1" s="4274"/>
    </row>
    <row r="2" spans="1:26" ht="32.25" customHeight="1">
      <c r="A2" s="4274" t="s">
        <v>45</v>
      </c>
      <c r="B2" s="4274"/>
      <c r="C2" s="4274"/>
      <c r="D2" s="4274"/>
      <c r="E2" s="4274"/>
      <c r="F2" s="4274"/>
      <c r="G2" s="4274"/>
      <c r="H2" s="4274"/>
      <c r="I2" s="4274"/>
      <c r="J2" s="4274"/>
      <c r="K2" s="4274"/>
      <c r="L2" s="4274"/>
      <c r="M2" s="4274"/>
      <c r="N2" s="4274"/>
      <c r="O2" s="4274"/>
      <c r="P2" s="4274"/>
      <c r="Q2" s="4274"/>
      <c r="R2" s="4274"/>
      <c r="S2" s="4274"/>
      <c r="T2" s="4274"/>
      <c r="U2" s="4274"/>
      <c r="V2" s="4274"/>
      <c r="W2" s="4274"/>
      <c r="X2" s="4274"/>
    </row>
    <row r="3" spans="1:26" ht="32.25" customHeight="1">
      <c r="A3" s="979"/>
      <c r="B3" s="4272" t="s">
        <v>929</v>
      </c>
      <c r="C3" s="4272"/>
      <c r="D3" s="4272"/>
      <c r="E3" s="4272"/>
      <c r="F3" s="4272"/>
      <c r="G3" s="4272"/>
      <c r="H3" s="4272"/>
      <c r="I3" s="979"/>
      <c r="J3" s="979"/>
      <c r="K3" s="979"/>
      <c r="L3" s="979"/>
      <c r="M3" s="979"/>
      <c r="N3" s="979"/>
      <c r="O3" s="979"/>
      <c r="P3" s="979"/>
      <c r="Q3" s="979"/>
      <c r="R3" s="979"/>
      <c r="S3" s="979"/>
      <c r="T3" s="979"/>
      <c r="U3" s="979"/>
      <c r="V3" s="979"/>
      <c r="W3" s="979"/>
      <c r="X3" s="979"/>
    </row>
    <row r="4" spans="1:26" ht="32.25" customHeight="1">
      <c r="A4" s="2075"/>
      <c r="B4" s="4273" t="s">
        <v>90</v>
      </c>
      <c r="C4" s="4273"/>
      <c r="D4" s="4273"/>
      <c r="E4" s="4273"/>
      <c r="F4" s="4273"/>
      <c r="G4" s="4273"/>
      <c r="H4" s="4273"/>
      <c r="I4" s="2102"/>
      <c r="J4" s="2102"/>
      <c r="K4" s="2102"/>
      <c r="L4" s="2102"/>
      <c r="M4" s="2102"/>
      <c r="N4" s="2085"/>
      <c r="O4" s="2166"/>
      <c r="P4" s="2086"/>
      <c r="Q4" s="2085"/>
      <c r="R4" s="2085"/>
      <c r="S4" s="2086"/>
      <c r="T4" s="2085"/>
      <c r="U4" s="2085"/>
      <c r="V4" s="2085"/>
      <c r="W4" s="2085"/>
      <c r="X4" s="2086"/>
    </row>
    <row r="5" spans="1:26" ht="9" customHeight="1">
      <c r="A5" s="1909"/>
      <c r="B5" s="1909"/>
      <c r="C5" s="1909"/>
      <c r="D5" s="1909"/>
      <c r="E5" s="1909"/>
      <c r="F5" s="1909"/>
      <c r="G5" s="1909"/>
      <c r="H5" s="1909"/>
      <c r="I5" s="1909"/>
      <c r="J5" s="1909"/>
      <c r="K5" s="1909"/>
      <c r="L5" s="1909"/>
      <c r="M5" s="1909"/>
      <c r="N5" s="1909"/>
      <c r="O5" s="1910"/>
      <c r="P5" s="1910"/>
      <c r="Q5" s="1909"/>
      <c r="R5" s="1909"/>
      <c r="S5" s="1910"/>
      <c r="T5" s="1909"/>
      <c r="U5" s="1909"/>
      <c r="V5" s="1909"/>
      <c r="W5" s="1909"/>
      <c r="X5" s="1910"/>
    </row>
    <row r="6" spans="1:26" ht="22.5" customHeight="1">
      <c r="A6" s="4275" t="s">
        <v>1436</v>
      </c>
      <c r="B6" s="4275"/>
      <c r="C6" s="4275"/>
      <c r="D6" s="4275"/>
      <c r="E6" s="4275"/>
      <c r="F6" s="4275"/>
      <c r="G6" s="4275"/>
      <c r="H6" s="4275"/>
      <c r="I6" s="4275"/>
      <c r="J6" s="4275"/>
      <c r="K6" s="4275"/>
      <c r="L6" s="4275"/>
      <c r="M6" s="4275"/>
      <c r="N6" s="4275"/>
      <c r="O6" s="4275"/>
      <c r="P6" s="4275"/>
      <c r="Q6" s="4275"/>
      <c r="R6" s="4275"/>
      <c r="S6" s="4275"/>
      <c r="T6" s="4275"/>
      <c r="U6" s="4275"/>
      <c r="V6" s="4275"/>
      <c r="W6" s="4275"/>
      <c r="X6" s="4275"/>
    </row>
    <row r="7" spans="1:26">
      <c r="A7" s="1911"/>
      <c r="B7" s="1912" t="s">
        <v>930</v>
      </c>
      <c r="C7" s="1913">
        <v>20939</v>
      </c>
      <c r="D7" s="1911"/>
      <c r="E7" s="1911"/>
      <c r="F7" s="1911"/>
      <c r="G7" s="2020"/>
      <c r="H7" s="1911"/>
      <c r="I7" s="1911"/>
      <c r="J7" s="1911"/>
      <c r="K7" s="1911"/>
      <c r="L7" s="1911"/>
      <c r="M7" s="1911"/>
      <c r="N7" s="1911"/>
      <c r="O7" s="1914"/>
      <c r="P7" s="1914"/>
      <c r="Q7" s="1911"/>
      <c r="R7" s="1911"/>
      <c r="S7" s="1914"/>
      <c r="T7" s="1911"/>
      <c r="U7" s="1911"/>
      <c r="V7" s="1911"/>
      <c r="W7" s="1911"/>
      <c r="X7" s="1914"/>
    </row>
    <row r="8" spans="1:26">
      <c r="A8" s="1911"/>
      <c r="B8" s="1912" t="s">
        <v>931</v>
      </c>
      <c r="C8" s="1915">
        <v>0.99009999999999998</v>
      </c>
      <c r="D8" s="1911"/>
      <c r="E8" s="1911"/>
      <c r="F8" s="1911"/>
      <c r="G8" s="2020"/>
      <c r="H8" s="1911"/>
      <c r="I8" s="1911"/>
      <c r="J8" s="1911"/>
      <c r="K8" s="1911"/>
      <c r="L8" s="1911"/>
      <c r="M8" s="1911"/>
      <c r="N8" s="1916"/>
      <c r="O8" s="1917"/>
      <c r="P8" s="1917"/>
      <c r="Q8" s="1911"/>
      <c r="R8" s="1911"/>
      <c r="S8" s="1914"/>
      <c r="T8" s="1911"/>
      <c r="U8" s="1911"/>
      <c r="V8" s="1911"/>
      <c r="W8" s="1911"/>
      <c r="X8" s="1914"/>
    </row>
    <row r="9" spans="1:26" ht="63" customHeight="1">
      <c r="A9" s="4295" t="s">
        <v>932</v>
      </c>
      <c r="B9" s="4295" t="s">
        <v>1</v>
      </c>
      <c r="C9" s="4286" t="s">
        <v>46</v>
      </c>
      <c r="D9" s="4284" t="s">
        <v>1408</v>
      </c>
      <c r="E9" s="4284"/>
      <c r="F9" s="4284"/>
      <c r="G9" s="4280" t="s">
        <v>1410</v>
      </c>
      <c r="H9" s="4280" t="s">
        <v>1407</v>
      </c>
      <c r="I9" s="4280" t="s">
        <v>1345</v>
      </c>
      <c r="J9" s="4280" t="s">
        <v>1346</v>
      </c>
      <c r="K9" s="4280" t="s">
        <v>1286</v>
      </c>
      <c r="L9" s="1918" t="s">
        <v>1231</v>
      </c>
      <c r="M9" s="1918" t="s">
        <v>1232</v>
      </c>
      <c r="N9" s="1919" t="s">
        <v>1233</v>
      </c>
      <c r="O9" s="1919" t="s">
        <v>1234</v>
      </c>
      <c r="P9" s="1920" t="s">
        <v>1235</v>
      </c>
      <c r="Q9" s="4292" t="s">
        <v>1289</v>
      </c>
      <c r="R9" s="4277" t="s">
        <v>935</v>
      </c>
      <c r="S9" s="4277"/>
      <c r="T9" s="4278" t="s">
        <v>928</v>
      </c>
      <c r="U9" s="4279"/>
      <c r="V9" s="4278" t="s">
        <v>936</v>
      </c>
      <c r="W9" s="4279"/>
      <c r="X9" s="4280" t="s">
        <v>92</v>
      </c>
    </row>
    <row r="10" spans="1:26" ht="42" customHeight="1">
      <c r="A10" s="4296"/>
      <c r="B10" s="4296"/>
      <c r="C10" s="4287"/>
      <c r="D10" s="4280" t="s">
        <v>1409</v>
      </c>
      <c r="E10" s="4308" t="s">
        <v>27</v>
      </c>
      <c r="F10" s="4309"/>
      <c r="G10" s="4285"/>
      <c r="H10" s="4296"/>
      <c r="I10" s="4281"/>
      <c r="J10" s="4285"/>
      <c r="K10" s="4285"/>
      <c r="L10" s="4299" t="s">
        <v>81</v>
      </c>
      <c r="M10" s="4300"/>
      <c r="N10" s="4300"/>
      <c r="O10" s="4301"/>
      <c r="P10" s="4289" t="s">
        <v>17</v>
      </c>
      <c r="Q10" s="4293"/>
      <c r="R10" s="4292" t="s">
        <v>81</v>
      </c>
      <c r="S10" s="4289" t="s">
        <v>17</v>
      </c>
      <c r="T10" s="4292" t="s">
        <v>81</v>
      </c>
      <c r="U10" s="4289" t="s">
        <v>17</v>
      </c>
      <c r="V10" s="4292" t="s">
        <v>81</v>
      </c>
      <c r="W10" s="4289" t="s">
        <v>17</v>
      </c>
      <c r="X10" s="4281"/>
    </row>
    <row r="11" spans="1:26" ht="24" hidden="1" customHeight="1">
      <c r="A11" s="4296"/>
      <c r="B11" s="4296" t="s">
        <v>939</v>
      </c>
      <c r="C11" s="4287"/>
      <c r="D11" s="4285"/>
      <c r="E11" s="4310"/>
      <c r="F11" s="4311"/>
      <c r="G11" s="4285"/>
      <c r="H11" s="4296"/>
      <c r="I11" s="1921"/>
      <c r="J11" s="4285"/>
      <c r="K11" s="4285"/>
      <c r="L11" s="4302"/>
      <c r="M11" s="4303"/>
      <c r="N11" s="4303"/>
      <c r="O11" s="4304"/>
      <c r="P11" s="4290"/>
      <c r="Q11" s="4293"/>
      <c r="R11" s="4293"/>
      <c r="S11" s="4290"/>
      <c r="T11" s="4293"/>
      <c r="U11" s="4290"/>
      <c r="V11" s="4293"/>
      <c r="W11" s="4290"/>
      <c r="X11" s="1921" t="s">
        <v>1288</v>
      </c>
    </row>
    <row r="12" spans="1:26" ht="54" customHeight="1">
      <c r="A12" s="4297"/>
      <c r="B12" s="4297"/>
      <c r="C12" s="4288"/>
      <c r="D12" s="4281"/>
      <c r="E12" s="4312"/>
      <c r="F12" s="4313"/>
      <c r="G12" s="4281"/>
      <c r="H12" s="4297"/>
      <c r="I12" s="1921"/>
      <c r="J12" s="4281"/>
      <c r="K12" s="4281"/>
      <c r="L12" s="4305"/>
      <c r="M12" s="4306"/>
      <c r="N12" s="4306"/>
      <c r="O12" s="4307"/>
      <c r="P12" s="4291"/>
      <c r="Q12" s="4294"/>
      <c r="R12" s="4294"/>
      <c r="S12" s="4291"/>
      <c r="T12" s="4294"/>
      <c r="U12" s="4291"/>
      <c r="V12" s="4294"/>
      <c r="W12" s="4291"/>
      <c r="X12" s="1921"/>
    </row>
    <row r="13" spans="1:26" ht="21.75" customHeight="1">
      <c r="A13" s="1922" t="s">
        <v>140</v>
      </c>
      <c r="B13" s="4282" t="s">
        <v>951</v>
      </c>
      <c r="C13" s="4283"/>
      <c r="D13" s="1923">
        <f t="shared" ref="D13:J13" si="0">SUM(D14:D25)</f>
        <v>4554</v>
      </c>
      <c r="E13" s="1923">
        <f t="shared" si="0"/>
        <v>1841.2</v>
      </c>
      <c r="F13" s="1923">
        <f t="shared" si="0"/>
        <v>839.99999999999989</v>
      </c>
      <c r="G13" s="1923">
        <f t="shared" si="0"/>
        <v>0</v>
      </c>
      <c r="H13" s="1923">
        <f t="shared" si="0"/>
        <v>0</v>
      </c>
      <c r="I13" s="1923">
        <f t="shared" si="0"/>
        <v>0</v>
      </c>
      <c r="J13" s="1923">
        <f t="shared" si="0"/>
        <v>7235.2</v>
      </c>
      <c r="K13" s="1925">
        <f t="shared" ref="K13:R13" si="1">SUM(K14:K25)</f>
        <v>151497852.80000001</v>
      </c>
      <c r="L13" s="1925">
        <f t="shared" si="1"/>
        <v>4139411</v>
      </c>
      <c r="M13" s="1925">
        <f t="shared" si="1"/>
        <v>517425</v>
      </c>
      <c r="N13" s="1925">
        <f t="shared" si="1"/>
        <v>776139</v>
      </c>
      <c r="O13" s="1925">
        <f t="shared" si="1"/>
        <v>5432975</v>
      </c>
      <c r="P13" s="2172">
        <f t="shared" si="1"/>
        <v>259.46678446917235</v>
      </c>
      <c r="Q13" s="2172">
        <f t="shared" si="1"/>
        <v>146064877.80000001</v>
      </c>
      <c r="R13" s="2172">
        <f t="shared" si="1"/>
        <v>11752767.059999999</v>
      </c>
      <c r="S13" s="2172">
        <f>SUM(S14:S25)</f>
        <v>561.28597640766043</v>
      </c>
      <c r="T13" s="2172">
        <f>SUM(T14:T25)</f>
        <v>134312110.74000001</v>
      </c>
      <c r="U13" s="2172">
        <f>SUM(U14:U25)</f>
        <v>6414.4472391231675</v>
      </c>
      <c r="V13" s="1924">
        <f>SUM(V14:V25)</f>
        <v>1343121</v>
      </c>
      <c r="W13" s="1924">
        <f>SUM(W14:W25)</f>
        <v>64.144467262046902</v>
      </c>
      <c r="X13" s="1926"/>
      <c r="Y13" s="1927"/>
      <c r="Z13" s="1928"/>
    </row>
    <row r="14" spans="1:26" s="1940" customFormat="1" ht="36" customHeight="1">
      <c r="A14" s="1929">
        <v>1</v>
      </c>
      <c r="B14" s="1930" t="s">
        <v>1151</v>
      </c>
      <c r="C14" s="1931" t="s">
        <v>962</v>
      </c>
      <c r="D14" s="1932">
        <v>650</v>
      </c>
      <c r="E14" s="1932">
        <v>250</v>
      </c>
      <c r="F14" s="1932">
        <v>0</v>
      </c>
      <c r="G14" s="1932"/>
      <c r="H14" s="1932"/>
      <c r="I14" s="1932"/>
      <c r="J14" s="1932">
        <f t="shared" ref="J14:J25" si="2">+D14+E14+F14+G14+H14</f>
        <v>900</v>
      </c>
      <c r="K14" s="1932">
        <f>+J14*$C$7</f>
        <v>18845100</v>
      </c>
      <c r="L14" s="1933">
        <f>ROUND(VLOOKUP(B14,'HS bảo hiểm'!$B$7:$G$27,6,0)*8%*$C$8,0)</f>
        <v>831486</v>
      </c>
      <c r="M14" s="1933">
        <f>ROUND(VLOOKUP(B14,'HS bảo hiểm'!$B$7:$G$27,6,0)*1%*$C$8,0)</f>
        <v>103936</v>
      </c>
      <c r="N14" s="1933">
        <f>ROUND(VLOOKUP(B14,'HS bảo hiểm'!$B$7:$G$27,6,0)*1.5%*$C$8,0)</f>
        <v>155904</v>
      </c>
      <c r="O14" s="1932">
        <f>+SUM(L14:N14)</f>
        <v>1091326</v>
      </c>
      <c r="P14" s="1934">
        <f>+O14/$C$7</f>
        <v>52.119298915898561</v>
      </c>
      <c r="Q14" s="1932">
        <f>+K14-O14</f>
        <v>17753774</v>
      </c>
      <c r="R14" s="1935">
        <f>IF(Q14&gt;65000000,((Q14-65000000)*25%+10685000),IF(Q14&gt;25000000,((Q14-25000000)*20%+2685000),IF(Q14&gt;15000000,((Q14-15000000)*15%+1185000),IF(Q14&gt;5000000,(Q14-5000000)*10%+185000,IF(Q14&gt;1300000,(Q14-1300000)*5%,0)))))</f>
        <v>1598066.1</v>
      </c>
      <c r="S14" s="1936">
        <f t="shared" ref="S14:S19" si="3">R14/$C$7</f>
        <v>76.32007736759158</v>
      </c>
      <c r="T14" s="1932">
        <f>Q14-R14</f>
        <v>16155707.9</v>
      </c>
      <c r="U14" s="1937">
        <f t="shared" ref="U14:U19" si="4">T14/$C$7</f>
        <v>771.56062371650989</v>
      </c>
      <c r="V14" s="1932">
        <f t="shared" ref="V14:V19" si="5">ROUND(T14*1%,0)</f>
        <v>161557</v>
      </c>
      <c r="W14" s="1934">
        <f t="shared" ref="W14:W23" si="6">V14/$C$7</f>
        <v>7.7156024643010648</v>
      </c>
      <c r="X14" s="1939"/>
      <c r="Z14" s="1941"/>
    </row>
    <row r="15" spans="1:26" s="1940" customFormat="1" ht="36" customHeight="1">
      <c r="A15" s="1942">
        <v>2</v>
      </c>
      <c r="B15" s="1943" t="s">
        <v>1257</v>
      </c>
      <c r="C15" s="1944" t="s">
        <v>1096</v>
      </c>
      <c r="D15" s="1945">
        <f>26*24</f>
        <v>624</v>
      </c>
      <c r="E15" s="1946">
        <f>8.8*24</f>
        <v>211.20000000000002</v>
      </c>
      <c r="F15" s="1946">
        <f>7*(34.8)</f>
        <v>243.59999999999997</v>
      </c>
      <c r="G15" s="1946"/>
      <c r="H15" s="1946"/>
      <c r="I15" s="1946"/>
      <c r="J15" s="1946">
        <f t="shared" si="2"/>
        <v>1078.8</v>
      </c>
      <c r="K15" s="1946">
        <f>+J15*$C$7</f>
        <v>22588993.199999999</v>
      </c>
      <c r="L15" s="1947">
        <f>ROUND(VLOOKUP(B15,'HS bảo hiểm'!$B$7:$G$27,6,0)*8%*$C$8,0)</f>
        <v>777427</v>
      </c>
      <c r="M15" s="1947">
        <f>ROUND(VLOOKUP(B15,'HS bảo hiểm'!$B$7:$G$27,6,0)*1%*$C$8,0)</f>
        <v>97178</v>
      </c>
      <c r="N15" s="1947">
        <f>ROUND(VLOOKUP(B15,'HS bảo hiểm'!$B$7:$G$27,6,0)*1.5%*$C$8,0)</f>
        <v>145767</v>
      </c>
      <c r="O15" s="1946">
        <f>+SUM(L15:N15)</f>
        <v>1020372</v>
      </c>
      <c r="P15" s="1948">
        <f t="shared" ref="P15:P25" si="7">+O15/$C$7</f>
        <v>48.730693920435549</v>
      </c>
      <c r="Q15" s="1946">
        <f t="shared" ref="Q15:Q32" si="8">+K15-O15</f>
        <v>21568621.199999999</v>
      </c>
      <c r="R15" s="1949">
        <f>IF(Q15&gt;65000000,((Q15-65000000)*25%+10685000),IF(Q15&gt;25000000,((Q15-25000000)*20%+2685000),IF(Q15&gt;15000000,((Q15-15000000)*15%+1185000),IF(Q15&gt;5000000,(Q15-5000000)*10%+185000,IF(Q15&gt;1300000,(Q15-1300000)*5%,0)))))</f>
        <v>2170293.1799999997</v>
      </c>
      <c r="S15" s="1950">
        <f t="shared" si="3"/>
        <v>103.64836811691102</v>
      </c>
      <c r="T15" s="1945">
        <f>Q15-R15</f>
        <v>19398328.02</v>
      </c>
      <c r="U15" s="1951">
        <f t="shared" si="4"/>
        <v>926.4209379626534</v>
      </c>
      <c r="V15" s="1945">
        <f t="shared" si="5"/>
        <v>193983</v>
      </c>
      <c r="W15" s="1948">
        <f>V15/$C$7</f>
        <v>9.2641959978986588</v>
      </c>
      <c r="X15" s="1952"/>
      <c r="Z15" s="1941"/>
    </row>
    <row r="16" spans="1:26" s="1940" customFormat="1" ht="36" customHeight="1">
      <c r="A16" s="1942">
        <v>3</v>
      </c>
      <c r="B16" s="1953" t="s">
        <v>1157</v>
      </c>
      <c r="C16" s="1954" t="s">
        <v>952</v>
      </c>
      <c r="D16" s="1946">
        <v>410</v>
      </c>
      <c r="E16" s="1946">
        <v>200</v>
      </c>
      <c r="F16" s="1946">
        <f>+(D16+E16)/25*7</f>
        <v>170.79999999999998</v>
      </c>
      <c r="G16" s="1946"/>
      <c r="H16" s="1946"/>
      <c r="I16" s="1946"/>
      <c r="J16" s="1946">
        <f t="shared" si="2"/>
        <v>780.8</v>
      </c>
      <c r="K16" s="1946">
        <f>+J16*$C$7</f>
        <v>16349171.199999999</v>
      </c>
      <c r="L16" s="1947">
        <f>ROUND(VLOOKUP(B16,'HS bảo hiểm'!$B$7:$G$27,6,0)*8%*$C$8,0)</f>
        <v>409307</v>
      </c>
      <c r="M16" s="1947">
        <f>ROUND(VLOOKUP(B16,'HS bảo hiểm'!$B$7:$G$27,6,0)*1%*$C$8,0)</f>
        <v>51163</v>
      </c>
      <c r="N16" s="1947">
        <f>ROUND(VLOOKUP(B16,'HS bảo hiểm'!$B$7:$G$27,6,0)*1.5%*$C$8,0)</f>
        <v>76745</v>
      </c>
      <c r="O16" s="1946">
        <f t="shared" ref="O16:O24" si="9">+SUM(L16:N16)</f>
        <v>537215</v>
      </c>
      <c r="P16" s="1948">
        <f t="shared" si="7"/>
        <v>25.656191795214671</v>
      </c>
      <c r="Q16" s="1946">
        <f t="shared" si="8"/>
        <v>15811956.199999999</v>
      </c>
      <c r="R16" s="1955">
        <f>IF(Q16&gt;65000000,((Q16-65000000)*25%+10685000),IF(Q16&gt;25000000,((Q16-25000000)*20%+2685000),IF(Q16&gt;15000000,((Q16-15000000)*15%+1185000),IF(Q16&gt;5000000,(Q16-5000000)*10%+185000,IF(Q16&gt;1300000,(Q16-1300000)*5%,0)))))</f>
        <v>1306793.43</v>
      </c>
      <c r="S16" s="1950">
        <f t="shared" si="3"/>
        <v>62.409543435694154</v>
      </c>
      <c r="T16" s="1945">
        <f>Q16-R16</f>
        <v>14505162.77</v>
      </c>
      <c r="U16" s="1950">
        <f t="shared" si="4"/>
        <v>692.73426476909117</v>
      </c>
      <c r="V16" s="1946">
        <f t="shared" si="5"/>
        <v>145052</v>
      </c>
      <c r="W16" s="1948">
        <f>V16/$C$7</f>
        <v>6.9273604279096421</v>
      </c>
      <c r="X16" s="1952"/>
      <c r="Z16" s="1941"/>
    </row>
    <row r="17" spans="1:26" s="1940" customFormat="1" ht="36" customHeight="1">
      <c r="A17" s="1942">
        <v>4</v>
      </c>
      <c r="B17" s="1956" t="s">
        <v>533</v>
      </c>
      <c r="C17" s="1954" t="s">
        <v>535</v>
      </c>
      <c r="D17" s="1945">
        <v>410</v>
      </c>
      <c r="E17" s="1945">
        <v>200</v>
      </c>
      <c r="F17" s="1946">
        <v>0</v>
      </c>
      <c r="G17" s="1946"/>
      <c r="H17" s="1946"/>
      <c r="I17" s="1946"/>
      <c r="J17" s="1946">
        <f t="shared" si="2"/>
        <v>610</v>
      </c>
      <c r="K17" s="1946">
        <f t="shared" ref="K17:K32" si="10">+J17*$C$7</f>
        <v>12772790</v>
      </c>
      <c r="L17" s="1947">
        <f>ROUND(VLOOKUP(B17,'HS bảo hiểm'!$B$7:$G$27,6,0)*8%*$C$8,0)</f>
        <v>386139</v>
      </c>
      <c r="M17" s="1947">
        <f>ROUND(VLOOKUP(B17,'HS bảo hiểm'!$B$7:$G$27,6,0)*1%*$C$8,0)</f>
        <v>48267</v>
      </c>
      <c r="N17" s="1947">
        <f>ROUND(VLOOKUP(B17,'HS bảo hiểm'!$B$7:$G$27,6,0)*1.5%*$C$8,0)</f>
        <v>72401</v>
      </c>
      <c r="O17" s="1946">
        <f t="shared" si="9"/>
        <v>506807</v>
      </c>
      <c r="P17" s="1948">
        <f t="shared" si="7"/>
        <v>24.203973446678447</v>
      </c>
      <c r="Q17" s="1946">
        <f t="shared" si="8"/>
        <v>12265983</v>
      </c>
      <c r="R17" s="1949">
        <f t="shared" ref="R17:R24" si="11">IF(Q17&gt;65000000,((Q17-65000000)*25%+10685000),IF(Q17&gt;25000000,((Q17-25000000)*20%+2685000),IF(Q17&gt;15000000,((Q17-15000000)*15%+1185000),IF(Q17&gt;5000000,(Q17-5000000)*10%+185000,IF(Q17&gt;1300000,(Q17-1300000)*5%,0)))))</f>
        <v>911598.3</v>
      </c>
      <c r="S17" s="1950">
        <f t="shared" si="3"/>
        <v>43.535904293423755</v>
      </c>
      <c r="T17" s="1945">
        <f t="shared" ref="T17:T24" si="12">Q17-R17</f>
        <v>11354384.699999999</v>
      </c>
      <c r="U17" s="1951">
        <f t="shared" si="4"/>
        <v>542.2601222598978</v>
      </c>
      <c r="V17" s="1945">
        <f t="shared" si="5"/>
        <v>113544</v>
      </c>
      <c r="W17" s="1948">
        <f t="shared" si="6"/>
        <v>5.4226085295381825</v>
      </c>
      <c r="X17" s="1952"/>
      <c r="Z17" s="1941"/>
    </row>
    <row r="18" spans="1:26" s="1940" customFormat="1" ht="36" customHeight="1">
      <c r="A18" s="1942">
        <v>5</v>
      </c>
      <c r="B18" s="1956" t="s">
        <v>1013</v>
      </c>
      <c r="C18" s="1954" t="s">
        <v>1015</v>
      </c>
      <c r="D18" s="1945">
        <v>450</v>
      </c>
      <c r="E18" s="1945">
        <v>210</v>
      </c>
      <c r="F18" s="1946">
        <f>+(D18+E18)/25*7</f>
        <v>184.79999999999998</v>
      </c>
      <c r="G18" s="1946"/>
      <c r="H18" s="1946"/>
      <c r="I18" s="1946"/>
      <c r="J18" s="1946">
        <f t="shared" si="2"/>
        <v>844.8</v>
      </c>
      <c r="K18" s="1946">
        <f t="shared" si="10"/>
        <v>17689267.199999999</v>
      </c>
      <c r="L18" s="1947">
        <f>ROUND(VLOOKUP(B18,'HS bảo hiểm'!$B$7:$G$27,6,0)*8%*$C$8,0)</f>
        <v>455644</v>
      </c>
      <c r="M18" s="1947">
        <f>ROUND(VLOOKUP(B18,'HS bảo hiểm'!$B$7:$G$27,6,0)*1%*$C$8,0)</f>
        <v>56956</v>
      </c>
      <c r="N18" s="1947">
        <f>ROUND(VLOOKUP(B18,'HS bảo hiểm'!$B$7:$G$27,6,0)*1.5%*$C$8,0)</f>
        <v>85433</v>
      </c>
      <c r="O18" s="1946">
        <f t="shared" si="9"/>
        <v>598033</v>
      </c>
      <c r="P18" s="1948">
        <f t="shared" si="7"/>
        <v>28.560724007832274</v>
      </c>
      <c r="Q18" s="1946">
        <f>+K18-O18</f>
        <v>17091234.199999999</v>
      </c>
      <c r="R18" s="1949">
        <f t="shared" si="11"/>
        <v>1498685.13</v>
      </c>
      <c r="S18" s="1950">
        <f t="shared" si="3"/>
        <v>71.573863603801513</v>
      </c>
      <c r="T18" s="1945">
        <f t="shared" si="12"/>
        <v>15592549.07</v>
      </c>
      <c r="U18" s="1951">
        <f t="shared" si="4"/>
        <v>744.66541238836624</v>
      </c>
      <c r="V18" s="1945">
        <f t="shared" si="5"/>
        <v>155925</v>
      </c>
      <c r="W18" s="1948">
        <f t="shared" si="6"/>
        <v>7.4466306891446585</v>
      </c>
      <c r="X18" s="1952"/>
      <c r="Z18" s="1941"/>
    </row>
    <row r="19" spans="1:26" s="1940" customFormat="1" ht="36" customHeight="1">
      <c r="A19" s="1942">
        <v>6</v>
      </c>
      <c r="B19" s="1956" t="s">
        <v>199</v>
      </c>
      <c r="C19" s="1954" t="s">
        <v>1156</v>
      </c>
      <c r="D19" s="1945">
        <v>420</v>
      </c>
      <c r="E19" s="1945">
        <v>200</v>
      </c>
      <c r="F19" s="1946">
        <v>0</v>
      </c>
      <c r="G19" s="1946"/>
      <c r="H19" s="1946"/>
      <c r="I19" s="1946"/>
      <c r="J19" s="1946">
        <f t="shared" si="2"/>
        <v>620</v>
      </c>
      <c r="K19" s="1946">
        <f t="shared" si="10"/>
        <v>12982180</v>
      </c>
      <c r="L19" s="1947">
        <f>ROUND(VLOOKUP(B19,'HS bảo hiểm'!$B$7:$G$27,6,0)*8%*$C$8,0)</f>
        <v>303763</v>
      </c>
      <c r="M19" s="1947">
        <f>ROUND(VLOOKUP(B19,'HS bảo hiểm'!$B$7:$G$27,6,0)*1%*$C$8,0)</f>
        <v>37970</v>
      </c>
      <c r="N19" s="1947">
        <f>ROUND(VLOOKUP(B19,'HS bảo hiểm'!$B$7:$G$27,6,0)*1.5%*$C$8,0)</f>
        <v>56956</v>
      </c>
      <c r="O19" s="1946">
        <f t="shared" si="9"/>
        <v>398689</v>
      </c>
      <c r="P19" s="1948">
        <f t="shared" si="7"/>
        <v>19.04049859114571</v>
      </c>
      <c r="Q19" s="1946">
        <f t="shared" si="8"/>
        <v>12583491</v>
      </c>
      <c r="R19" s="1949">
        <f>IF(Q19&gt;65000000,((Q19-65000000)*25%+10685000),IF(Q19&gt;25000000,((Q19-25000000)*20%+2685000),IF(Q19&gt;15000000,((Q19-15000000)*15%+1185000),IF(Q19&gt;5000000,(Q19-5000000)*10%+185000,IF(Q19&gt;1300000,(Q19-1300000)*5%,0)))))</f>
        <v>943349.10000000009</v>
      </c>
      <c r="S19" s="1950">
        <f t="shared" si="3"/>
        <v>45.05225177897703</v>
      </c>
      <c r="T19" s="1945">
        <f>Q19-R19</f>
        <v>11640141.9</v>
      </c>
      <c r="U19" s="1951">
        <f t="shared" si="4"/>
        <v>555.90724962987724</v>
      </c>
      <c r="V19" s="1945">
        <f t="shared" si="5"/>
        <v>116401</v>
      </c>
      <c r="W19" s="1948">
        <f>V19/$C$7</f>
        <v>5.5590524857920629</v>
      </c>
      <c r="X19" s="1952"/>
      <c r="Z19" s="1941"/>
    </row>
    <row r="20" spans="1:26" s="1940" customFormat="1" ht="36" hidden="1" customHeight="1">
      <c r="A20" s="1942">
        <v>7</v>
      </c>
      <c r="B20" s="1956" t="s">
        <v>541</v>
      </c>
      <c r="C20" s="1957" t="s">
        <v>52</v>
      </c>
      <c r="D20" s="1945"/>
      <c r="E20" s="1945"/>
      <c r="F20" s="1946">
        <f>+(D20+E20)/25*6</f>
        <v>0</v>
      </c>
      <c r="G20" s="1946"/>
      <c r="H20" s="1946"/>
      <c r="I20" s="1946"/>
      <c r="J20" s="1946">
        <f t="shared" si="2"/>
        <v>0</v>
      </c>
      <c r="K20" s="1946">
        <f t="shared" si="10"/>
        <v>0</v>
      </c>
      <c r="L20" s="1947"/>
      <c r="M20" s="1947"/>
      <c r="N20" s="1947"/>
      <c r="O20" s="1946"/>
      <c r="P20" s="1948"/>
      <c r="Q20" s="1946"/>
      <c r="R20" s="1949"/>
      <c r="S20" s="1950"/>
      <c r="T20" s="1945"/>
      <c r="U20" s="1951"/>
      <c r="V20" s="1945"/>
      <c r="W20" s="1948"/>
      <c r="X20" s="1958"/>
      <c r="Z20" s="1941"/>
    </row>
    <row r="21" spans="1:26" s="1940" customFormat="1" ht="36" customHeight="1">
      <c r="A21" s="1942">
        <v>7</v>
      </c>
      <c r="B21" s="1959" t="s">
        <v>308</v>
      </c>
      <c r="C21" s="1960" t="s">
        <v>53</v>
      </c>
      <c r="D21" s="1946">
        <v>300</v>
      </c>
      <c r="E21" s="1946">
        <v>100</v>
      </c>
      <c r="F21" s="1946">
        <f>+(D21+E21)/25*7</f>
        <v>112</v>
      </c>
      <c r="G21" s="1946"/>
      <c r="H21" s="1946"/>
      <c r="I21" s="1946"/>
      <c r="J21" s="1946">
        <f t="shared" si="2"/>
        <v>512</v>
      </c>
      <c r="K21" s="1946">
        <f t="shared" si="10"/>
        <v>10720768</v>
      </c>
      <c r="L21" s="1947">
        <f>ROUND(VLOOKUP(B21,'HS bảo hiểm'!$B$7:$G$27,6,0)*8%*$C$8,0)</f>
        <v>308911</v>
      </c>
      <c r="M21" s="1947">
        <f>ROUND(VLOOKUP(B21,'HS bảo hiểm'!$B$7:$G$27,6,0)*1%*$C$8,0)</f>
        <v>38614</v>
      </c>
      <c r="N21" s="1947">
        <f>ROUND(VLOOKUP(B21,'HS bảo hiểm'!$B$7:$G$27,6,0)*1.5%*$C$8,0)</f>
        <v>57921</v>
      </c>
      <c r="O21" s="1946">
        <f>+SUM(L21:N21)</f>
        <v>405446</v>
      </c>
      <c r="P21" s="1948">
        <f>+O21/$C$7</f>
        <v>19.363197860451788</v>
      </c>
      <c r="Q21" s="1946">
        <f>+K21-O21</f>
        <v>10315322</v>
      </c>
      <c r="R21" s="1949">
        <f>IF(Q21&gt;65000000,((Q21-65000000)*25%+10685000),IF(Q21&gt;25000000,((Q21-25000000)*20%+2685000),IF(Q21&gt;15000000,((Q21-15000000)*15%+1185000),IF(Q21&gt;5000000,(Q21-5000000)*10%+185000,IF(Q21&gt;1300000,(Q21-1300000)*5%,0)))))</f>
        <v>716532.20000000007</v>
      </c>
      <c r="S21" s="1950">
        <f>R21/$C$7</f>
        <v>34.219981852046423</v>
      </c>
      <c r="T21" s="1945">
        <f>Q21-R21</f>
        <v>9598789.8000000007</v>
      </c>
      <c r="U21" s="1951">
        <f>T21/$C$7</f>
        <v>458.41682028750182</v>
      </c>
      <c r="V21" s="1945">
        <f>ROUND(T21*1%,0)</f>
        <v>95988</v>
      </c>
      <c r="W21" s="1948">
        <f>V21/$C$7</f>
        <v>4.584173074167821</v>
      </c>
      <c r="X21" s="1958"/>
      <c r="Z21" s="1941"/>
    </row>
    <row r="22" spans="1:26" s="1940" customFormat="1" ht="36" customHeight="1">
      <c r="A22" s="1942">
        <v>8</v>
      </c>
      <c r="B22" s="1956" t="s">
        <v>32</v>
      </c>
      <c r="C22" s="1954" t="s">
        <v>53</v>
      </c>
      <c r="D22" s="1945">
        <v>300</v>
      </c>
      <c r="E22" s="1945">
        <v>100</v>
      </c>
      <c r="F22" s="1946">
        <v>0</v>
      </c>
      <c r="G22" s="1946"/>
      <c r="H22" s="1946"/>
      <c r="I22" s="1946"/>
      <c r="J22" s="1946">
        <f t="shared" si="2"/>
        <v>400</v>
      </c>
      <c r="K22" s="1946">
        <f t="shared" si="10"/>
        <v>8375600</v>
      </c>
      <c r="L22" s="1947">
        <f>ROUND(VLOOKUP(B22,'HS bảo hiểm'!$B$7:$G$27,6,0)*8%*$C$8,0)</f>
        <v>314060</v>
      </c>
      <c r="M22" s="1947">
        <f>ROUND(VLOOKUP(B22,'HS bảo hiểm'!$B$7:$G$27,6,0)*1%*$C$8,0)</f>
        <v>39257</v>
      </c>
      <c r="N22" s="1947">
        <f>ROUND(VLOOKUP(B22,'HS bảo hiểm'!$B$7:$G$27,6,0)*1.5%*$C$8,0)</f>
        <v>58886</v>
      </c>
      <c r="O22" s="1946">
        <f t="shared" si="9"/>
        <v>412203</v>
      </c>
      <c r="P22" s="1948">
        <f t="shared" si="7"/>
        <v>19.685897129757869</v>
      </c>
      <c r="Q22" s="1946">
        <f t="shared" si="8"/>
        <v>7963397</v>
      </c>
      <c r="R22" s="1949">
        <f t="shared" si="11"/>
        <v>481339.7</v>
      </c>
      <c r="S22" s="1950">
        <f>R22/$C$7</f>
        <v>22.987711925115814</v>
      </c>
      <c r="T22" s="1945">
        <f t="shared" si="12"/>
        <v>7482057.2999999998</v>
      </c>
      <c r="U22" s="1951">
        <f>T22/$C$7</f>
        <v>357.32639094512632</v>
      </c>
      <c r="V22" s="1945">
        <f>ROUND(T22*1%,0)</f>
        <v>74821</v>
      </c>
      <c r="W22" s="1948">
        <f t="shared" si="6"/>
        <v>3.5732843020201539</v>
      </c>
      <c r="X22" s="1961"/>
      <c r="Z22" s="1941"/>
    </row>
    <row r="23" spans="1:26" s="1940" customFormat="1" ht="36" customHeight="1">
      <c r="A23" s="1942">
        <v>9</v>
      </c>
      <c r="B23" s="1956" t="s">
        <v>1431</v>
      </c>
      <c r="C23" s="1954" t="s">
        <v>1423</v>
      </c>
      <c r="D23" s="1945">
        <v>320</v>
      </c>
      <c r="E23" s="1945">
        <v>150</v>
      </c>
      <c r="F23" s="1946"/>
      <c r="G23" s="1946"/>
      <c r="H23" s="1946"/>
      <c r="I23" s="1946"/>
      <c r="J23" s="1946">
        <f t="shared" si="2"/>
        <v>470</v>
      </c>
      <c r="K23" s="1946">
        <f>+J23*$C$7</f>
        <v>9841330</v>
      </c>
      <c r="L23" s="2239">
        <v>0</v>
      </c>
      <c r="M23" s="2239">
        <v>0</v>
      </c>
      <c r="N23" s="2239">
        <v>0</v>
      </c>
      <c r="O23" s="2239">
        <v>0</v>
      </c>
      <c r="P23" s="1948">
        <f>+O23/$C$7</f>
        <v>0</v>
      </c>
      <c r="Q23" s="1946">
        <f>+K23-O23</f>
        <v>9841330</v>
      </c>
      <c r="R23" s="1949">
        <f>IF(Q23&gt;65000000,((Q23-65000000)*25%+10685000),IF(Q23&gt;25000000,((Q23-25000000)*20%+2685000),IF(Q23&gt;15000000,((Q23-15000000)*15%+1185000),IF(Q23&gt;5000000,(Q23-5000000)*10%+185000,IF(Q23&gt;1300000,(Q23-1300000)*5%,0)))))</f>
        <v>669133</v>
      </c>
      <c r="S23" s="1950">
        <f>R23/$C$7</f>
        <v>31.956301638091599</v>
      </c>
      <c r="T23" s="1945">
        <f>Q23-R23</f>
        <v>9172197</v>
      </c>
      <c r="U23" s="1951">
        <f>T23/$C$7</f>
        <v>438.04369836190841</v>
      </c>
      <c r="V23" s="1945">
        <f>ROUND(T23*1%,0)</f>
        <v>91722</v>
      </c>
      <c r="W23" s="1948">
        <f t="shared" si="6"/>
        <v>4.3804384163522609</v>
      </c>
      <c r="X23" s="1961"/>
      <c r="Z23" s="1941"/>
    </row>
    <row r="24" spans="1:26" s="1940" customFormat="1" ht="36" customHeight="1">
      <c r="A24" s="1942">
        <v>10</v>
      </c>
      <c r="B24" s="1943" t="s">
        <v>1152</v>
      </c>
      <c r="C24" s="1944" t="s">
        <v>60</v>
      </c>
      <c r="D24" s="1945">
        <v>320</v>
      </c>
      <c r="E24" s="1945">
        <v>110</v>
      </c>
      <c r="F24" s="1946">
        <v>0</v>
      </c>
      <c r="G24" s="1946"/>
      <c r="H24" s="1946"/>
      <c r="I24" s="1946"/>
      <c r="J24" s="1946">
        <f t="shared" si="2"/>
        <v>430</v>
      </c>
      <c r="K24" s="1946">
        <f t="shared" si="10"/>
        <v>9003770</v>
      </c>
      <c r="L24" s="1947">
        <f>ROUND(VLOOKUP(B24,'HS bảo hiểm'!$B$7:$G$27,6,0)*8%*$C$8,0)</f>
        <v>352674</v>
      </c>
      <c r="M24" s="1947">
        <f>ROUND(VLOOKUP(B24,'HS bảo hiểm'!$B$7:$G$27,6,0)*1%*$C$8,0)</f>
        <v>44084</v>
      </c>
      <c r="N24" s="1947">
        <f>ROUND(VLOOKUP(B24,'HS bảo hiểm'!$B$7:$G$27,6,0)*1.5%*$C$8,0)</f>
        <v>66126</v>
      </c>
      <c r="O24" s="1946">
        <f t="shared" si="9"/>
        <v>462884</v>
      </c>
      <c r="P24" s="1948">
        <f t="shared" si="7"/>
        <v>22.106308801757486</v>
      </c>
      <c r="Q24" s="1946">
        <f t="shared" si="8"/>
        <v>8540886</v>
      </c>
      <c r="R24" s="1949">
        <f t="shared" si="11"/>
        <v>539088.60000000009</v>
      </c>
      <c r="S24" s="1950">
        <f>R24/$C$7</f>
        <v>25.745670757915857</v>
      </c>
      <c r="T24" s="1945">
        <f t="shared" si="12"/>
        <v>8001797.4000000004</v>
      </c>
      <c r="U24" s="1951">
        <f>T24/$C$7</f>
        <v>382.14802044032666</v>
      </c>
      <c r="V24" s="1945">
        <f>ROUND(T24*1%,0)</f>
        <v>80018</v>
      </c>
      <c r="W24" s="1948">
        <f>V24/$C$7</f>
        <v>3.8214814461053535</v>
      </c>
      <c r="X24" s="1961"/>
      <c r="Z24" s="1941"/>
    </row>
    <row r="25" spans="1:26" s="1940" customFormat="1" ht="36" customHeight="1">
      <c r="A25" s="1962">
        <v>11</v>
      </c>
      <c r="B25" s="1963" t="s">
        <v>1165</v>
      </c>
      <c r="C25" s="1964" t="s">
        <v>52</v>
      </c>
      <c r="D25" s="1965">
        <v>350</v>
      </c>
      <c r="E25" s="1965">
        <v>110</v>
      </c>
      <c r="F25" s="1946">
        <f>+(D25+E25)/25*7</f>
        <v>128.79999999999998</v>
      </c>
      <c r="G25" s="1966"/>
      <c r="H25" s="1966"/>
      <c r="I25" s="1966"/>
      <c r="J25" s="1966">
        <f t="shared" si="2"/>
        <v>588.79999999999995</v>
      </c>
      <c r="K25" s="1966">
        <f t="shared" si="10"/>
        <v>12328883.199999999</v>
      </c>
      <c r="L25" s="1967">
        <v>0</v>
      </c>
      <c r="M25" s="1968"/>
      <c r="N25" s="1967">
        <v>0</v>
      </c>
      <c r="O25" s="1966">
        <f>+SUM(L25:N25)</f>
        <v>0</v>
      </c>
      <c r="P25" s="1969">
        <f t="shared" si="7"/>
        <v>0</v>
      </c>
      <c r="Q25" s="1966">
        <f t="shared" si="8"/>
        <v>12328883.199999999</v>
      </c>
      <c r="R25" s="1970">
        <f>IF(Q25&gt;65000000,((Q25-65000000)*25%+10685000),IF(Q25&gt;25000000,((Q25-25000000)*20%+2685000),IF(Q25&gt;15000000,((Q25-15000000)*15%+1185000),IF(Q25&gt;5000000,(Q25-5000000)*10%+185000,IF(Q25&gt;1300000,(Q25-1300000)*5%,0)))))</f>
        <v>917888.32</v>
      </c>
      <c r="S25" s="1971">
        <f>R25/$C$7</f>
        <v>43.836301638091598</v>
      </c>
      <c r="T25" s="1965">
        <f>Q25-R25</f>
        <v>11410994.879999999</v>
      </c>
      <c r="U25" s="1972">
        <f>T25/$C$7</f>
        <v>544.96369836190831</v>
      </c>
      <c r="V25" s="1965">
        <f>ROUND(T25*1%,0)</f>
        <v>114110</v>
      </c>
      <c r="W25" s="1969">
        <f>V25/$C$7</f>
        <v>5.44963942881704</v>
      </c>
      <c r="X25" s="1973"/>
      <c r="Z25" s="1941"/>
    </row>
    <row r="26" spans="1:26" s="1977" customFormat="1" ht="21.75" customHeight="1">
      <c r="A26" s="1974" t="s">
        <v>143</v>
      </c>
      <c r="B26" s="1975" t="s">
        <v>963</v>
      </c>
      <c r="C26" s="1976"/>
      <c r="D26" s="1924">
        <f>SUM(D27:D30)</f>
        <v>0</v>
      </c>
      <c r="E26" s="1924">
        <f t="shared" ref="E26:J26" si="13">SUM(E27:E30)</f>
        <v>0</v>
      </c>
      <c r="F26" s="1924" t="e">
        <f>SUM(F27:F30)</f>
        <v>#N/A</v>
      </c>
      <c r="G26" s="1924" t="e">
        <f>SUM(G27:G30)</f>
        <v>#N/A</v>
      </c>
      <c r="H26" s="1924">
        <f t="shared" si="13"/>
        <v>0</v>
      </c>
      <c r="I26" s="1924">
        <f t="shared" si="13"/>
        <v>0</v>
      </c>
      <c r="J26" s="1924" t="e">
        <f t="shared" si="13"/>
        <v>#N/A</v>
      </c>
      <c r="K26" s="1924" t="e">
        <f t="shared" ref="K26:W26" si="14">SUM(K27:K30)</f>
        <v>#N/A</v>
      </c>
      <c r="L26" s="1925">
        <f t="shared" si="14"/>
        <v>1042576</v>
      </c>
      <c r="M26" s="1925">
        <f t="shared" si="14"/>
        <v>130321</v>
      </c>
      <c r="N26" s="1925">
        <f t="shared" si="14"/>
        <v>195483</v>
      </c>
      <c r="O26" s="1924">
        <f t="shared" si="14"/>
        <v>1368380</v>
      </c>
      <c r="P26" s="1924">
        <f t="shared" si="14"/>
        <v>65.350780839581645</v>
      </c>
      <c r="Q26" s="1924" t="e">
        <f t="shared" si="14"/>
        <v>#N/A</v>
      </c>
      <c r="R26" s="1924" t="e">
        <f t="shared" si="14"/>
        <v>#N/A</v>
      </c>
      <c r="S26" s="1924" t="e">
        <f t="shared" si="14"/>
        <v>#N/A</v>
      </c>
      <c r="T26" s="1924" t="e">
        <f t="shared" si="14"/>
        <v>#N/A</v>
      </c>
      <c r="U26" s="1924" t="e">
        <f t="shared" si="14"/>
        <v>#N/A</v>
      </c>
      <c r="V26" s="1924" t="e">
        <f t="shared" si="14"/>
        <v>#N/A</v>
      </c>
      <c r="W26" s="1924" t="e">
        <f t="shared" si="14"/>
        <v>#N/A</v>
      </c>
      <c r="X26" s="1926"/>
      <c r="Y26" s="1940"/>
      <c r="Z26" s="1941"/>
    </row>
    <row r="27" spans="1:26" s="1979" customFormat="1" ht="32.25" customHeight="1">
      <c r="A27" s="2196">
        <v>1</v>
      </c>
      <c r="B27" s="2197" t="s">
        <v>36</v>
      </c>
      <c r="C27" s="2197" t="s">
        <v>1160</v>
      </c>
      <c r="D27" s="2198"/>
      <c r="E27" s="2199">
        <v>0</v>
      </c>
      <c r="F27" s="2236">
        <f>50+(G27/25)*7</f>
        <v>116.6627139270073</v>
      </c>
      <c r="G27" s="2200">
        <f>+VLOOKUP('BẢNG KÊ LƯƠNG'!B27,HTSL!B15:M17,9,0)</f>
        <v>238.08112116788323</v>
      </c>
      <c r="H27" s="1936"/>
      <c r="I27" s="2201"/>
      <c r="J27" s="2200">
        <f>+D27+E27+F27+G27+H27</f>
        <v>354.74383509489053</v>
      </c>
      <c r="K27" s="1932">
        <f>J27*$C$7</f>
        <v>7427981.1630519126</v>
      </c>
      <c r="L27" s="1933">
        <f>ROUND(VLOOKUP(B27,'HS bảo hiểm'!$B$7:$G$27,6,0)*8%*$C$8,0)</f>
        <v>362971</v>
      </c>
      <c r="M27" s="1933">
        <f>ROUND(VLOOKUP(B27,'HS bảo hiểm'!$B$7:$G$27,6,0)*1%*$C$8,0)</f>
        <v>45371</v>
      </c>
      <c r="N27" s="1933">
        <f>ROUND(VLOOKUP(B27,'HS bảo hiểm'!$B$7:$G$27,6,0)*1.5%*$C$8,0)</f>
        <v>68057</v>
      </c>
      <c r="O27" s="1932">
        <f>+SUM(L27:N27)</f>
        <v>476399</v>
      </c>
      <c r="P27" s="1937">
        <f>+O27/$C$7</f>
        <v>22.751755098142223</v>
      </c>
      <c r="Q27" s="1932">
        <f>+K27-O27</f>
        <v>6951582.1630519126</v>
      </c>
      <c r="R27" s="2202">
        <f>IF(Q27&gt;65000000,((Q27-65000000)*25%+10685000),IF(Q27&gt;25000000,((Q27-25000000)*20%+2685000),IF(Q27&gt;15000000,((Q27-15000000)*15%+1185000),IF(Q27&gt;5000000,(Q27-5000000)*10%+185000,IF(Q27&gt;1300000,(Q27-1300000)*5%,0)))))</f>
        <v>380158.21630519128</v>
      </c>
      <c r="S27" s="1937">
        <f>R27/$C$7</f>
        <v>18.155509637766428</v>
      </c>
      <c r="T27" s="1933">
        <f>Q27-R27</f>
        <v>6571423.9467467209</v>
      </c>
      <c r="U27" s="2203">
        <f>T27/$C$7</f>
        <v>313.83657035898187</v>
      </c>
      <c r="V27" s="1933">
        <f>ROUND(T27*1%,0)</f>
        <v>65714</v>
      </c>
      <c r="W27" s="1934">
        <f>V27/$C$7</f>
        <v>3.1383542671569797</v>
      </c>
      <c r="X27" s="2204"/>
      <c r="Y27" s="2175"/>
      <c r="Z27" s="1978"/>
    </row>
    <row r="28" spans="1:26" s="1980" customFormat="1" ht="32.25" customHeight="1">
      <c r="A28" s="2205">
        <v>2</v>
      </c>
      <c r="B28" s="2206" t="s">
        <v>536</v>
      </c>
      <c r="C28" s="2206" t="s">
        <v>1160</v>
      </c>
      <c r="D28" s="2207"/>
      <c r="E28" s="2208">
        <v>0</v>
      </c>
      <c r="F28" s="2237">
        <v>50</v>
      </c>
      <c r="G28" s="2209">
        <f>+VLOOKUP(B28,HTSL!B15:M17,9,0)</f>
        <v>122.83510823774759</v>
      </c>
      <c r="H28" s="2210"/>
      <c r="I28" s="2211"/>
      <c r="J28" s="2209">
        <f>+D28+E28+F28+G28+H28</f>
        <v>172.83510823774759</v>
      </c>
      <c r="K28" s="1946">
        <f>J28*$C$7</f>
        <v>3618994.3313901969</v>
      </c>
      <c r="L28" s="1947">
        <f>ROUND(VLOOKUP(B28,'HS bảo hiểm'!$B$7:$G$27,6,0)*8%*$C$8,0)</f>
        <v>362971</v>
      </c>
      <c r="M28" s="1947">
        <f>ROUND(VLOOKUP(B28,'HS bảo hiểm'!$B$7:$G$27,6,0)*1%*$C$8,0)</f>
        <v>45371</v>
      </c>
      <c r="N28" s="1947">
        <f>ROUND(VLOOKUP(B28,'HS bảo hiểm'!$B$7:$G$27,6,0)*1.5%*$C$8,0)</f>
        <v>68057</v>
      </c>
      <c r="O28" s="1946">
        <f>+SUM(L28:N28)</f>
        <v>476399</v>
      </c>
      <c r="P28" s="1950">
        <f>+O28/$C$7</f>
        <v>22.751755098142223</v>
      </c>
      <c r="Q28" s="1946">
        <f t="shared" si="8"/>
        <v>3142595.3313901969</v>
      </c>
      <c r="R28" s="2212">
        <f>IF(Q28&gt;65000000,((Q28-65000000)*25%+10685000),IF(Q28&gt;25000000,((Q28-25000000)*20%+2685000),IF(Q28&gt;15000000,((Q28-15000000)*15%+1185000),IF(Q28&gt;5000000,(Q28-5000000)*10%+185000,IF(Q28&gt;1300000,(Q28-1300000)*5%,0)))))</f>
        <v>92129.766569509855</v>
      </c>
      <c r="S28" s="1950">
        <f>R28/$C$7</f>
        <v>4.3999124394436153</v>
      </c>
      <c r="T28" s="2213">
        <f>Q28-R28</f>
        <v>3050465.5648206873</v>
      </c>
      <c r="U28" s="2214">
        <f>T28/$C$7</f>
        <v>145.68344070016178</v>
      </c>
      <c r="V28" s="2213">
        <f>ROUND(T28*1%,0)</f>
        <v>30505</v>
      </c>
      <c r="W28" s="1948">
        <f>V28/$C$7</f>
        <v>1.4568508524762405</v>
      </c>
      <c r="X28" s="2215"/>
      <c r="Z28" s="1981"/>
    </row>
    <row r="29" spans="1:26" s="1980" customFormat="1" ht="32.25" customHeight="1">
      <c r="A29" s="2205">
        <v>3</v>
      </c>
      <c r="B29" s="2216" t="s">
        <v>789</v>
      </c>
      <c r="C29" s="2206" t="s">
        <v>704</v>
      </c>
      <c r="D29" s="2207"/>
      <c r="E29" s="2208">
        <v>0</v>
      </c>
      <c r="F29" s="2237" t="e">
        <f>50+(G29/25)*7</f>
        <v>#N/A</v>
      </c>
      <c r="G29" s="2209" t="e">
        <f>+VLOOKUP(B29,HTSL!B15:M17,9,0)</f>
        <v>#N/A</v>
      </c>
      <c r="H29" s="2210"/>
      <c r="I29" s="2211"/>
      <c r="J29" s="2209" t="e">
        <f>+D29+E29+F29+G29+H29</f>
        <v>#N/A</v>
      </c>
      <c r="K29" s="1946" t="e">
        <f>J29*$C$7</f>
        <v>#N/A</v>
      </c>
      <c r="L29" s="1947">
        <f>ROUND(VLOOKUP(B29,'HS bảo hiểm'!$B$7:$G$28,6,0)*8%*$C$8,0)</f>
        <v>316634</v>
      </c>
      <c r="M29" s="1947">
        <f>ROUND(VLOOKUP(B29,'HS bảo hiểm'!$B$7:$G$30,6,0)*1%*$C$8,0)</f>
        <v>39579</v>
      </c>
      <c r="N29" s="1947">
        <f>ROUND(VLOOKUP(B29,'HS bảo hiểm'!$B$7:$G$30,6,0)*1.5%*$C$8,0)</f>
        <v>59369</v>
      </c>
      <c r="O29" s="1946">
        <f>+SUM(L29:N29)</f>
        <v>415582</v>
      </c>
      <c r="P29" s="1950">
        <f>+O29/$C$7</f>
        <v>19.847270643297197</v>
      </c>
      <c r="Q29" s="1946" t="e">
        <f t="shared" si="8"/>
        <v>#N/A</v>
      </c>
      <c r="R29" s="2212" t="e">
        <f>IF(Q29&gt;65000000,((Q29-65000000)*25%+10685000),IF(Q29&gt;25000000,((Q29-25000000)*20%+2685000),IF(Q29&gt;15000000,((Q29-15000000)*15%+1185000),IF(Q29&gt;5000000,(Q29-5000000)*10%+185000,IF(Q29&gt;1300000,(Q29-1300000)*5%,0)))))</f>
        <v>#N/A</v>
      </c>
      <c r="S29" s="1950" t="e">
        <f>R29/$C$7</f>
        <v>#N/A</v>
      </c>
      <c r="T29" s="2213" t="e">
        <f>Q29-R29</f>
        <v>#N/A</v>
      </c>
      <c r="U29" s="2214" t="e">
        <f>T29/$C$7</f>
        <v>#N/A</v>
      </c>
      <c r="V29" s="2213" t="e">
        <f>ROUND(T29*1%,0)</f>
        <v>#N/A</v>
      </c>
      <c r="W29" s="1948" t="e">
        <f>V29/$C$7</f>
        <v>#N/A</v>
      </c>
      <c r="X29" s="2215"/>
      <c r="Z29" s="1981"/>
    </row>
    <row r="30" spans="1:26" s="1982" customFormat="1" ht="32.25" customHeight="1">
      <c r="A30" s="2217">
        <v>4</v>
      </c>
      <c r="B30" s="1963" t="s">
        <v>1307</v>
      </c>
      <c r="C30" s="1964" t="s">
        <v>832</v>
      </c>
      <c r="D30" s="1965"/>
      <c r="E30" s="2218">
        <v>0</v>
      </c>
      <c r="F30" s="2238" t="e">
        <f>50+(G30/25)*7</f>
        <v>#N/A</v>
      </c>
      <c r="G30" s="2219" t="e">
        <f>+VLOOKUP('BẢNG KÊ LƯƠNG'!B30,HTSL!B15:M20,9,0)</f>
        <v>#N/A</v>
      </c>
      <c r="H30" s="2220"/>
      <c r="I30" s="1966"/>
      <c r="J30" s="2219" t="e">
        <f>+D30+E30+F30+G30+H30</f>
        <v>#N/A</v>
      </c>
      <c r="K30" s="1966" t="e">
        <f>J30*$C$7</f>
        <v>#N/A</v>
      </c>
      <c r="L30" s="1967">
        <v>0</v>
      </c>
      <c r="M30" s="1968"/>
      <c r="N30" s="1967">
        <v>0</v>
      </c>
      <c r="O30" s="1966">
        <f>+SUM(L30:N30)</f>
        <v>0</v>
      </c>
      <c r="P30" s="1969">
        <f>+O30/$C$7</f>
        <v>0</v>
      </c>
      <c r="Q30" s="1966" t="e">
        <f>+K30-O30</f>
        <v>#N/A</v>
      </c>
      <c r="R30" s="1970" t="e">
        <f>IF(Q30&gt;65000000,((Q30-65000000)*25%+10685000),IF(Q30&gt;25000000,((Q30-25000000)*20%+2685000),IF(Q30&gt;15000000,((Q30-15000000)*15%+1185000),IF(Q30&gt;5000000,(Q30-5000000)*10%+185000,IF(Q30&gt;1300000,(Q30-1300000)*5%,0)))))</f>
        <v>#N/A</v>
      </c>
      <c r="S30" s="1971" t="e">
        <f>R30/$C$7</f>
        <v>#N/A</v>
      </c>
      <c r="T30" s="1965" t="e">
        <f>Q30-R30</f>
        <v>#N/A</v>
      </c>
      <c r="U30" s="1972" t="e">
        <f>T30/$C$7</f>
        <v>#N/A</v>
      </c>
      <c r="V30" s="1965" t="e">
        <f>ROUND(T30*1%,0)</f>
        <v>#N/A</v>
      </c>
      <c r="W30" s="1969" t="e">
        <f>V30/$C$7</f>
        <v>#N/A</v>
      </c>
      <c r="X30" s="2221"/>
      <c r="Z30" s="1983"/>
    </row>
    <row r="31" spans="1:26" s="1977" customFormat="1" ht="21.75" customHeight="1">
      <c r="A31" s="1974" t="s">
        <v>220</v>
      </c>
      <c r="B31" s="1975" t="s">
        <v>1107</v>
      </c>
      <c r="C31" s="1976"/>
      <c r="D31" s="1925">
        <f>SUM(D32:D32)</f>
        <v>380</v>
      </c>
      <c r="E31" s="1925">
        <f>SUM(E32:E32)</f>
        <v>130</v>
      </c>
      <c r="F31" s="1924">
        <f>SUM(F32:F32)</f>
        <v>122.39999999999999</v>
      </c>
      <c r="G31" s="1924"/>
      <c r="H31" s="1924"/>
      <c r="I31" s="1924"/>
      <c r="J31" s="1924">
        <f t="shared" ref="J31:O31" si="15">SUM(J32:J32)</f>
        <v>632.4</v>
      </c>
      <c r="K31" s="1924">
        <f t="shared" si="15"/>
        <v>13241823.6</v>
      </c>
      <c r="L31" s="1925">
        <f t="shared" si="15"/>
        <v>360396</v>
      </c>
      <c r="M31" s="1925">
        <f t="shared" si="15"/>
        <v>45050</v>
      </c>
      <c r="N31" s="1925">
        <f t="shared" si="15"/>
        <v>67574</v>
      </c>
      <c r="O31" s="1925">
        <f t="shared" si="15"/>
        <v>473020</v>
      </c>
      <c r="P31" s="1924">
        <f t="shared" ref="P31:W31" si="16">SUM(P32:P32)</f>
        <v>22.590381584602895</v>
      </c>
      <c r="Q31" s="1925">
        <f t="shared" si="16"/>
        <v>12768803.6</v>
      </c>
      <c r="R31" s="1924">
        <f t="shared" si="16"/>
        <v>961880.36</v>
      </c>
      <c r="S31" s="1924">
        <f t="shared" si="16"/>
        <v>45.937263479631312</v>
      </c>
      <c r="T31" s="1925">
        <f t="shared" si="16"/>
        <v>11806923.24</v>
      </c>
      <c r="U31" s="1924">
        <f t="shared" si="16"/>
        <v>563.87235493576577</v>
      </c>
      <c r="V31" s="1925">
        <f t="shared" si="16"/>
        <v>118069</v>
      </c>
      <c r="W31" s="1984">
        <f t="shared" si="16"/>
        <v>5.6387124504513109</v>
      </c>
      <c r="X31" s="1926"/>
      <c r="Y31" s="1940"/>
      <c r="Z31" s="1941"/>
    </row>
    <row r="32" spans="1:26" s="1999" customFormat="1">
      <c r="A32" s="1985">
        <v>1</v>
      </c>
      <c r="B32" s="1986" t="s">
        <v>37</v>
      </c>
      <c r="C32" s="1987" t="s">
        <v>1109</v>
      </c>
      <c r="D32" s="1988">
        <v>380</v>
      </c>
      <c r="E32" s="2176">
        <v>130</v>
      </c>
      <c r="F32" s="1946">
        <f>+(D32+E32)/25*6</f>
        <v>122.39999999999999</v>
      </c>
      <c r="G32" s="1990"/>
      <c r="H32" s="1990"/>
      <c r="I32" s="1990"/>
      <c r="J32" s="2219">
        <f>+D32+E32+F32+G32+H32</f>
        <v>632.4</v>
      </c>
      <c r="K32" s="1991">
        <f t="shared" si="10"/>
        <v>13241823.6</v>
      </c>
      <c r="L32" s="1992">
        <f>ROUND(VLOOKUP(B32,'HS bảo hiểm'!$B$7:$G$28,6,0)*8%*$C$8,0)</f>
        <v>360396</v>
      </c>
      <c r="M32" s="1992">
        <f>ROUND(VLOOKUP(B32,'HS bảo hiểm'!$B$7:$G$28,6,0)*1%*$C$8,0)</f>
        <v>45050</v>
      </c>
      <c r="N32" s="1992">
        <f>ROUND(VLOOKUP(B32,'HS bảo hiểm'!$B$7:$G$28,6,0)*1.5%*$C$8,0)</f>
        <v>67574</v>
      </c>
      <c r="O32" s="1938">
        <f>+SUM(L32:N32)</f>
        <v>473020</v>
      </c>
      <c r="P32" s="1993">
        <f>+O32/$C$7</f>
        <v>22.590381584602895</v>
      </c>
      <c r="Q32" s="1991">
        <f t="shared" si="8"/>
        <v>12768803.6</v>
      </c>
      <c r="R32" s="1994">
        <f>IF(Q32&gt;65000000,((Q32-65000000)*25%+10685000),IF(Q32&gt;25000000,((Q32-25000000)*20%+2685000),IF(Q32&gt;15000000,((Q32-15000000)*15%+1185000),IF(Q32&gt;5000000,(Q32-5000000)*10%+185000,IF(Q32&gt;1300000,(Q32-1300000)*5%,0)))))</f>
        <v>961880.36</v>
      </c>
      <c r="S32" s="1995">
        <f>R32/$C$7</f>
        <v>45.937263479631312</v>
      </c>
      <c r="T32" s="1989">
        <f>Q32-R32</f>
        <v>11806923.24</v>
      </c>
      <c r="U32" s="1996">
        <f>T32/$C$7</f>
        <v>563.87235493576577</v>
      </c>
      <c r="V32" s="1989">
        <f>ROUND(T32*1%,0)</f>
        <v>118069</v>
      </c>
      <c r="W32" s="1997">
        <f>V32/$C$7</f>
        <v>5.6387124504513109</v>
      </c>
      <c r="X32" s="1998"/>
      <c r="Z32" s="1941"/>
    </row>
    <row r="33" spans="1:25" s="1940" customFormat="1" ht="21.75" customHeight="1">
      <c r="A33" s="4284" t="s">
        <v>953</v>
      </c>
      <c r="B33" s="4284"/>
      <c r="C33" s="1974"/>
      <c r="D33" s="1925">
        <f>+D31+D26+D13</f>
        <v>4934</v>
      </c>
      <c r="E33" s="1925">
        <f>+E31+E26+E13</f>
        <v>1971.2</v>
      </c>
      <c r="F33" s="1925" t="e">
        <f>+F31+F26+F13</f>
        <v>#N/A</v>
      </c>
      <c r="G33" s="2001"/>
      <c r="H33" s="2001"/>
      <c r="I33" s="2001"/>
      <c r="J33" s="1924" t="e">
        <f t="shared" ref="J33:W33" si="17">+J31+J26+J13</f>
        <v>#N/A</v>
      </c>
      <c r="K33" s="1924" t="e">
        <f t="shared" si="17"/>
        <v>#N/A</v>
      </c>
      <c r="L33" s="1925">
        <f t="shared" si="17"/>
        <v>5542383</v>
      </c>
      <c r="M33" s="1925">
        <f t="shared" si="17"/>
        <v>692796</v>
      </c>
      <c r="N33" s="1925">
        <f t="shared" si="17"/>
        <v>1039196</v>
      </c>
      <c r="O33" s="1925">
        <f t="shared" si="17"/>
        <v>7274375</v>
      </c>
      <c r="P33" s="1924">
        <f t="shared" si="17"/>
        <v>347.40794689335689</v>
      </c>
      <c r="Q33" s="2001" t="e">
        <f t="shared" si="17"/>
        <v>#N/A</v>
      </c>
      <c r="R33" s="2001" t="e">
        <f t="shared" si="17"/>
        <v>#N/A</v>
      </c>
      <c r="S33" s="2000" t="e">
        <f t="shared" si="17"/>
        <v>#N/A</v>
      </c>
      <c r="T33" s="2001" t="e">
        <f t="shared" si="17"/>
        <v>#N/A</v>
      </c>
      <c r="U33" s="2000" t="e">
        <f t="shared" si="17"/>
        <v>#N/A</v>
      </c>
      <c r="V33" s="2001" t="e">
        <f t="shared" si="17"/>
        <v>#N/A</v>
      </c>
      <c r="W33" s="2000" t="e">
        <f t="shared" si="17"/>
        <v>#N/A</v>
      </c>
      <c r="X33" s="2002"/>
    </row>
    <row r="34" spans="1:25" ht="12" customHeight="1"/>
    <row r="35" spans="1:25" ht="18" hidden="1" customHeight="1">
      <c r="O35" s="2004">
        <f>'LƯƠNG USD NGƯỜI VIỆT'!K36</f>
        <v>347.40794689335689</v>
      </c>
      <c r="P35" s="2004"/>
      <c r="S35" s="2004" t="e">
        <f>'LƯƠNG USD NGƯỜI VIỆT'!M36</f>
        <v>#N/A</v>
      </c>
      <c r="U35" s="2005" t="e">
        <f>'LƯƠNG USD NGƯỜI VIỆT'!O36</f>
        <v>#N/A</v>
      </c>
      <c r="X35" s="1908"/>
    </row>
    <row r="36" spans="1:25" ht="18" hidden="1" customHeight="1">
      <c r="O36" s="2004">
        <f>O33-O35</f>
        <v>7274027.592053107</v>
      </c>
      <c r="P36" s="2004"/>
      <c r="S36" s="2004" t="e">
        <f>S33-S35</f>
        <v>#N/A</v>
      </c>
      <c r="U36" s="2006" t="e">
        <f>U33-U35</f>
        <v>#N/A</v>
      </c>
      <c r="X36" s="1908"/>
    </row>
    <row r="37" spans="1:25" ht="18" customHeight="1">
      <c r="T37" s="4298" t="s">
        <v>1432</v>
      </c>
      <c r="U37" s="4298"/>
      <c r="V37" s="4298"/>
      <c r="W37" s="4298"/>
      <c r="X37" s="4298"/>
    </row>
    <row r="38" spans="1:25" s="2008" customFormat="1" ht="36" customHeight="1">
      <c r="A38" s="2007"/>
      <c r="B38" s="2007" t="s">
        <v>954</v>
      </c>
      <c r="D38" s="2007"/>
      <c r="E38" s="2007"/>
      <c r="F38" s="2007"/>
      <c r="G38" s="2007"/>
      <c r="H38" s="2007"/>
      <c r="I38" s="2007"/>
      <c r="J38" s="2007"/>
      <c r="K38" s="2007"/>
      <c r="L38" s="2007"/>
      <c r="M38" s="2007" t="s">
        <v>955</v>
      </c>
      <c r="N38" s="2007"/>
      <c r="O38" s="2009"/>
      <c r="P38" s="2009"/>
      <c r="R38" s="2007" t="s">
        <v>20</v>
      </c>
      <c r="S38" s="2010"/>
      <c r="V38" s="4276" t="s">
        <v>956</v>
      </c>
      <c r="W38" s="4276"/>
      <c r="X38" s="4276"/>
    </row>
    <row r="39" spans="1:25" ht="18" customHeight="1"/>
    <row r="40" spans="1:25" ht="18" customHeight="1">
      <c r="Q40" s="2011"/>
      <c r="Y40" s="1908" t="e">
        <f>#REF!/C7</f>
        <v>#REF!</v>
      </c>
    </row>
    <row r="41" spans="1:25" ht="18" customHeight="1">
      <c r="L41" s="2012"/>
      <c r="M41" s="2012"/>
    </row>
    <row r="42" spans="1:25" ht="18" customHeight="1"/>
    <row r="43" spans="1:25" ht="18" customHeight="1">
      <c r="Q43" s="2011"/>
    </row>
    <row r="44" spans="1:25" ht="18" customHeight="1">
      <c r="Q44" s="2008"/>
      <c r="R44" s="2008"/>
      <c r="S44" s="2010"/>
      <c r="T44" s="2008"/>
      <c r="U44" s="2008"/>
      <c r="V44" s="2008"/>
      <c r="W44" s="2008"/>
      <c r="X44" s="2010"/>
    </row>
    <row r="45" spans="1:25" ht="18" customHeight="1">
      <c r="Q45" s="2013"/>
    </row>
    <row r="46" spans="1:25" ht="18" customHeight="1"/>
    <row r="47" spans="1:25" ht="18" customHeight="1"/>
    <row r="48" spans="1:25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</sheetData>
  <mergeCells count="33">
    <mergeCell ref="G9:G12"/>
    <mergeCell ref="H9:H12"/>
    <mergeCell ref="A33:B33"/>
    <mergeCell ref="T37:X37"/>
    <mergeCell ref="A9:A12"/>
    <mergeCell ref="U10:U12"/>
    <mergeCell ref="J9:J12"/>
    <mergeCell ref="K9:K12"/>
    <mergeCell ref="L10:O12"/>
    <mergeCell ref="P10:P12"/>
    <mergeCell ref="Q9:Q12"/>
    <mergeCell ref="E10:F12"/>
    <mergeCell ref="V38:X38"/>
    <mergeCell ref="R9:S9"/>
    <mergeCell ref="T9:U9"/>
    <mergeCell ref="X9:X10"/>
    <mergeCell ref="B13:C13"/>
    <mergeCell ref="D9:F9"/>
    <mergeCell ref="V9:W9"/>
    <mergeCell ref="I9:I10"/>
    <mergeCell ref="D10:D12"/>
    <mergeCell ref="C9:C12"/>
    <mergeCell ref="W10:W12"/>
    <mergeCell ref="R10:R12"/>
    <mergeCell ref="S10:S12"/>
    <mergeCell ref="T10:T12"/>
    <mergeCell ref="V10:V12"/>
    <mergeCell ref="B9:B12"/>
    <mergeCell ref="B3:H3"/>
    <mergeCell ref="B4:H4"/>
    <mergeCell ref="A1:X1"/>
    <mergeCell ref="A2:X2"/>
    <mergeCell ref="A6:X6"/>
  </mergeCells>
  <phoneticPr fontId="194" type="noConversion"/>
  <pageMargins left="0.36" right="0.2" top="0.2" bottom="0.2" header="0.2" footer="0.2"/>
  <pageSetup paperSize="9" scale="35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63"/>
  <sheetViews>
    <sheetView zoomScale="70" zoomScaleNormal="70" workbookViewId="0">
      <pane xSplit="18" ySplit="10" topLeftCell="S23" activePane="bottomRight" state="frozen"/>
      <selection pane="topRight" activeCell="S1" sqref="S1"/>
      <selection pane="bottomLeft" activeCell="A11" sqref="A11"/>
      <selection pane="bottomRight" activeCell="N3" sqref="N3"/>
    </sheetView>
  </sheetViews>
  <sheetFormatPr defaultRowHeight="12.75"/>
  <cols>
    <col min="1" max="1" width="4.5703125" style="953" customWidth="1"/>
    <col min="2" max="2" width="26" style="953" customWidth="1"/>
    <col min="3" max="3" width="14.42578125" style="953" customWidth="1"/>
    <col min="4" max="4" width="13.5703125" style="953" customWidth="1"/>
    <col min="5" max="6" width="9.85546875" style="953" hidden="1" customWidth="1"/>
    <col min="7" max="7" width="16" style="953" bestFit="1" customWidth="1"/>
    <col min="8" max="8" width="15.42578125" style="953" customWidth="1"/>
    <col min="9" max="9" width="14.5703125" style="953" customWidth="1"/>
    <col min="10" max="10" width="12.7109375" style="978" customWidth="1"/>
    <col min="11" max="11" width="16.42578125" style="953" customWidth="1"/>
    <col min="12" max="12" width="14.42578125" style="953" customWidth="1"/>
    <col min="13" max="13" width="10.42578125" style="978" customWidth="1"/>
    <col min="14" max="14" width="16.5703125" style="953" customWidth="1"/>
    <col min="15" max="15" width="13.5703125" style="953" customWidth="1"/>
    <col min="16" max="16" width="16" style="953" customWidth="1"/>
    <col min="17" max="17" width="12.7109375" style="953" customWidth="1"/>
    <col min="18" max="18" width="32.140625" style="978" customWidth="1"/>
    <col min="19" max="19" width="20" style="953" customWidth="1"/>
    <col min="20" max="20" width="14.7109375" style="953" bestFit="1" customWidth="1"/>
    <col min="21" max="259" width="9.140625" style="953"/>
    <col min="260" max="260" width="4.5703125" style="953" customWidth="1"/>
    <col min="261" max="261" width="25" style="953" customWidth="1"/>
    <col min="262" max="262" width="16" style="953" customWidth="1"/>
    <col min="263" max="263" width="9.85546875" style="953" customWidth="1"/>
    <col min="264" max="264" width="14.140625" style="953" bestFit="1" customWidth="1"/>
    <col min="265" max="266" width="13.42578125" style="953" customWidth="1"/>
    <col min="267" max="267" width="15.42578125" style="953" bestFit="1" customWidth="1"/>
    <col min="268" max="269" width="15.42578125" style="953" customWidth="1"/>
    <col min="270" max="271" width="16.5703125" style="953" customWidth="1"/>
    <col min="272" max="272" width="15.85546875" style="953" customWidth="1"/>
    <col min="273" max="273" width="14" style="953" customWidth="1"/>
    <col min="274" max="274" width="16.85546875" style="953" customWidth="1"/>
    <col min="275" max="275" width="20" style="953" customWidth="1"/>
    <col min="276" max="515" width="9.140625" style="953"/>
    <col min="516" max="516" width="4.5703125" style="953" customWidth="1"/>
    <col min="517" max="517" width="25" style="953" customWidth="1"/>
    <col min="518" max="518" width="16" style="953" customWidth="1"/>
    <col min="519" max="519" width="9.85546875" style="953" customWidth="1"/>
    <col min="520" max="520" width="14.140625" style="953" bestFit="1" customWidth="1"/>
    <col min="521" max="522" width="13.42578125" style="953" customWidth="1"/>
    <col min="523" max="523" width="15.42578125" style="953" bestFit="1" customWidth="1"/>
    <col min="524" max="525" width="15.42578125" style="953" customWidth="1"/>
    <col min="526" max="527" width="16.5703125" style="953" customWidth="1"/>
    <col min="528" max="528" width="15.85546875" style="953" customWidth="1"/>
    <col min="529" max="529" width="14" style="953" customWidth="1"/>
    <col min="530" max="530" width="16.85546875" style="953" customWidth="1"/>
    <col min="531" max="531" width="20" style="953" customWidth="1"/>
    <col min="532" max="771" width="9.140625" style="953"/>
    <col min="772" max="772" width="4.5703125" style="953" customWidth="1"/>
    <col min="773" max="773" width="25" style="953" customWidth="1"/>
    <col min="774" max="774" width="16" style="953" customWidth="1"/>
    <col min="775" max="775" width="9.85546875" style="953" customWidth="1"/>
    <col min="776" max="776" width="14.140625" style="953" bestFit="1" customWidth="1"/>
    <col min="777" max="778" width="13.42578125" style="953" customWidth="1"/>
    <col min="779" max="779" width="15.42578125" style="953" bestFit="1" customWidth="1"/>
    <col min="780" max="781" width="15.42578125" style="953" customWidth="1"/>
    <col min="782" max="783" width="16.5703125" style="953" customWidth="1"/>
    <col min="784" max="784" width="15.85546875" style="953" customWidth="1"/>
    <col min="785" max="785" width="14" style="953" customWidth="1"/>
    <col min="786" max="786" width="16.85546875" style="953" customWidth="1"/>
    <col min="787" max="787" width="20" style="953" customWidth="1"/>
    <col min="788" max="1027" width="9.140625" style="953"/>
    <col min="1028" max="1028" width="4.5703125" style="953" customWidth="1"/>
    <col min="1029" max="1029" width="25" style="953" customWidth="1"/>
    <col min="1030" max="1030" width="16" style="953" customWidth="1"/>
    <col min="1031" max="1031" width="9.85546875" style="953" customWidth="1"/>
    <col min="1032" max="1032" width="14.140625" style="953" bestFit="1" customWidth="1"/>
    <col min="1033" max="1034" width="13.42578125" style="953" customWidth="1"/>
    <col min="1035" max="1035" width="15.42578125" style="953" bestFit="1" customWidth="1"/>
    <col min="1036" max="1037" width="15.42578125" style="953" customWidth="1"/>
    <col min="1038" max="1039" width="16.5703125" style="953" customWidth="1"/>
    <col min="1040" max="1040" width="15.85546875" style="953" customWidth="1"/>
    <col min="1041" max="1041" width="14" style="953" customWidth="1"/>
    <col min="1042" max="1042" width="16.85546875" style="953" customWidth="1"/>
    <col min="1043" max="1043" width="20" style="953" customWidth="1"/>
    <col min="1044" max="1283" width="9.140625" style="953"/>
    <col min="1284" max="1284" width="4.5703125" style="953" customWidth="1"/>
    <col min="1285" max="1285" width="25" style="953" customWidth="1"/>
    <col min="1286" max="1286" width="16" style="953" customWidth="1"/>
    <col min="1287" max="1287" width="9.85546875" style="953" customWidth="1"/>
    <col min="1288" max="1288" width="14.140625" style="953" bestFit="1" customWidth="1"/>
    <col min="1289" max="1290" width="13.42578125" style="953" customWidth="1"/>
    <col min="1291" max="1291" width="15.42578125" style="953" bestFit="1" customWidth="1"/>
    <col min="1292" max="1293" width="15.42578125" style="953" customWidth="1"/>
    <col min="1294" max="1295" width="16.5703125" style="953" customWidth="1"/>
    <col min="1296" max="1296" width="15.85546875" style="953" customWidth="1"/>
    <col min="1297" max="1297" width="14" style="953" customWidth="1"/>
    <col min="1298" max="1298" width="16.85546875" style="953" customWidth="1"/>
    <col min="1299" max="1299" width="20" style="953" customWidth="1"/>
    <col min="1300" max="1539" width="9.140625" style="953"/>
    <col min="1540" max="1540" width="4.5703125" style="953" customWidth="1"/>
    <col min="1541" max="1541" width="25" style="953" customWidth="1"/>
    <col min="1542" max="1542" width="16" style="953" customWidth="1"/>
    <col min="1543" max="1543" width="9.85546875" style="953" customWidth="1"/>
    <col min="1544" max="1544" width="14.140625" style="953" bestFit="1" customWidth="1"/>
    <col min="1545" max="1546" width="13.42578125" style="953" customWidth="1"/>
    <col min="1547" max="1547" width="15.42578125" style="953" bestFit="1" customWidth="1"/>
    <col min="1548" max="1549" width="15.42578125" style="953" customWidth="1"/>
    <col min="1550" max="1551" width="16.5703125" style="953" customWidth="1"/>
    <col min="1552" max="1552" width="15.85546875" style="953" customWidth="1"/>
    <col min="1553" max="1553" width="14" style="953" customWidth="1"/>
    <col min="1554" max="1554" width="16.85546875" style="953" customWidth="1"/>
    <col min="1555" max="1555" width="20" style="953" customWidth="1"/>
    <col min="1556" max="1795" width="9.140625" style="953"/>
    <col min="1796" max="1796" width="4.5703125" style="953" customWidth="1"/>
    <col min="1797" max="1797" width="25" style="953" customWidth="1"/>
    <col min="1798" max="1798" width="16" style="953" customWidth="1"/>
    <col min="1799" max="1799" width="9.85546875" style="953" customWidth="1"/>
    <col min="1800" max="1800" width="14.140625" style="953" bestFit="1" customWidth="1"/>
    <col min="1801" max="1802" width="13.42578125" style="953" customWidth="1"/>
    <col min="1803" max="1803" width="15.42578125" style="953" bestFit="1" customWidth="1"/>
    <col min="1804" max="1805" width="15.42578125" style="953" customWidth="1"/>
    <col min="1806" max="1807" width="16.5703125" style="953" customWidth="1"/>
    <col min="1808" max="1808" width="15.85546875" style="953" customWidth="1"/>
    <col min="1809" max="1809" width="14" style="953" customWidth="1"/>
    <col min="1810" max="1810" width="16.85546875" style="953" customWidth="1"/>
    <col min="1811" max="1811" width="20" style="953" customWidth="1"/>
    <col min="1812" max="2051" width="9.140625" style="953"/>
    <col min="2052" max="2052" width="4.5703125" style="953" customWidth="1"/>
    <col min="2053" max="2053" width="25" style="953" customWidth="1"/>
    <col min="2054" max="2054" width="16" style="953" customWidth="1"/>
    <col min="2055" max="2055" width="9.85546875" style="953" customWidth="1"/>
    <col min="2056" max="2056" width="14.140625" style="953" bestFit="1" customWidth="1"/>
    <col min="2057" max="2058" width="13.42578125" style="953" customWidth="1"/>
    <col min="2059" max="2059" width="15.42578125" style="953" bestFit="1" customWidth="1"/>
    <col min="2060" max="2061" width="15.42578125" style="953" customWidth="1"/>
    <col min="2062" max="2063" width="16.5703125" style="953" customWidth="1"/>
    <col min="2064" max="2064" width="15.85546875" style="953" customWidth="1"/>
    <col min="2065" max="2065" width="14" style="953" customWidth="1"/>
    <col min="2066" max="2066" width="16.85546875" style="953" customWidth="1"/>
    <col min="2067" max="2067" width="20" style="953" customWidth="1"/>
    <col min="2068" max="2307" width="9.140625" style="953"/>
    <col min="2308" max="2308" width="4.5703125" style="953" customWidth="1"/>
    <col min="2309" max="2309" width="25" style="953" customWidth="1"/>
    <col min="2310" max="2310" width="16" style="953" customWidth="1"/>
    <col min="2311" max="2311" width="9.85546875" style="953" customWidth="1"/>
    <col min="2312" max="2312" width="14.140625" style="953" bestFit="1" customWidth="1"/>
    <col min="2313" max="2314" width="13.42578125" style="953" customWidth="1"/>
    <col min="2315" max="2315" width="15.42578125" style="953" bestFit="1" customWidth="1"/>
    <col min="2316" max="2317" width="15.42578125" style="953" customWidth="1"/>
    <col min="2318" max="2319" width="16.5703125" style="953" customWidth="1"/>
    <col min="2320" max="2320" width="15.85546875" style="953" customWidth="1"/>
    <col min="2321" max="2321" width="14" style="953" customWidth="1"/>
    <col min="2322" max="2322" width="16.85546875" style="953" customWidth="1"/>
    <col min="2323" max="2323" width="20" style="953" customWidth="1"/>
    <col min="2324" max="2563" width="9.140625" style="953"/>
    <col min="2564" max="2564" width="4.5703125" style="953" customWidth="1"/>
    <col min="2565" max="2565" width="25" style="953" customWidth="1"/>
    <col min="2566" max="2566" width="16" style="953" customWidth="1"/>
    <col min="2567" max="2567" width="9.85546875" style="953" customWidth="1"/>
    <col min="2568" max="2568" width="14.140625" style="953" bestFit="1" customWidth="1"/>
    <col min="2569" max="2570" width="13.42578125" style="953" customWidth="1"/>
    <col min="2571" max="2571" width="15.42578125" style="953" bestFit="1" customWidth="1"/>
    <col min="2572" max="2573" width="15.42578125" style="953" customWidth="1"/>
    <col min="2574" max="2575" width="16.5703125" style="953" customWidth="1"/>
    <col min="2576" max="2576" width="15.85546875" style="953" customWidth="1"/>
    <col min="2577" max="2577" width="14" style="953" customWidth="1"/>
    <col min="2578" max="2578" width="16.85546875" style="953" customWidth="1"/>
    <col min="2579" max="2579" width="20" style="953" customWidth="1"/>
    <col min="2580" max="2819" width="9.140625" style="953"/>
    <col min="2820" max="2820" width="4.5703125" style="953" customWidth="1"/>
    <col min="2821" max="2821" width="25" style="953" customWidth="1"/>
    <col min="2822" max="2822" width="16" style="953" customWidth="1"/>
    <col min="2823" max="2823" width="9.85546875" style="953" customWidth="1"/>
    <col min="2824" max="2824" width="14.140625" style="953" bestFit="1" customWidth="1"/>
    <col min="2825" max="2826" width="13.42578125" style="953" customWidth="1"/>
    <col min="2827" max="2827" width="15.42578125" style="953" bestFit="1" customWidth="1"/>
    <col min="2828" max="2829" width="15.42578125" style="953" customWidth="1"/>
    <col min="2830" max="2831" width="16.5703125" style="953" customWidth="1"/>
    <col min="2832" max="2832" width="15.85546875" style="953" customWidth="1"/>
    <col min="2833" max="2833" width="14" style="953" customWidth="1"/>
    <col min="2834" max="2834" width="16.85546875" style="953" customWidth="1"/>
    <col min="2835" max="2835" width="20" style="953" customWidth="1"/>
    <col min="2836" max="3075" width="9.140625" style="953"/>
    <col min="3076" max="3076" width="4.5703125" style="953" customWidth="1"/>
    <col min="3077" max="3077" width="25" style="953" customWidth="1"/>
    <col min="3078" max="3078" width="16" style="953" customWidth="1"/>
    <col min="3079" max="3079" width="9.85546875" style="953" customWidth="1"/>
    <col min="3080" max="3080" width="14.140625" style="953" bestFit="1" customWidth="1"/>
    <col min="3081" max="3082" width="13.42578125" style="953" customWidth="1"/>
    <col min="3083" max="3083" width="15.42578125" style="953" bestFit="1" customWidth="1"/>
    <col min="3084" max="3085" width="15.42578125" style="953" customWidth="1"/>
    <col min="3086" max="3087" width="16.5703125" style="953" customWidth="1"/>
    <col min="3088" max="3088" width="15.85546875" style="953" customWidth="1"/>
    <col min="3089" max="3089" width="14" style="953" customWidth="1"/>
    <col min="3090" max="3090" width="16.85546875" style="953" customWidth="1"/>
    <col min="3091" max="3091" width="20" style="953" customWidth="1"/>
    <col min="3092" max="3331" width="9.140625" style="953"/>
    <col min="3332" max="3332" width="4.5703125" style="953" customWidth="1"/>
    <col min="3333" max="3333" width="25" style="953" customWidth="1"/>
    <col min="3334" max="3334" width="16" style="953" customWidth="1"/>
    <col min="3335" max="3335" width="9.85546875" style="953" customWidth="1"/>
    <col min="3336" max="3336" width="14.140625" style="953" bestFit="1" customWidth="1"/>
    <col min="3337" max="3338" width="13.42578125" style="953" customWidth="1"/>
    <col min="3339" max="3339" width="15.42578125" style="953" bestFit="1" customWidth="1"/>
    <col min="3340" max="3341" width="15.42578125" style="953" customWidth="1"/>
    <col min="3342" max="3343" width="16.5703125" style="953" customWidth="1"/>
    <col min="3344" max="3344" width="15.85546875" style="953" customWidth="1"/>
    <col min="3345" max="3345" width="14" style="953" customWidth="1"/>
    <col min="3346" max="3346" width="16.85546875" style="953" customWidth="1"/>
    <col min="3347" max="3347" width="20" style="953" customWidth="1"/>
    <col min="3348" max="3587" width="9.140625" style="953"/>
    <col min="3588" max="3588" width="4.5703125" style="953" customWidth="1"/>
    <col min="3589" max="3589" width="25" style="953" customWidth="1"/>
    <col min="3590" max="3590" width="16" style="953" customWidth="1"/>
    <col min="3591" max="3591" width="9.85546875" style="953" customWidth="1"/>
    <col min="3592" max="3592" width="14.140625" style="953" bestFit="1" customWidth="1"/>
    <col min="3593" max="3594" width="13.42578125" style="953" customWidth="1"/>
    <col min="3595" max="3595" width="15.42578125" style="953" bestFit="1" customWidth="1"/>
    <col min="3596" max="3597" width="15.42578125" style="953" customWidth="1"/>
    <col min="3598" max="3599" width="16.5703125" style="953" customWidth="1"/>
    <col min="3600" max="3600" width="15.85546875" style="953" customWidth="1"/>
    <col min="3601" max="3601" width="14" style="953" customWidth="1"/>
    <col min="3602" max="3602" width="16.85546875" style="953" customWidth="1"/>
    <col min="3603" max="3603" width="20" style="953" customWidth="1"/>
    <col min="3604" max="3843" width="9.140625" style="953"/>
    <col min="3844" max="3844" width="4.5703125" style="953" customWidth="1"/>
    <col min="3845" max="3845" width="25" style="953" customWidth="1"/>
    <col min="3846" max="3846" width="16" style="953" customWidth="1"/>
    <col min="3847" max="3847" width="9.85546875" style="953" customWidth="1"/>
    <col min="3848" max="3848" width="14.140625" style="953" bestFit="1" customWidth="1"/>
    <col min="3849" max="3850" width="13.42578125" style="953" customWidth="1"/>
    <col min="3851" max="3851" width="15.42578125" style="953" bestFit="1" customWidth="1"/>
    <col min="3852" max="3853" width="15.42578125" style="953" customWidth="1"/>
    <col min="3854" max="3855" width="16.5703125" style="953" customWidth="1"/>
    <col min="3856" max="3856" width="15.85546875" style="953" customWidth="1"/>
    <col min="3857" max="3857" width="14" style="953" customWidth="1"/>
    <col min="3858" max="3858" width="16.85546875" style="953" customWidth="1"/>
    <col min="3859" max="3859" width="20" style="953" customWidth="1"/>
    <col min="3860" max="4099" width="9.140625" style="953"/>
    <col min="4100" max="4100" width="4.5703125" style="953" customWidth="1"/>
    <col min="4101" max="4101" width="25" style="953" customWidth="1"/>
    <col min="4102" max="4102" width="16" style="953" customWidth="1"/>
    <col min="4103" max="4103" width="9.85546875" style="953" customWidth="1"/>
    <col min="4104" max="4104" width="14.140625" style="953" bestFit="1" customWidth="1"/>
    <col min="4105" max="4106" width="13.42578125" style="953" customWidth="1"/>
    <col min="4107" max="4107" width="15.42578125" style="953" bestFit="1" customWidth="1"/>
    <col min="4108" max="4109" width="15.42578125" style="953" customWidth="1"/>
    <col min="4110" max="4111" width="16.5703125" style="953" customWidth="1"/>
    <col min="4112" max="4112" width="15.85546875" style="953" customWidth="1"/>
    <col min="4113" max="4113" width="14" style="953" customWidth="1"/>
    <col min="4114" max="4114" width="16.85546875" style="953" customWidth="1"/>
    <col min="4115" max="4115" width="20" style="953" customWidth="1"/>
    <col min="4116" max="4355" width="9.140625" style="953"/>
    <col min="4356" max="4356" width="4.5703125" style="953" customWidth="1"/>
    <col min="4357" max="4357" width="25" style="953" customWidth="1"/>
    <col min="4358" max="4358" width="16" style="953" customWidth="1"/>
    <col min="4359" max="4359" width="9.85546875" style="953" customWidth="1"/>
    <col min="4360" max="4360" width="14.140625" style="953" bestFit="1" customWidth="1"/>
    <col min="4361" max="4362" width="13.42578125" style="953" customWidth="1"/>
    <col min="4363" max="4363" width="15.42578125" style="953" bestFit="1" customWidth="1"/>
    <col min="4364" max="4365" width="15.42578125" style="953" customWidth="1"/>
    <col min="4366" max="4367" width="16.5703125" style="953" customWidth="1"/>
    <col min="4368" max="4368" width="15.85546875" style="953" customWidth="1"/>
    <col min="4369" max="4369" width="14" style="953" customWidth="1"/>
    <col min="4370" max="4370" width="16.85546875" style="953" customWidth="1"/>
    <col min="4371" max="4371" width="20" style="953" customWidth="1"/>
    <col min="4372" max="4611" width="9.140625" style="953"/>
    <col min="4612" max="4612" width="4.5703125" style="953" customWidth="1"/>
    <col min="4613" max="4613" width="25" style="953" customWidth="1"/>
    <col min="4614" max="4614" width="16" style="953" customWidth="1"/>
    <col min="4615" max="4615" width="9.85546875" style="953" customWidth="1"/>
    <col min="4616" max="4616" width="14.140625" style="953" bestFit="1" customWidth="1"/>
    <col min="4617" max="4618" width="13.42578125" style="953" customWidth="1"/>
    <col min="4619" max="4619" width="15.42578125" style="953" bestFit="1" customWidth="1"/>
    <col min="4620" max="4621" width="15.42578125" style="953" customWidth="1"/>
    <col min="4622" max="4623" width="16.5703125" style="953" customWidth="1"/>
    <col min="4624" max="4624" width="15.85546875" style="953" customWidth="1"/>
    <col min="4625" max="4625" width="14" style="953" customWidth="1"/>
    <col min="4626" max="4626" width="16.85546875" style="953" customWidth="1"/>
    <col min="4627" max="4627" width="20" style="953" customWidth="1"/>
    <col min="4628" max="4867" width="9.140625" style="953"/>
    <col min="4868" max="4868" width="4.5703125" style="953" customWidth="1"/>
    <col min="4869" max="4869" width="25" style="953" customWidth="1"/>
    <col min="4870" max="4870" width="16" style="953" customWidth="1"/>
    <col min="4871" max="4871" width="9.85546875" style="953" customWidth="1"/>
    <col min="4872" max="4872" width="14.140625" style="953" bestFit="1" customWidth="1"/>
    <col min="4873" max="4874" width="13.42578125" style="953" customWidth="1"/>
    <col min="4875" max="4875" width="15.42578125" style="953" bestFit="1" customWidth="1"/>
    <col min="4876" max="4877" width="15.42578125" style="953" customWidth="1"/>
    <col min="4878" max="4879" width="16.5703125" style="953" customWidth="1"/>
    <col min="4880" max="4880" width="15.85546875" style="953" customWidth="1"/>
    <col min="4881" max="4881" width="14" style="953" customWidth="1"/>
    <col min="4882" max="4882" width="16.85546875" style="953" customWidth="1"/>
    <col min="4883" max="4883" width="20" style="953" customWidth="1"/>
    <col min="4884" max="5123" width="9.140625" style="953"/>
    <col min="5124" max="5124" width="4.5703125" style="953" customWidth="1"/>
    <col min="5125" max="5125" width="25" style="953" customWidth="1"/>
    <col min="5126" max="5126" width="16" style="953" customWidth="1"/>
    <col min="5127" max="5127" width="9.85546875" style="953" customWidth="1"/>
    <col min="5128" max="5128" width="14.140625" style="953" bestFit="1" customWidth="1"/>
    <col min="5129" max="5130" width="13.42578125" style="953" customWidth="1"/>
    <col min="5131" max="5131" width="15.42578125" style="953" bestFit="1" customWidth="1"/>
    <col min="5132" max="5133" width="15.42578125" style="953" customWidth="1"/>
    <col min="5134" max="5135" width="16.5703125" style="953" customWidth="1"/>
    <col min="5136" max="5136" width="15.85546875" style="953" customWidth="1"/>
    <col min="5137" max="5137" width="14" style="953" customWidth="1"/>
    <col min="5138" max="5138" width="16.85546875" style="953" customWidth="1"/>
    <col min="5139" max="5139" width="20" style="953" customWidth="1"/>
    <col min="5140" max="5379" width="9.140625" style="953"/>
    <col min="5380" max="5380" width="4.5703125" style="953" customWidth="1"/>
    <col min="5381" max="5381" width="25" style="953" customWidth="1"/>
    <col min="5382" max="5382" width="16" style="953" customWidth="1"/>
    <col min="5383" max="5383" width="9.85546875" style="953" customWidth="1"/>
    <col min="5384" max="5384" width="14.140625" style="953" bestFit="1" customWidth="1"/>
    <col min="5385" max="5386" width="13.42578125" style="953" customWidth="1"/>
    <col min="5387" max="5387" width="15.42578125" style="953" bestFit="1" customWidth="1"/>
    <col min="5388" max="5389" width="15.42578125" style="953" customWidth="1"/>
    <col min="5390" max="5391" width="16.5703125" style="953" customWidth="1"/>
    <col min="5392" max="5392" width="15.85546875" style="953" customWidth="1"/>
    <col min="5393" max="5393" width="14" style="953" customWidth="1"/>
    <col min="5394" max="5394" width="16.85546875" style="953" customWidth="1"/>
    <col min="5395" max="5395" width="20" style="953" customWidth="1"/>
    <col min="5396" max="5635" width="9.140625" style="953"/>
    <col min="5636" max="5636" width="4.5703125" style="953" customWidth="1"/>
    <col min="5637" max="5637" width="25" style="953" customWidth="1"/>
    <col min="5638" max="5638" width="16" style="953" customWidth="1"/>
    <col min="5639" max="5639" width="9.85546875" style="953" customWidth="1"/>
    <col min="5640" max="5640" width="14.140625" style="953" bestFit="1" customWidth="1"/>
    <col min="5641" max="5642" width="13.42578125" style="953" customWidth="1"/>
    <col min="5643" max="5643" width="15.42578125" style="953" bestFit="1" customWidth="1"/>
    <col min="5644" max="5645" width="15.42578125" style="953" customWidth="1"/>
    <col min="5646" max="5647" width="16.5703125" style="953" customWidth="1"/>
    <col min="5648" max="5648" width="15.85546875" style="953" customWidth="1"/>
    <col min="5649" max="5649" width="14" style="953" customWidth="1"/>
    <col min="5650" max="5650" width="16.85546875" style="953" customWidth="1"/>
    <col min="5651" max="5651" width="20" style="953" customWidth="1"/>
    <col min="5652" max="5891" width="9.140625" style="953"/>
    <col min="5892" max="5892" width="4.5703125" style="953" customWidth="1"/>
    <col min="5893" max="5893" width="25" style="953" customWidth="1"/>
    <col min="5894" max="5894" width="16" style="953" customWidth="1"/>
    <col min="5895" max="5895" width="9.85546875" style="953" customWidth="1"/>
    <col min="5896" max="5896" width="14.140625" style="953" bestFit="1" customWidth="1"/>
    <col min="5897" max="5898" width="13.42578125" style="953" customWidth="1"/>
    <col min="5899" max="5899" width="15.42578125" style="953" bestFit="1" customWidth="1"/>
    <col min="5900" max="5901" width="15.42578125" style="953" customWidth="1"/>
    <col min="5902" max="5903" width="16.5703125" style="953" customWidth="1"/>
    <col min="5904" max="5904" width="15.85546875" style="953" customWidth="1"/>
    <col min="5905" max="5905" width="14" style="953" customWidth="1"/>
    <col min="5906" max="5906" width="16.85546875" style="953" customWidth="1"/>
    <col min="5907" max="5907" width="20" style="953" customWidth="1"/>
    <col min="5908" max="6147" width="9.140625" style="953"/>
    <col min="6148" max="6148" width="4.5703125" style="953" customWidth="1"/>
    <col min="6149" max="6149" width="25" style="953" customWidth="1"/>
    <col min="6150" max="6150" width="16" style="953" customWidth="1"/>
    <col min="6151" max="6151" width="9.85546875" style="953" customWidth="1"/>
    <col min="6152" max="6152" width="14.140625" style="953" bestFit="1" customWidth="1"/>
    <col min="6153" max="6154" width="13.42578125" style="953" customWidth="1"/>
    <col min="6155" max="6155" width="15.42578125" style="953" bestFit="1" customWidth="1"/>
    <col min="6156" max="6157" width="15.42578125" style="953" customWidth="1"/>
    <col min="6158" max="6159" width="16.5703125" style="953" customWidth="1"/>
    <col min="6160" max="6160" width="15.85546875" style="953" customWidth="1"/>
    <col min="6161" max="6161" width="14" style="953" customWidth="1"/>
    <col min="6162" max="6162" width="16.85546875" style="953" customWidth="1"/>
    <col min="6163" max="6163" width="20" style="953" customWidth="1"/>
    <col min="6164" max="6403" width="9.140625" style="953"/>
    <col min="6404" max="6404" width="4.5703125" style="953" customWidth="1"/>
    <col min="6405" max="6405" width="25" style="953" customWidth="1"/>
    <col min="6406" max="6406" width="16" style="953" customWidth="1"/>
    <col min="6407" max="6407" width="9.85546875" style="953" customWidth="1"/>
    <col min="6408" max="6408" width="14.140625" style="953" bestFit="1" customWidth="1"/>
    <col min="6409" max="6410" width="13.42578125" style="953" customWidth="1"/>
    <col min="6411" max="6411" width="15.42578125" style="953" bestFit="1" customWidth="1"/>
    <col min="6412" max="6413" width="15.42578125" style="953" customWidth="1"/>
    <col min="6414" max="6415" width="16.5703125" style="953" customWidth="1"/>
    <col min="6416" max="6416" width="15.85546875" style="953" customWidth="1"/>
    <col min="6417" max="6417" width="14" style="953" customWidth="1"/>
    <col min="6418" max="6418" width="16.85546875" style="953" customWidth="1"/>
    <col min="6419" max="6419" width="20" style="953" customWidth="1"/>
    <col min="6420" max="6659" width="9.140625" style="953"/>
    <col min="6660" max="6660" width="4.5703125" style="953" customWidth="1"/>
    <col min="6661" max="6661" width="25" style="953" customWidth="1"/>
    <col min="6662" max="6662" width="16" style="953" customWidth="1"/>
    <col min="6663" max="6663" width="9.85546875" style="953" customWidth="1"/>
    <col min="6664" max="6664" width="14.140625" style="953" bestFit="1" customWidth="1"/>
    <col min="6665" max="6666" width="13.42578125" style="953" customWidth="1"/>
    <col min="6667" max="6667" width="15.42578125" style="953" bestFit="1" customWidth="1"/>
    <col min="6668" max="6669" width="15.42578125" style="953" customWidth="1"/>
    <col min="6670" max="6671" width="16.5703125" style="953" customWidth="1"/>
    <col min="6672" max="6672" width="15.85546875" style="953" customWidth="1"/>
    <col min="6673" max="6673" width="14" style="953" customWidth="1"/>
    <col min="6674" max="6674" width="16.85546875" style="953" customWidth="1"/>
    <col min="6675" max="6675" width="20" style="953" customWidth="1"/>
    <col min="6676" max="6915" width="9.140625" style="953"/>
    <col min="6916" max="6916" width="4.5703125" style="953" customWidth="1"/>
    <col min="6917" max="6917" width="25" style="953" customWidth="1"/>
    <col min="6918" max="6918" width="16" style="953" customWidth="1"/>
    <col min="6919" max="6919" width="9.85546875" style="953" customWidth="1"/>
    <col min="6920" max="6920" width="14.140625" style="953" bestFit="1" customWidth="1"/>
    <col min="6921" max="6922" width="13.42578125" style="953" customWidth="1"/>
    <col min="6923" max="6923" width="15.42578125" style="953" bestFit="1" customWidth="1"/>
    <col min="6924" max="6925" width="15.42578125" style="953" customWidth="1"/>
    <col min="6926" max="6927" width="16.5703125" style="953" customWidth="1"/>
    <col min="6928" max="6928" width="15.85546875" style="953" customWidth="1"/>
    <col min="6929" max="6929" width="14" style="953" customWidth="1"/>
    <col min="6930" max="6930" width="16.85546875" style="953" customWidth="1"/>
    <col min="6931" max="6931" width="20" style="953" customWidth="1"/>
    <col min="6932" max="7171" width="9.140625" style="953"/>
    <col min="7172" max="7172" width="4.5703125" style="953" customWidth="1"/>
    <col min="7173" max="7173" width="25" style="953" customWidth="1"/>
    <col min="7174" max="7174" width="16" style="953" customWidth="1"/>
    <col min="7175" max="7175" width="9.85546875" style="953" customWidth="1"/>
    <col min="7176" max="7176" width="14.140625" style="953" bestFit="1" customWidth="1"/>
    <col min="7177" max="7178" width="13.42578125" style="953" customWidth="1"/>
    <col min="7179" max="7179" width="15.42578125" style="953" bestFit="1" customWidth="1"/>
    <col min="7180" max="7181" width="15.42578125" style="953" customWidth="1"/>
    <col min="7182" max="7183" width="16.5703125" style="953" customWidth="1"/>
    <col min="7184" max="7184" width="15.85546875" style="953" customWidth="1"/>
    <col min="7185" max="7185" width="14" style="953" customWidth="1"/>
    <col min="7186" max="7186" width="16.85546875" style="953" customWidth="1"/>
    <col min="7187" max="7187" width="20" style="953" customWidth="1"/>
    <col min="7188" max="7427" width="9.140625" style="953"/>
    <col min="7428" max="7428" width="4.5703125" style="953" customWidth="1"/>
    <col min="7429" max="7429" width="25" style="953" customWidth="1"/>
    <col min="7430" max="7430" width="16" style="953" customWidth="1"/>
    <col min="7431" max="7431" width="9.85546875" style="953" customWidth="1"/>
    <col min="7432" max="7432" width="14.140625" style="953" bestFit="1" customWidth="1"/>
    <col min="7433" max="7434" width="13.42578125" style="953" customWidth="1"/>
    <col min="7435" max="7435" width="15.42578125" style="953" bestFit="1" customWidth="1"/>
    <col min="7436" max="7437" width="15.42578125" style="953" customWidth="1"/>
    <col min="7438" max="7439" width="16.5703125" style="953" customWidth="1"/>
    <col min="7440" max="7440" width="15.85546875" style="953" customWidth="1"/>
    <col min="7441" max="7441" width="14" style="953" customWidth="1"/>
    <col min="7442" max="7442" width="16.85546875" style="953" customWidth="1"/>
    <col min="7443" max="7443" width="20" style="953" customWidth="1"/>
    <col min="7444" max="7683" width="9.140625" style="953"/>
    <col min="7684" max="7684" width="4.5703125" style="953" customWidth="1"/>
    <col min="7685" max="7685" width="25" style="953" customWidth="1"/>
    <col min="7686" max="7686" width="16" style="953" customWidth="1"/>
    <col min="7687" max="7687" width="9.85546875" style="953" customWidth="1"/>
    <col min="7688" max="7688" width="14.140625" style="953" bestFit="1" customWidth="1"/>
    <col min="7689" max="7690" width="13.42578125" style="953" customWidth="1"/>
    <col min="7691" max="7691" width="15.42578125" style="953" bestFit="1" customWidth="1"/>
    <col min="7692" max="7693" width="15.42578125" style="953" customWidth="1"/>
    <col min="7694" max="7695" width="16.5703125" style="953" customWidth="1"/>
    <col min="7696" max="7696" width="15.85546875" style="953" customWidth="1"/>
    <col min="7697" max="7697" width="14" style="953" customWidth="1"/>
    <col min="7698" max="7698" width="16.85546875" style="953" customWidth="1"/>
    <col min="7699" max="7699" width="20" style="953" customWidth="1"/>
    <col min="7700" max="7939" width="9.140625" style="953"/>
    <col min="7940" max="7940" width="4.5703125" style="953" customWidth="1"/>
    <col min="7941" max="7941" width="25" style="953" customWidth="1"/>
    <col min="7942" max="7942" width="16" style="953" customWidth="1"/>
    <col min="7943" max="7943" width="9.85546875" style="953" customWidth="1"/>
    <col min="7944" max="7944" width="14.140625" style="953" bestFit="1" customWidth="1"/>
    <col min="7945" max="7946" width="13.42578125" style="953" customWidth="1"/>
    <col min="7947" max="7947" width="15.42578125" style="953" bestFit="1" customWidth="1"/>
    <col min="7948" max="7949" width="15.42578125" style="953" customWidth="1"/>
    <col min="7950" max="7951" width="16.5703125" style="953" customWidth="1"/>
    <col min="7952" max="7952" width="15.85546875" style="953" customWidth="1"/>
    <col min="7953" max="7953" width="14" style="953" customWidth="1"/>
    <col min="7954" max="7954" width="16.85546875" style="953" customWidth="1"/>
    <col min="7955" max="7955" width="20" style="953" customWidth="1"/>
    <col min="7956" max="8195" width="9.140625" style="953"/>
    <col min="8196" max="8196" width="4.5703125" style="953" customWidth="1"/>
    <col min="8197" max="8197" width="25" style="953" customWidth="1"/>
    <col min="8198" max="8198" width="16" style="953" customWidth="1"/>
    <col min="8199" max="8199" width="9.85546875" style="953" customWidth="1"/>
    <col min="8200" max="8200" width="14.140625" style="953" bestFit="1" customWidth="1"/>
    <col min="8201" max="8202" width="13.42578125" style="953" customWidth="1"/>
    <col min="8203" max="8203" width="15.42578125" style="953" bestFit="1" customWidth="1"/>
    <col min="8204" max="8205" width="15.42578125" style="953" customWidth="1"/>
    <col min="8206" max="8207" width="16.5703125" style="953" customWidth="1"/>
    <col min="8208" max="8208" width="15.85546875" style="953" customWidth="1"/>
    <col min="8209" max="8209" width="14" style="953" customWidth="1"/>
    <col min="8210" max="8210" width="16.85546875" style="953" customWidth="1"/>
    <col min="8211" max="8211" width="20" style="953" customWidth="1"/>
    <col min="8212" max="8451" width="9.140625" style="953"/>
    <col min="8452" max="8452" width="4.5703125" style="953" customWidth="1"/>
    <col min="8453" max="8453" width="25" style="953" customWidth="1"/>
    <col min="8454" max="8454" width="16" style="953" customWidth="1"/>
    <col min="8455" max="8455" width="9.85546875" style="953" customWidth="1"/>
    <col min="8456" max="8456" width="14.140625" style="953" bestFit="1" customWidth="1"/>
    <col min="8457" max="8458" width="13.42578125" style="953" customWidth="1"/>
    <col min="8459" max="8459" width="15.42578125" style="953" bestFit="1" customWidth="1"/>
    <col min="8460" max="8461" width="15.42578125" style="953" customWidth="1"/>
    <col min="8462" max="8463" width="16.5703125" style="953" customWidth="1"/>
    <col min="8464" max="8464" width="15.85546875" style="953" customWidth="1"/>
    <col min="8465" max="8465" width="14" style="953" customWidth="1"/>
    <col min="8466" max="8466" width="16.85546875" style="953" customWidth="1"/>
    <col min="8467" max="8467" width="20" style="953" customWidth="1"/>
    <col min="8468" max="8707" width="9.140625" style="953"/>
    <col min="8708" max="8708" width="4.5703125" style="953" customWidth="1"/>
    <col min="8709" max="8709" width="25" style="953" customWidth="1"/>
    <col min="8710" max="8710" width="16" style="953" customWidth="1"/>
    <col min="8711" max="8711" width="9.85546875" style="953" customWidth="1"/>
    <col min="8712" max="8712" width="14.140625" style="953" bestFit="1" customWidth="1"/>
    <col min="8713" max="8714" width="13.42578125" style="953" customWidth="1"/>
    <col min="8715" max="8715" width="15.42578125" style="953" bestFit="1" customWidth="1"/>
    <col min="8716" max="8717" width="15.42578125" style="953" customWidth="1"/>
    <col min="8718" max="8719" width="16.5703125" style="953" customWidth="1"/>
    <col min="8720" max="8720" width="15.85546875" style="953" customWidth="1"/>
    <col min="8721" max="8721" width="14" style="953" customWidth="1"/>
    <col min="8722" max="8722" width="16.85546875" style="953" customWidth="1"/>
    <col min="8723" max="8723" width="20" style="953" customWidth="1"/>
    <col min="8724" max="8963" width="9.140625" style="953"/>
    <col min="8964" max="8964" width="4.5703125" style="953" customWidth="1"/>
    <col min="8965" max="8965" width="25" style="953" customWidth="1"/>
    <col min="8966" max="8966" width="16" style="953" customWidth="1"/>
    <col min="8967" max="8967" width="9.85546875" style="953" customWidth="1"/>
    <col min="8968" max="8968" width="14.140625" style="953" bestFit="1" customWidth="1"/>
    <col min="8969" max="8970" width="13.42578125" style="953" customWidth="1"/>
    <col min="8971" max="8971" width="15.42578125" style="953" bestFit="1" customWidth="1"/>
    <col min="8972" max="8973" width="15.42578125" style="953" customWidth="1"/>
    <col min="8974" max="8975" width="16.5703125" style="953" customWidth="1"/>
    <col min="8976" max="8976" width="15.85546875" style="953" customWidth="1"/>
    <col min="8977" max="8977" width="14" style="953" customWidth="1"/>
    <col min="8978" max="8978" width="16.85546875" style="953" customWidth="1"/>
    <col min="8979" max="8979" width="20" style="953" customWidth="1"/>
    <col min="8980" max="9219" width="9.140625" style="953"/>
    <col min="9220" max="9220" width="4.5703125" style="953" customWidth="1"/>
    <col min="9221" max="9221" width="25" style="953" customWidth="1"/>
    <col min="9222" max="9222" width="16" style="953" customWidth="1"/>
    <col min="9223" max="9223" width="9.85546875" style="953" customWidth="1"/>
    <col min="9224" max="9224" width="14.140625" style="953" bestFit="1" customWidth="1"/>
    <col min="9225" max="9226" width="13.42578125" style="953" customWidth="1"/>
    <col min="9227" max="9227" width="15.42578125" style="953" bestFit="1" customWidth="1"/>
    <col min="9228" max="9229" width="15.42578125" style="953" customWidth="1"/>
    <col min="9230" max="9231" width="16.5703125" style="953" customWidth="1"/>
    <col min="9232" max="9232" width="15.85546875" style="953" customWidth="1"/>
    <col min="9233" max="9233" width="14" style="953" customWidth="1"/>
    <col min="9234" max="9234" width="16.85546875" style="953" customWidth="1"/>
    <col min="9235" max="9235" width="20" style="953" customWidth="1"/>
    <col min="9236" max="9475" width="9.140625" style="953"/>
    <col min="9476" max="9476" width="4.5703125" style="953" customWidth="1"/>
    <col min="9477" max="9477" width="25" style="953" customWidth="1"/>
    <col min="9478" max="9478" width="16" style="953" customWidth="1"/>
    <col min="9479" max="9479" width="9.85546875" style="953" customWidth="1"/>
    <col min="9480" max="9480" width="14.140625" style="953" bestFit="1" customWidth="1"/>
    <col min="9481" max="9482" width="13.42578125" style="953" customWidth="1"/>
    <col min="9483" max="9483" width="15.42578125" style="953" bestFit="1" customWidth="1"/>
    <col min="9484" max="9485" width="15.42578125" style="953" customWidth="1"/>
    <col min="9486" max="9487" width="16.5703125" style="953" customWidth="1"/>
    <col min="9488" max="9488" width="15.85546875" style="953" customWidth="1"/>
    <col min="9489" max="9489" width="14" style="953" customWidth="1"/>
    <col min="9490" max="9490" width="16.85546875" style="953" customWidth="1"/>
    <col min="9491" max="9491" width="20" style="953" customWidth="1"/>
    <col min="9492" max="9731" width="9.140625" style="953"/>
    <col min="9732" max="9732" width="4.5703125" style="953" customWidth="1"/>
    <col min="9733" max="9733" width="25" style="953" customWidth="1"/>
    <col min="9734" max="9734" width="16" style="953" customWidth="1"/>
    <col min="9735" max="9735" width="9.85546875" style="953" customWidth="1"/>
    <col min="9736" max="9736" width="14.140625" style="953" bestFit="1" customWidth="1"/>
    <col min="9737" max="9738" width="13.42578125" style="953" customWidth="1"/>
    <col min="9739" max="9739" width="15.42578125" style="953" bestFit="1" customWidth="1"/>
    <col min="9740" max="9741" width="15.42578125" style="953" customWidth="1"/>
    <col min="9742" max="9743" width="16.5703125" style="953" customWidth="1"/>
    <col min="9744" max="9744" width="15.85546875" style="953" customWidth="1"/>
    <col min="9745" max="9745" width="14" style="953" customWidth="1"/>
    <col min="9746" max="9746" width="16.85546875" style="953" customWidth="1"/>
    <col min="9747" max="9747" width="20" style="953" customWidth="1"/>
    <col min="9748" max="9987" width="9.140625" style="953"/>
    <col min="9988" max="9988" width="4.5703125" style="953" customWidth="1"/>
    <col min="9989" max="9989" width="25" style="953" customWidth="1"/>
    <col min="9990" max="9990" width="16" style="953" customWidth="1"/>
    <col min="9991" max="9991" width="9.85546875" style="953" customWidth="1"/>
    <col min="9992" max="9992" width="14.140625" style="953" bestFit="1" customWidth="1"/>
    <col min="9993" max="9994" width="13.42578125" style="953" customWidth="1"/>
    <col min="9995" max="9995" width="15.42578125" style="953" bestFit="1" customWidth="1"/>
    <col min="9996" max="9997" width="15.42578125" style="953" customWidth="1"/>
    <col min="9998" max="9999" width="16.5703125" style="953" customWidth="1"/>
    <col min="10000" max="10000" width="15.85546875" style="953" customWidth="1"/>
    <col min="10001" max="10001" width="14" style="953" customWidth="1"/>
    <col min="10002" max="10002" width="16.85546875" style="953" customWidth="1"/>
    <col min="10003" max="10003" width="20" style="953" customWidth="1"/>
    <col min="10004" max="10243" width="9.140625" style="953"/>
    <col min="10244" max="10244" width="4.5703125" style="953" customWidth="1"/>
    <col min="10245" max="10245" width="25" style="953" customWidth="1"/>
    <col min="10246" max="10246" width="16" style="953" customWidth="1"/>
    <col min="10247" max="10247" width="9.85546875" style="953" customWidth="1"/>
    <col min="10248" max="10248" width="14.140625" style="953" bestFit="1" customWidth="1"/>
    <col min="10249" max="10250" width="13.42578125" style="953" customWidth="1"/>
    <col min="10251" max="10251" width="15.42578125" style="953" bestFit="1" customWidth="1"/>
    <col min="10252" max="10253" width="15.42578125" style="953" customWidth="1"/>
    <col min="10254" max="10255" width="16.5703125" style="953" customWidth="1"/>
    <col min="10256" max="10256" width="15.85546875" style="953" customWidth="1"/>
    <col min="10257" max="10257" width="14" style="953" customWidth="1"/>
    <col min="10258" max="10258" width="16.85546875" style="953" customWidth="1"/>
    <col min="10259" max="10259" width="20" style="953" customWidth="1"/>
    <col min="10260" max="10499" width="9.140625" style="953"/>
    <col min="10500" max="10500" width="4.5703125" style="953" customWidth="1"/>
    <col min="10501" max="10501" width="25" style="953" customWidth="1"/>
    <col min="10502" max="10502" width="16" style="953" customWidth="1"/>
    <col min="10503" max="10503" width="9.85546875" style="953" customWidth="1"/>
    <col min="10504" max="10504" width="14.140625" style="953" bestFit="1" customWidth="1"/>
    <col min="10505" max="10506" width="13.42578125" style="953" customWidth="1"/>
    <col min="10507" max="10507" width="15.42578125" style="953" bestFit="1" customWidth="1"/>
    <col min="10508" max="10509" width="15.42578125" style="953" customWidth="1"/>
    <col min="10510" max="10511" width="16.5703125" style="953" customWidth="1"/>
    <col min="10512" max="10512" width="15.85546875" style="953" customWidth="1"/>
    <col min="10513" max="10513" width="14" style="953" customWidth="1"/>
    <col min="10514" max="10514" width="16.85546875" style="953" customWidth="1"/>
    <col min="10515" max="10515" width="20" style="953" customWidth="1"/>
    <col min="10516" max="10755" width="9.140625" style="953"/>
    <col min="10756" max="10756" width="4.5703125" style="953" customWidth="1"/>
    <col min="10757" max="10757" width="25" style="953" customWidth="1"/>
    <col min="10758" max="10758" width="16" style="953" customWidth="1"/>
    <col min="10759" max="10759" width="9.85546875" style="953" customWidth="1"/>
    <col min="10760" max="10760" width="14.140625" style="953" bestFit="1" customWidth="1"/>
    <col min="10761" max="10762" width="13.42578125" style="953" customWidth="1"/>
    <col min="10763" max="10763" width="15.42578125" style="953" bestFit="1" customWidth="1"/>
    <col min="10764" max="10765" width="15.42578125" style="953" customWidth="1"/>
    <col min="10766" max="10767" width="16.5703125" style="953" customWidth="1"/>
    <col min="10768" max="10768" width="15.85546875" style="953" customWidth="1"/>
    <col min="10769" max="10769" width="14" style="953" customWidth="1"/>
    <col min="10770" max="10770" width="16.85546875" style="953" customWidth="1"/>
    <col min="10771" max="10771" width="20" style="953" customWidth="1"/>
    <col min="10772" max="11011" width="9.140625" style="953"/>
    <col min="11012" max="11012" width="4.5703125" style="953" customWidth="1"/>
    <col min="11013" max="11013" width="25" style="953" customWidth="1"/>
    <col min="11014" max="11014" width="16" style="953" customWidth="1"/>
    <col min="11015" max="11015" width="9.85546875" style="953" customWidth="1"/>
    <col min="11016" max="11016" width="14.140625" style="953" bestFit="1" customWidth="1"/>
    <col min="11017" max="11018" width="13.42578125" style="953" customWidth="1"/>
    <col min="11019" max="11019" width="15.42578125" style="953" bestFit="1" customWidth="1"/>
    <col min="11020" max="11021" width="15.42578125" style="953" customWidth="1"/>
    <col min="11022" max="11023" width="16.5703125" style="953" customWidth="1"/>
    <col min="11024" max="11024" width="15.85546875" style="953" customWidth="1"/>
    <col min="11025" max="11025" width="14" style="953" customWidth="1"/>
    <col min="11026" max="11026" width="16.85546875" style="953" customWidth="1"/>
    <col min="11027" max="11027" width="20" style="953" customWidth="1"/>
    <col min="11028" max="11267" width="9.140625" style="953"/>
    <col min="11268" max="11268" width="4.5703125" style="953" customWidth="1"/>
    <col min="11269" max="11269" width="25" style="953" customWidth="1"/>
    <col min="11270" max="11270" width="16" style="953" customWidth="1"/>
    <col min="11271" max="11271" width="9.85546875" style="953" customWidth="1"/>
    <col min="11272" max="11272" width="14.140625" style="953" bestFit="1" customWidth="1"/>
    <col min="11273" max="11274" width="13.42578125" style="953" customWidth="1"/>
    <col min="11275" max="11275" width="15.42578125" style="953" bestFit="1" customWidth="1"/>
    <col min="11276" max="11277" width="15.42578125" style="953" customWidth="1"/>
    <col min="11278" max="11279" width="16.5703125" style="953" customWidth="1"/>
    <col min="11280" max="11280" width="15.85546875" style="953" customWidth="1"/>
    <col min="11281" max="11281" width="14" style="953" customWidth="1"/>
    <col min="11282" max="11282" width="16.85546875" style="953" customWidth="1"/>
    <col min="11283" max="11283" width="20" style="953" customWidth="1"/>
    <col min="11284" max="11523" width="9.140625" style="953"/>
    <col min="11524" max="11524" width="4.5703125" style="953" customWidth="1"/>
    <col min="11525" max="11525" width="25" style="953" customWidth="1"/>
    <col min="11526" max="11526" width="16" style="953" customWidth="1"/>
    <col min="11527" max="11527" width="9.85546875" style="953" customWidth="1"/>
    <col min="11528" max="11528" width="14.140625" style="953" bestFit="1" customWidth="1"/>
    <col min="11529" max="11530" width="13.42578125" style="953" customWidth="1"/>
    <col min="11531" max="11531" width="15.42578125" style="953" bestFit="1" customWidth="1"/>
    <col min="11532" max="11533" width="15.42578125" style="953" customWidth="1"/>
    <col min="11534" max="11535" width="16.5703125" style="953" customWidth="1"/>
    <col min="11536" max="11536" width="15.85546875" style="953" customWidth="1"/>
    <col min="11537" max="11537" width="14" style="953" customWidth="1"/>
    <col min="11538" max="11538" width="16.85546875" style="953" customWidth="1"/>
    <col min="11539" max="11539" width="20" style="953" customWidth="1"/>
    <col min="11540" max="11779" width="9.140625" style="953"/>
    <col min="11780" max="11780" width="4.5703125" style="953" customWidth="1"/>
    <col min="11781" max="11781" width="25" style="953" customWidth="1"/>
    <col min="11782" max="11782" width="16" style="953" customWidth="1"/>
    <col min="11783" max="11783" width="9.85546875" style="953" customWidth="1"/>
    <col min="11784" max="11784" width="14.140625" style="953" bestFit="1" customWidth="1"/>
    <col min="11785" max="11786" width="13.42578125" style="953" customWidth="1"/>
    <col min="11787" max="11787" width="15.42578125" style="953" bestFit="1" customWidth="1"/>
    <col min="11788" max="11789" width="15.42578125" style="953" customWidth="1"/>
    <col min="11790" max="11791" width="16.5703125" style="953" customWidth="1"/>
    <col min="11792" max="11792" width="15.85546875" style="953" customWidth="1"/>
    <col min="11793" max="11793" width="14" style="953" customWidth="1"/>
    <col min="11794" max="11794" width="16.85546875" style="953" customWidth="1"/>
    <col min="11795" max="11795" width="20" style="953" customWidth="1"/>
    <col min="11796" max="12035" width="9.140625" style="953"/>
    <col min="12036" max="12036" width="4.5703125" style="953" customWidth="1"/>
    <col min="12037" max="12037" width="25" style="953" customWidth="1"/>
    <col min="12038" max="12038" width="16" style="953" customWidth="1"/>
    <col min="12039" max="12039" width="9.85546875" style="953" customWidth="1"/>
    <col min="12040" max="12040" width="14.140625" style="953" bestFit="1" customWidth="1"/>
    <col min="12041" max="12042" width="13.42578125" style="953" customWidth="1"/>
    <col min="12043" max="12043" width="15.42578125" style="953" bestFit="1" customWidth="1"/>
    <col min="12044" max="12045" width="15.42578125" style="953" customWidth="1"/>
    <col min="12046" max="12047" width="16.5703125" style="953" customWidth="1"/>
    <col min="12048" max="12048" width="15.85546875" style="953" customWidth="1"/>
    <col min="12049" max="12049" width="14" style="953" customWidth="1"/>
    <col min="12050" max="12050" width="16.85546875" style="953" customWidth="1"/>
    <col min="12051" max="12051" width="20" style="953" customWidth="1"/>
    <col min="12052" max="12291" width="9.140625" style="953"/>
    <col min="12292" max="12292" width="4.5703125" style="953" customWidth="1"/>
    <col min="12293" max="12293" width="25" style="953" customWidth="1"/>
    <col min="12294" max="12294" width="16" style="953" customWidth="1"/>
    <col min="12295" max="12295" width="9.85546875" style="953" customWidth="1"/>
    <col min="12296" max="12296" width="14.140625" style="953" bestFit="1" customWidth="1"/>
    <col min="12297" max="12298" width="13.42578125" style="953" customWidth="1"/>
    <col min="12299" max="12299" width="15.42578125" style="953" bestFit="1" customWidth="1"/>
    <col min="12300" max="12301" width="15.42578125" style="953" customWidth="1"/>
    <col min="12302" max="12303" width="16.5703125" style="953" customWidth="1"/>
    <col min="12304" max="12304" width="15.85546875" style="953" customWidth="1"/>
    <col min="12305" max="12305" width="14" style="953" customWidth="1"/>
    <col min="12306" max="12306" width="16.85546875" style="953" customWidth="1"/>
    <col min="12307" max="12307" width="20" style="953" customWidth="1"/>
    <col min="12308" max="12547" width="9.140625" style="953"/>
    <col min="12548" max="12548" width="4.5703125" style="953" customWidth="1"/>
    <col min="12549" max="12549" width="25" style="953" customWidth="1"/>
    <col min="12550" max="12550" width="16" style="953" customWidth="1"/>
    <col min="12551" max="12551" width="9.85546875" style="953" customWidth="1"/>
    <col min="12552" max="12552" width="14.140625" style="953" bestFit="1" customWidth="1"/>
    <col min="12553" max="12554" width="13.42578125" style="953" customWidth="1"/>
    <col min="12555" max="12555" width="15.42578125" style="953" bestFit="1" customWidth="1"/>
    <col min="12556" max="12557" width="15.42578125" style="953" customWidth="1"/>
    <col min="12558" max="12559" width="16.5703125" style="953" customWidth="1"/>
    <col min="12560" max="12560" width="15.85546875" style="953" customWidth="1"/>
    <col min="12561" max="12561" width="14" style="953" customWidth="1"/>
    <col min="12562" max="12562" width="16.85546875" style="953" customWidth="1"/>
    <col min="12563" max="12563" width="20" style="953" customWidth="1"/>
    <col min="12564" max="12803" width="9.140625" style="953"/>
    <col min="12804" max="12804" width="4.5703125" style="953" customWidth="1"/>
    <col min="12805" max="12805" width="25" style="953" customWidth="1"/>
    <col min="12806" max="12806" width="16" style="953" customWidth="1"/>
    <col min="12807" max="12807" width="9.85546875" style="953" customWidth="1"/>
    <col min="12808" max="12808" width="14.140625" style="953" bestFit="1" customWidth="1"/>
    <col min="12809" max="12810" width="13.42578125" style="953" customWidth="1"/>
    <col min="12811" max="12811" width="15.42578125" style="953" bestFit="1" customWidth="1"/>
    <col min="12812" max="12813" width="15.42578125" style="953" customWidth="1"/>
    <col min="12814" max="12815" width="16.5703125" style="953" customWidth="1"/>
    <col min="12816" max="12816" width="15.85546875" style="953" customWidth="1"/>
    <col min="12817" max="12817" width="14" style="953" customWidth="1"/>
    <col min="12818" max="12818" width="16.85546875" style="953" customWidth="1"/>
    <col min="12819" max="12819" width="20" style="953" customWidth="1"/>
    <col min="12820" max="13059" width="9.140625" style="953"/>
    <col min="13060" max="13060" width="4.5703125" style="953" customWidth="1"/>
    <col min="13061" max="13061" width="25" style="953" customWidth="1"/>
    <col min="13062" max="13062" width="16" style="953" customWidth="1"/>
    <col min="13063" max="13063" width="9.85546875" style="953" customWidth="1"/>
    <col min="13064" max="13064" width="14.140625" style="953" bestFit="1" customWidth="1"/>
    <col min="13065" max="13066" width="13.42578125" style="953" customWidth="1"/>
    <col min="13067" max="13067" width="15.42578125" style="953" bestFit="1" customWidth="1"/>
    <col min="13068" max="13069" width="15.42578125" style="953" customWidth="1"/>
    <col min="13070" max="13071" width="16.5703125" style="953" customWidth="1"/>
    <col min="13072" max="13072" width="15.85546875" style="953" customWidth="1"/>
    <col min="13073" max="13073" width="14" style="953" customWidth="1"/>
    <col min="13074" max="13074" width="16.85546875" style="953" customWidth="1"/>
    <col min="13075" max="13075" width="20" style="953" customWidth="1"/>
    <col min="13076" max="13315" width="9.140625" style="953"/>
    <col min="13316" max="13316" width="4.5703125" style="953" customWidth="1"/>
    <col min="13317" max="13317" width="25" style="953" customWidth="1"/>
    <col min="13318" max="13318" width="16" style="953" customWidth="1"/>
    <col min="13319" max="13319" width="9.85546875" style="953" customWidth="1"/>
    <col min="13320" max="13320" width="14.140625" style="953" bestFit="1" customWidth="1"/>
    <col min="13321" max="13322" width="13.42578125" style="953" customWidth="1"/>
    <col min="13323" max="13323" width="15.42578125" style="953" bestFit="1" customWidth="1"/>
    <col min="13324" max="13325" width="15.42578125" style="953" customWidth="1"/>
    <col min="13326" max="13327" width="16.5703125" style="953" customWidth="1"/>
    <col min="13328" max="13328" width="15.85546875" style="953" customWidth="1"/>
    <col min="13329" max="13329" width="14" style="953" customWidth="1"/>
    <col min="13330" max="13330" width="16.85546875" style="953" customWidth="1"/>
    <col min="13331" max="13331" width="20" style="953" customWidth="1"/>
    <col min="13332" max="13571" width="9.140625" style="953"/>
    <col min="13572" max="13572" width="4.5703125" style="953" customWidth="1"/>
    <col min="13573" max="13573" width="25" style="953" customWidth="1"/>
    <col min="13574" max="13574" width="16" style="953" customWidth="1"/>
    <col min="13575" max="13575" width="9.85546875" style="953" customWidth="1"/>
    <col min="13576" max="13576" width="14.140625" style="953" bestFit="1" customWidth="1"/>
    <col min="13577" max="13578" width="13.42578125" style="953" customWidth="1"/>
    <col min="13579" max="13579" width="15.42578125" style="953" bestFit="1" customWidth="1"/>
    <col min="13580" max="13581" width="15.42578125" style="953" customWidth="1"/>
    <col min="13582" max="13583" width="16.5703125" style="953" customWidth="1"/>
    <col min="13584" max="13584" width="15.85546875" style="953" customWidth="1"/>
    <col min="13585" max="13585" width="14" style="953" customWidth="1"/>
    <col min="13586" max="13586" width="16.85546875" style="953" customWidth="1"/>
    <col min="13587" max="13587" width="20" style="953" customWidth="1"/>
    <col min="13588" max="13827" width="9.140625" style="953"/>
    <col min="13828" max="13828" width="4.5703125" style="953" customWidth="1"/>
    <col min="13829" max="13829" width="25" style="953" customWidth="1"/>
    <col min="13830" max="13830" width="16" style="953" customWidth="1"/>
    <col min="13831" max="13831" width="9.85546875" style="953" customWidth="1"/>
    <col min="13832" max="13832" width="14.140625" style="953" bestFit="1" customWidth="1"/>
    <col min="13833" max="13834" width="13.42578125" style="953" customWidth="1"/>
    <col min="13835" max="13835" width="15.42578125" style="953" bestFit="1" customWidth="1"/>
    <col min="13836" max="13837" width="15.42578125" style="953" customWidth="1"/>
    <col min="13838" max="13839" width="16.5703125" style="953" customWidth="1"/>
    <col min="13840" max="13840" width="15.85546875" style="953" customWidth="1"/>
    <col min="13841" max="13841" width="14" style="953" customWidth="1"/>
    <col min="13842" max="13842" width="16.85546875" style="953" customWidth="1"/>
    <col min="13843" max="13843" width="20" style="953" customWidth="1"/>
    <col min="13844" max="14083" width="9.140625" style="953"/>
    <col min="14084" max="14084" width="4.5703125" style="953" customWidth="1"/>
    <col min="14085" max="14085" width="25" style="953" customWidth="1"/>
    <col min="14086" max="14086" width="16" style="953" customWidth="1"/>
    <col min="14087" max="14087" width="9.85546875" style="953" customWidth="1"/>
    <col min="14088" max="14088" width="14.140625" style="953" bestFit="1" customWidth="1"/>
    <col min="14089" max="14090" width="13.42578125" style="953" customWidth="1"/>
    <col min="14091" max="14091" width="15.42578125" style="953" bestFit="1" customWidth="1"/>
    <col min="14092" max="14093" width="15.42578125" style="953" customWidth="1"/>
    <col min="14094" max="14095" width="16.5703125" style="953" customWidth="1"/>
    <col min="14096" max="14096" width="15.85546875" style="953" customWidth="1"/>
    <col min="14097" max="14097" width="14" style="953" customWidth="1"/>
    <col min="14098" max="14098" width="16.85546875" style="953" customWidth="1"/>
    <col min="14099" max="14099" width="20" style="953" customWidth="1"/>
    <col min="14100" max="14339" width="9.140625" style="953"/>
    <col min="14340" max="14340" width="4.5703125" style="953" customWidth="1"/>
    <col min="14341" max="14341" width="25" style="953" customWidth="1"/>
    <col min="14342" max="14342" width="16" style="953" customWidth="1"/>
    <col min="14343" max="14343" width="9.85546875" style="953" customWidth="1"/>
    <col min="14344" max="14344" width="14.140625" style="953" bestFit="1" customWidth="1"/>
    <col min="14345" max="14346" width="13.42578125" style="953" customWidth="1"/>
    <col min="14347" max="14347" width="15.42578125" style="953" bestFit="1" customWidth="1"/>
    <col min="14348" max="14349" width="15.42578125" style="953" customWidth="1"/>
    <col min="14350" max="14351" width="16.5703125" style="953" customWidth="1"/>
    <col min="14352" max="14352" width="15.85546875" style="953" customWidth="1"/>
    <col min="14353" max="14353" width="14" style="953" customWidth="1"/>
    <col min="14354" max="14354" width="16.85546875" style="953" customWidth="1"/>
    <col min="14355" max="14355" width="20" style="953" customWidth="1"/>
    <col min="14356" max="14595" width="9.140625" style="953"/>
    <col min="14596" max="14596" width="4.5703125" style="953" customWidth="1"/>
    <col min="14597" max="14597" width="25" style="953" customWidth="1"/>
    <col min="14598" max="14598" width="16" style="953" customWidth="1"/>
    <col min="14599" max="14599" width="9.85546875" style="953" customWidth="1"/>
    <col min="14600" max="14600" width="14.140625" style="953" bestFit="1" customWidth="1"/>
    <col min="14601" max="14602" width="13.42578125" style="953" customWidth="1"/>
    <col min="14603" max="14603" width="15.42578125" style="953" bestFit="1" customWidth="1"/>
    <col min="14604" max="14605" width="15.42578125" style="953" customWidth="1"/>
    <col min="14606" max="14607" width="16.5703125" style="953" customWidth="1"/>
    <col min="14608" max="14608" width="15.85546875" style="953" customWidth="1"/>
    <col min="14609" max="14609" width="14" style="953" customWidth="1"/>
    <col min="14610" max="14610" width="16.85546875" style="953" customWidth="1"/>
    <col min="14611" max="14611" width="20" style="953" customWidth="1"/>
    <col min="14612" max="14851" width="9.140625" style="953"/>
    <col min="14852" max="14852" width="4.5703125" style="953" customWidth="1"/>
    <col min="14853" max="14853" width="25" style="953" customWidth="1"/>
    <col min="14854" max="14854" width="16" style="953" customWidth="1"/>
    <col min="14855" max="14855" width="9.85546875" style="953" customWidth="1"/>
    <col min="14856" max="14856" width="14.140625" style="953" bestFit="1" customWidth="1"/>
    <col min="14857" max="14858" width="13.42578125" style="953" customWidth="1"/>
    <col min="14859" max="14859" width="15.42578125" style="953" bestFit="1" customWidth="1"/>
    <col min="14860" max="14861" width="15.42578125" style="953" customWidth="1"/>
    <col min="14862" max="14863" width="16.5703125" style="953" customWidth="1"/>
    <col min="14864" max="14864" width="15.85546875" style="953" customWidth="1"/>
    <col min="14865" max="14865" width="14" style="953" customWidth="1"/>
    <col min="14866" max="14866" width="16.85546875" style="953" customWidth="1"/>
    <col min="14867" max="14867" width="20" style="953" customWidth="1"/>
    <col min="14868" max="15107" width="9.140625" style="953"/>
    <col min="15108" max="15108" width="4.5703125" style="953" customWidth="1"/>
    <col min="15109" max="15109" width="25" style="953" customWidth="1"/>
    <col min="15110" max="15110" width="16" style="953" customWidth="1"/>
    <col min="15111" max="15111" width="9.85546875" style="953" customWidth="1"/>
    <col min="15112" max="15112" width="14.140625" style="953" bestFit="1" customWidth="1"/>
    <col min="15113" max="15114" width="13.42578125" style="953" customWidth="1"/>
    <col min="15115" max="15115" width="15.42578125" style="953" bestFit="1" customWidth="1"/>
    <col min="15116" max="15117" width="15.42578125" style="953" customWidth="1"/>
    <col min="15118" max="15119" width="16.5703125" style="953" customWidth="1"/>
    <col min="15120" max="15120" width="15.85546875" style="953" customWidth="1"/>
    <col min="15121" max="15121" width="14" style="953" customWidth="1"/>
    <col min="15122" max="15122" width="16.85546875" style="953" customWidth="1"/>
    <col min="15123" max="15123" width="20" style="953" customWidth="1"/>
    <col min="15124" max="15363" width="9.140625" style="953"/>
    <col min="15364" max="15364" width="4.5703125" style="953" customWidth="1"/>
    <col min="15365" max="15365" width="25" style="953" customWidth="1"/>
    <col min="15366" max="15366" width="16" style="953" customWidth="1"/>
    <col min="15367" max="15367" width="9.85546875" style="953" customWidth="1"/>
    <col min="15368" max="15368" width="14.140625" style="953" bestFit="1" customWidth="1"/>
    <col min="15369" max="15370" width="13.42578125" style="953" customWidth="1"/>
    <col min="15371" max="15371" width="15.42578125" style="953" bestFit="1" customWidth="1"/>
    <col min="15372" max="15373" width="15.42578125" style="953" customWidth="1"/>
    <col min="15374" max="15375" width="16.5703125" style="953" customWidth="1"/>
    <col min="15376" max="15376" width="15.85546875" style="953" customWidth="1"/>
    <col min="15377" max="15377" width="14" style="953" customWidth="1"/>
    <col min="15378" max="15378" width="16.85546875" style="953" customWidth="1"/>
    <col min="15379" max="15379" width="20" style="953" customWidth="1"/>
    <col min="15380" max="15619" width="9.140625" style="953"/>
    <col min="15620" max="15620" width="4.5703125" style="953" customWidth="1"/>
    <col min="15621" max="15621" width="25" style="953" customWidth="1"/>
    <col min="15622" max="15622" width="16" style="953" customWidth="1"/>
    <col min="15623" max="15623" width="9.85546875" style="953" customWidth="1"/>
    <col min="15624" max="15624" width="14.140625" style="953" bestFit="1" customWidth="1"/>
    <col min="15625" max="15626" width="13.42578125" style="953" customWidth="1"/>
    <col min="15627" max="15627" width="15.42578125" style="953" bestFit="1" customWidth="1"/>
    <col min="15628" max="15629" width="15.42578125" style="953" customWidth="1"/>
    <col min="15630" max="15631" width="16.5703125" style="953" customWidth="1"/>
    <col min="15632" max="15632" width="15.85546875" style="953" customWidth="1"/>
    <col min="15633" max="15633" width="14" style="953" customWidth="1"/>
    <col min="15634" max="15634" width="16.85546875" style="953" customWidth="1"/>
    <col min="15635" max="15635" width="20" style="953" customWidth="1"/>
    <col min="15636" max="15875" width="9.140625" style="953"/>
    <col min="15876" max="15876" width="4.5703125" style="953" customWidth="1"/>
    <col min="15877" max="15877" width="25" style="953" customWidth="1"/>
    <col min="15878" max="15878" width="16" style="953" customWidth="1"/>
    <col min="15879" max="15879" width="9.85546875" style="953" customWidth="1"/>
    <col min="15880" max="15880" width="14.140625" style="953" bestFit="1" customWidth="1"/>
    <col min="15881" max="15882" width="13.42578125" style="953" customWidth="1"/>
    <col min="15883" max="15883" width="15.42578125" style="953" bestFit="1" customWidth="1"/>
    <col min="15884" max="15885" width="15.42578125" style="953" customWidth="1"/>
    <col min="15886" max="15887" width="16.5703125" style="953" customWidth="1"/>
    <col min="15888" max="15888" width="15.85546875" style="953" customWidth="1"/>
    <col min="15889" max="15889" width="14" style="953" customWidth="1"/>
    <col min="15890" max="15890" width="16.85546875" style="953" customWidth="1"/>
    <col min="15891" max="15891" width="20" style="953" customWidth="1"/>
    <col min="15892" max="16131" width="9.140625" style="953"/>
    <col min="16132" max="16132" width="4.5703125" style="953" customWidth="1"/>
    <col min="16133" max="16133" width="25" style="953" customWidth="1"/>
    <col min="16134" max="16134" width="16" style="953" customWidth="1"/>
    <col min="16135" max="16135" width="9.85546875" style="953" customWidth="1"/>
    <col min="16136" max="16136" width="14.140625" style="953" bestFit="1" customWidth="1"/>
    <col min="16137" max="16138" width="13.42578125" style="953" customWidth="1"/>
    <col min="16139" max="16139" width="15.42578125" style="953" bestFit="1" customWidth="1"/>
    <col min="16140" max="16141" width="15.42578125" style="953" customWidth="1"/>
    <col min="16142" max="16143" width="16.5703125" style="953" customWidth="1"/>
    <col min="16144" max="16144" width="15.85546875" style="953" customWidth="1"/>
    <col min="16145" max="16145" width="14" style="953" customWidth="1"/>
    <col min="16146" max="16146" width="16.85546875" style="953" customWidth="1"/>
    <col min="16147" max="16147" width="20" style="953" customWidth="1"/>
    <col min="16148" max="16384" width="9.140625" style="953"/>
  </cols>
  <sheetData>
    <row r="1" spans="1:20" ht="18.75" customHeight="1">
      <c r="A1" s="4324" t="s">
        <v>23</v>
      </c>
      <c r="B1" s="4324"/>
      <c r="C1" s="4324"/>
      <c r="D1" s="4324"/>
      <c r="E1" s="4324"/>
      <c r="F1" s="4324"/>
      <c r="G1" s="4324"/>
      <c r="H1" s="4324"/>
      <c r="I1" s="4324"/>
      <c r="J1" s="4324"/>
      <c r="K1" s="4324"/>
      <c r="L1" s="4324"/>
      <c r="M1" s="4324"/>
      <c r="N1" s="4324"/>
      <c r="O1" s="4324"/>
      <c r="P1" s="4324"/>
      <c r="Q1" s="4324"/>
      <c r="R1" s="4324"/>
    </row>
    <row r="2" spans="1:20" ht="18.75" customHeight="1">
      <c r="A2" s="3947" t="s">
        <v>45</v>
      </c>
      <c r="B2" s="3947"/>
      <c r="C2" s="3947"/>
      <c r="D2" s="3947"/>
      <c r="E2" s="3947"/>
      <c r="F2" s="3947"/>
      <c r="G2" s="3947"/>
      <c r="H2" s="3947"/>
      <c r="I2" s="3947"/>
      <c r="J2" s="3947"/>
      <c r="K2" s="3947"/>
      <c r="L2" s="3947"/>
      <c r="M2" s="3947"/>
      <c r="N2" s="3947"/>
      <c r="O2" s="3947"/>
      <c r="P2" s="3947"/>
      <c r="Q2" s="3947"/>
      <c r="R2" s="3947"/>
    </row>
    <row r="3" spans="1:20" ht="18.75" customHeight="1">
      <c r="A3" s="4325" t="s">
        <v>929</v>
      </c>
      <c r="B3" s="4325"/>
      <c r="C3" s="4325"/>
      <c r="D3" s="4325"/>
      <c r="E3" s="4325"/>
      <c r="F3" s="4325"/>
      <c r="G3" s="4325"/>
      <c r="H3" s="954"/>
      <c r="I3" s="954"/>
      <c r="J3" s="955"/>
      <c r="K3" s="954"/>
      <c r="L3" s="954"/>
      <c r="M3" s="955"/>
      <c r="N3" s="954"/>
      <c r="O3" s="954"/>
      <c r="P3" s="954"/>
      <c r="Q3" s="954"/>
      <c r="R3" s="955"/>
    </row>
    <row r="4" spans="1:20" ht="18.75" customHeight="1">
      <c r="A4" s="3947" t="s">
        <v>90</v>
      </c>
      <c r="B4" s="3947"/>
      <c r="C4" s="3947"/>
      <c r="D4" s="3947"/>
      <c r="E4" s="3947"/>
      <c r="F4" s="3947"/>
      <c r="G4" s="3947"/>
      <c r="H4" s="954"/>
      <c r="I4" s="954"/>
      <c r="J4" s="955"/>
      <c r="K4" s="954"/>
      <c r="L4" s="954"/>
      <c r="M4" s="955"/>
      <c r="N4" s="954"/>
      <c r="O4" s="954"/>
      <c r="P4" s="954"/>
      <c r="Q4" s="954"/>
      <c r="R4" s="955"/>
    </row>
    <row r="5" spans="1:20" ht="9" customHeight="1">
      <c r="A5" s="954"/>
      <c r="B5" s="954"/>
      <c r="C5" s="954"/>
      <c r="D5" s="954"/>
      <c r="E5" s="954"/>
      <c r="F5" s="954"/>
      <c r="G5" s="954"/>
      <c r="H5" s="954"/>
      <c r="I5" s="954"/>
      <c r="J5" s="955"/>
      <c r="K5" s="954"/>
      <c r="L5" s="954"/>
      <c r="M5" s="955"/>
      <c r="N5" s="954"/>
      <c r="O5" s="954"/>
      <c r="P5" s="954"/>
      <c r="Q5" s="954"/>
      <c r="R5" s="955"/>
    </row>
    <row r="6" spans="1:20" ht="22.5" customHeight="1">
      <c r="A6" s="4326" t="s">
        <v>1163</v>
      </c>
      <c r="B6" s="4326"/>
      <c r="C6" s="4326"/>
      <c r="D6" s="4326"/>
      <c r="E6" s="4326"/>
      <c r="F6" s="4326"/>
      <c r="G6" s="4326"/>
      <c r="H6" s="4326"/>
      <c r="I6" s="4326"/>
      <c r="J6" s="4326"/>
      <c r="K6" s="4326"/>
      <c r="L6" s="4326"/>
      <c r="M6" s="4326"/>
      <c r="N6" s="4326"/>
      <c r="O6" s="4326"/>
      <c r="P6" s="4326"/>
      <c r="Q6" s="4326"/>
      <c r="R6" s="4326"/>
    </row>
    <row r="7" spans="1:20" ht="18.75">
      <c r="A7" s="956"/>
      <c r="B7" s="957" t="s">
        <v>930</v>
      </c>
      <c r="C7" s="1473">
        <v>16951</v>
      </c>
      <c r="D7" s="956"/>
      <c r="E7" s="956"/>
      <c r="F7" s="956"/>
      <c r="G7" s="956"/>
      <c r="H7" s="956"/>
      <c r="I7" s="956"/>
      <c r="J7" s="958"/>
      <c r="K7" s="956"/>
      <c r="L7" s="956"/>
      <c r="M7" s="958"/>
      <c r="N7" s="956"/>
      <c r="O7" s="956"/>
      <c r="P7" s="956"/>
      <c r="Q7" s="956"/>
      <c r="R7" s="958"/>
    </row>
    <row r="8" spans="1:20" ht="18.75">
      <c r="A8" s="956"/>
      <c r="B8" s="957" t="s">
        <v>931</v>
      </c>
      <c r="C8" s="1474">
        <v>0.75460000000000005</v>
      </c>
      <c r="D8" s="956"/>
      <c r="E8" s="956"/>
      <c r="F8" s="956"/>
      <c r="G8" s="956"/>
      <c r="H8" s="959"/>
      <c r="I8" s="959"/>
      <c r="J8" s="960"/>
      <c r="K8" s="956"/>
      <c r="L8" s="956"/>
      <c r="M8" s="958"/>
      <c r="N8" s="956"/>
      <c r="O8" s="956"/>
      <c r="P8" s="956"/>
      <c r="Q8" s="956"/>
      <c r="R8" s="958"/>
    </row>
    <row r="9" spans="1:20" s="961" customFormat="1" ht="54" customHeight="1">
      <c r="A9" s="4267" t="s">
        <v>932</v>
      </c>
      <c r="B9" s="4267" t="s">
        <v>1</v>
      </c>
      <c r="C9" s="4267" t="s">
        <v>46</v>
      </c>
      <c r="D9" s="4321" t="s">
        <v>56</v>
      </c>
      <c r="E9" s="4322"/>
      <c r="F9" s="4322"/>
      <c r="G9" s="4323"/>
      <c r="H9" s="4315" t="s">
        <v>933</v>
      </c>
      <c r="I9" s="4315"/>
      <c r="J9" s="4315"/>
      <c r="K9" s="4315" t="s">
        <v>934</v>
      </c>
      <c r="L9" s="4259" t="s">
        <v>935</v>
      </c>
      <c r="M9" s="4259"/>
      <c r="N9" s="4317" t="s">
        <v>928</v>
      </c>
      <c r="O9" s="4318"/>
      <c r="P9" s="4317" t="s">
        <v>936</v>
      </c>
      <c r="Q9" s="4318"/>
      <c r="R9" s="4266" t="s">
        <v>92</v>
      </c>
    </row>
    <row r="10" spans="1:20" s="961" customFormat="1" ht="34.5" customHeight="1">
      <c r="A10" s="4267"/>
      <c r="B10" s="4267"/>
      <c r="C10" s="4267"/>
      <c r="D10" s="1542" t="s">
        <v>17</v>
      </c>
      <c r="E10" s="1542" t="s">
        <v>969</v>
      </c>
      <c r="F10" s="1542" t="s">
        <v>17</v>
      </c>
      <c r="G10" s="1543" t="s">
        <v>937</v>
      </c>
      <c r="H10" s="1543" t="s">
        <v>81</v>
      </c>
      <c r="I10" s="1543" t="s">
        <v>1146</v>
      </c>
      <c r="J10" s="963" t="s">
        <v>17</v>
      </c>
      <c r="K10" s="4316"/>
      <c r="L10" s="1543" t="s">
        <v>81</v>
      </c>
      <c r="M10" s="963" t="s">
        <v>17</v>
      </c>
      <c r="N10" s="1543" t="s">
        <v>81</v>
      </c>
      <c r="O10" s="963" t="s">
        <v>17</v>
      </c>
      <c r="P10" s="1543" t="s">
        <v>81</v>
      </c>
      <c r="Q10" s="1338" t="s">
        <v>17</v>
      </c>
      <c r="R10" s="4265"/>
    </row>
    <row r="11" spans="1:20" s="961" customFormat="1" ht="24" customHeight="1">
      <c r="A11" s="964" t="s">
        <v>938</v>
      </c>
      <c r="B11" s="964" t="s">
        <v>939</v>
      </c>
      <c r="C11" s="964" t="s">
        <v>940</v>
      </c>
      <c r="D11" s="964" t="s">
        <v>941</v>
      </c>
      <c r="E11" s="964"/>
      <c r="F11" s="964"/>
      <c r="G11" s="964" t="s">
        <v>942</v>
      </c>
      <c r="H11" s="964" t="s">
        <v>943</v>
      </c>
      <c r="I11" s="964"/>
      <c r="J11" s="964" t="s">
        <v>944</v>
      </c>
      <c r="K11" s="964" t="s">
        <v>945</v>
      </c>
      <c r="L11" s="964" t="s">
        <v>946</v>
      </c>
      <c r="M11" s="964" t="s">
        <v>947</v>
      </c>
      <c r="N11" s="964" t="s">
        <v>948</v>
      </c>
      <c r="O11" s="964">
        <v>12</v>
      </c>
      <c r="P11" s="964" t="s">
        <v>949</v>
      </c>
      <c r="Q11" s="964"/>
      <c r="R11" s="964" t="s">
        <v>950</v>
      </c>
    </row>
    <row r="12" spans="1:20" s="961" customFormat="1" ht="21.75" customHeight="1">
      <c r="A12" s="1544" t="s">
        <v>140</v>
      </c>
      <c r="B12" s="4319" t="s">
        <v>951</v>
      </c>
      <c r="C12" s="4320"/>
      <c r="D12" s="1335">
        <f>SUM(D13:D23)</f>
        <v>4930</v>
      </c>
      <c r="E12" s="1335">
        <f>SUM(E13:E22)</f>
        <v>0</v>
      </c>
      <c r="F12" s="1335">
        <f>SUM(F13:F22)</f>
        <v>0</v>
      </c>
      <c r="G12" s="1336">
        <f t="shared" ref="G12:Q12" si="0">SUM(G13:G23)</f>
        <v>83568430</v>
      </c>
      <c r="H12" s="1253" t="e">
        <f t="shared" si="0"/>
        <v>#N/A</v>
      </c>
      <c r="I12" s="1253">
        <f t="shared" si="0"/>
        <v>59226.667500000003</v>
      </c>
      <c r="J12" s="1254" t="e">
        <f t="shared" si="0"/>
        <v>#N/A</v>
      </c>
      <c r="K12" s="1253" t="e">
        <f t="shared" si="0"/>
        <v>#N/A</v>
      </c>
      <c r="L12" s="1253" t="e">
        <f t="shared" si="0"/>
        <v>#N/A</v>
      </c>
      <c r="M12" s="1254" t="e">
        <f t="shared" si="0"/>
        <v>#N/A</v>
      </c>
      <c r="N12" s="1253" t="e">
        <f t="shared" si="0"/>
        <v>#N/A</v>
      </c>
      <c r="O12" s="1253" t="e">
        <f t="shared" si="0"/>
        <v>#N/A</v>
      </c>
      <c r="P12" s="1253" t="e">
        <f t="shared" si="0"/>
        <v>#N/A</v>
      </c>
      <c r="Q12" s="1339" t="e">
        <f t="shared" si="0"/>
        <v>#N/A</v>
      </c>
      <c r="R12" s="966"/>
      <c r="S12" s="967"/>
      <c r="T12" s="968"/>
    </row>
    <row r="13" spans="1:20" s="969" customFormat="1" ht="21.6" customHeight="1">
      <c r="A13" s="1265">
        <v>1</v>
      </c>
      <c r="B13" s="1266" t="s">
        <v>1151</v>
      </c>
      <c r="C13" s="1267" t="s">
        <v>962</v>
      </c>
      <c r="D13" s="1268">
        <v>900</v>
      </c>
      <c r="E13" s="1269"/>
      <c r="F13" s="1269"/>
      <c r="G13" s="1270">
        <f>D13*$C$7</f>
        <v>15255900</v>
      </c>
      <c r="H13" s="1270">
        <f>ROUND(VLOOKUP(B13,'HS bảo hiểm'!$B$7:$G$27,6,0)*10.5%*$C$8,0)</f>
        <v>831748</v>
      </c>
      <c r="I13" s="1271"/>
      <c r="J13" s="1272">
        <f>(H13+I13)/$C$7</f>
        <v>49.067783611586336</v>
      </c>
      <c r="K13" s="1268">
        <f>G13-H13-I13</f>
        <v>14424152</v>
      </c>
      <c r="L13" s="1273">
        <f>IF(K13&gt;65000000,((K13-65000000)*25%+10685000),IF(K13&gt;25000000,((K13-25000000)*20%+2685000),IF(K13&gt;15000000,((K13-15000000)*15%+1185000),IF(K13&gt;5000000,(K13-5000000)*10%+185000,IF(K13&gt;1300000,(K13-1300000)*5%,0)))))</f>
        <v>1127415.2000000002</v>
      </c>
      <c r="M13" s="1337">
        <f>L13/$C$7</f>
        <v>66.510247183057061</v>
      </c>
      <c r="N13" s="1268">
        <f>K13-L13</f>
        <v>13296736.800000001</v>
      </c>
      <c r="O13" s="1274">
        <f>N13/$C$7</f>
        <v>784.42196920535662</v>
      </c>
      <c r="P13" s="1268">
        <f>ROUND(N13*1%,0)</f>
        <v>132967</v>
      </c>
      <c r="Q13" s="1272">
        <f t="shared" ref="Q13:Q22" si="1">P13/$C$7</f>
        <v>7.8441979824199164</v>
      </c>
      <c r="R13" s="1275"/>
      <c r="S13" s="969" t="b">
        <f>K13&gt;=5000000</f>
        <v>1</v>
      </c>
      <c r="T13" s="1312" t="e">
        <f>#REF!/$C$8*26</f>
        <v>#REF!</v>
      </c>
    </row>
    <row r="14" spans="1:20" s="969" customFormat="1" ht="21.6" customHeight="1">
      <c r="A14" s="1278">
        <v>2</v>
      </c>
      <c r="B14" s="1296" t="s">
        <v>1091</v>
      </c>
      <c r="C14" s="1297" t="s">
        <v>1096</v>
      </c>
      <c r="D14" s="1281">
        <v>750</v>
      </c>
      <c r="E14" s="1298"/>
      <c r="F14" s="1298"/>
      <c r="G14" s="1282">
        <f>(D14+E14)*$C$7</f>
        <v>12713250</v>
      </c>
      <c r="H14" s="1282" t="e">
        <f>ROUND(VLOOKUP(B14,'HS bảo hiểm'!$B$7:$G$27,6,0)*10.5%*$C$8,0)</f>
        <v>#N/A</v>
      </c>
      <c r="I14" s="1283">
        <v>0</v>
      </c>
      <c r="J14" s="1294" t="e">
        <f>(H14+I14)/$C$7</f>
        <v>#N/A</v>
      </c>
      <c r="K14" s="1281" t="e">
        <f>G14-H14-I14</f>
        <v>#N/A</v>
      </c>
      <c r="L14" s="1276" t="e">
        <f>IF(K14&gt;65000000,((K14-65000000)*25%+10685000),IF(K14&gt;25000000,((K14-25000000)*20%+2685000),IF(K14&gt;15000000,((K14-15000000)*15%+1185000),IF(K14&gt;5000000,(K14-5000000)*10%+185000,IF(K14&gt;1300000,(K14-1300000)*5%,0)))))</f>
        <v>#N/A</v>
      </c>
      <c r="M14" s="1277" t="e">
        <f>L14/$C$7</f>
        <v>#N/A</v>
      </c>
      <c r="N14" s="1281" t="e">
        <f>K14-L14</f>
        <v>#N/A</v>
      </c>
      <c r="O14" s="1285" t="e">
        <f>N14/$C$7</f>
        <v>#N/A</v>
      </c>
      <c r="P14" s="1281" t="e">
        <f>ROUND(N14*1%,0)</f>
        <v>#N/A</v>
      </c>
      <c r="Q14" s="1284" t="e">
        <f>P14/$C$7</f>
        <v>#N/A</v>
      </c>
      <c r="R14" s="1287"/>
      <c r="T14" s="1312"/>
    </row>
    <row r="15" spans="1:20" s="969" customFormat="1" ht="25.5" customHeight="1">
      <c r="A15" s="1278">
        <v>3</v>
      </c>
      <c r="B15" s="1347" t="s">
        <v>1157</v>
      </c>
      <c r="C15" s="1280" t="s">
        <v>952</v>
      </c>
      <c r="D15" s="1290">
        <v>500</v>
      </c>
      <c r="E15" s="1291"/>
      <c r="F15" s="1291"/>
      <c r="G15" s="1282">
        <f>+D15*$C$7</f>
        <v>8475500</v>
      </c>
      <c r="H15" s="1282">
        <f>ROUND(VLOOKUP(B15,'HS bảo hiểm'!$B$7:$G$27,6,0)*10.5%*$C$8,0)</f>
        <v>409437</v>
      </c>
      <c r="I15" s="1283">
        <f>30712.5*C8</f>
        <v>23175.6525</v>
      </c>
      <c r="J15" s="1284">
        <f>(H15+I15)/$C$7</f>
        <v>25.521364668751108</v>
      </c>
      <c r="K15" s="1290">
        <f>G15-H15-I15</f>
        <v>8042887.3475000001</v>
      </c>
      <c r="L15" s="1507">
        <f>IF(K15&gt;65000000,((K15-65000000)*25%+10685000),IF(K15&gt;25000000,((K15-25000000)*20%+2685000),IF(K15&gt;15000000,((K15-15000000)*15%+1185000),IF(K15&gt;5000000,(K15-5000000)*10%+185000,IF(K15&gt;1300000,(K15-1300000)*5%,0)))))</f>
        <v>489288.73475</v>
      </c>
      <c r="M15" s="1277">
        <f>L15/$C$7</f>
        <v>28.864889077340571</v>
      </c>
      <c r="N15" s="1281">
        <f>K15-L15</f>
        <v>7553598.6127500003</v>
      </c>
      <c r="O15" s="1277">
        <f>N15/$C$7</f>
        <v>445.61374625390835</v>
      </c>
      <c r="P15" s="1290">
        <f>ROUND(N15*1%,0)</f>
        <v>75536</v>
      </c>
      <c r="Q15" s="1284">
        <f>P15/$C$7</f>
        <v>4.4561382809273793</v>
      </c>
      <c r="R15" s="1324"/>
      <c r="T15" s="1312"/>
    </row>
    <row r="16" spans="1:20" s="969" customFormat="1" ht="25.5" customHeight="1">
      <c r="A16" s="1278">
        <v>4</v>
      </c>
      <c r="B16" s="1279" t="s">
        <v>533</v>
      </c>
      <c r="C16" s="1280" t="s">
        <v>535</v>
      </c>
      <c r="D16" s="1281">
        <v>500</v>
      </c>
      <c r="E16" s="1282"/>
      <c r="F16" s="1282"/>
      <c r="G16" s="1282">
        <f t="shared" ref="G16:G22" si="2">D16*$C$7</f>
        <v>8475500</v>
      </c>
      <c r="H16" s="1282">
        <f>ROUND(VLOOKUP(B16,'HS bảo hiểm'!$B$7:$G$27,6,0)*10.5%*$C$8,0)</f>
        <v>386261</v>
      </c>
      <c r="I16" s="1283"/>
      <c r="J16" s="1284">
        <f t="shared" ref="J16:J23" si="3">(H16+I16)/$C$7</f>
        <v>22.786915226240339</v>
      </c>
      <c r="K16" s="1290">
        <f t="shared" ref="K16:K23" si="4">G16-H16-I16</f>
        <v>8089239</v>
      </c>
      <c r="L16" s="1276">
        <f t="shared" ref="L16:L30" si="5">IF(K16&gt;65000000,((K16-65000000)*25%+10685000),IF(K16&gt;25000000,((K16-25000000)*20%+2685000),IF(K16&gt;15000000,((K16-15000000)*15%+1185000),IF(K16&gt;5000000,(K16-5000000)*10%+185000,IF(K16&gt;1300000,(K16-1300000)*5%,0)))))</f>
        <v>493923.9</v>
      </c>
      <c r="M16" s="1277">
        <f t="shared" ref="M16:M27" si="6">L16/$C$7</f>
        <v>29.138334021591646</v>
      </c>
      <c r="N16" s="1281">
        <f t="shared" ref="N16:N23" si="7">K16-L16</f>
        <v>7595315.0999999996</v>
      </c>
      <c r="O16" s="1285">
        <f t="shared" ref="O16:O23" si="8">N16/$C$7</f>
        <v>448.07475075216797</v>
      </c>
      <c r="P16" s="1281">
        <f t="shared" ref="P16:P27" si="9">ROUND(N16*1%,0)</f>
        <v>75953</v>
      </c>
      <c r="Q16" s="1284">
        <f t="shared" si="1"/>
        <v>4.4807385994926552</v>
      </c>
      <c r="R16" s="1287"/>
      <c r="S16" s="969" t="b">
        <f>K16&gt;=5000000</f>
        <v>1</v>
      </c>
      <c r="T16" s="1312" t="e">
        <f>#REF!/$C$8*26</f>
        <v>#REF!</v>
      </c>
    </row>
    <row r="17" spans="1:22" s="969" customFormat="1" ht="21.6" customHeight="1">
      <c r="A17" s="1278">
        <v>5</v>
      </c>
      <c r="B17" s="1279" t="s">
        <v>1013</v>
      </c>
      <c r="C17" s="1280" t="s">
        <v>1015</v>
      </c>
      <c r="D17" s="1281">
        <v>500</v>
      </c>
      <c r="E17" s="1282"/>
      <c r="F17" s="1282"/>
      <c r="G17" s="1282">
        <f t="shared" si="2"/>
        <v>8475500</v>
      </c>
      <c r="H17" s="1282">
        <f>ROUND(VLOOKUP(B17,'HS bảo hiểm'!$B$7:$G$27,6,0)*10.5%*$C$8,0)</f>
        <v>455788</v>
      </c>
      <c r="I17" s="1283">
        <f>30712.5*C8</f>
        <v>23175.6525</v>
      </c>
      <c r="J17" s="1284">
        <f t="shared" si="3"/>
        <v>28.255775617957646</v>
      </c>
      <c r="K17" s="1290">
        <f t="shared" si="4"/>
        <v>7996536.3475000001</v>
      </c>
      <c r="L17" s="1276">
        <f t="shared" si="5"/>
        <v>484653.63475000003</v>
      </c>
      <c r="M17" s="1277">
        <f t="shared" si="6"/>
        <v>28.591447982419918</v>
      </c>
      <c r="N17" s="1281">
        <f t="shared" si="7"/>
        <v>7511882.7127499999</v>
      </c>
      <c r="O17" s="1285">
        <f t="shared" si="8"/>
        <v>443.15277639962244</v>
      </c>
      <c r="P17" s="1281">
        <f t="shared" si="9"/>
        <v>75119</v>
      </c>
      <c r="Q17" s="1284">
        <f t="shared" si="1"/>
        <v>4.4315379623621025</v>
      </c>
      <c r="R17" s="1287"/>
      <c r="S17" s="969" t="b">
        <f>K17&gt;=5000000</f>
        <v>1</v>
      </c>
      <c r="T17" s="1312" t="e">
        <f>#REF!/$C$8*26</f>
        <v>#REF!</v>
      </c>
    </row>
    <row r="18" spans="1:22" s="969" customFormat="1" ht="21.6" customHeight="1">
      <c r="A18" s="1278">
        <v>6</v>
      </c>
      <c r="B18" s="1279" t="s">
        <v>199</v>
      </c>
      <c r="C18" s="1280" t="s">
        <v>1156</v>
      </c>
      <c r="D18" s="1281">
        <v>500</v>
      </c>
      <c r="E18" s="1282"/>
      <c r="F18" s="1282"/>
      <c r="G18" s="1282">
        <f t="shared" si="2"/>
        <v>8475500</v>
      </c>
      <c r="H18" s="1282">
        <f>ROUND(VLOOKUP(B18,'HS bảo hiểm'!$B$7:$G$27,6,0)*10.5%*$C$8,0)</f>
        <v>303859</v>
      </c>
      <c r="I18" s="1283">
        <f>17062.5*C8</f>
        <v>12875.362500000001</v>
      </c>
      <c r="J18" s="1284">
        <f t="shared" si="3"/>
        <v>18.6852906908147</v>
      </c>
      <c r="K18" s="1290">
        <f t="shared" si="4"/>
        <v>8158765.6375000002</v>
      </c>
      <c r="L18" s="1276">
        <f>IF(K18&gt;65000000,((K18-65000000)*25%+10685000),IF(K18&gt;25000000,((K18-25000000)*20%+2685000),IF(K18&gt;15000000,((K18-15000000)*15%+1185000),IF(K18&gt;5000000,(K18-5000000)*10%+185000,IF(K18&gt;1300000,(K18-1300000)*5%,0)))))</f>
        <v>500876.56375000003</v>
      </c>
      <c r="M18" s="1277">
        <f t="shared" si="6"/>
        <v>29.548496475134211</v>
      </c>
      <c r="N18" s="1281">
        <f t="shared" si="7"/>
        <v>7657889.0737500004</v>
      </c>
      <c r="O18" s="1285">
        <f t="shared" si="8"/>
        <v>451.76621283405109</v>
      </c>
      <c r="P18" s="1281">
        <f t="shared" si="9"/>
        <v>76579</v>
      </c>
      <c r="Q18" s="1284">
        <f t="shared" si="1"/>
        <v>4.5176685741254206</v>
      </c>
      <c r="R18" s="1287"/>
      <c r="T18" s="1312"/>
    </row>
    <row r="19" spans="1:22" s="969" customFormat="1" ht="21.6" customHeight="1">
      <c r="A19" s="1278">
        <v>7</v>
      </c>
      <c r="B19" s="1279" t="s">
        <v>541</v>
      </c>
      <c r="C19" s="1288" t="s">
        <v>52</v>
      </c>
      <c r="D19" s="1281"/>
      <c r="E19" s="1282"/>
      <c r="F19" s="1282"/>
      <c r="G19" s="1282"/>
      <c r="H19" s="1282"/>
      <c r="I19" s="1283"/>
      <c r="J19" s="1284"/>
      <c r="K19" s="1290"/>
      <c r="L19" s="1276"/>
      <c r="M19" s="1277"/>
      <c r="N19" s="1281"/>
      <c r="O19" s="1285"/>
      <c r="P19" s="1281"/>
      <c r="Q19" s="1284"/>
      <c r="R19" s="1289" t="s">
        <v>314</v>
      </c>
      <c r="S19" s="969" t="b">
        <f>K19&gt;=5000000</f>
        <v>0</v>
      </c>
      <c r="T19" s="1312" t="e">
        <f>#REF!/$C$8*26</f>
        <v>#REF!</v>
      </c>
    </row>
    <row r="20" spans="1:22" s="969" customFormat="1" ht="21.6" customHeight="1">
      <c r="A20" s="1278">
        <v>8</v>
      </c>
      <c r="B20" s="1279" t="s">
        <v>467</v>
      </c>
      <c r="C20" s="1280" t="s">
        <v>469</v>
      </c>
      <c r="D20" s="1290">
        <v>470</v>
      </c>
      <c r="E20" s="1291"/>
      <c r="F20" s="1291"/>
      <c r="G20" s="1282">
        <f>D20*$C$7</f>
        <v>7966970</v>
      </c>
      <c r="H20" s="1286">
        <f>ROUND(VLOOKUP(B20,'HS bảo hiểm'!$B$7:$G$27,6,0)*10.5%*$C$8,0)</f>
        <v>0</v>
      </c>
      <c r="I20" s="1283"/>
      <c r="J20" s="1284">
        <f t="shared" si="3"/>
        <v>0</v>
      </c>
      <c r="K20" s="1290">
        <f t="shared" si="4"/>
        <v>7966970</v>
      </c>
      <c r="L20" s="1276">
        <f t="shared" si="5"/>
        <v>481697</v>
      </c>
      <c r="M20" s="1277">
        <f t="shared" si="6"/>
        <v>28.417025544215679</v>
      </c>
      <c r="N20" s="1281">
        <f t="shared" si="7"/>
        <v>7485273</v>
      </c>
      <c r="O20" s="1277">
        <f t="shared" si="8"/>
        <v>441.58297445578432</v>
      </c>
      <c r="P20" s="1290">
        <f t="shared" si="9"/>
        <v>74853</v>
      </c>
      <c r="Q20" s="1284">
        <f t="shared" si="1"/>
        <v>4.4158456728216624</v>
      </c>
      <c r="R20" s="1289"/>
      <c r="S20" s="969" t="b">
        <f>K20&gt;=5000000</f>
        <v>1</v>
      </c>
      <c r="T20" s="1312" t="e">
        <f>#REF!/$C$8*26</f>
        <v>#REF!</v>
      </c>
      <c r="V20" s="969">
        <f>1/0.4249</f>
        <v>2.3534949399858789</v>
      </c>
    </row>
    <row r="21" spans="1:22" s="969" customFormat="1" ht="24" customHeight="1">
      <c r="A21" s="1278">
        <v>9</v>
      </c>
      <c r="B21" s="1292" t="s">
        <v>308</v>
      </c>
      <c r="C21" s="1293" t="s">
        <v>53</v>
      </c>
      <c r="D21" s="1290">
        <v>350</v>
      </c>
      <c r="E21" s="1291"/>
      <c r="F21" s="1291"/>
      <c r="G21" s="1282">
        <f t="shared" si="2"/>
        <v>5932850</v>
      </c>
      <c r="H21" s="1282">
        <f>ROUND(VLOOKUP(B21,'HS bảo hiểm'!$B$7:$G$27,6,0)*10.5%*$C$8,0)</f>
        <v>309009</v>
      </c>
      <c r="I21" s="1282"/>
      <c r="J21" s="1284">
        <f t="shared" si="3"/>
        <v>18.229543979706211</v>
      </c>
      <c r="K21" s="1290">
        <f t="shared" si="4"/>
        <v>5623841</v>
      </c>
      <c r="L21" s="1276">
        <f t="shared" si="5"/>
        <v>247384.1</v>
      </c>
      <c r="M21" s="1277">
        <f t="shared" si="6"/>
        <v>14.59407114624506</v>
      </c>
      <c r="N21" s="1281">
        <f t="shared" si="7"/>
        <v>5376456.9000000004</v>
      </c>
      <c r="O21" s="1295">
        <f t="shared" si="8"/>
        <v>317.17638487404878</v>
      </c>
      <c r="P21" s="1281">
        <f t="shared" si="9"/>
        <v>53765</v>
      </c>
      <c r="Q21" s="1284">
        <f t="shared" si="1"/>
        <v>3.1717892749690284</v>
      </c>
      <c r="R21" s="1324"/>
      <c r="S21" s="969" t="b">
        <f>K21&gt;=5000000</f>
        <v>1</v>
      </c>
      <c r="T21" s="1312" t="e">
        <f>#REF!/$C$8*26</f>
        <v>#REF!</v>
      </c>
    </row>
    <row r="22" spans="1:22" s="969" customFormat="1" ht="24" customHeight="1">
      <c r="A22" s="1278">
        <v>10</v>
      </c>
      <c r="B22" s="1279" t="s">
        <v>32</v>
      </c>
      <c r="C22" s="1280" t="s">
        <v>53</v>
      </c>
      <c r="D22" s="1281">
        <v>350</v>
      </c>
      <c r="E22" s="1282"/>
      <c r="F22" s="1282"/>
      <c r="G22" s="1282">
        <f t="shared" si="2"/>
        <v>5932850</v>
      </c>
      <c r="H22" s="1282">
        <f>ROUND(VLOOKUP(B22,'HS bảo hiểm'!$B$7:$G$27,6,0)*10.5%*$C$8,0)</f>
        <v>314159</v>
      </c>
      <c r="I22" s="1283"/>
      <c r="J22" s="1284">
        <f t="shared" si="3"/>
        <v>18.533360863665859</v>
      </c>
      <c r="K22" s="1290">
        <f t="shared" si="4"/>
        <v>5618691</v>
      </c>
      <c r="L22" s="1276">
        <f t="shared" si="5"/>
        <v>246869.1</v>
      </c>
      <c r="M22" s="1277">
        <f t="shared" si="6"/>
        <v>14.563689457849096</v>
      </c>
      <c r="N22" s="1281">
        <f t="shared" si="7"/>
        <v>5371821.9000000004</v>
      </c>
      <c r="O22" s="1285">
        <f t="shared" si="8"/>
        <v>316.90294967848507</v>
      </c>
      <c r="P22" s="1281">
        <f t="shared" si="9"/>
        <v>53718</v>
      </c>
      <c r="Q22" s="1284">
        <f t="shared" si="1"/>
        <v>3.1690165771930858</v>
      </c>
      <c r="R22" s="1287"/>
      <c r="S22" s="969" t="b">
        <f>K22&gt;=5000000</f>
        <v>1</v>
      </c>
      <c r="T22" s="1312" t="e">
        <f>#REF!/$C$8*26</f>
        <v>#REF!</v>
      </c>
    </row>
    <row r="23" spans="1:22" s="969" customFormat="1" ht="24" customHeight="1">
      <c r="A23" s="1278">
        <v>11</v>
      </c>
      <c r="B23" s="1296" t="s">
        <v>1152</v>
      </c>
      <c r="C23" s="1297" t="s">
        <v>60</v>
      </c>
      <c r="D23" s="1281">
        <f>+'LƯƠNG USD NGƯỜI VIỆT'!F27</f>
        <v>110</v>
      </c>
      <c r="E23" s="1298"/>
      <c r="F23" s="1298"/>
      <c r="G23" s="1282">
        <f>(D23+E23)*$C$7</f>
        <v>1864610</v>
      </c>
      <c r="H23" s="1282">
        <f>ROUND(VLOOKUP(B23,'HS bảo hiểm'!$B$7:$G$27,6,0)*10.5%*$C$8,0)</f>
        <v>352785</v>
      </c>
      <c r="I23" s="1283"/>
      <c r="J23" s="1284">
        <f t="shared" si="3"/>
        <v>20.812046486932925</v>
      </c>
      <c r="K23" s="1290">
        <f t="shared" si="4"/>
        <v>1511825</v>
      </c>
      <c r="L23" s="1276">
        <f t="shared" si="5"/>
        <v>10591.25</v>
      </c>
      <c r="M23" s="1277">
        <f t="shared" si="6"/>
        <v>0.62481564509468468</v>
      </c>
      <c r="N23" s="1281">
        <f t="shared" si="7"/>
        <v>1501233.75</v>
      </c>
      <c r="O23" s="1285">
        <f t="shared" si="8"/>
        <v>88.563137867972387</v>
      </c>
      <c r="P23" s="1281">
        <f t="shared" si="9"/>
        <v>15012</v>
      </c>
      <c r="Q23" s="1284">
        <f>P23/$C$7</f>
        <v>0.88561146834994986</v>
      </c>
      <c r="R23" s="1287"/>
      <c r="T23" s="1312" t="e">
        <f>#REF!/$C$8*26</f>
        <v>#REF!</v>
      </c>
    </row>
    <row r="24" spans="1:22" s="974" customFormat="1" ht="21.75" customHeight="1">
      <c r="A24" s="1541" t="s">
        <v>143</v>
      </c>
      <c r="B24" s="971" t="s">
        <v>963</v>
      </c>
      <c r="C24" s="972"/>
      <c r="D24" s="1253">
        <f t="shared" ref="D24:Q24" si="10">SUM(D25:D28)</f>
        <v>1800</v>
      </c>
      <c r="E24" s="1254">
        <f t="shared" si="10"/>
        <v>0</v>
      </c>
      <c r="F24" s="1254">
        <f t="shared" si="10"/>
        <v>0</v>
      </c>
      <c r="G24" s="1253">
        <f t="shared" si="10"/>
        <v>30511800</v>
      </c>
      <c r="H24" s="1253">
        <f t="shared" si="10"/>
        <v>1359638</v>
      </c>
      <c r="I24" s="1254">
        <f t="shared" si="10"/>
        <v>0</v>
      </c>
      <c r="J24" s="1254">
        <f t="shared" si="10"/>
        <v>80.2098991209958</v>
      </c>
      <c r="K24" s="1254">
        <f t="shared" si="10"/>
        <v>29152162</v>
      </c>
      <c r="L24" s="1253">
        <f t="shared" si="10"/>
        <v>1655216.2000000002</v>
      </c>
      <c r="M24" s="1254">
        <f t="shared" si="10"/>
        <v>97.647112264763138</v>
      </c>
      <c r="N24" s="1254">
        <f t="shared" si="10"/>
        <v>27496945.799999997</v>
      </c>
      <c r="O24" s="1254">
        <f t="shared" si="10"/>
        <v>1622.1429886142412</v>
      </c>
      <c r="P24" s="1253">
        <f t="shared" si="10"/>
        <v>274970</v>
      </c>
      <c r="Q24" s="1254">
        <f t="shared" si="10"/>
        <v>16.221461860657186</v>
      </c>
      <c r="R24" s="966"/>
      <c r="S24" s="969"/>
      <c r="T24" s="1312"/>
    </row>
    <row r="25" spans="1:22" s="974" customFormat="1" ht="21.75" customHeight="1">
      <c r="A25" s="1436">
        <v>1</v>
      </c>
      <c r="B25" s="1439" t="s">
        <v>36</v>
      </c>
      <c r="C25" s="1439" t="s">
        <v>1160</v>
      </c>
      <c r="D25" s="1464">
        <v>450</v>
      </c>
      <c r="E25" s="1356"/>
      <c r="F25" s="1356"/>
      <c r="G25" s="1270">
        <f>D25*$C$7</f>
        <v>7627950</v>
      </c>
      <c r="H25" s="1270">
        <f>ROUND(VLOOKUP(B25,'HS bảo hiểm'!$B$7:$G$27,6,0)*10.5%*$C$8,0)</f>
        <v>363085</v>
      </c>
      <c r="I25" s="1357"/>
      <c r="J25" s="1274">
        <f>(H25)/$C$7</f>
        <v>21.419680254852221</v>
      </c>
      <c r="K25" s="1268">
        <f>G25-H25</f>
        <v>7264865</v>
      </c>
      <c r="L25" s="1528">
        <f>IF(K25&gt;65000000,((K25-65000000)*25%+10685000),IF(K25&gt;25000000,((K25-25000000)*20%+2685000),IF(K25&gt;15000000,((K25-15000000)*15%+1185000),IF(K25&gt;5000000,(K25-5000000)*10%+185000,IF(K25&gt;1300000,(K25-1300000)*5%,0)))))</f>
        <v>411486.5</v>
      </c>
      <c r="M25" s="1274">
        <f>L25/$C$7</f>
        <v>24.27505751873046</v>
      </c>
      <c r="N25" s="1270">
        <f>K25-L25</f>
        <v>6853378.5</v>
      </c>
      <c r="O25" s="1529">
        <f>N25/$C$7</f>
        <v>404.30526222641731</v>
      </c>
      <c r="P25" s="1270">
        <f>ROUND(N25*1%,0)</f>
        <v>68534</v>
      </c>
      <c r="Q25" s="1272">
        <f>P25/$C$7</f>
        <v>4.043065305881659</v>
      </c>
      <c r="R25" s="1437"/>
      <c r="S25" s="969"/>
      <c r="T25" s="1312"/>
    </row>
    <row r="26" spans="1:22" s="969" customFormat="1" ht="21.75" customHeight="1">
      <c r="A26" s="1304">
        <v>2</v>
      </c>
      <c r="B26" s="1305" t="s">
        <v>536</v>
      </c>
      <c r="C26" s="1305" t="s">
        <v>1160</v>
      </c>
      <c r="D26" s="1306">
        <v>450</v>
      </c>
      <c r="E26" s="1282"/>
      <c r="F26" s="1282"/>
      <c r="G26" s="1282">
        <f>D26*$C$7</f>
        <v>7627950</v>
      </c>
      <c r="H26" s="1282">
        <f>ROUND(VLOOKUP(B26,'HS bảo hiểm'!$B$7:$G$27,6,0)*10.5%*$C$8,0)</f>
        <v>363085</v>
      </c>
      <c r="I26" s="1307"/>
      <c r="J26" s="1277">
        <f>(H26)/$C$7</f>
        <v>21.419680254852221</v>
      </c>
      <c r="K26" s="1281">
        <f>G26-H26-I26</f>
        <v>7264865</v>
      </c>
      <c r="L26" s="1325">
        <f t="shared" si="5"/>
        <v>411486.5</v>
      </c>
      <c r="M26" s="1277">
        <f t="shared" si="6"/>
        <v>24.27505751873046</v>
      </c>
      <c r="N26" s="1307">
        <f>K26-L26</f>
        <v>6853378.5</v>
      </c>
      <c r="O26" s="1309">
        <f>N26/$C$7</f>
        <v>404.30526222641731</v>
      </c>
      <c r="P26" s="1307">
        <f t="shared" si="9"/>
        <v>68534</v>
      </c>
      <c r="Q26" s="1284">
        <f>P26/$C$7</f>
        <v>4.043065305881659</v>
      </c>
      <c r="R26" s="1287"/>
      <c r="S26" s="969" t="b">
        <f>K26&gt;=5000000</f>
        <v>1</v>
      </c>
      <c r="T26" s="1312" t="e">
        <f>#REF!/$C$8*26</f>
        <v>#REF!</v>
      </c>
    </row>
    <row r="27" spans="1:22" s="1262" customFormat="1" ht="21" customHeight="1">
      <c r="A27" s="1436">
        <v>3</v>
      </c>
      <c r="B27" s="1296" t="s">
        <v>967</v>
      </c>
      <c r="C27" s="1537" t="s">
        <v>704</v>
      </c>
      <c r="D27" s="1538">
        <v>450</v>
      </c>
      <c r="E27" s="1539"/>
      <c r="F27" s="1539"/>
      <c r="G27" s="1282">
        <f>D27*$C$7</f>
        <v>7627950</v>
      </c>
      <c r="H27" s="1282">
        <f>ROUND(VLOOKUP(B27,'HS bảo hiểm'!$B$7:$G$27,6,0)*10.5%*$C$8,0)</f>
        <v>316734</v>
      </c>
      <c r="I27" s="1307"/>
      <c r="J27" s="1277">
        <f>(H27)/$C$7</f>
        <v>18.685269305645683</v>
      </c>
      <c r="K27" s="1281">
        <f>G27-H27-I27</f>
        <v>7311216</v>
      </c>
      <c r="L27" s="1325">
        <f t="shared" si="5"/>
        <v>416121.59999999998</v>
      </c>
      <c r="M27" s="1277">
        <f t="shared" si="6"/>
        <v>24.548498613651109</v>
      </c>
      <c r="N27" s="1307">
        <f>K27-L27</f>
        <v>6895094.4000000004</v>
      </c>
      <c r="O27" s="1309">
        <f>N27/$C$7</f>
        <v>406.76623208070322</v>
      </c>
      <c r="P27" s="1307">
        <f t="shared" si="9"/>
        <v>68951</v>
      </c>
      <c r="Q27" s="1284">
        <f>P27/$C$7</f>
        <v>4.0676656244469349</v>
      </c>
      <c r="R27" s="1540"/>
      <c r="T27" s="1312"/>
    </row>
    <row r="28" spans="1:22" s="969" customFormat="1" ht="21.75" customHeight="1">
      <c r="A28" s="1304">
        <v>4</v>
      </c>
      <c r="B28" s="1530" t="s">
        <v>789</v>
      </c>
      <c r="C28" s="1531" t="s">
        <v>704</v>
      </c>
      <c r="D28" s="1532">
        <v>450</v>
      </c>
      <c r="E28" s="1301"/>
      <c r="F28" s="1301"/>
      <c r="G28" s="1301">
        <f>D28*$C$7</f>
        <v>7627950</v>
      </c>
      <c r="H28" s="1533">
        <f>ROUND(VLOOKUP(B28,'HS bảo hiểm'!$B$7:$G$28,6,0)*10.5%*$C$8,0)</f>
        <v>316734</v>
      </c>
      <c r="I28" s="1533"/>
      <c r="J28" s="1308">
        <f>(H28+I28)/$C$7</f>
        <v>18.685269305645683</v>
      </c>
      <c r="K28" s="1300">
        <f>G28-H28-I28</f>
        <v>7311216</v>
      </c>
      <c r="L28" s="1534">
        <f>IF(K28&gt;65000000,((K28-65000000)*25%+10685000),IF(K28&gt;25000000,((K28-25000000)*20%+2685000),IF(K28&gt;15000000,((K28-15000000)*15%+1185000),IF(K28&gt;5000000,(K28-5000000)*10%+185000,IF(K28&gt;1300000,(K28-1300000)*5%,0)))))</f>
        <v>416121.59999999998</v>
      </c>
      <c r="M28" s="1302">
        <f>L28/$C$7</f>
        <v>24.548498613651109</v>
      </c>
      <c r="N28" s="1533">
        <f>K28-L28</f>
        <v>6895094.4000000004</v>
      </c>
      <c r="O28" s="1535">
        <f>N28/$C$7</f>
        <v>406.76623208070322</v>
      </c>
      <c r="P28" s="1533">
        <f>ROUND(N28*1%,0)</f>
        <v>68951</v>
      </c>
      <c r="Q28" s="1508">
        <f>P28/$C$7</f>
        <v>4.0676656244469349</v>
      </c>
      <c r="R28" s="1303"/>
      <c r="S28" s="969" t="b">
        <f>K28&gt;=5000000</f>
        <v>1</v>
      </c>
      <c r="T28" s="1312" t="e">
        <f>#REF!/$C$8*26</f>
        <v>#REF!</v>
      </c>
    </row>
    <row r="29" spans="1:22" s="974" customFormat="1" ht="21.75" customHeight="1">
      <c r="A29" s="1541" t="s">
        <v>220</v>
      </c>
      <c r="B29" s="971" t="s">
        <v>1107</v>
      </c>
      <c r="C29" s="972"/>
      <c r="D29" s="1261">
        <f>SUM(D30:D30)</f>
        <v>500</v>
      </c>
      <c r="E29" s="1261">
        <f t="shared" ref="E29:P29" si="11">SUM(E30:E30)</f>
        <v>0</v>
      </c>
      <c r="F29" s="1261">
        <f t="shared" si="11"/>
        <v>0</v>
      </c>
      <c r="G29" s="1252">
        <f>SUM(G30:G30)</f>
        <v>8475500</v>
      </c>
      <c r="H29" s="1252">
        <f>SUM(H30:H30)</f>
        <v>360510</v>
      </c>
      <c r="I29" s="1261">
        <f t="shared" si="11"/>
        <v>12875.362500000001</v>
      </c>
      <c r="J29" s="1261">
        <f t="shared" si="11"/>
        <v>22.027335407940534</v>
      </c>
      <c r="K29" s="1261">
        <f t="shared" si="11"/>
        <v>8114990</v>
      </c>
      <c r="L29" s="1261">
        <f t="shared" si="11"/>
        <v>496499</v>
      </c>
      <c r="M29" s="1261">
        <f t="shared" si="11"/>
        <v>29.290248362928441</v>
      </c>
      <c r="N29" s="1252">
        <f t="shared" si="11"/>
        <v>7618491</v>
      </c>
      <c r="O29" s="1261">
        <f t="shared" si="11"/>
        <v>449.44197982419917</v>
      </c>
      <c r="P29" s="1252">
        <f t="shared" si="11"/>
        <v>76185</v>
      </c>
      <c r="Q29" s="1340">
        <f>SUM(Q30:Q30)</f>
        <v>4.4944251076632646</v>
      </c>
      <c r="R29" s="966"/>
      <c r="S29" s="969"/>
      <c r="T29" s="1312"/>
    </row>
    <row r="30" spans="1:22" s="1262" customFormat="1" ht="15.75">
      <c r="A30" s="1326">
        <v>1</v>
      </c>
      <c r="B30" s="1334" t="s">
        <v>37</v>
      </c>
      <c r="C30" s="1327" t="s">
        <v>1109</v>
      </c>
      <c r="D30" s="1330">
        <v>500</v>
      </c>
      <c r="E30" s="1328"/>
      <c r="F30" s="1328"/>
      <c r="G30" s="1328">
        <f>D30*$C$7</f>
        <v>8475500</v>
      </c>
      <c r="H30" s="1323">
        <f>ROUND(VLOOKUP(B30,'HS bảo hiểm'!$B$7:$G$27,6,0)*10.5%*$C$8,0)</f>
        <v>360510</v>
      </c>
      <c r="I30" s="1329">
        <f>17062.5*C8</f>
        <v>12875.362500000001</v>
      </c>
      <c r="J30" s="1308">
        <f>(H30+I30)/$C$7</f>
        <v>22.027335407940534</v>
      </c>
      <c r="K30" s="1330">
        <f>+G30-H30</f>
        <v>8114990</v>
      </c>
      <c r="L30" s="1331">
        <f t="shared" si="5"/>
        <v>496499</v>
      </c>
      <c r="M30" s="1264">
        <f>L30/$C$7</f>
        <v>29.290248362928441</v>
      </c>
      <c r="N30" s="1328">
        <f>K30-L30</f>
        <v>7618491</v>
      </c>
      <c r="O30" s="1332">
        <f>N30/$C$7</f>
        <v>449.44197982419917</v>
      </c>
      <c r="P30" s="1328">
        <f>ROUND(N30*1%,0)</f>
        <v>76185</v>
      </c>
      <c r="Q30" s="1284">
        <f>P30/$C$7</f>
        <v>4.4944251076632646</v>
      </c>
      <c r="R30" s="1333"/>
      <c r="T30" s="1312" t="e">
        <f>#REF!/$C$8*26</f>
        <v>#REF!</v>
      </c>
    </row>
    <row r="31" spans="1:22" s="969" customFormat="1" ht="21.75" customHeight="1">
      <c r="A31" s="4267" t="s">
        <v>953</v>
      </c>
      <c r="B31" s="4267"/>
      <c r="C31" s="1541"/>
      <c r="D31" s="976">
        <f t="shared" ref="D31:Q31" si="12">+D29+D24+D12</f>
        <v>7230</v>
      </c>
      <c r="E31" s="975">
        <f t="shared" si="12"/>
        <v>0</v>
      </c>
      <c r="F31" s="975">
        <f t="shared" si="12"/>
        <v>0</v>
      </c>
      <c r="G31" s="975">
        <f t="shared" si="12"/>
        <v>122555730</v>
      </c>
      <c r="H31" s="1460" t="e">
        <f t="shared" si="12"/>
        <v>#N/A</v>
      </c>
      <c r="I31" s="1494">
        <f>+I29+I24+I12</f>
        <v>72102.03</v>
      </c>
      <c r="J31" s="976" t="e">
        <f>+J29+J24+J12</f>
        <v>#N/A</v>
      </c>
      <c r="K31" s="975" t="e">
        <f t="shared" si="12"/>
        <v>#N/A</v>
      </c>
      <c r="L31" s="975" t="e">
        <f t="shared" si="12"/>
        <v>#N/A</v>
      </c>
      <c r="M31" s="976" t="e">
        <f t="shared" si="12"/>
        <v>#N/A</v>
      </c>
      <c r="N31" s="975" t="e">
        <f t="shared" si="12"/>
        <v>#N/A</v>
      </c>
      <c r="O31" s="976" t="e">
        <f t="shared" si="12"/>
        <v>#N/A</v>
      </c>
      <c r="P31" s="975" t="e">
        <f t="shared" si="12"/>
        <v>#N/A</v>
      </c>
      <c r="Q31" s="976" t="e">
        <f t="shared" si="12"/>
        <v>#N/A</v>
      </c>
      <c r="R31" s="977"/>
    </row>
    <row r="32" spans="1:22" ht="12" customHeight="1"/>
    <row r="33" spans="1:19" s="979" customFormat="1" ht="18" hidden="1" customHeight="1">
      <c r="J33" s="980">
        <f>'LƯƠNG USD NGƯỜI VIỆT'!K36</f>
        <v>347.40794689335689</v>
      </c>
      <c r="M33" s="980" t="e">
        <f>'LƯƠNG USD NGƯỜI VIỆT'!M36</f>
        <v>#N/A</v>
      </c>
      <c r="O33" s="981" t="e">
        <f>'LƯƠNG USD NGƯỜI VIỆT'!O36</f>
        <v>#N/A</v>
      </c>
    </row>
    <row r="34" spans="1:19" s="979" customFormat="1" ht="18" hidden="1" customHeight="1">
      <c r="J34" s="980" t="e">
        <f>J31-J33</f>
        <v>#N/A</v>
      </c>
      <c r="M34" s="980" t="e">
        <f>M31-M33</f>
        <v>#N/A</v>
      </c>
      <c r="O34" s="982" t="e">
        <f>O31-O33</f>
        <v>#N/A</v>
      </c>
    </row>
    <row r="35" spans="1:19" s="979" customFormat="1" ht="18" customHeight="1">
      <c r="J35" s="983"/>
      <c r="M35" s="983"/>
      <c r="N35" s="4314" t="s">
        <v>1161</v>
      </c>
      <c r="O35" s="4314"/>
      <c r="P35" s="4314"/>
      <c r="Q35" s="4314"/>
      <c r="R35" s="4314"/>
    </row>
    <row r="36" spans="1:19" s="985" customFormat="1" ht="18" customHeight="1">
      <c r="A36" s="984"/>
      <c r="B36" s="984" t="s">
        <v>954</v>
      </c>
      <c r="D36" s="984"/>
      <c r="E36" s="984"/>
      <c r="F36" s="984"/>
      <c r="G36" s="984" t="s">
        <v>955</v>
      </c>
      <c r="H36" s="984"/>
      <c r="I36" s="984"/>
      <c r="J36" s="986"/>
      <c r="L36" s="984" t="s">
        <v>20</v>
      </c>
      <c r="M36" s="987"/>
      <c r="P36" s="3920" t="s">
        <v>956</v>
      </c>
      <c r="Q36" s="3920"/>
      <c r="R36" s="3920"/>
    </row>
    <row r="37" spans="1:19" s="979" customFormat="1" ht="18" customHeight="1">
      <c r="J37" s="983"/>
      <c r="M37" s="983"/>
      <c r="R37" s="983"/>
    </row>
    <row r="38" spans="1:19" s="979" customFormat="1" ht="18" customHeight="1">
      <c r="J38" s="983"/>
      <c r="K38" s="988"/>
      <c r="M38" s="983"/>
      <c r="R38" s="983"/>
      <c r="S38" s="979" t="e">
        <f>#REF!/C7</f>
        <v>#REF!</v>
      </c>
    </row>
    <row r="39" spans="1:19" s="979" customFormat="1" ht="18" customHeight="1">
      <c r="G39" s="989"/>
      <c r="J39" s="983"/>
      <c r="M39" s="983"/>
      <c r="R39" s="983"/>
    </row>
    <row r="40" spans="1:19" s="979" customFormat="1" ht="18" customHeight="1">
      <c r="J40" s="983"/>
      <c r="M40" s="983"/>
      <c r="R40" s="983"/>
    </row>
    <row r="41" spans="1:19" s="979" customFormat="1" ht="18" customHeight="1">
      <c r="J41" s="983"/>
      <c r="K41" s="988"/>
      <c r="M41" s="983"/>
      <c r="R41" s="983"/>
    </row>
    <row r="42" spans="1:19" s="979" customFormat="1" ht="18" customHeight="1">
      <c r="J42" s="983"/>
      <c r="K42" s="985"/>
      <c r="L42" s="985"/>
      <c r="M42" s="987"/>
      <c r="N42" s="985"/>
      <c r="O42" s="985"/>
      <c r="P42" s="985"/>
      <c r="Q42" s="985"/>
      <c r="R42" s="987"/>
    </row>
    <row r="43" spans="1:19" s="979" customFormat="1" ht="18" customHeight="1">
      <c r="J43" s="983"/>
      <c r="K43" s="1037"/>
      <c r="M43" s="983"/>
      <c r="R43" s="983"/>
    </row>
    <row r="44" spans="1:19" s="979" customFormat="1" ht="18" customHeight="1">
      <c r="J44" s="983"/>
      <c r="M44" s="983"/>
      <c r="R44" s="983"/>
    </row>
    <row r="45" spans="1:19" s="979" customFormat="1" ht="18" customHeight="1">
      <c r="J45" s="983"/>
      <c r="M45" s="983"/>
      <c r="R45" s="983"/>
    </row>
    <row r="46" spans="1:19" s="979" customFormat="1" ht="18" customHeight="1">
      <c r="J46" s="983"/>
      <c r="M46" s="983"/>
      <c r="R46" s="983"/>
    </row>
    <row r="47" spans="1:19" s="979" customFormat="1" ht="18" customHeight="1">
      <c r="J47" s="983"/>
      <c r="M47" s="983"/>
      <c r="R47" s="983"/>
    </row>
    <row r="48" spans="1:19" s="979" customFormat="1" ht="18" customHeight="1">
      <c r="J48" s="983"/>
      <c r="M48" s="983"/>
      <c r="R48" s="983"/>
    </row>
    <row r="49" spans="10:18" s="979" customFormat="1" ht="18" customHeight="1">
      <c r="J49" s="983"/>
      <c r="M49" s="983"/>
      <c r="R49" s="983"/>
    </row>
    <row r="50" spans="10:18" s="979" customFormat="1" ht="18" customHeight="1">
      <c r="J50" s="983"/>
      <c r="M50" s="983"/>
      <c r="R50" s="983"/>
    </row>
    <row r="51" spans="10:18" s="979" customFormat="1" ht="18" customHeight="1">
      <c r="J51" s="983"/>
      <c r="M51" s="983"/>
      <c r="R51" s="983"/>
    </row>
    <row r="52" spans="10:18" s="979" customFormat="1" ht="18" customHeight="1">
      <c r="J52" s="983"/>
      <c r="M52" s="983"/>
      <c r="R52" s="983"/>
    </row>
    <row r="53" spans="10:18" s="979" customFormat="1" ht="18" customHeight="1">
      <c r="J53" s="983"/>
      <c r="M53" s="983"/>
      <c r="R53" s="983"/>
    </row>
    <row r="54" spans="10:18" s="979" customFormat="1" ht="18" customHeight="1">
      <c r="J54" s="983"/>
      <c r="M54" s="983"/>
      <c r="R54" s="983"/>
    </row>
    <row r="55" spans="10:18" s="979" customFormat="1" ht="18" customHeight="1">
      <c r="J55" s="983"/>
      <c r="M55" s="983"/>
      <c r="R55" s="983"/>
    </row>
    <row r="56" spans="10:18" s="979" customFormat="1" ht="18" customHeight="1">
      <c r="J56" s="983"/>
      <c r="M56" s="983"/>
      <c r="R56" s="983"/>
    </row>
    <row r="57" spans="10:18" ht="18" customHeight="1"/>
    <row r="58" spans="10:18" ht="18" customHeight="1"/>
    <row r="59" spans="10:18" ht="18" customHeight="1"/>
    <row r="60" spans="10:18" ht="18" customHeight="1"/>
    <row r="61" spans="10:18" ht="18" customHeight="1"/>
    <row r="62" spans="10:18" ht="18" customHeight="1"/>
    <row r="63" spans="10:18" ht="18" customHeight="1"/>
  </sheetData>
  <mergeCells count="19">
    <mergeCell ref="A1:R1"/>
    <mergeCell ref="A2:R2"/>
    <mergeCell ref="A3:G3"/>
    <mergeCell ref="A4:G4"/>
    <mergeCell ref="A6:R6"/>
    <mergeCell ref="A31:B31"/>
    <mergeCell ref="N35:R35"/>
    <mergeCell ref="P36:R36"/>
    <mergeCell ref="K9:K10"/>
    <mergeCell ref="L9:M9"/>
    <mergeCell ref="N9:O9"/>
    <mergeCell ref="P9:Q9"/>
    <mergeCell ref="R9:R10"/>
    <mergeCell ref="B12:C12"/>
    <mergeCell ref="A9:A10"/>
    <mergeCell ref="B9:B10"/>
    <mergeCell ref="C9:C10"/>
    <mergeCell ref="D9:G9"/>
    <mergeCell ref="H9:J9"/>
  </mergeCells>
  <pageMargins left="0.36" right="0.2" top="0.2" bottom="0.2" header="0.2" footer="0.2"/>
  <pageSetup paperSize="9" scale="57" fitToHeight="0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2:M66"/>
  <sheetViews>
    <sheetView tabSelected="1" zoomScale="85" zoomScaleNormal="85" workbookViewId="0">
      <selection activeCell="D27" sqref="D27"/>
    </sheetView>
  </sheetViews>
  <sheetFormatPr defaultColWidth="9.140625" defaultRowHeight="15.75"/>
  <cols>
    <col min="1" max="1" width="5.85546875" style="4" customWidth="1"/>
    <col min="2" max="2" width="36.42578125" style="4" customWidth="1"/>
    <col min="3" max="3" width="12.28515625" style="427" customWidth="1"/>
    <col min="4" max="4" width="16.5703125" style="2622" customWidth="1"/>
    <col min="5" max="5" width="15.5703125" style="2623" customWidth="1"/>
    <col min="6" max="6" width="14.7109375" style="2624" customWidth="1"/>
    <col min="7" max="7" width="24.7109375" style="2624" customWidth="1"/>
    <col min="8" max="8" width="29.42578125" style="2625" customWidth="1"/>
    <col min="9" max="9" width="22.28515625" style="4" hidden="1" customWidth="1"/>
    <col min="10" max="10" width="38.140625" style="4" hidden="1" customWidth="1"/>
    <col min="11" max="11" width="27" style="4" hidden="1" customWidth="1"/>
    <col min="12" max="12" width="16.42578125" style="4" bestFit="1" customWidth="1"/>
    <col min="13" max="13" width="11.85546875" style="4" customWidth="1"/>
    <col min="14" max="16384" width="9.140625" style="4"/>
  </cols>
  <sheetData>
    <row r="2" spans="1:12" ht="16.5">
      <c r="A2" s="4171" t="s">
        <v>23</v>
      </c>
      <c r="B2" s="4171"/>
      <c r="C2" s="4171"/>
      <c r="D2" s="4171"/>
      <c r="E2" s="4171"/>
      <c r="F2" s="4171"/>
      <c r="G2" s="4171"/>
      <c r="H2" s="4171"/>
    </row>
    <row r="3" spans="1:12" ht="16.5">
      <c r="A3" s="4171" t="s">
        <v>45</v>
      </c>
      <c r="B3" s="4171"/>
      <c r="C3" s="4171"/>
      <c r="D3" s="4171"/>
      <c r="E3" s="4171"/>
      <c r="F3" s="4171"/>
      <c r="G3" s="4171"/>
      <c r="H3" s="4171"/>
    </row>
    <row r="4" spans="1:12" ht="17.25" customHeight="1">
      <c r="A4" s="4338" t="s">
        <v>1580</v>
      </c>
      <c r="B4" s="4171"/>
      <c r="C4" s="4171"/>
      <c r="D4" s="4171"/>
      <c r="E4" s="4171"/>
      <c r="F4" s="4171"/>
      <c r="G4" s="4171"/>
      <c r="H4" s="4171"/>
    </row>
    <row r="5" spans="1:12" ht="15" customHeight="1">
      <c r="G5" s="2622"/>
      <c r="H5" s="2626"/>
    </row>
    <row r="6" spans="1:12" ht="20.25" customHeight="1">
      <c r="A6" s="4339" t="s">
        <v>922</v>
      </c>
      <c r="B6" s="4339"/>
      <c r="C6" s="4339"/>
      <c r="G6" s="2622"/>
      <c r="H6" s="2626"/>
    </row>
    <row r="7" spans="1:12" ht="23.25" customHeight="1">
      <c r="A7" s="4139" t="s">
        <v>90</v>
      </c>
      <c r="B7" s="4139"/>
      <c r="C7" s="4139"/>
      <c r="G7" s="2622"/>
      <c r="H7" s="2626"/>
    </row>
    <row r="8" spans="1:12" ht="12.75" customHeight="1">
      <c r="A8" s="2383"/>
      <c r="B8" s="2383"/>
      <c r="C8" s="2383"/>
      <c r="G8" s="2622"/>
      <c r="H8" s="2626"/>
    </row>
    <row r="9" spans="1:12" s="10" customFormat="1" ht="27" customHeight="1">
      <c r="A9" s="4331" t="s">
        <v>2515</v>
      </c>
      <c r="B9" s="4331"/>
      <c r="C9" s="4331"/>
      <c r="D9" s="4331"/>
      <c r="E9" s="4331"/>
      <c r="F9" s="4331"/>
      <c r="G9" s="4331"/>
      <c r="H9" s="4331"/>
    </row>
    <row r="10" spans="1:12" ht="18" customHeight="1">
      <c r="A10" s="4332" t="s">
        <v>2405</v>
      </c>
      <c r="B10" s="4332"/>
      <c r="C10" s="4332"/>
      <c r="D10" s="4332"/>
      <c r="E10" s="4332"/>
      <c r="F10" s="4332"/>
      <c r="G10" s="4332"/>
      <c r="H10" s="4332"/>
    </row>
    <row r="11" spans="1:12" ht="20.100000000000001" customHeight="1">
      <c r="A11" s="2382"/>
      <c r="B11" s="2382"/>
      <c r="F11" s="2622"/>
      <c r="G11" s="2622"/>
      <c r="H11" s="3336" t="s">
        <v>1984</v>
      </c>
      <c r="I11" s="128">
        <f>+'Đội 1'!E12</f>
        <v>646.20000000000005</v>
      </c>
      <c r="J11" s="4">
        <v>655.8</v>
      </c>
    </row>
    <row r="12" spans="1:12" s="473" customFormat="1" ht="63" customHeight="1">
      <c r="A12" s="3421" t="s">
        <v>0</v>
      </c>
      <c r="B12" s="3421" t="s">
        <v>454</v>
      </c>
      <c r="C12" s="3460" t="s">
        <v>13</v>
      </c>
      <c r="D12" s="3430" t="s">
        <v>455</v>
      </c>
      <c r="E12" s="3430" t="s">
        <v>461</v>
      </c>
      <c r="F12" s="3430" t="s">
        <v>1985</v>
      </c>
      <c r="G12" s="3430" t="s">
        <v>1986</v>
      </c>
      <c r="H12" s="3431" t="s">
        <v>92</v>
      </c>
    </row>
    <row r="13" spans="1:12" ht="20.100000000000001" customHeight="1">
      <c r="A13" s="3432" t="s">
        <v>141</v>
      </c>
      <c r="B13" s="3433" t="s">
        <v>1626</v>
      </c>
      <c r="C13" s="3461"/>
      <c r="D13" s="3434"/>
      <c r="E13" s="3434"/>
      <c r="F13" s="3434"/>
      <c r="G13" s="3454">
        <f>+G14+G32</f>
        <v>367719507.75999999</v>
      </c>
      <c r="H13" s="3436"/>
      <c r="I13" s="2774">
        <f>+G32+I14</f>
        <v>367719507.75999999</v>
      </c>
      <c r="J13" s="2627">
        <f>+I13-G13</f>
        <v>0</v>
      </c>
      <c r="K13" s="2628"/>
    </row>
    <row r="14" spans="1:12" ht="20.100000000000001" customHeight="1">
      <c r="A14" s="3432" t="s">
        <v>140</v>
      </c>
      <c r="B14" s="3433" t="s">
        <v>1980</v>
      </c>
      <c r="C14" s="3461"/>
      <c r="D14" s="3434"/>
      <c r="E14" s="3434"/>
      <c r="F14" s="3434"/>
      <c r="G14" s="3454">
        <f>+G16+G24+G30+G31</f>
        <v>367719507.75999999</v>
      </c>
      <c r="H14" s="3436"/>
      <c r="I14" s="6">
        <f>+VCKD!T219+BVNT!K46</f>
        <v>367719507.75999999</v>
      </c>
      <c r="J14" s="3026">
        <f>+G14-I14</f>
        <v>0</v>
      </c>
      <c r="K14" s="2628">
        <f>+J14/25000</f>
        <v>0</v>
      </c>
    </row>
    <row r="15" spans="1:12" ht="20.100000000000001" customHeight="1">
      <c r="A15" s="3437">
        <v>1</v>
      </c>
      <c r="B15" s="3438" t="s">
        <v>1148</v>
      </c>
      <c r="C15" s="3462"/>
      <c r="D15" s="3434"/>
      <c r="E15" s="3434"/>
      <c r="F15" s="3434"/>
      <c r="G15" s="3452">
        <f>G16+G24+G30</f>
        <v>281919507.75999999</v>
      </c>
      <c r="H15" s="3439"/>
      <c r="I15" s="6"/>
      <c r="J15" s="19"/>
    </row>
    <row r="16" spans="1:12" ht="20.100000000000001" customHeight="1">
      <c r="A16" s="3440" t="s">
        <v>1281</v>
      </c>
      <c r="B16" s="3441" t="s">
        <v>456</v>
      </c>
      <c r="C16" s="3463"/>
      <c r="D16" s="3434"/>
      <c r="E16" s="3452">
        <f>SUM(E17:E23)</f>
        <v>10146.536000000006</v>
      </c>
      <c r="F16" s="3434"/>
      <c r="G16" s="3803">
        <f>SUM(G17:G23)</f>
        <v>40288061</v>
      </c>
      <c r="H16" s="3439"/>
      <c r="I16" s="8">
        <f>+'Tong luong NT'!I260</f>
        <v>40288061</v>
      </c>
      <c r="J16" s="3613">
        <f>+I16-G16</f>
        <v>0</v>
      </c>
      <c r="K16" s="2630"/>
      <c r="L16" s="2631"/>
    </row>
    <row r="17" spans="1:13" ht="22.5" customHeight="1">
      <c r="A17" s="3437"/>
      <c r="B17" s="3438" t="s">
        <v>1627</v>
      </c>
      <c r="C17" s="3464" t="s">
        <v>815</v>
      </c>
      <c r="D17" s="3434"/>
      <c r="E17" s="3452">
        <f>+SUMIF(VCKD!$L$18:$L$211,"A",VCKD!$K$18:$K$211)</f>
        <v>8956.8647591240933</v>
      </c>
      <c r="F17" s="3442">
        <f>6.1*$I$11</f>
        <v>3941.82</v>
      </c>
      <c r="G17" s="3803">
        <f>ROUND(E17*F17,0)-3</f>
        <v>35306346</v>
      </c>
      <c r="H17" s="3439"/>
      <c r="J17" s="6">
        <f>+J14/25000</f>
        <v>0</v>
      </c>
      <c r="K17" s="479"/>
    </row>
    <row r="18" spans="1:13" ht="22.5" customHeight="1">
      <c r="A18" s="3437"/>
      <c r="B18" s="3438" t="s">
        <v>1628</v>
      </c>
      <c r="C18" s="3463" t="s">
        <v>815</v>
      </c>
      <c r="D18" s="3434"/>
      <c r="E18" s="3452">
        <f>+SUMIF(VCKD!$L$18:$L$211,"B",VCKD!$K$18:$K$211)</f>
        <v>183.88498686131388</v>
      </c>
      <c r="F18" s="3442">
        <f>5.8*$I$11</f>
        <v>3747.96</v>
      </c>
      <c r="G18" s="3803">
        <f>ROUND(E18*F18,0)</f>
        <v>689194</v>
      </c>
      <c r="H18" s="3439"/>
      <c r="J18" s="2774"/>
      <c r="K18" s="1489"/>
    </row>
    <row r="19" spans="1:13" ht="22.5" customHeight="1">
      <c r="A19" s="3437"/>
      <c r="B19" s="3438" t="s">
        <v>1629</v>
      </c>
      <c r="C19" s="3463" t="s">
        <v>815</v>
      </c>
      <c r="D19" s="3434"/>
      <c r="E19" s="3452">
        <f>+SUMIF(VCKD!$L$18:$L$211,"C",VCKD!$K$18:$K$211)</f>
        <v>0</v>
      </c>
      <c r="F19" s="3442">
        <f>5.5*$I$11</f>
        <v>3554.1000000000004</v>
      </c>
      <c r="G19" s="3803">
        <f t="shared" ref="G19:G23" si="0">ROUND(E19*F19,0)</f>
        <v>0</v>
      </c>
      <c r="H19" s="3439"/>
      <c r="K19" s="1489"/>
    </row>
    <row r="20" spans="1:13" ht="22.5" customHeight="1">
      <c r="A20" s="3437"/>
      <c r="B20" s="3438" t="s">
        <v>1937</v>
      </c>
      <c r="C20" s="3463" t="s">
        <v>815</v>
      </c>
      <c r="D20" s="3434"/>
      <c r="E20" s="3452">
        <f>+SUMIF(VCKD!$L$18:$L$211,"D",VCKD!$K$18:$K$211)</f>
        <v>0</v>
      </c>
      <c r="F20" s="3442">
        <f>5.2*$I$11</f>
        <v>3360.2400000000002</v>
      </c>
      <c r="G20" s="3803">
        <f t="shared" si="0"/>
        <v>0</v>
      </c>
      <c r="H20" s="3439"/>
      <c r="J20" s="2774"/>
      <c r="K20" s="1489"/>
    </row>
    <row r="21" spans="1:13" ht="22.5" customHeight="1">
      <c r="A21" s="3437"/>
      <c r="B21" s="3438" t="s">
        <v>1633</v>
      </c>
      <c r="C21" s="3463" t="s">
        <v>815</v>
      </c>
      <c r="D21" s="3434"/>
      <c r="E21" s="3452">
        <f>+SUMIF(VCKD!$L$212:$L$217,"A",VCKD!$K$212:$K$217)</f>
        <v>685.60312992700733</v>
      </c>
      <c r="F21" s="3442">
        <f>+(6.1+0.6)*$I$11</f>
        <v>4329.54</v>
      </c>
      <c r="G21" s="3803">
        <f>ROUND(E21*F21,0)</f>
        <v>2968346</v>
      </c>
      <c r="H21" s="3439"/>
      <c r="I21" s="4">
        <f>+SUM('Đội 3'!M40:M46)</f>
        <v>4292520</v>
      </c>
      <c r="J21" s="2774">
        <f>+G21+G22</f>
        <v>4292521</v>
      </c>
      <c r="K21" s="1489"/>
    </row>
    <row r="22" spans="1:13" ht="22.5" customHeight="1">
      <c r="A22" s="3437"/>
      <c r="B22" s="3438" t="s">
        <v>1634</v>
      </c>
      <c r="C22" s="3463" t="s">
        <v>815</v>
      </c>
      <c r="D22" s="3434"/>
      <c r="E22" s="3452">
        <f>+SUMIF(VCKD!L213:$L$217,"B",VCKD!$K$213:$K$217)</f>
        <v>320.18312408759124</v>
      </c>
      <c r="F22" s="3442">
        <f>(5.8+0.6)*$I$11</f>
        <v>4135.68</v>
      </c>
      <c r="G22" s="3803">
        <f t="shared" si="0"/>
        <v>1324175</v>
      </c>
      <c r="H22" s="3439"/>
      <c r="J22" s="6">
        <f>+I21-J21</f>
        <v>-1</v>
      </c>
      <c r="K22" s="1489"/>
    </row>
    <row r="23" spans="1:13" ht="22.5" customHeight="1">
      <c r="A23" s="3437"/>
      <c r="B23" s="3438" t="s">
        <v>2062</v>
      </c>
      <c r="C23" s="3463" t="s">
        <v>815</v>
      </c>
      <c r="D23" s="3434"/>
      <c r="E23" s="3452">
        <f>+Serum!AG14</f>
        <v>0</v>
      </c>
      <c r="F23" s="3442">
        <f>6.1*$I$11</f>
        <v>3941.82</v>
      </c>
      <c r="G23" s="3452">
        <f t="shared" si="0"/>
        <v>0</v>
      </c>
      <c r="H23" s="3439"/>
      <c r="J23" s="2774"/>
      <c r="K23" s="1489"/>
    </row>
    <row r="24" spans="1:13" ht="22.5" customHeight="1">
      <c r="A24" s="3440" t="s">
        <v>1282</v>
      </c>
      <c r="B24" s="3441" t="s">
        <v>457</v>
      </c>
      <c r="C24" s="3461" t="s">
        <v>500</v>
      </c>
      <c r="D24" s="3434"/>
      <c r="E24" s="3465"/>
      <c r="F24" s="3442"/>
      <c r="G24" s="3454">
        <f>SUM(G25:G29)</f>
        <v>241631446.75999999</v>
      </c>
      <c r="H24" s="3439"/>
      <c r="I24" s="8">
        <f>VCKD!S219</f>
        <v>241631446.75999996</v>
      </c>
      <c r="J24" s="3805">
        <f>I24-G24</f>
        <v>0</v>
      </c>
      <c r="K24" s="1489"/>
      <c r="L24" s="479"/>
    </row>
    <row r="25" spans="1:13" ht="22.5" customHeight="1">
      <c r="A25" s="3437"/>
      <c r="B25" s="3438" t="s">
        <v>824</v>
      </c>
      <c r="C25" s="3461" t="s">
        <v>500</v>
      </c>
      <c r="D25" s="3812">
        <f>+VCKD!N219</f>
        <v>2231</v>
      </c>
      <c r="E25" s="3465"/>
      <c r="F25" s="3442">
        <f>46.1*$J$11</f>
        <v>30232.379999999997</v>
      </c>
      <c r="G25" s="3452">
        <f>ROUND(D25*F25,0)-0.24</f>
        <v>67448439.760000005</v>
      </c>
      <c r="H25" s="3439"/>
      <c r="J25" s="6"/>
      <c r="K25" s="6"/>
    </row>
    <row r="26" spans="1:13" s="58" customFormat="1" ht="22.5" customHeight="1">
      <c r="A26" s="3437"/>
      <c r="B26" s="3438" t="s">
        <v>1597</v>
      </c>
      <c r="C26" s="3461" t="s">
        <v>500</v>
      </c>
      <c r="D26" s="3812">
        <f>+VCKD!O219</f>
        <v>450</v>
      </c>
      <c r="E26" s="3434"/>
      <c r="F26" s="3442">
        <f>(76.9*$J$11)</f>
        <v>50431.02</v>
      </c>
      <c r="G26" s="3452">
        <f t="shared" ref="G26:G31" si="1">ROUND(D26*F26,0)</f>
        <v>22693959</v>
      </c>
      <c r="H26" s="3439"/>
      <c r="I26" s="6">
        <f>+'Đội 1'!S100+'Đội 2'!R104+'Đội 3'!T47</f>
        <v>241631446.75999999</v>
      </c>
      <c r="J26" s="3223"/>
    </row>
    <row r="27" spans="1:13" s="58" customFormat="1" ht="22.5" customHeight="1">
      <c r="A27" s="3437"/>
      <c r="B27" s="3438" t="s">
        <v>1531</v>
      </c>
      <c r="C27" s="3461" t="s">
        <v>500</v>
      </c>
      <c r="D27" s="3812">
        <f>+VCKD!P219</f>
        <v>2681</v>
      </c>
      <c r="E27" s="3434"/>
      <c r="F27" s="3442">
        <v>20000</v>
      </c>
      <c r="G27" s="3452">
        <f t="shared" si="1"/>
        <v>53620000</v>
      </c>
      <c r="H27" s="3439"/>
      <c r="I27" s="4"/>
      <c r="J27" s="2632"/>
      <c r="K27" s="3224"/>
    </row>
    <row r="28" spans="1:13" s="58" customFormat="1" ht="22.5" customHeight="1">
      <c r="A28" s="3437"/>
      <c r="B28" s="3438" t="s">
        <v>2011</v>
      </c>
      <c r="C28" s="3461" t="s">
        <v>500</v>
      </c>
      <c r="D28" s="3813">
        <f>+VCKD!Q219</f>
        <v>68</v>
      </c>
      <c r="E28" s="3434"/>
      <c r="F28" s="3442">
        <f>30.7*$J$11</f>
        <v>20133.059999999998</v>
      </c>
      <c r="G28" s="3452">
        <f t="shared" si="1"/>
        <v>1369048</v>
      </c>
      <c r="H28" s="3439"/>
      <c r="I28" s="4"/>
      <c r="J28" s="2632"/>
      <c r="K28" s="3224"/>
    </row>
    <row r="29" spans="1:13" s="58" customFormat="1" ht="22.5" customHeight="1">
      <c r="A29" s="3437"/>
      <c r="B29" s="3438" t="s">
        <v>2313</v>
      </c>
      <c r="C29" s="3461" t="s">
        <v>500</v>
      </c>
      <c r="D29" s="3813">
        <v>3860</v>
      </c>
      <c r="E29" s="3434"/>
      <c r="F29" s="3442">
        <v>25000</v>
      </c>
      <c r="G29" s="3452">
        <f t="shared" si="1"/>
        <v>96500000</v>
      </c>
      <c r="H29" s="3439"/>
      <c r="I29" s="4"/>
      <c r="J29" s="2632"/>
      <c r="K29" s="3224"/>
    </row>
    <row r="30" spans="1:13" ht="22.5" customHeight="1">
      <c r="A30" s="3440" t="s">
        <v>1282</v>
      </c>
      <c r="B30" s="3438" t="s">
        <v>458</v>
      </c>
      <c r="C30" s="3461" t="s">
        <v>500</v>
      </c>
      <c r="D30" s="3445">
        <f>+BCKL!O22</f>
        <v>14774.720000000001</v>
      </c>
      <c r="E30" s="3434"/>
      <c r="F30" s="3442">
        <v>25000</v>
      </c>
      <c r="G30" s="3452"/>
      <c r="H30" s="3439"/>
      <c r="J30" s="6"/>
      <c r="K30" s="765"/>
    </row>
    <row r="31" spans="1:13" s="9" customFormat="1" ht="22.5" customHeight="1">
      <c r="A31" s="3437">
        <v>2</v>
      </c>
      <c r="B31" s="3438" t="s">
        <v>459</v>
      </c>
      <c r="C31" s="3461" t="s">
        <v>500</v>
      </c>
      <c r="D31" s="3630">
        <f>+BCKL!O78+BCKL!O79</f>
        <v>3432</v>
      </c>
      <c r="E31" s="3434"/>
      <c r="F31" s="3442">
        <v>25000</v>
      </c>
      <c r="G31" s="3452">
        <f t="shared" si="1"/>
        <v>85800000</v>
      </c>
      <c r="H31" s="3439"/>
      <c r="I31" s="9">
        <f>+BVNT!K46</f>
        <v>85800000</v>
      </c>
      <c r="J31" s="2624"/>
      <c r="K31" s="3225"/>
      <c r="M31" s="760"/>
    </row>
    <row r="32" spans="1:13" s="9" customFormat="1" ht="22.5" hidden="1" customHeight="1">
      <c r="A32" s="3447" t="s">
        <v>821</v>
      </c>
      <c r="B32" s="3448" t="s">
        <v>1636</v>
      </c>
      <c r="C32" s="3466"/>
      <c r="D32" s="3449">
        <f>+SUM(D33:D34)</f>
        <v>0</v>
      </c>
      <c r="E32" s="3435"/>
      <c r="F32" s="3450"/>
      <c r="G32" s="3454">
        <f>+SUM(G33:G34)</f>
        <v>0</v>
      </c>
      <c r="H32" s="3436"/>
      <c r="J32" s="6"/>
      <c r="K32" s="760"/>
      <c r="M32" s="760"/>
    </row>
    <row r="33" spans="1:13" s="9" customFormat="1" ht="22.5" hidden="1" customHeight="1">
      <c r="A33" s="3437">
        <v>1</v>
      </c>
      <c r="B33" s="3438" t="s">
        <v>2098</v>
      </c>
      <c r="C33" s="3461" t="s">
        <v>500</v>
      </c>
      <c r="D33" s="3451">
        <v>0</v>
      </c>
      <c r="E33" s="3434"/>
      <c r="F33" s="3442">
        <v>25000</v>
      </c>
      <c r="G33" s="3452">
        <f>+D33*F33</f>
        <v>0</v>
      </c>
      <c r="H33" s="3439"/>
      <c r="J33" s="6"/>
      <c r="K33" s="760"/>
      <c r="M33" s="760"/>
    </row>
    <row r="34" spans="1:13" s="9" customFormat="1" ht="22.5" hidden="1" customHeight="1">
      <c r="A34" s="3437">
        <v>2</v>
      </c>
      <c r="B34" s="3438" t="s">
        <v>1637</v>
      </c>
      <c r="C34" s="3461" t="s">
        <v>500</v>
      </c>
      <c r="D34" s="3451">
        <v>0</v>
      </c>
      <c r="E34" s="3434"/>
      <c r="F34" s="3442">
        <v>25000</v>
      </c>
      <c r="G34" s="3452">
        <f>+D34*F34</f>
        <v>0</v>
      </c>
      <c r="H34" s="3439"/>
      <c r="J34" s="6"/>
      <c r="K34" s="760"/>
      <c r="M34" s="760"/>
    </row>
    <row r="35" spans="1:13" s="9" customFormat="1" ht="22.5" customHeight="1">
      <c r="A35" s="3447" t="s">
        <v>143</v>
      </c>
      <c r="B35" s="3448" t="s">
        <v>1978</v>
      </c>
      <c r="C35" s="3467"/>
      <c r="D35" s="3439"/>
      <c r="E35" s="3434"/>
      <c r="F35" s="3442"/>
      <c r="G35" s="3454">
        <f>SUM(G36:G37)</f>
        <v>20490900</v>
      </c>
      <c r="H35" s="3436"/>
      <c r="I35" s="2651">
        <f>+'Trạm cán'!K21</f>
        <v>20490900</v>
      </c>
      <c r="J35" s="760"/>
      <c r="K35" s="760"/>
      <c r="M35" s="760"/>
    </row>
    <row r="36" spans="1:13" s="9" customFormat="1" ht="22.5" customHeight="1">
      <c r="A36" s="3437">
        <v>1</v>
      </c>
      <c r="B36" s="3438" t="s">
        <v>54</v>
      </c>
      <c r="C36" s="3467" t="s">
        <v>81</v>
      </c>
      <c r="D36" s="3434"/>
      <c r="E36" s="3434"/>
      <c r="F36" s="3434"/>
      <c r="G36" s="3452">
        <f>+'Trạm cán'!K20</f>
        <v>2000000</v>
      </c>
      <c r="H36" s="3436"/>
      <c r="K36" s="760"/>
      <c r="M36" s="760"/>
    </row>
    <row r="37" spans="1:13" s="9" customFormat="1" ht="22.5" customHeight="1">
      <c r="A37" s="3437">
        <v>2</v>
      </c>
      <c r="B37" s="3438" t="s">
        <v>1630</v>
      </c>
      <c r="C37" s="3467" t="s">
        <v>81</v>
      </c>
      <c r="D37" s="3434"/>
      <c r="E37" s="3434"/>
      <c r="F37" s="3434"/>
      <c r="G37" s="3452">
        <f>+'Trạm cán'!K16+'Trạm cán'!K17+'Trạm cán'!K18</f>
        <v>18490900</v>
      </c>
      <c r="H37" s="3436"/>
      <c r="I37" s="2709"/>
      <c r="J37" s="2651"/>
      <c r="K37" s="760"/>
      <c r="M37" s="760"/>
    </row>
    <row r="38" spans="1:13" s="9" customFormat="1" ht="22.5" customHeight="1">
      <c r="A38" s="3447" t="s">
        <v>220</v>
      </c>
      <c r="B38" s="3448" t="s">
        <v>1987</v>
      </c>
      <c r="C38" s="3468"/>
      <c r="D38" s="3435"/>
      <c r="E38" s="3435"/>
      <c r="F38" s="3435"/>
      <c r="G38" s="3454">
        <f>+SUM(G39:G40)</f>
        <v>10087329.835245047</v>
      </c>
      <c r="H38" s="3436"/>
      <c r="I38" s="2709"/>
      <c r="J38" s="2651"/>
      <c r="K38" s="760"/>
      <c r="M38" s="760"/>
    </row>
    <row r="39" spans="1:13" s="9" customFormat="1" ht="22.5" customHeight="1">
      <c r="A39" s="3437">
        <v>1</v>
      </c>
      <c r="B39" s="3438" t="s">
        <v>1979</v>
      </c>
      <c r="C39" s="3467" t="s">
        <v>81</v>
      </c>
      <c r="D39" s="3434"/>
      <c r="E39" s="3434"/>
      <c r="F39" s="3434"/>
      <c r="G39" s="3452">
        <f>+'Lương đội phó người Lào'!H16</f>
        <v>8887329.8352450468</v>
      </c>
      <c r="H39" s="3436"/>
      <c r="I39" s="2709">
        <f>+'Lương đội phó người Lào'!H16</f>
        <v>8887329.8352450468</v>
      </c>
      <c r="J39" s="2651"/>
      <c r="K39" s="760"/>
      <c r="M39" s="760"/>
    </row>
    <row r="40" spans="1:13" s="9" customFormat="1" ht="22.5" customHeight="1">
      <c r="A40" s="3437">
        <v>2</v>
      </c>
      <c r="B40" s="3438" t="s">
        <v>1988</v>
      </c>
      <c r="C40" s="3467" t="s">
        <v>81</v>
      </c>
      <c r="D40" s="3434"/>
      <c r="E40" s="3434"/>
      <c r="F40" s="3434"/>
      <c r="G40" s="3452">
        <f>+'Phu cấp người Việt '!F12</f>
        <v>1200000</v>
      </c>
      <c r="H40" s="3436"/>
      <c r="I40" s="2709"/>
      <c r="J40" s="2651"/>
      <c r="K40" s="760"/>
      <c r="M40" s="760"/>
    </row>
    <row r="41" spans="1:13" ht="38.25" customHeight="1">
      <c r="A41" s="4333" t="s">
        <v>1631</v>
      </c>
      <c r="B41" s="4333"/>
      <c r="C41" s="3469"/>
      <c r="D41" s="3434"/>
      <c r="E41" s="3435"/>
      <c r="F41" s="3434"/>
      <c r="G41" s="3454">
        <f>+G38+G35+G13</f>
        <v>398297737.59524506</v>
      </c>
      <c r="H41" s="3436"/>
      <c r="I41" s="8">
        <f>+'[8]PHAN TOAN'!$G$41</f>
        <v>767064279.84524405</v>
      </c>
      <c r="J41" s="2629">
        <f>+G41-I41</f>
        <v>-368766542.24999899</v>
      </c>
      <c r="K41" s="2624"/>
      <c r="L41" s="479"/>
    </row>
    <row r="42" spans="1:13" ht="24.75" customHeight="1">
      <c r="A42" s="4334" t="s">
        <v>2511</v>
      </c>
      <c r="B42" s="4335"/>
      <c r="C42" s="4335"/>
      <c r="D42" s="4335"/>
      <c r="E42" s="4335"/>
      <c r="F42" s="4335"/>
      <c r="G42" s="4335"/>
      <c r="H42" s="4336"/>
      <c r="I42" s="479"/>
      <c r="J42" s="479"/>
      <c r="K42" s="8"/>
    </row>
    <row r="43" spans="1:13" s="476" customFormat="1" ht="18.75" customHeight="1">
      <c r="A43" s="3455"/>
      <c r="B43" s="3455"/>
      <c r="C43" s="3470"/>
      <c r="D43" s="3456"/>
      <c r="E43" s="3471"/>
      <c r="F43" s="3457"/>
      <c r="G43" s="3457"/>
      <c r="H43" s="3458"/>
      <c r="I43" s="2660"/>
      <c r="J43" s="1018"/>
      <c r="K43" s="2687"/>
      <c r="L43" s="2635"/>
    </row>
    <row r="44" spans="1:13" s="476" customFormat="1" ht="18.75">
      <c r="A44" s="2097"/>
      <c r="B44" s="2097"/>
      <c r="C44" s="3472"/>
      <c r="D44" s="3629"/>
      <c r="E44" s="3629"/>
      <c r="F44" s="4337" t="s">
        <v>2162</v>
      </c>
      <c r="G44" s="4337"/>
      <c r="H44" s="4337"/>
      <c r="J44" s="3012"/>
      <c r="K44" s="2639"/>
    </row>
    <row r="45" spans="1:13" s="2640" customFormat="1" ht="18.75">
      <c r="A45" s="4327" t="s">
        <v>1632</v>
      </c>
      <c r="B45" s="4327"/>
      <c r="C45" s="4328" t="s">
        <v>1150</v>
      </c>
      <c r="D45" s="4328"/>
      <c r="E45" s="4329" t="s">
        <v>2141</v>
      </c>
      <c r="F45" s="4329"/>
      <c r="G45" s="4329"/>
      <c r="H45" s="4329"/>
      <c r="J45" s="2641"/>
      <c r="K45" s="2642"/>
    </row>
    <row r="46" spans="1:13" s="476" customFormat="1" ht="18.75">
      <c r="A46" s="2636"/>
      <c r="B46" s="2636"/>
      <c r="C46" s="2637"/>
      <c r="D46" s="2638"/>
      <c r="E46" s="2634"/>
      <c r="F46" s="2643"/>
      <c r="G46" s="2638"/>
      <c r="H46" s="2644"/>
      <c r="I46" s="2660">
        <f>+'Tong luong NT'!K260</f>
        <v>388210407.75999963</v>
      </c>
      <c r="J46" s="3012"/>
      <c r="L46" s="1018">
        <f>G41-G30</f>
        <v>398297737.59524506</v>
      </c>
    </row>
    <row r="47" spans="1:13" s="476" customFormat="1" ht="18.75">
      <c r="A47" s="2636"/>
      <c r="B47" s="2636"/>
      <c r="C47" s="2637"/>
      <c r="D47" s="2638"/>
      <c r="E47" s="2634"/>
      <c r="F47" s="2643"/>
      <c r="G47" s="2638"/>
      <c r="H47" s="2644"/>
      <c r="I47" s="3494">
        <f>+G41-I46</f>
        <v>10087329.83524543</v>
      </c>
      <c r="J47" s="3304"/>
      <c r="K47" s="2710"/>
    </row>
    <row r="48" spans="1:13" s="476" customFormat="1" ht="18.75">
      <c r="A48" s="2636"/>
      <c r="B48" s="2636"/>
      <c r="C48" s="2637"/>
      <c r="D48" s="2638"/>
      <c r="E48" s="2634"/>
      <c r="F48" s="2643"/>
      <c r="G48" s="2638"/>
      <c r="H48" s="2644"/>
      <c r="I48" s="3304">
        <f>+G41-I46</f>
        <v>10087329.83524543</v>
      </c>
      <c r="J48" s="3012">
        <f>+I48-G38</f>
        <v>3.8370490074157715E-7</v>
      </c>
    </row>
    <row r="49" spans="1:10" s="476" customFormat="1" ht="18.75">
      <c r="A49" s="2636"/>
      <c r="B49" s="2636"/>
      <c r="C49" s="2637"/>
      <c r="D49" s="2638"/>
      <c r="E49" s="2634"/>
      <c r="F49" s="2643"/>
      <c r="G49" s="2638"/>
      <c r="H49" s="2644"/>
      <c r="I49" s="3012"/>
      <c r="J49" s="3804">
        <f>+J48/25000</f>
        <v>1.5348196029663087E-11</v>
      </c>
    </row>
    <row r="50" spans="1:10" s="476" customFormat="1" ht="18.75">
      <c r="A50" s="2636"/>
      <c r="B50" s="2636"/>
      <c r="C50" s="2637"/>
      <c r="D50" s="2638"/>
      <c r="E50" s="2634"/>
      <c r="F50" s="4330"/>
      <c r="G50" s="4330"/>
      <c r="H50" s="4330"/>
    </row>
    <row r="51" spans="1:10">
      <c r="A51" s="546"/>
      <c r="B51" s="546"/>
      <c r="C51" s="2645"/>
      <c r="D51" s="2646"/>
      <c r="E51" s="2646"/>
      <c r="F51" s="2646"/>
      <c r="G51" s="2646"/>
      <c r="H51" s="2647"/>
    </row>
    <row r="52" spans="1:10">
      <c r="A52" s="546"/>
      <c r="B52" s="547"/>
      <c r="C52" s="2645"/>
      <c r="D52" s="2646"/>
      <c r="E52" s="2648"/>
      <c r="F52" s="2648"/>
      <c r="G52" s="2648"/>
      <c r="H52" s="2649"/>
      <c r="J52" s="8"/>
    </row>
    <row r="55" spans="1:10" ht="20.100000000000001" customHeight="1">
      <c r="C55" s="4"/>
      <c r="D55" s="4"/>
      <c r="E55" s="4"/>
      <c r="F55" s="4"/>
      <c r="G55" s="4"/>
      <c r="H55" s="4"/>
    </row>
    <row r="56" spans="1:10" ht="28.5" customHeight="1">
      <c r="C56" s="4"/>
      <c r="D56" s="4"/>
      <c r="E56" s="4"/>
      <c r="F56" s="4"/>
      <c r="G56" s="4"/>
      <c r="H56" s="4"/>
    </row>
    <row r="57" spans="1:10">
      <c r="C57" s="4"/>
      <c r="D57" s="4"/>
      <c r="E57" s="4"/>
      <c r="F57" s="4"/>
      <c r="G57" s="4"/>
      <c r="H57" s="4"/>
    </row>
    <row r="58" spans="1:10">
      <c r="C58" s="4"/>
      <c r="D58" s="4"/>
      <c r="E58" s="4"/>
      <c r="F58" s="4"/>
      <c r="G58" s="4"/>
      <c r="H58" s="4"/>
    </row>
    <row r="59" spans="1:10">
      <c r="C59" s="4"/>
      <c r="D59" s="4"/>
      <c r="E59" s="4"/>
      <c r="F59" s="4"/>
      <c r="G59" s="4"/>
      <c r="H59" s="4"/>
    </row>
    <row r="60" spans="1:10">
      <c r="C60" s="4"/>
      <c r="D60" s="4"/>
      <c r="E60" s="4"/>
      <c r="F60" s="4"/>
      <c r="G60" s="4"/>
      <c r="H60" s="4"/>
    </row>
    <row r="61" spans="1:10">
      <c r="C61" s="4"/>
      <c r="D61" s="4"/>
      <c r="E61" s="4"/>
      <c r="F61" s="4"/>
      <c r="G61" s="4"/>
      <c r="H61" s="4"/>
    </row>
    <row r="62" spans="1:10">
      <c r="C62" s="4"/>
      <c r="D62" s="4"/>
      <c r="E62" s="4"/>
      <c r="F62" s="4"/>
      <c r="G62" s="4"/>
      <c r="H62" s="4"/>
    </row>
    <row r="63" spans="1:10">
      <c r="C63" s="4"/>
      <c r="D63" s="4"/>
      <c r="E63" s="4"/>
      <c r="F63" s="4"/>
      <c r="G63" s="4"/>
      <c r="H63" s="4"/>
    </row>
    <row r="64" spans="1:10">
      <c r="C64" s="4"/>
      <c r="D64" s="4"/>
      <c r="E64" s="4"/>
      <c r="F64" s="4"/>
      <c r="G64" s="4"/>
      <c r="H64" s="4"/>
    </row>
    <row r="65" spans="3:8">
      <c r="C65" s="4"/>
      <c r="D65" s="4"/>
      <c r="E65" s="4"/>
      <c r="F65" s="4"/>
      <c r="G65" s="4"/>
      <c r="H65" s="4"/>
    </row>
    <row r="66" spans="3:8">
      <c r="C66" s="4"/>
      <c r="D66" s="4"/>
      <c r="E66" s="4"/>
      <c r="F66" s="4"/>
      <c r="G66" s="4"/>
      <c r="H66" s="4"/>
    </row>
  </sheetData>
  <mergeCells count="14">
    <mergeCell ref="A2:H2"/>
    <mergeCell ref="A3:H3"/>
    <mergeCell ref="A4:H4"/>
    <mergeCell ref="A6:C6"/>
    <mergeCell ref="A7:C7"/>
    <mergeCell ref="A45:B45"/>
    <mergeCell ref="C45:D45"/>
    <mergeCell ref="E45:H45"/>
    <mergeCell ref="F50:H50"/>
    <mergeCell ref="A9:H9"/>
    <mergeCell ref="A10:H10"/>
    <mergeCell ref="A41:B41"/>
    <mergeCell ref="A42:H42"/>
    <mergeCell ref="F44:H44"/>
  </mergeCells>
  <printOptions horizontalCentered="1"/>
  <pageMargins left="0.2" right="0.23622047244094491" top="0.5" bottom="0.56000000000000005" header="0.31496062992125984" footer="0.31496062992125984"/>
  <pageSetup paperSize="9" scale="85" fitToHeight="0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2"/>
  <sheetViews>
    <sheetView topLeftCell="A4" workbookViewId="0">
      <selection activeCell="J13" sqref="J13"/>
    </sheetView>
  </sheetViews>
  <sheetFormatPr defaultColWidth="9.140625" defaultRowHeight="15.75"/>
  <cols>
    <col min="1" max="1" width="8.425781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9.85546875" style="33" customWidth="1"/>
    <col min="6" max="6" width="6.28515625" style="4" customWidth="1"/>
    <col min="7" max="7" width="13.28515625" style="4" customWidth="1"/>
    <col min="8" max="8" width="8.42578125" style="4" customWidth="1"/>
    <col min="9" max="9" width="5.42578125" style="18" customWidth="1"/>
    <col min="10" max="10" width="17.140625" style="4" customWidth="1"/>
    <col min="11" max="11" width="12.7109375" style="4" bestFit="1" customWidth="1"/>
    <col min="12" max="12" width="13.140625" style="4" customWidth="1"/>
    <col min="13" max="13" width="7.7109375" style="4" customWidth="1"/>
    <col min="14" max="14" width="11.140625" style="4" customWidth="1"/>
    <col min="15" max="15" width="23.5703125" style="4" customWidth="1"/>
    <col min="16" max="16" width="13" style="4" customWidth="1"/>
    <col min="17" max="17" width="4.7109375" style="4" hidden="1" customWidth="1"/>
    <col min="18" max="18" width="12.7109375" style="4" bestFit="1" customWidth="1"/>
    <col min="19" max="19" width="15" style="4" bestFit="1" customWidth="1"/>
    <col min="20" max="16384" width="9.140625" style="4"/>
  </cols>
  <sheetData>
    <row r="1" spans="1:19" ht="16.5">
      <c r="A1" s="4171" t="s">
        <v>23</v>
      </c>
      <c r="B1" s="4171"/>
      <c r="C1" s="4171"/>
      <c r="D1" s="4171"/>
      <c r="E1" s="4171"/>
      <c r="F1" s="4171"/>
      <c r="G1" s="4171"/>
      <c r="H1" s="4171"/>
      <c r="I1" s="4171"/>
      <c r="J1" s="4171"/>
      <c r="K1" s="4171"/>
      <c r="L1" s="4171"/>
      <c r="M1" s="4171"/>
      <c r="N1" s="4171"/>
      <c r="O1" s="4171"/>
      <c r="P1" s="4171"/>
      <c r="Q1" s="843"/>
    </row>
    <row r="2" spans="1:19" ht="17.25" customHeight="1">
      <c r="A2" s="4171" t="s">
        <v>45</v>
      </c>
      <c r="B2" s="4171"/>
      <c r="C2" s="4171"/>
      <c r="D2" s="4171"/>
      <c r="E2" s="4171"/>
      <c r="F2" s="4171"/>
      <c r="G2" s="4171"/>
      <c r="H2" s="4171"/>
      <c r="I2" s="4171"/>
      <c r="J2" s="4171"/>
      <c r="K2" s="4171"/>
      <c r="L2" s="4171"/>
      <c r="M2" s="4171"/>
      <c r="N2" s="4171"/>
      <c r="O2" s="4171"/>
      <c r="P2" s="4171"/>
      <c r="Q2" s="843"/>
    </row>
    <row r="3" spans="1:19" ht="12" customHeight="1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2284"/>
    </row>
    <row r="4" spans="1:19" ht="24.75" customHeight="1">
      <c r="A4" s="4339" t="s">
        <v>923</v>
      </c>
      <c r="B4" s="4339"/>
      <c r="C4" s="4339"/>
      <c r="D4" s="4339"/>
      <c r="E4" s="4339"/>
      <c r="F4" s="4339"/>
      <c r="G4" s="84"/>
      <c r="H4" s="85"/>
      <c r="I4" s="85"/>
      <c r="J4" s="86"/>
      <c r="K4" s="86"/>
      <c r="L4" s="87"/>
      <c r="M4" s="87"/>
      <c r="N4" s="87"/>
      <c r="O4" s="88"/>
      <c r="P4" s="87"/>
      <c r="Q4" s="843"/>
    </row>
    <row r="5" spans="1:19" ht="17.25" customHeight="1">
      <c r="A5" s="4139" t="s">
        <v>90</v>
      </c>
      <c r="B5" s="4139"/>
      <c r="C5" s="4139"/>
      <c r="D5" s="4139"/>
      <c r="E5" s="4139"/>
      <c r="F5" s="4139"/>
      <c r="G5" s="84"/>
      <c r="H5" s="85"/>
      <c r="I5" s="85"/>
      <c r="J5" s="86"/>
      <c r="K5" s="86"/>
      <c r="L5" s="87"/>
      <c r="M5" s="87"/>
      <c r="N5" s="87"/>
      <c r="O5" s="88"/>
      <c r="P5" s="87"/>
      <c r="Q5" s="2284"/>
    </row>
    <row r="6" spans="1:19" s="10" customFormat="1" ht="31.5" customHeight="1">
      <c r="A6" s="4331" t="s">
        <v>2151</v>
      </c>
      <c r="B6" s="4331"/>
      <c r="C6" s="4331"/>
      <c r="D6" s="4331"/>
      <c r="E6" s="4331"/>
      <c r="F6" s="4331"/>
      <c r="G6" s="4331"/>
      <c r="H6" s="4331"/>
      <c r="I6" s="4331"/>
      <c r="J6" s="4331"/>
      <c r="K6" s="4331"/>
      <c r="L6" s="4331"/>
      <c r="M6" s="4331"/>
      <c r="N6" s="4331"/>
      <c r="O6" s="4331"/>
      <c r="P6" s="4331"/>
      <c r="Q6" s="4331"/>
    </row>
    <row r="7" spans="1:19" s="10" customFormat="1" ht="15" customHeight="1">
      <c r="A7" s="4353"/>
      <c r="B7" s="4353"/>
      <c r="C7" s="4353"/>
      <c r="D7" s="4353"/>
      <c r="E7" s="4353"/>
      <c r="F7" s="4353"/>
      <c r="G7" s="4353"/>
      <c r="H7" s="4353"/>
      <c r="I7" s="4353"/>
      <c r="J7" s="4353"/>
      <c r="K7" s="4353"/>
      <c r="L7" s="4353"/>
      <c r="M7" s="4353"/>
      <c r="N7" s="4353"/>
      <c r="O7" s="4353"/>
      <c r="P7" s="4353"/>
      <c r="Q7" s="4353"/>
    </row>
    <row r="8" spans="1:19" s="10" customFormat="1" ht="30.75" customHeight="1">
      <c r="A8" s="1463" t="s">
        <v>0</v>
      </c>
      <c r="B8" s="4356" t="s">
        <v>1140</v>
      </c>
      <c r="C8" s="4356"/>
      <c r="D8" s="4356" t="s">
        <v>1141</v>
      </c>
      <c r="E8" s="4356"/>
      <c r="F8" s="4356"/>
      <c r="G8" s="4356" t="s">
        <v>807</v>
      </c>
      <c r="H8" s="4356"/>
      <c r="I8" s="4356"/>
      <c r="J8" s="1557" t="s">
        <v>500</v>
      </c>
      <c r="K8" s="4356" t="s">
        <v>1142</v>
      </c>
      <c r="L8" s="4356"/>
      <c r="M8" s="4143" t="s">
        <v>1143</v>
      </c>
      <c r="N8" s="4356"/>
      <c r="O8" s="4356" t="s">
        <v>1144</v>
      </c>
      <c r="P8" s="4356"/>
      <c r="Q8" s="1465"/>
    </row>
    <row r="9" spans="1:19" s="10" customFormat="1" ht="24.75" customHeight="1">
      <c r="A9" s="2378">
        <v>1</v>
      </c>
      <c r="B9" s="4343" t="s">
        <v>1147</v>
      </c>
      <c r="C9" s="4343"/>
      <c r="D9" s="4342" t="s">
        <v>253</v>
      </c>
      <c r="E9" s="4342"/>
      <c r="F9" s="4342"/>
      <c r="G9" s="4341" t="s">
        <v>2150</v>
      </c>
      <c r="H9" s="4341"/>
      <c r="I9" s="4341"/>
      <c r="J9" s="2286">
        <v>0</v>
      </c>
      <c r="K9" s="4340">
        <v>25000</v>
      </c>
      <c r="L9" s="4340"/>
      <c r="M9" s="4340">
        <f>+J9*K9</f>
        <v>0</v>
      </c>
      <c r="N9" s="4340"/>
      <c r="O9" s="4342"/>
      <c r="P9" s="4342"/>
      <c r="Q9" s="1471"/>
    </row>
    <row r="10" spans="1:19" s="10" customFormat="1" ht="24.75" customHeight="1">
      <c r="A10" s="2378">
        <v>2</v>
      </c>
      <c r="B10" s="4343" t="s">
        <v>994</v>
      </c>
      <c r="C10" s="4343"/>
      <c r="D10" s="4342" t="s">
        <v>430</v>
      </c>
      <c r="E10" s="4342"/>
      <c r="F10" s="4342"/>
      <c r="G10" s="4341" t="s">
        <v>2150</v>
      </c>
      <c r="H10" s="4341"/>
      <c r="I10" s="4341"/>
      <c r="J10" s="2286">
        <v>0</v>
      </c>
      <c r="K10" s="4340">
        <v>25000</v>
      </c>
      <c r="L10" s="4340"/>
      <c r="M10" s="4340">
        <f>+J10*K10</f>
        <v>0</v>
      </c>
      <c r="N10" s="4340"/>
      <c r="O10" s="4342"/>
      <c r="P10" s="4342"/>
      <c r="Q10" s="1471"/>
    </row>
    <row r="11" spans="1:19" s="10" customFormat="1" ht="24.75" hidden="1" customHeight="1">
      <c r="A11" s="3525">
        <v>3</v>
      </c>
      <c r="B11" s="4359" t="s">
        <v>2099</v>
      </c>
      <c r="C11" s="4360"/>
      <c r="D11" s="4357" t="s">
        <v>430</v>
      </c>
      <c r="E11" s="4361"/>
      <c r="F11" s="4358"/>
      <c r="G11" s="4362" t="s">
        <v>2094</v>
      </c>
      <c r="H11" s="4363"/>
      <c r="I11" s="4364"/>
      <c r="J11" s="2286">
        <v>0</v>
      </c>
      <c r="K11" s="4340">
        <v>25000</v>
      </c>
      <c r="L11" s="4340"/>
      <c r="M11" s="4340">
        <f t="shared" ref="M11:M12" si="0">+J11*K11</f>
        <v>0</v>
      </c>
      <c r="N11" s="4340"/>
      <c r="O11" s="4357"/>
      <c r="P11" s="4358"/>
      <c r="Q11" s="3524"/>
    </row>
    <row r="12" spans="1:19" s="10" customFormat="1" ht="24.75" hidden="1" customHeight="1">
      <c r="A12" s="3525">
        <v>4</v>
      </c>
      <c r="B12" s="4343" t="s">
        <v>1009</v>
      </c>
      <c r="C12" s="4343"/>
      <c r="D12" s="4342" t="s">
        <v>430</v>
      </c>
      <c r="E12" s="4342"/>
      <c r="F12" s="4342"/>
      <c r="G12" s="4341" t="s">
        <v>2095</v>
      </c>
      <c r="H12" s="4341"/>
      <c r="I12" s="4341"/>
      <c r="J12" s="2286">
        <v>0</v>
      </c>
      <c r="K12" s="4340">
        <v>25000</v>
      </c>
      <c r="L12" s="4340"/>
      <c r="M12" s="4340">
        <f t="shared" si="0"/>
        <v>0</v>
      </c>
      <c r="N12" s="4340"/>
      <c r="O12" s="4342"/>
      <c r="P12" s="4342"/>
      <c r="Q12" s="2285"/>
    </row>
    <row r="13" spans="1:19" s="10" customFormat="1" ht="24.75" customHeight="1">
      <c r="A13" s="4350" t="s">
        <v>61</v>
      </c>
      <c r="B13" s="4351"/>
      <c r="C13" s="4351"/>
      <c r="D13" s="4351"/>
      <c r="E13" s="4351"/>
      <c r="F13" s="4351"/>
      <c r="G13" s="4351"/>
      <c r="H13" s="4351"/>
      <c r="I13" s="4347"/>
      <c r="J13" s="1558">
        <f>+SUM(J9:J12)</f>
        <v>0</v>
      </c>
      <c r="K13" s="4346"/>
      <c r="L13" s="4347"/>
      <c r="M13" s="4348">
        <f>SUM(M9:N12)</f>
        <v>0</v>
      </c>
      <c r="N13" s="4349"/>
      <c r="O13" s="4346"/>
      <c r="P13" s="4347"/>
      <c r="Q13" s="1462"/>
      <c r="S13" s="1509" t="e">
        <f>+J13*#REF!</f>
        <v>#REF!</v>
      </c>
    </row>
    <row r="14" spans="1:19" s="10" customFormat="1" ht="24.75" customHeight="1">
      <c r="A14" s="4344" t="s">
        <v>2152</v>
      </c>
      <c r="B14" s="4344"/>
      <c r="C14" s="4344"/>
      <c r="D14" s="4344"/>
      <c r="E14" s="4344"/>
      <c r="F14" s="4344"/>
      <c r="G14" s="4344"/>
      <c r="H14" s="4344"/>
      <c r="I14" s="4344"/>
      <c r="J14" s="4344"/>
      <c r="K14" s="4344"/>
      <c r="L14" s="4344"/>
      <c r="M14" s="4344"/>
      <c r="N14" s="4344"/>
      <c r="O14" s="4344"/>
      <c r="P14" s="4344"/>
      <c r="Q14" s="1462"/>
      <c r="S14" s="1509"/>
    </row>
    <row r="15" spans="1:19" s="44" customFormat="1" ht="15" customHeight="1">
      <c r="A15" s="87"/>
      <c r="B15" s="87"/>
      <c r="C15" s="1466"/>
      <c r="D15" s="87"/>
      <c r="E15" s="1467"/>
      <c r="F15" s="87"/>
      <c r="G15" s="1468"/>
      <c r="H15" s="87"/>
      <c r="I15" s="87"/>
      <c r="J15" s="1469"/>
      <c r="K15" s="4345" t="s">
        <v>2142</v>
      </c>
      <c r="L15" s="4345"/>
      <c r="M15" s="4345"/>
      <c r="N15" s="4345"/>
      <c r="O15" s="4345"/>
      <c r="P15" s="4345"/>
      <c r="Q15" s="4354"/>
    </row>
    <row r="16" spans="1:19" s="42" customFormat="1" ht="21" customHeight="1">
      <c r="A16" s="4171" t="s">
        <v>19</v>
      </c>
      <c r="B16" s="4171"/>
      <c r="C16" s="4171"/>
      <c r="D16" s="4171"/>
      <c r="E16" s="4171" t="s">
        <v>495</v>
      </c>
      <c r="F16" s="4171"/>
      <c r="G16" s="4171"/>
      <c r="H16" s="4171"/>
      <c r="I16" s="4171"/>
      <c r="J16" s="4171" t="s">
        <v>20</v>
      </c>
      <c r="K16" s="4171"/>
      <c r="L16" s="4171"/>
      <c r="M16" s="4171"/>
      <c r="N16" s="4171" t="s">
        <v>21</v>
      </c>
      <c r="O16" s="4171"/>
      <c r="P16" s="4171"/>
      <c r="Q16" s="4355"/>
      <c r="S16" s="1724"/>
    </row>
    <row r="17" spans="1:19" s="41" customFormat="1" ht="48.75" customHeight="1">
      <c r="A17" s="4"/>
      <c r="B17" s="43"/>
      <c r="C17" s="844"/>
      <c r="D17" s="4"/>
      <c r="E17" s="33"/>
      <c r="F17" s="4"/>
      <c r="G17" s="765"/>
      <c r="H17" s="4"/>
      <c r="I17" s="18"/>
      <c r="J17" s="4"/>
      <c r="K17" s="4"/>
      <c r="L17" s="19"/>
      <c r="M17" s="4"/>
      <c r="N17" s="4"/>
      <c r="O17" s="4"/>
      <c r="P17" s="4"/>
      <c r="Q17" s="841" t="s">
        <v>115</v>
      </c>
    </row>
    <row r="18" spans="1:19" s="42" customFormat="1">
      <c r="A18" s="4"/>
      <c r="B18" s="43"/>
      <c r="C18" s="19"/>
      <c r="D18" s="4"/>
      <c r="E18" s="33"/>
      <c r="F18" s="4"/>
      <c r="G18" s="765"/>
      <c r="H18" s="20"/>
      <c r="I18" s="4"/>
      <c r="J18" s="6"/>
      <c r="K18" s="19"/>
      <c r="L18" s="19"/>
      <c r="M18" s="19"/>
      <c r="N18" s="19"/>
      <c r="O18" s="19"/>
      <c r="P18" s="4"/>
      <c r="Q18" s="845">
        <v>19</v>
      </c>
    </row>
    <row r="19" spans="1:19" s="42" customFormat="1" ht="16.5" customHeight="1">
      <c r="A19" s="4"/>
      <c r="B19" s="43"/>
      <c r="C19" s="19"/>
      <c r="D19" s="4"/>
      <c r="E19" s="33"/>
      <c r="F19" s="4"/>
      <c r="G19" s="115"/>
      <c r="H19" s="20"/>
      <c r="I19" s="4"/>
      <c r="J19" s="19"/>
      <c r="K19" s="19"/>
      <c r="L19" s="19"/>
      <c r="M19" s="19"/>
      <c r="N19" s="19"/>
      <c r="O19" s="19"/>
      <c r="P19" s="4"/>
      <c r="Q19" s="671" t="s">
        <v>18</v>
      </c>
    </row>
    <row r="20" spans="1:19" s="42" customFormat="1" ht="16.5" customHeight="1">
      <c r="A20" s="4"/>
      <c r="B20" s="43"/>
      <c r="C20" s="19"/>
      <c r="D20" s="4"/>
      <c r="E20" s="33"/>
      <c r="F20" s="4"/>
      <c r="G20" s="115"/>
      <c r="H20" s="4"/>
      <c r="I20" s="4"/>
      <c r="J20" s="6"/>
      <c r="K20" s="19"/>
      <c r="L20" s="19"/>
      <c r="M20" s="19"/>
      <c r="N20" s="19"/>
      <c r="O20" s="4"/>
      <c r="P20" s="4"/>
      <c r="Q20" s="675" t="s">
        <v>202</v>
      </c>
      <c r="S20" s="728"/>
    </row>
    <row r="21" spans="1:19" s="131" customFormat="1" ht="16.5" customHeight="1">
      <c r="A21" s="4"/>
      <c r="B21" s="43"/>
      <c r="C21" s="19"/>
      <c r="D21" s="4"/>
      <c r="E21" s="33"/>
      <c r="F21" s="4"/>
      <c r="G21" s="115"/>
      <c r="H21" s="4"/>
      <c r="I21" s="4"/>
      <c r="J21" s="19"/>
      <c r="K21" s="1313"/>
      <c r="L21" s="1313"/>
      <c r="M21" s="19"/>
      <c r="N21" s="4"/>
      <c r="O21" s="4"/>
      <c r="P21" s="4"/>
      <c r="Q21" s="302"/>
      <c r="R21" s="130"/>
      <c r="S21" s="130"/>
    </row>
    <row r="22" spans="1:19" s="38" customFormat="1" ht="22.5" customHeight="1">
      <c r="A22" s="4171"/>
      <c r="B22" s="4171"/>
      <c r="C22" s="4171"/>
      <c r="D22" s="4171"/>
      <c r="E22" s="4171"/>
      <c r="F22" s="4171"/>
      <c r="G22" s="4171"/>
      <c r="H22" s="4171"/>
      <c r="I22" s="4171"/>
      <c r="J22" s="4"/>
      <c r="K22" s="58"/>
      <c r="L22" s="1506"/>
      <c r="M22" s="39"/>
      <c r="N22" s="4352"/>
      <c r="O22" s="4352"/>
      <c r="P22" s="4352"/>
    </row>
    <row r="23" spans="1:19" ht="18" customHeight="1">
      <c r="I23" s="4"/>
      <c r="L23" s="1461"/>
      <c r="M23" s="6"/>
      <c r="N23" s="40"/>
    </row>
    <row r="24" spans="1:19" s="9" customFormat="1">
      <c r="A24" s="4"/>
      <c r="B24" s="43"/>
      <c r="C24" s="4"/>
      <c r="D24" s="4"/>
      <c r="E24" s="33"/>
      <c r="F24" s="4"/>
      <c r="G24" s="4"/>
      <c r="H24" s="4"/>
      <c r="I24" s="18"/>
      <c r="J24" s="4090"/>
      <c r="K24" s="4090"/>
      <c r="L24" s="1"/>
      <c r="N24" s="853"/>
    </row>
    <row r="25" spans="1:19">
      <c r="M25" s="19"/>
      <c r="N25" s="115"/>
    </row>
    <row r="26" spans="1:19">
      <c r="G26" s="8"/>
    </row>
    <row r="28" spans="1:19">
      <c r="O28" s="4094"/>
      <c r="P28" s="4094"/>
    </row>
    <row r="29" spans="1:19">
      <c r="R29" s="19"/>
    </row>
    <row r="32" spans="1:19">
      <c r="Q32" s="67"/>
    </row>
  </sheetData>
  <mergeCells count="53">
    <mergeCell ref="K11:L11"/>
    <mergeCell ref="M11:N11"/>
    <mergeCell ref="O10:P10"/>
    <mergeCell ref="B9:C9"/>
    <mergeCell ref="D9:F9"/>
    <mergeCell ref="B10:C10"/>
    <mergeCell ref="D10:F10"/>
    <mergeCell ref="O11:P11"/>
    <mergeCell ref="B11:C11"/>
    <mergeCell ref="D11:F11"/>
    <mergeCell ref="G11:I11"/>
    <mergeCell ref="A1:P1"/>
    <mergeCell ref="A2:P2"/>
    <mergeCell ref="A3:P3"/>
    <mergeCell ref="A5:F5"/>
    <mergeCell ref="A4:F4"/>
    <mergeCell ref="A7:Q7"/>
    <mergeCell ref="A6:Q6"/>
    <mergeCell ref="M9:N9"/>
    <mergeCell ref="O9:P9"/>
    <mergeCell ref="Q15:Q16"/>
    <mergeCell ref="G8:I8"/>
    <mergeCell ref="K8:L8"/>
    <mergeCell ref="B8:C8"/>
    <mergeCell ref="D8:F8"/>
    <mergeCell ref="M8:N8"/>
    <mergeCell ref="O8:P8"/>
    <mergeCell ref="G9:I9"/>
    <mergeCell ref="K10:L10"/>
    <mergeCell ref="M10:N10"/>
    <mergeCell ref="G10:I10"/>
    <mergeCell ref="K9:L9"/>
    <mergeCell ref="J24:K24"/>
    <mergeCell ref="O28:P28"/>
    <mergeCell ref="A16:D16"/>
    <mergeCell ref="J16:M16"/>
    <mergeCell ref="N16:P16"/>
    <mergeCell ref="E16:I16"/>
    <mergeCell ref="A22:D22"/>
    <mergeCell ref="E22:I22"/>
    <mergeCell ref="N22:P22"/>
    <mergeCell ref="A14:P14"/>
    <mergeCell ref="K15:P15"/>
    <mergeCell ref="K13:L13"/>
    <mergeCell ref="M13:N13"/>
    <mergeCell ref="O13:P13"/>
    <mergeCell ref="A13:I13"/>
    <mergeCell ref="K12:L12"/>
    <mergeCell ref="M12:N12"/>
    <mergeCell ref="G12:I12"/>
    <mergeCell ref="O12:P12"/>
    <mergeCell ref="B12:C12"/>
    <mergeCell ref="D12:F12"/>
  </mergeCells>
  <phoneticPr fontId="54" type="noConversion"/>
  <pageMargins left="0.43307086614173229" right="0" top="0.51181102362204722" bottom="0" header="0.23622047244094491" footer="0.51181102362204722"/>
  <pageSetup paperSize="9" scale="75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2:K70"/>
  <sheetViews>
    <sheetView topLeftCell="A39" zoomScale="85" zoomScaleNormal="85" workbookViewId="0">
      <selection activeCell="H48" sqref="H48"/>
    </sheetView>
  </sheetViews>
  <sheetFormatPr defaultColWidth="9.140625" defaultRowHeight="15.75"/>
  <cols>
    <col min="1" max="1" width="5.85546875" style="4" customWidth="1"/>
    <col min="2" max="2" width="35.28515625" style="4" customWidth="1"/>
    <col min="3" max="3" width="22.7109375" style="2622" customWidth="1"/>
    <col min="4" max="4" width="18.85546875" style="2624" customWidth="1"/>
    <col min="5" max="5" width="22.140625" style="2624" customWidth="1"/>
    <col min="6" max="6" width="17.42578125" style="2625" customWidth="1"/>
    <col min="7" max="7" width="22.28515625" style="4" customWidth="1"/>
    <col min="8" max="8" width="38.140625" style="4" customWidth="1"/>
    <col min="9" max="9" width="27" style="4" bestFit="1" customWidth="1"/>
    <col min="10" max="10" width="15.5703125" style="4" bestFit="1" customWidth="1"/>
    <col min="11" max="11" width="11.85546875" style="4" customWidth="1"/>
    <col min="12" max="16384" width="9.140625" style="4"/>
  </cols>
  <sheetData>
    <row r="2" spans="1:10">
      <c r="A2" s="4090" t="s">
        <v>23</v>
      </c>
      <c r="B2" s="4090"/>
      <c r="C2" s="4090"/>
      <c r="D2" s="4090"/>
      <c r="E2" s="4090"/>
      <c r="F2" s="4090"/>
    </row>
    <row r="3" spans="1:10">
      <c r="A3" s="4090" t="s">
        <v>45</v>
      </c>
      <c r="B3" s="4090"/>
      <c r="C3" s="4090"/>
      <c r="D3" s="4090"/>
      <c r="E3" s="4090"/>
      <c r="F3" s="4090"/>
    </row>
    <row r="4" spans="1:10" ht="17.25" customHeight="1">
      <c r="A4" s="3900" t="s">
        <v>1580</v>
      </c>
      <c r="B4" s="4090"/>
      <c r="C4" s="4090"/>
      <c r="D4" s="4090"/>
      <c r="E4" s="4090"/>
      <c r="F4" s="4090"/>
    </row>
    <row r="5" spans="1:10" ht="19.5" customHeight="1">
      <c r="E5" s="2622"/>
      <c r="F5" s="2626"/>
    </row>
    <row r="6" spans="1:10" ht="20.25" customHeight="1">
      <c r="A6" s="4366" t="s">
        <v>922</v>
      </c>
      <c r="B6" s="4366"/>
      <c r="C6" s="4366"/>
      <c r="E6" s="2622"/>
      <c r="F6" s="2626"/>
    </row>
    <row r="7" spans="1:10" ht="23.25" customHeight="1">
      <c r="A7" s="4071" t="s">
        <v>90</v>
      </c>
      <c r="B7" s="4071"/>
      <c r="C7" s="4071"/>
      <c r="E7" s="2622"/>
      <c r="F7" s="2626"/>
    </row>
    <row r="8" spans="1:10" ht="15.75" customHeight="1">
      <c r="A8" s="3422"/>
      <c r="B8" s="3422"/>
      <c r="E8" s="2622"/>
      <c r="F8" s="2626"/>
    </row>
    <row r="9" spans="1:10" s="10" customFormat="1" ht="27" customHeight="1">
      <c r="A9" s="4331" t="s">
        <v>2404</v>
      </c>
      <c r="B9" s="4331"/>
      <c r="C9" s="4331"/>
      <c r="D9" s="4331"/>
      <c r="E9" s="4331"/>
      <c r="F9" s="4331"/>
    </row>
    <row r="10" spans="1:10" ht="18" customHeight="1">
      <c r="A10" s="4332" t="s">
        <v>2405</v>
      </c>
      <c r="B10" s="4332"/>
      <c r="C10" s="4332"/>
      <c r="D10" s="4332"/>
      <c r="E10" s="4332"/>
      <c r="F10" s="4332"/>
    </row>
    <row r="11" spans="1:10" ht="20.100000000000001" customHeight="1">
      <c r="A11" s="2382"/>
      <c r="B11" s="2382"/>
      <c r="D11" s="2622"/>
      <c r="E11" s="2622"/>
      <c r="F11" s="3336" t="s">
        <v>1984</v>
      </c>
      <c r="G11" s="128">
        <f>+'Đội 1'!E12</f>
        <v>646.20000000000005</v>
      </c>
    </row>
    <row r="12" spans="1:10" s="473" customFormat="1" ht="63" customHeight="1">
      <c r="A12" s="3421" t="s">
        <v>0</v>
      </c>
      <c r="B12" s="3421" t="s">
        <v>454</v>
      </c>
      <c r="C12" s="3430" t="s">
        <v>455</v>
      </c>
      <c r="D12" s="3430" t="s">
        <v>1985</v>
      </c>
      <c r="E12" s="3430" t="s">
        <v>1986</v>
      </c>
      <c r="F12" s="3431" t="s">
        <v>92</v>
      </c>
    </row>
    <row r="13" spans="1:10" ht="20.100000000000001" hidden="1" customHeight="1">
      <c r="A13" s="3432" t="s">
        <v>141</v>
      </c>
      <c r="B13" s="3433" t="s">
        <v>1626</v>
      </c>
      <c r="C13" s="3434"/>
      <c r="D13" s="3434"/>
      <c r="E13" s="3435" t="e">
        <f>+E14+E31</f>
        <v>#REF!</v>
      </c>
      <c r="F13" s="3436"/>
      <c r="G13" s="2774" t="e">
        <f>+E31+G14</f>
        <v>#REF!</v>
      </c>
      <c r="H13" s="2627" t="e">
        <f>+G13-E13</f>
        <v>#REF!</v>
      </c>
      <c r="I13" s="2628"/>
    </row>
    <row r="14" spans="1:10" ht="20.100000000000001" hidden="1" customHeight="1">
      <c r="A14" s="3432" t="s">
        <v>140</v>
      </c>
      <c r="B14" s="3433" t="s">
        <v>1980</v>
      </c>
      <c r="C14" s="3434"/>
      <c r="D14" s="3434"/>
      <c r="E14" s="3435" t="e">
        <f>+E16+E23+E29+E30</f>
        <v>#REF!</v>
      </c>
      <c r="F14" s="3436"/>
      <c r="G14" s="6">
        <f>+VCKD!T219+BVNT!K46</f>
        <v>367719507.75999999</v>
      </c>
      <c r="H14" s="3026" t="e">
        <f>+E14-G14</f>
        <v>#REF!</v>
      </c>
      <c r="I14" s="2628" t="e">
        <f>+H14/25000</f>
        <v>#REF!</v>
      </c>
    </row>
    <row r="15" spans="1:10" ht="20.100000000000001" hidden="1" customHeight="1">
      <c r="A15" s="3437">
        <v>1</v>
      </c>
      <c r="B15" s="3438" t="s">
        <v>1148</v>
      </c>
      <c r="C15" s="3434"/>
      <c r="D15" s="3434"/>
      <c r="E15" s="3434" t="e">
        <f>E16+E23+E29</f>
        <v>#REF!</v>
      </c>
      <c r="F15" s="3439"/>
      <c r="G15" s="6"/>
      <c r="H15" s="19"/>
    </row>
    <row r="16" spans="1:10" ht="20.100000000000001" hidden="1" customHeight="1">
      <c r="A16" s="3440" t="s">
        <v>1281</v>
      </c>
      <c r="B16" s="3441" t="s">
        <v>456</v>
      </c>
      <c r="C16" s="3434"/>
      <c r="D16" s="3434"/>
      <c r="E16" s="3434" t="e">
        <f>SUM(E17:E22)</f>
        <v>#REF!</v>
      </c>
      <c r="F16" s="3439"/>
      <c r="G16" s="6">
        <f>+'Tong luong NT'!I260</f>
        <v>40288061</v>
      </c>
      <c r="H16" s="6" t="e">
        <f>+G16-E16</f>
        <v>#REF!</v>
      </c>
      <c r="I16" s="2630"/>
      <c r="J16" s="2631"/>
    </row>
    <row r="17" spans="1:11" ht="22.5" hidden="1" customHeight="1">
      <c r="A17" s="3437"/>
      <c r="B17" s="3438" t="s">
        <v>1627</v>
      </c>
      <c r="C17" s="3434"/>
      <c r="D17" s="3442">
        <f>6.1*$G$11</f>
        <v>3941.82</v>
      </c>
      <c r="E17" s="3434" t="e">
        <f>#REF!*D17</f>
        <v>#REF!</v>
      </c>
      <c r="F17" s="3439"/>
      <c r="H17" s="921"/>
      <c r="I17" s="479"/>
    </row>
    <row r="18" spans="1:11" ht="22.5" hidden="1" customHeight="1">
      <c r="A18" s="3437"/>
      <c r="B18" s="3438" t="s">
        <v>1628</v>
      </c>
      <c r="C18" s="3434"/>
      <c r="D18" s="3442">
        <f>5.8*$G$11</f>
        <v>3747.96</v>
      </c>
      <c r="E18" s="3434" t="e">
        <f>#REF!*D18</f>
        <v>#REF!</v>
      </c>
      <c r="F18" s="3439"/>
      <c r="H18" s="2774"/>
      <c r="I18" s="1489"/>
    </row>
    <row r="19" spans="1:11" ht="22.5" hidden="1" customHeight="1">
      <c r="A19" s="3437"/>
      <c r="B19" s="3438" t="s">
        <v>1629</v>
      </c>
      <c r="C19" s="3434"/>
      <c r="D19" s="3442">
        <f>5.5*$G$11</f>
        <v>3554.1000000000004</v>
      </c>
      <c r="E19" s="3434" t="e">
        <f>#REF!*D19</f>
        <v>#REF!</v>
      </c>
      <c r="F19" s="3439"/>
      <c r="I19" s="1489"/>
    </row>
    <row r="20" spans="1:11" ht="22.5" hidden="1" customHeight="1">
      <c r="A20" s="3437"/>
      <c r="B20" s="3438" t="s">
        <v>1937</v>
      </c>
      <c r="C20" s="3434"/>
      <c r="D20" s="3442">
        <f>5.2*$G$11</f>
        <v>3360.2400000000002</v>
      </c>
      <c r="E20" s="3434" t="e">
        <f>#REF!*D20</f>
        <v>#REF!</v>
      </c>
      <c r="F20" s="3439"/>
      <c r="H20" s="2774"/>
      <c r="I20" s="1489"/>
    </row>
    <row r="21" spans="1:11" ht="22.5" hidden="1" customHeight="1">
      <c r="A21" s="3437"/>
      <c r="B21" s="3438" t="s">
        <v>1633</v>
      </c>
      <c r="C21" s="3434"/>
      <c r="D21" s="3442">
        <f>+(6.1+0.6)*$G$11</f>
        <v>4329.54</v>
      </c>
      <c r="E21" s="3434" t="e">
        <f>#REF!*D21</f>
        <v>#REF!</v>
      </c>
      <c r="F21" s="3439"/>
      <c r="H21" s="2774"/>
      <c r="I21" s="1489"/>
    </row>
    <row r="22" spans="1:11" ht="22.5" hidden="1" customHeight="1">
      <c r="A22" s="3437"/>
      <c r="B22" s="3438" t="s">
        <v>1634</v>
      </c>
      <c r="C22" s="3434"/>
      <c r="D22" s="3442">
        <f>(5.8+0.6)*$G$11</f>
        <v>4135.68</v>
      </c>
      <c r="E22" s="3434" t="e">
        <f>#REF!*D22</f>
        <v>#REF!</v>
      </c>
      <c r="F22" s="3439"/>
      <c r="H22" s="2774"/>
      <c r="I22" s="1489"/>
    </row>
    <row r="23" spans="1:11" ht="22.5" hidden="1" customHeight="1">
      <c r="A23" s="3440" t="s">
        <v>1282</v>
      </c>
      <c r="B23" s="3441" t="s">
        <v>457</v>
      </c>
      <c r="C23" s="3434"/>
      <c r="D23" s="3442"/>
      <c r="E23" s="3434">
        <f>SUM(E24:E28)</f>
        <v>1914649725854.26</v>
      </c>
      <c r="F23" s="3439"/>
      <c r="G23" s="8">
        <f>+'Tong luong NT'!J260</f>
        <v>241631446.75999996</v>
      </c>
      <c r="H23" s="8" t="e">
        <f>+#REF!-G23</f>
        <v>#REF!</v>
      </c>
      <c r="I23" s="1489"/>
      <c r="J23" s="479"/>
    </row>
    <row r="24" spans="1:11" ht="22.5" hidden="1" customHeight="1">
      <c r="A24" s="3437"/>
      <c r="B24" s="3438" t="s">
        <v>824</v>
      </c>
      <c r="C24" s="3443">
        <f>+VCKD!N219</f>
        <v>2231</v>
      </c>
      <c r="D24" s="3442">
        <f>46.1*$G$11</f>
        <v>29789.820000000003</v>
      </c>
      <c r="E24" s="3434">
        <f>C24*D24</f>
        <v>66461088.420000009</v>
      </c>
      <c r="F24" s="3439"/>
      <c r="H24" s="6"/>
      <c r="I24" s="6"/>
    </row>
    <row r="25" spans="1:11" s="58" customFormat="1" ht="22.5" hidden="1" customHeight="1">
      <c r="A25" s="3437"/>
      <c r="B25" s="3438" t="s">
        <v>1597</v>
      </c>
      <c r="C25" s="3443">
        <f>+VCKD!O219</f>
        <v>450</v>
      </c>
      <c r="D25" s="3442">
        <f>76.9*$G$11</f>
        <v>49692.780000000006</v>
      </c>
      <c r="E25" s="3434">
        <f>C25*D25</f>
        <v>22361751.000000004</v>
      </c>
      <c r="F25" s="3439"/>
      <c r="G25" s="4"/>
      <c r="H25" s="3223"/>
    </row>
    <row r="26" spans="1:11" s="58" customFormat="1" ht="22.5" hidden="1" customHeight="1">
      <c r="A26" s="3437"/>
      <c r="B26" s="3438" t="s">
        <v>1635</v>
      </c>
      <c r="C26" s="3443">
        <f>+VCKD!Q219</f>
        <v>68</v>
      </c>
      <c r="D26" s="3442">
        <v>20000</v>
      </c>
      <c r="E26" s="3434">
        <f>C26*D26</f>
        <v>1360000</v>
      </c>
      <c r="F26" s="3439"/>
      <c r="G26" s="4"/>
      <c r="H26" s="2632"/>
    </row>
    <row r="27" spans="1:11" s="58" customFormat="1" ht="22.5" hidden="1" customHeight="1">
      <c r="A27" s="3437"/>
      <c r="B27" s="3438" t="s">
        <v>1931</v>
      </c>
      <c r="C27" s="3443">
        <f>+VCKD!P219</f>
        <v>2681</v>
      </c>
      <c r="D27" s="3442">
        <f>+D24*2</f>
        <v>59579.640000000007</v>
      </c>
      <c r="E27" s="3434">
        <f>C27*D27</f>
        <v>159733014.84</v>
      </c>
      <c r="F27" s="3439"/>
      <c r="G27" s="4"/>
      <c r="H27" s="2632"/>
      <c r="I27" s="3224"/>
    </row>
    <row r="28" spans="1:11" s="58" customFormat="1" ht="22.5" hidden="1" customHeight="1">
      <c r="A28" s="3437"/>
      <c r="B28" s="3438" t="s">
        <v>2011</v>
      </c>
      <c r="C28" s="3444">
        <f>+VCKD!R219</f>
        <v>96500000</v>
      </c>
      <c r="D28" s="3442">
        <f>30.7*$G$11</f>
        <v>19838.34</v>
      </c>
      <c r="E28" s="3434">
        <f>C28*D28</f>
        <v>1914399810000</v>
      </c>
      <c r="F28" s="3439"/>
      <c r="G28" s="4"/>
      <c r="H28" s="2632"/>
      <c r="I28" s="3224"/>
    </row>
    <row r="29" spans="1:11" ht="22.5" hidden="1" customHeight="1">
      <c r="A29" s="3440" t="s">
        <v>1283</v>
      </c>
      <c r="B29" s="3438" t="s">
        <v>458</v>
      </c>
      <c r="C29" s="3445" t="e">
        <f>+#REF!</f>
        <v>#REF!</v>
      </c>
      <c r="D29" s="3442">
        <v>25000</v>
      </c>
      <c r="E29" s="3434" t="e">
        <f>+C29*D29</f>
        <v>#REF!</v>
      </c>
      <c r="F29" s="3439"/>
      <c r="G29" s="4" t="e">
        <f>+'Tong luong NT'!#REF!+'Tong luong NT'!#REF!+'Tong luong NT'!H48</f>
        <v>#REF!</v>
      </c>
      <c r="H29" s="6" t="e">
        <f>+#REF!-G29</f>
        <v>#REF!</v>
      </c>
      <c r="I29" s="765"/>
    </row>
    <row r="30" spans="1:11" s="9" customFormat="1" ht="22.5" hidden="1" customHeight="1">
      <c r="A30" s="3437">
        <v>2</v>
      </c>
      <c r="B30" s="3438" t="s">
        <v>459</v>
      </c>
      <c r="C30" s="3446" t="e">
        <f>+#REF!</f>
        <v>#REF!</v>
      </c>
      <c r="D30" s="3442">
        <v>25000</v>
      </c>
      <c r="E30" s="3434" t="e">
        <f>+C30*D30</f>
        <v>#REF!</v>
      </c>
      <c r="F30" s="3439"/>
      <c r="H30" s="2624"/>
      <c r="I30" s="3225"/>
      <c r="K30" s="760"/>
    </row>
    <row r="31" spans="1:11" s="9" customFormat="1" ht="22.5" hidden="1" customHeight="1">
      <c r="A31" s="3447" t="s">
        <v>821</v>
      </c>
      <c r="B31" s="3448" t="s">
        <v>1636</v>
      </c>
      <c r="C31" s="3449"/>
      <c r="D31" s="3450"/>
      <c r="E31" s="3435" t="e">
        <f>+E32</f>
        <v>#REF!</v>
      </c>
      <c r="F31" s="3436"/>
      <c r="H31" s="6"/>
      <c r="I31" s="760"/>
      <c r="K31" s="760"/>
    </row>
    <row r="32" spans="1:11" s="9" customFormat="1" ht="22.5" hidden="1" customHeight="1">
      <c r="A32" s="3437">
        <v>1</v>
      </c>
      <c r="B32" s="3438" t="s">
        <v>1637</v>
      </c>
      <c r="C32" s="3451" t="e">
        <f>+#REF!</f>
        <v>#REF!</v>
      </c>
      <c r="D32" s="3442">
        <v>25000</v>
      </c>
      <c r="E32" s="3434" t="e">
        <f>+C32*D32</f>
        <v>#REF!</v>
      </c>
      <c r="F32" s="3439"/>
      <c r="H32" s="6"/>
      <c r="I32" s="760"/>
      <c r="K32" s="760"/>
    </row>
    <row r="33" spans="1:11" s="9" customFormat="1" ht="22.5" hidden="1" customHeight="1">
      <c r="A33" s="3447" t="s">
        <v>220</v>
      </c>
      <c r="B33" s="3448" t="s">
        <v>1978</v>
      </c>
      <c r="C33" s="3439"/>
      <c r="D33" s="3442"/>
      <c r="E33" s="3435">
        <f>SUM(E34:E35)</f>
        <v>20490900</v>
      </c>
      <c r="F33" s="3436"/>
      <c r="G33" s="2651" t="e">
        <f>+E33-#REF!</f>
        <v>#REF!</v>
      </c>
      <c r="H33" s="760"/>
      <c r="I33" s="760"/>
      <c r="K33" s="760"/>
    </row>
    <row r="34" spans="1:11" s="9" customFormat="1" ht="22.5" hidden="1" customHeight="1">
      <c r="A34" s="3437">
        <v>1</v>
      </c>
      <c r="B34" s="3438" t="s">
        <v>54</v>
      </c>
      <c r="C34" s="3434"/>
      <c r="D34" s="3434"/>
      <c r="E34" s="3434">
        <f>+'Trạm cán'!K20</f>
        <v>2000000</v>
      </c>
      <c r="F34" s="3436"/>
      <c r="I34" s="760"/>
      <c r="K34" s="760"/>
    </row>
    <row r="35" spans="1:11" s="9" customFormat="1" ht="22.5" hidden="1" customHeight="1">
      <c r="A35" s="3437">
        <v>2</v>
      </c>
      <c r="B35" s="3438" t="s">
        <v>1630</v>
      </c>
      <c r="C35" s="3434"/>
      <c r="D35" s="3434"/>
      <c r="E35" s="3434">
        <f>+'Trạm cán'!K18+'Trạm cán'!K17+'Trạm cán'!K16</f>
        <v>18490900</v>
      </c>
      <c r="F35" s="3436"/>
      <c r="G35" s="2709"/>
      <c r="H35" s="2651"/>
      <c r="I35" s="760"/>
      <c r="K35" s="760"/>
    </row>
    <row r="36" spans="1:11" s="9" customFormat="1" ht="22.5" hidden="1" customHeight="1">
      <c r="A36" s="3447" t="s">
        <v>491</v>
      </c>
      <c r="B36" s="3448" t="s">
        <v>1987</v>
      </c>
      <c r="C36" s="3435"/>
      <c r="D36" s="3435"/>
      <c r="E36" s="3435">
        <f>+SUM(E37:E38)</f>
        <v>10087329.835245047</v>
      </c>
      <c r="F36" s="3436"/>
      <c r="G36" s="2709" t="e">
        <f>+E36-#REF!</f>
        <v>#REF!</v>
      </c>
      <c r="H36" s="2651"/>
      <c r="I36" s="760"/>
      <c r="K36" s="760"/>
    </row>
    <row r="37" spans="1:11" s="9" customFormat="1" ht="22.5" hidden="1" customHeight="1">
      <c r="A37" s="3437">
        <v>1</v>
      </c>
      <c r="B37" s="3438" t="s">
        <v>1979</v>
      </c>
      <c r="C37" s="3434"/>
      <c r="D37" s="3434"/>
      <c r="E37" s="3434">
        <f>+'Lương đội phó người Lào'!H16</f>
        <v>8887329.8352450468</v>
      </c>
      <c r="F37" s="3436"/>
      <c r="G37" s="2709"/>
      <c r="H37" s="2651"/>
      <c r="I37" s="760"/>
      <c r="K37" s="760"/>
    </row>
    <row r="38" spans="1:11" s="9" customFormat="1" ht="22.5" hidden="1" customHeight="1">
      <c r="A38" s="3437">
        <v>2</v>
      </c>
      <c r="B38" s="3438" t="s">
        <v>1988</v>
      </c>
      <c r="C38" s="3434"/>
      <c r="D38" s="3434"/>
      <c r="E38" s="3434">
        <f>+'Phu cấp người Việt '!F13</f>
        <v>1200000</v>
      </c>
      <c r="F38" s="3436"/>
      <c r="G38" s="2709"/>
      <c r="H38" s="2651"/>
      <c r="I38" s="760"/>
      <c r="K38" s="760"/>
    </row>
    <row r="39" spans="1:11" s="9" customFormat="1" ht="25.5" customHeight="1">
      <c r="A39" s="3437">
        <v>1</v>
      </c>
      <c r="B39" s="3441" t="s">
        <v>2048</v>
      </c>
      <c r="C39" s="3434">
        <v>16</v>
      </c>
      <c r="D39" s="3434"/>
      <c r="E39" s="3452">
        <f>+PCTB!E26</f>
        <v>8800000</v>
      </c>
      <c r="F39" s="3439"/>
      <c r="G39" s="2651"/>
      <c r="H39" s="2633"/>
      <c r="I39" s="760"/>
      <c r="K39" s="760"/>
    </row>
    <row r="40" spans="1:11" s="9" customFormat="1" ht="25.5" customHeight="1">
      <c r="A40" s="3437">
        <v>2</v>
      </c>
      <c r="B40" s="3441" t="s">
        <v>1164</v>
      </c>
      <c r="C40" s="3434">
        <v>1</v>
      </c>
      <c r="D40" s="3434">
        <v>500000</v>
      </c>
      <c r="E40" s="3452">
        <v>500000</v>
      </c>
      <c r="F40" s="3439"/>
      <c r="G40" s="2651"/>
      <c r="H40" s="2633"/>
      <c r="I40" s="760"/>
      <c r="K40" s="760"/>
    </row>
    <row r="41" spans="1:11" s="9" customFormat="1" ht="25.5" customHeight="1">
      <c r="A41" s="3437">
        <v>3</v>
      </c>
      <c r="B41" s="3441" t="s">
        <v>2046</v>
      </c>
      <c r="C41" s="3434"/>
      <c r="D41" s="3434"/>
      <c r="E41" s="3452">
        <f>+CVK!I19</f>
        <v>10900000</v>
      </c>
      <c r="F41" s="3439"/>
      <c r="G41" s="2651"/>
      <c r="H41" s="2633"/>
      <c r="I41" s="760"/>
      <c r="K41" s="760"/>
    </row>
    <row r="42" spans="1:11" s="9" customFormat="1" ht="25.5" customHeight="1">
      <c r="A42" s="3437">
        <v>4</v>
      </c>
      <c r="B42" s="3441" t="s">
        <v>2045</v>
      </c>
      <c r="C42" s="3434">
        <f>+TTTX!C25</f>
        <v>469</v>
      </c>
      <c r="D42" s="3434">
        <v>20000</v>
      </c>
      <c r="E42" s="3452">
        <f>+C42*D42</f>
        <v>9380000</v>
      </c>
      <c r="F42" s="3439"/>
      <c r="H42" s="2633"/>
      <c r="I42" s="760"/>
      <c r="K42" s="760"/>
    </row>
    <row r="43" spans="1:11" s="9" customFormat="1" ht="25.5" customHeight="1">
      <c r="A43" s="3437">
        <v>5</v>
      </c>
      <c r="B43" s="3453" t="s">
        <v>2047</v>
      </c>
      <c r="C43" s="3434"/>
      <c r="D43" s="3434"/>
      <c r="E43" s="86">
        <v>1300000</v>
      </c>
      <c r="F43" s="3439"/>
      <c r="H43" s="2633"/>
      <c r="I43" s="760"/>
      <c r="K43" s="760"/>
    </row>
    <row r="44" spans="1:11" s="9" customFormat="1" ht="25.5" customHeight="1">
      <c r="A44" s="3437">
        <v>6</v>
      </c>
      <c r="B44" s="3441" t="s">
        <v>2044</v>
      </c>
      <c r="C44" s="3434"/>
      <c r="D44" s="3434"/>
      <c r="E44" s="3452">
        <v>5000000</v>
      </c>
      <c r="F44" s="3439"/>
      <c r="H44" s="2633"/>
      <c r="I44" s="760"/>
      <c r="K44" s="760"/>
    </row>
    <row r="45" spans="1:11" ht="25.5" customHeight="1">
      <c r="A45" s="4333" t="s">
        <v>1631</v>
      </c>
      <c r="B45" s="4333"/>
      <c r="C45" s="3434"/>
      <c r="D45" s="3434"/>
      <c r="E45" s="3454">
        <f>+SUM(E39:E44)</f>
        <v>35880000</v>
      </c>
      <c r="F45" s="3436"/>
      <c r="G45" s="6" t="e">
        <f>+#REF!+#REF!</f>
        <v>#REF!</v>
      </c>
      <c r="H45" s="2629"/>
      <c r="I45" s="2624"/>
      <c r="J45" s="479"/>
    </row>
    <row r="46" spans="1:11" ht="24.75" customHeight="1">
      <c r="A46" s="4334" t="s">
        <v>2406</v>
      </c>
      <c r="B46" s="4335"/>
      <c r="C46" s="4335"/>
      <c r="D46" s="4335"/>
      <c r="E46" s="4335"/>
      <c r="F46" s="4336"/>
      <c r="H46" s="479"/>
      <c r="I46" s="8"/>
    </row>
    <row r="47" spans="1:11" s="476" customFormat="1" ht="15" customHeight="1">
      <c r="A47" s="3455"/>
      <c r="B47" s="3455"/>
      <c r="C47" s="3456"/>
      <c r="D47" s="3457"/>
      <c r="E47" s="3457"/>
      <c r="F47" s="3458"/>
      <c r="G47" s="2660"/>
      <c r="H47" s="1018"/>
      <c r="I47" s="2687"/>
      <c r="J47" s="2635"/>
    </row>
    <row r="48" spans="1:11" s="476" customFormat="1" ht="18.75">
      <c r="A48" s="2097"/>
      <c r="B48" s="2097"/>
      <c r="C48" s="3459"/>
      <c r="D48" s="4365" t="s">
        <v>2162</v>
      </c>
      <c r="E48" s="4365"/>
      <c r="F48" s="4365"/>
      <c r="H48" s="3012">
        <f>127.082+58.288+3.083+0.961+1.006+0.015</f>
        <v>190.435</v>
      </c>
      <c r="I48" s="2639"/>
    </row>
    <row r="49" spans="1:9" s="2640" customFormat="1" ht="28.5" customHeight="1">
      <c r="A49" s="3423" t="s">
        <v>1632</v>
      </c>
      <c r="B49" s="3423"/>
      <c r="C49" s="3423" t="s">
        <v>502</v>
      </c>
      <c r="D49" s="4330" t="s">
        <v>2049</v>
      </c>
      <c r="E49" s="4330"/>
      <c r="F49" s="4330"/>
      <c r="H49" s="2641"/>
      <c r="I49" s="2642"/>
    </row>
    <row r="50" spans="1:9" s="476" customFormat="1" ht="18.75">
      <c r="A50" s="2636"/>
      <c r="B50" s="2636"/>
      <c r="C50" s="2638"/>
      <c r="D50" s="2643"/>
      <c r="E50" s="2638"/>
      <c r="F50" s="2644"/>
      <c r="G50" s="2660">
        <f>+'Tong luong NT'!O260</f>
        <v>0</v>
      </c>
      <c r="H50" s="3012">
        <f>+G50+'Lương đội phó người Lào'!J16+'Phu cấp người Việt '!H13</f>
        <v>9772963.3434827942</v>
      </c>
    </row>
    <row r="51" spans="1:9" s="476" customFormat="1" ht="18.75">
      <c r="A51" s="2636"/>
      <c r="B51" s="2636"/>
      <c r="C51" s="2638"/>
      <c r="D51" s="2643"/>
      <c r="E51" s="2638"/>
      <c r="F51" s="2644"/>
      <c r="G51" s="3012"/>
      <c r="H51" s="3304"/>
      <c r="I51" s="2710"/>
    </row>
    <row r="52" spans="1:9" s="476" customFormat="1" ht="18.75">
      <c r="A52" s="2636"/>
      <c r="B52" s="2636"/>
      <c r="C52" s="2638"/>
      <c r="D52" s="2643"/>
      <c r="E52" s="2638"/>
      <c r="F52" s="2644"/>
    </row>
    <row r="53" spans="1:9" s="476" customFormat="1" ht="18.75">
      <c r="A53" s="2636"/>
      <c r="B53" s="2636"/>
      <c r="C53" s="2638"/>
      <c r="D53" s="2643"/>
      <c r="E53" s="2638"/>
      <c r="F53" s="2644"/>
      <c r="G53" s="1018"/>
      <c r="H53" s="3012" t="e">
        <f>+H50-#REF!</f>
        <v>#REF!</v>
      </c>
    </row>
    <row r="54" spans="1:9" s="476" customFormat="1" ht="18.75">
      <c r="A54" s="2636"/>
      <c r="B54" s="2636"/>
      <c r="C54" s="2638"/>
      <c r="D54" s="4330"/>
      <c r="E54" s="4330"/>
      <c r="F54" s="4330"/>
    </row>
    <row r="55" spans="1:9">
      <c r="A55" s="546"/>
      <c r="B55" s="546"/>
      <c r="C55" s="2646"/>
      <c r="D55" s="2646"/>
      <c r="E55" s="2646"/>
      <c r="F55" s="2647"/>
    </row>
    <row r="56" spans="1:9">
      <c r="A56" s="546"/>
      <c r="B56" s="547"/>
      <c r="C56" s="2646"/>
      <c r="D56" s="2648"/>
      <c r="E56" s="2648"/>
      <c r="F56" s="2649"/>
      <c r="H56" s="8"/>
    </row>
    <row r="59" spans="1:9" ht="20.100000000000001" customHeight="1">
      <c r="C59" s="4"/>
      <c r="D59" s="4"/>
      <c r="E59" s="4"/>
      <c r="F59" s="4"/>
    </row>
    <row r="60" spans="1:9" ht="28.5" customHeight="1">
      <c r="C60" s="4"/>
      <c r="D60" s="4"/>
      <c r="E60" s="4"/>
      <c r="F60" s="4"/>
    </row>
    <row r="61" spans="1:9">
      <c r="C61" s="4"/>
      <c r="D61" s="4"/>
      <c r="E61" s="4"/>
      <c r="F61" s="4"/>
    </row>
    <row r="62" spans="1:9">
      <c r="C62" s="4"/>
      <c r="D62" s="4"/>
      <c r="E62" s="4"/>
      <c r="F62" s="4"/>
    </row>
    <row r="63" spans="1:9">
      <c r="C63" s="4"/>
      <c r="D63" s="4"/>
      <c r="E63" s="4"/>
      <c r="F63" s="4"/>
    </row>
    <row r="64" spans="1:9">
      <c r="C64" s="4"/>
      <c r="D64" s="4"/>
      <c r="E64" s="4"/>
      <c r="F64" s="4"/>
    </row>
    <row r="65" spans="3:6">
      <c r="C65" s="4"/>
      <c r="D65" s="4"/>
      <c r="E65" s="4"/>
      <c r="F65" s="4"/>
    </row>
    <row r="66" spans="3:6">
      <c r="C66" s="4"/>
      <c r="D66" s="4"/>
      <c r="E66" s="4"/>
      <c r="F66" s="4"/>
    </row>
    <row r="67" spans="3:6">
      <c r="C67" s="4"/>
      <c r="D67" s="4"/>
      <c r="E67" s="4"/>
      <c r="F67" s="4"/>
    </row>
    <row r="68" spans="3:6">
      <c r="C68" s="4"/>
      <c r="D68" s="4"/>
      <c r="E68" s="4"/>
      <c r="F68" s="4"/>
    </row>
    <row r="69" spans="3:6">
      <c r="C69" s="4"/>
      <c r="D69" s="4"/>
      <c r="E69" s="4"/>
      <c r="F69" s="4"/>
    </row>
    <row r="70" spans="3:6">
      <c r="C70" s="4"/>
      <c r="D70" s="4"/>
      <c r="E70" s="4"/>
      <c r="F70" s="4"/>
    </row>
  </sheetData>
  <mergeCells count="12">
    <mergeCell ref="A2:F2"/>
    <mergeCell ref="A3:F3"/>
    <mergeCell ref="A4:F4"/>
    <mergeCell ref="A9:F9"/>
    <mergeCell ref="D54:F54"/>
    <mergeCell ref="D48:F48"/>
    <mergeCell ref="A7:C7"/>
    <mergeCell ref="A6:C6"/>
    <mergeCell ref="A10:F10"/>
    <mergeCell ref="A45:B45"/>
    <mergeCell ref="A46:F46"/>
    <mergeCell ref="D49:F49"/>
  </mergeCells>
  <printOptions horizontalCentered="1"/>
  <pageMargins left="0.2" right="0" top="0.43307086614173229" bottom="0.35433070866141736" header="0.27559055118110237" footer="0.19685039370078741"/>
  <pageSetup paperSize="9" scale="80"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96"/>
  <sheetViews>
    <sheetView topLeftCell="A4" zoomScaleNormal="100" workbookViewId="0">
      <selection activeCell="J26" sqref="J26"/>
    </sheetView>
  </sheetViews>
  <sheetFormatPr defaultColWidth="9.140625" defaultRowHeight="15"/>
  <cols>
    <col min="1" max="1" width="5.42578125" style="546" customWidth="1"/>
    <col min="2" max="2" width="13.7109375" style="546" customWidth="1"/>
    <col min="3" max="3" width="15.5703125" style="546" customWidth="1"/>
    <col min="4" max="4" width="37" style="546" customWidth="1"/>
    <col min="5" max="5" width="8.140625" style="546" customWidth="1"/>
    <col min="6" max="6" width="11" style="546" hidden="1" customWidth="1"/>
    <col min="7" max="7" width="10.7109375" style="546" customWidth="1"/>
    <col min="8" max="8" width="10.28515625" style="546" customWidth="1"/>
    <col min="9" max="9" width="14.5703125" style="546" customWidth="1"/>
    <col min="10" max="10" width="13.42578125" style="557" customWidth="1"/>
    <col min="11" max="11" width="10.5703125" style="546" customWidth="1"/>
    <col min="12" max="12" width="9.140625" style="546"/>
    <col min="13" max="13" width="11.5703125" style="546" customWidth="1"/>
    <col min="14" max="14" width="10.42578125" style="546" bestFit="1" customWidth="1"/>
    <col min="15" max="16384" width="9.140625" style="546"/>
  </cols>
  <sheetData>
    <row r="1" spans="1:26" s="2097" customFormat="1" ht="16.5">
      <c r="A1" s="3920" t="s">
        <v>23</v>
      </c>
      <c r="B1" s="3920"/>
      <c r="C1" s="3920"/>
      <c r="D1" s="3920"/>
      <c r="E1" s="3920"/>
      <c r="F1" s="3920"/>
      <c r="G1" s="3920"/>
      <c r="H1" s="3920"/>
      <c r="I1" s="3920"/>
      <c r="J1" s="3920"/>
      <c r="K1" s="3920"/>
      <c r="L1" s="984"/>
      <c r="M1" s="984"/>
      <c r="N1" s="984"/>
      <c r="O1" s="984"/>
      <c r="P1" s="984"/>
      <c r="Q1" s="984"/>
      <c r="R1" s="984"/>
    </row>
    <row r="2" spans="1:26" s="2097" customFormat="1" ht="16.5">
      <c r="A2" s="3920" t="s">
        <v>45</v>
      </c>
      <c r="B2" s="3920"/>
      <c r="C2" s="3920"/>
      <c r="D2" s="3920"/>
      <c r="E2" s="3920"/>
      <c r="F2" s="3920"/>
      <c r="G2" s="3920"/>
      <c r="H2" s="3920"/>
      <c r="I2" s="3920"/>
      <c r="J2" s="3920"/>
      <c r="K2" s="3920"/>
      <c r="L2" s="984"/>
      <c r="M2" s="984"/>
      <c r="N2" s="984"/>
      <c r="O2" s="984"/>
      <c r="P2" s="984"/>
      <c r="Q2" s="984"/>
      <c r="R2" s="984"/>
    </row>
    <row r="3" spans="1:26" s="2097" customFormat="1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2096"/>
      <c r="M3" s="2096"/>
      <c r="N3" s="2096"/>
      <c r="O3" s="2096"/>
      <c r="P3" s="2096"/>
      <c r="Q3" s="2096"/>
      <c r="R3" s="2096"/>
      <c r="S3" s="2096"/>
      <c r="T3" s="2096"/>
      <c r="U3" s="2096"/>
      <c r="V3" s="2096"/>
      <c r="W3" s="2096"/>
      <c r="X3" s="2096"/>
      <c r="Y3" s="2096"/>
    </row>
    <row r="4" spans="1:26" s="2097" customFormat="1" ht="16.5">
      <c r="A4" s="4016" t="s">
        <v>929</v>
      </c>
      <c r="B4" s="4016"/>
      <c r="C4" s="4016"/>
      <c r="D4" s="4016"/>
      <c r="E4" s="4016"/>
      <c r="F4" s="979"/>
      <c r="G4" s="979"/>
      <c r="H4" s="979"/>
      <c r="I4" s="979"/>
      <c r="J4" s="979"/>
      <c r="K4" s="979"/>
      <c r="L4" s="979"/>
      <c r="M4" s="979"/>
      <c r="N4" s="979"/>
      <c r="O4" s="979"/>
      <c r="P4" s="979"/>
      <c r="Q4" s="979"/>
      <c r="R4" s="979"/>
    </row>
    <row r="5" spans="1:26" s="2097" customFormat="1" ht="16.5">
      <c r="A5" s="3947" t="s">
        <v>90</v>
      </c>
      <c r="B5" s="3947"/>
      <c r="C5" s="3947"/>
      <c r="D5" s="3947"/>
      <c r="E5" s="3947"/>
      <c r="F5" s="979"/>
      <c r="G5" s="979"/>
      <c r="H5" s="979"/>
      <c r="I5" s="979"/>
      <c r="J5" s="979"/>
      <c r="K5" s="979"/>
      <c r="L5" s="979"/>
      <c r="M5" s="979"/>
      <c r="N5" s="979"/>
      <c r="O5" s="979"/>
      <c r="P5" s="979"/>
      <c r="Q5" s="979"/>
      <c r="R5" s="979"/>
    </row>
    <row r="6" spans="1:26" s="2097" customFormat="1" ht="16.5">
      <c r="A6" s="979"/>
      <c r="B6" s="979"/>
      <c r="C6" s="979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979"/>
      <c r="O6" s="979"/>
      <c r="P6" s="979"/>
      <c r="Q6" s="979"/>
      <c r="R6" s="979"/>
    </row>
    <row r="7" spans="1:26" ht="22.5" customHeight="1">
      <c r="A7" s="4368" t="s">
        <v>2402</v>
      </c>
      <c r="B7" s="4368"/>
      <c r="C7" s="4368"/>
      <c r="D7" s="4368"/>
      <c r="E7" s="4368"/>
      <c r="F7" s="4368"/>
      <c r="G7" s="4368"/>
      <c r="H7" s="4368"/>
      <c r="I7" s="4368"/>
      <c r="J7" s="4368"/>
      <c r="K7" s="4368"/>
      <c r="L7" s="548"/>
      <c r="M7" s="548"/>
      <c r="N7" s="548"/>
    </row>
    <row r="8" spans="1:26" ht="15.6" customHeight="1">
      <c r="A8" s="549"/>
      <c r="B8" s="549"/>
      <c r="C8" s="549"/>
      <c r="D8" s="549"/>
      <c r="E8" s="549"/>
      <c r="F8" s="549"/>
      <c r="G8" s="549"/>
      <c r="H8" s="549"/>
      <c r="I8" s="549"/>
      <c r="J8" s="550"/>
      <c r="K8" s="549"/>
      <c r="L8" s="548"/>
      <c r="M8" s="548"/>
      <c r="N8" s="548"/>
    </row>
    <row r="9" spans="1:26" ht="21.75" customHeight="1">
      <c r="A9" s="4369" t="s">
        <v>0</v>
      </c>
      <c r="B9" s="4369" t="s">
        <v>226</v>
      </c>
      <c r="C9" s="4369" t="s">
        <v>46</v>
      </c>
      <c r="D9" s="4371" t="s">
        <v>499</v>
      </c>
      <c r="E9" s="4372" t="s">
        <v>13</v>
      </c>
      <c r="F9" s="4377" t="s">
        <v>225</v>
      </c>
      <c r="G9" s="4379" t="s">
        <v>500</v>
      </c>
      <c r="H9" s="4379" t="s">
        <v>460</v>
      </c>
      <c r="I9" s="4381" t="s">
        <v>501</v>
      </c>
      <c r="J9" s="4379" t="s">
        <v>503</v>
      </c>
      <c r="K9" s="4374" t="s">
        <v>166</v>
      </c>
      <c r="L9" s="551"/>
      <c r="M9" s="548"/>
      <c r="N9" s="548"/>
    </row>
    <row r="10" spans="1:26" ht="17.25" customHeight="1">
      <c r="A10" s="4370"/>
      <c r="B10" s="4370"/>
      <c r="C10" s="4370"/>
      <c r="D10" s="4370"/>
      <c r="E10" s="4373"/>
      <c r="F10" s="4378"/>
      <c r="G10" s="4380"/>
      <c r="H10" s="4380"/>
      <c r="I10" s="4382"/>
      <c r="J10" s="4380"/>
      <c r="K10" s="4375"/>
      <c r="L10" s="552"/>
      <c r="M10" s="553"/>
      <c r="N10" s="553"/>
      <c r="O10" s="553"/>
      <c r="P10" s="553"/>
      <c r="Q10" s="553"/>
      <c r="R10" s="553"/>
      <c r="S10" s="553"/>
      <c r="T10" s="553"/>
      <c r="U10" s="553"/>
      <c r="V10" s="553"/>
      <c r="W10" s="553"/>
      <c r="X10" s="553"/>
      <c r="Y10" s="553"/>
      <c r="Z10" s="553"/>
    </row>
    <row r="11" spans="1:26" ht="17.25" customHeight="1">
      <c r="A11" s="3751">
        <v>1</v>
      </c>
      <c r="B11" s="3752" t="s">
        <v>1011</v>
      </c>
      <c r="C11" s="3753" t="s">
        <v>118</v>
      </c>
      <c r="D11" s="3754" t="str">
        <f>+BCKL!B82</f>
        <v xml:space="preserve">Bốc vật tư xuống xe </v>
      </c>
      <c r="E11" s="283" t="s">
        <v>500</v>
      </c>
      <c r="F11" s="3755"/>
      <c r="G11" s="3756">
        <f>+BCKL!O82</f>
        <v>76</v>
      </c>
      <c r="H11" s="3757">
        <v>25000</v>
      </c>
      <c r="I11" s="3758">
        <f>+G11*H11</f>
        <v>1900000</v>
      </c>
      <c r="J11" s="3755"/>
      <c r="K11" s="3751"/>
      <c r="L11" s="553"/>
      <c r="M11" s="553"/>
      <c r="N11" s="553"/>
      <c r="O11" s="553"/>
      <c r="P11" s="553"/>
      <c r="Q11" s="553"/>
      <c r="R11" s="553"/>
      <c r="S11" s="553"/>
      <c r="T11" s="553"/>
      <c r="U11" s="553"/>
      <c r="V11" s="553"/>
      <c r="W11" s="553"/>
      <c r="X11" s="553"/>
      <c r="Y11" s="553"/>
      <c r="Z11" s="553"/>
    </row>
    <row r="12" spans="1:26" ht="17.25" hidden="1" customHeight="1">
      <c r="A12" s="3751"/>
      <c r="B12" s="3752"/>
      <c r="C12" s="3753"/>
      <c r="D12" s="3754" t="str">
        <f>+BCKL!B83</f>
        <v xml:space="preserve">Bốc vật tư lên xuống xe </v>
      </c>
      <c r="E12" s="283"/>
      <c r="F12" s="3755"/>
      <c r="G12" s="3756"/>
      <c r="H12" s="3757"/>
      <c r="I12" s="3758"/>
      <c r="J12" s="3755"/>
      <c r="K12" s="3751"/>
      <c r="L12" s="553"/>
      <c r="M12" s="553"/>
      <c r="N12" s="553"/>
      <c r="O12" s="553"/>
      <c r="P12" s="553"/>
      <c r="Q12" s="553"/>
      <c r="R12" s="553"/>
      <c r="S12" s="553"/>
      <c r="T12" s="553"/>
      <c r="U12" s="553"/>
      <c r="V12" s="553"/>
      <c r="W12" s="553"/>
      <c r="X12" s="553"/>
      <c r="Y12" s="553"/>
      <c r="Z12" s="553"/>
    </row>
    <row r="13" spans="1:26" ht="17.25" hidden="1" customHeight="1">
      <c r="A13" s="3751"/>
      <c r="B13" s="3752"/>
      <c r="C13" s="3753"/>
      <c r="D13" s="3754" t="str">
        <f>+BCKL!B84</f>
        <v>Đào hố chứa rác</v>
      </c>
      <c r="E13" s="283"/>
      <c r="F13" s="3755"/>
      <c r="G13" s="3756"/>
      <c r="H13" s="3757"/>
      <c r="I13" s="3758"/>
      <c r="J13" s="3755"/>
      <c r="K13" s="3751"/>
      <c r="L13" s="553"/>
      <c r="M13" s="553"/>
      <c r="N13" s="553"/>
      <c r="O13" s="553"/>
      <c r="P13" s="553"/>
      <c r="Q13" s="553"/>
      <c r="R13" s="553"/>
      <c r="S13" s="553"/>
      <c r="T13" s="553"/>
      <c r="U13" s="553"/>
      <c r="V13" s="553"/>
      <c r="W13" s="553"/>
      <c r="X13" s="553"/>
      <c r="Y13" s="553"/>
      <c r="Z13" s="553"/>
    </row>
    <row r="14" spans="1:26" ht="17.25" customHeight="1">
      <c r="A14" s="3751">
        <v>2</v>
      </c>
      <c r="B14" s="3759" t="s">
        <v>291</v>
      </c>
      <c r="C14" s="3753" t="s">
        <v>118</v>
      </c>
      <c r="D14" s="3754" t="str">
        <f>+BCKL!B83</f>
        <v xml:space="preserve">Bốc vật tư lên xuống xe </v>
      </c>
      <c r="E14" s="283" t="s">
        <v>500</v>
      </c>
      <c r="F14" s="3757">
        <v>15</v>
      </c>
      <c r="G14" s="3756">
        <f>+BCKL!O83</f>
        <v>168</v>
      </c>
      <c r="H14" s="3757">
        <v>25000</v>
      </c>
      <c r="I14" s="3758">
        <f t="shared" ref="I14:I18" si="0">+G14*H14</f>
        <v>4200000</v>
      </c>
      <c r="J14" s="3755"/>
      <c r="K14" s="3751"/>
      <c r="L14" s="553"/>
      <c r="M14" s="553"/>
      <c r="N14" s="553"/>
      <c r="O14" s="553"/>
      <c r="P14" s="553"/>
      <c r="Q14" s="553"/>
      <c r="R14" s="553"/>
      <c r="S14" s="553"/>
      <c r="T14" s="553"/>
      <c r="U14" s="553"/>
      <c r="V14" s="553"/>
      <c r="W14" s="553"/>
      <c r="X14" s="553"/>
      <c r="Y14" s="553"/>
      <c r="Z14" s="553"/>
    </row>
    <row r="15" spans="1:26" ht="17.25" customHeight="1">
      <c r="A15" s="2766">
        <v>3</v>
      </c>
      <c r="B15" s="3760" t="s">
        <v>523</v>
      </c>
      <c r="C15" s="2767" t="s">
        <v>118</v>
      </c>
      <c r="D15" s="3592" t="str">
        <f>+BCKL!B84</f>
        <v>Đào hố chứa rác</v>
      </c>
      <c r="E15" s="2768" t="s">
        <v>500</v>
      </c>
      <c r="F15" s="2771">
        <v>94</v>
      </c>
      <c r="G15" s="2770">
        <f>+BCKL!O84</f>
        <v>192</v>
      </c>
      <c r="H15" s="2771">
        <v>25000</v>
      </c>
      <c r="I15" s="2772">
        <f t="shared" si="0"/>
        <v>4800000</v>
      </c>
      <c r="J15" s="2769"/>
      <c r="K15" s="2766"/>
      <c r="L15" s="553"/>
      <c r="M15" s="553"/>
      <c r="N15" s="553"/>
      <c r="O15" s="553"/>
      <c r="P15" s="553"/>
      <c r="Q15" s="553"/>
      <c r="R15" s="553"/>
      <c r="S15" s="553"/>
      <c r="T15" s="553"/>
      <c r="U15" s="553"/>
      <c r="V15" s="553"/>
      <c r="W15" s="553"/>
      <c r="X15" s="553"/>
      <c r="Y15" s="553"/>
      <c r="Z15" s="553"/>
    </row>
    <row r="16" spans="1:26" ht="17.25" hidden="1" customHeight="1">
      <c r="A16" s="1202">
        <v>4</v>
      </c>
      <c r="B16" s="1207" t="s">
        <v>1012</v>
      </c>
      <c r="C16" s="1203" t="s">
        <v>118</v>
      </c>
      <c r="D16" s="1260"/>
      <c r="E16" s="284" t="s">
        <v>500</v>
      </c>
      <c r="F16" s="1206"/>
      <c r="G16" s="1205"/>
      <c r="H16" s="1206">
        <v>25000</v>
      </c>
      <c r="I16" s="1250">
        <f t="shared" si="0"/>
        <v>0</v>
      </c>
      <c r="J16" s="1204"/>
      <c r="K16" s="1202"/>
      <c r="L16" s="553"/>
      <c r="M16" s="553"/>
      <c r="N16" s="553"/>
      <c r="O16" s="553"/>
      <c r="P16" s="553"/>
      <c r="Q16" s="553"/>
      <c r="R16" s="553"/>
      <c r="S16" s="553"/>
      <c r="T16" s="553"/>
      <c r="U16" s="553"/>
      <c r="V16" s="553"/>
      <c r="W16" s="553"/>
      <c r="X16" s="553"/>
      <c r="Y16" s="553"/>
      <c r="Z16" s="553"/>
    </row>
    <row r="17" spans="1:26" ht="17.25" hidden="1" customHeight="1">
      <c r="A17" s="1202">
        <v>5</v>
      </c>
      <c r="B17" s="1207" t="s">
        <v>1089</v>
      </c>
      <c r="C17" s="1203" t="s">
        <v>118</v>
      </c>
      <c r="D17" s="1260"/>
      <c r="E17" s="284" t="s">
        <v>500</v>
      </c>
      <c r="F17" s="1206"/>
      <c r="G17" s="1205"/>
      <c r="H17" s="1206">
        <v>25000</v>
      </c>
      <c r="I17" s="1250">
        <f t="shared" si="0"/>
        <v>0</v>
      </c>
      <c r="J17" s="1204"/>
      <c r="K17" s="1202"/>
      <c r="L17" s="553"/>
      <c r="M17" s="553"/>
      <c r="N17" s="553"/>
      <c r="O17" s="553"/>
      <c r="P17" s="553"/>
      <c r="Q17" s="553"/>
      <c r="R17" s="553"/>
      <c r="S17" s="553"/>
      <c r="T17" s="553"/>
      <c r="U17" s="553"/>
      <c r="V17" s="553"/>
      <c r="W17" s="553"/>
      <c r="X17" s="553"/>
      <c r="Y17" s="553"/>
      <c r="Z17" s="553"/>
    </row>
    <row r="18" spans="1:26" ht="17.25" hidden="1" customHeight="1">
      <c r="A18" s="1314">
        <v>6</v>
      </c>
      <c r="B18" s="1315" t="s">
        <v>1090</v>
      </c>
      <c r="C18" s="1316" t="s">
        <v>118</v>
      </c>
      <c r="D18" s="2363"/>
      <c r="E18" s="877" t="s">
        <v>500</v>
      </c>
      <c r="F18" s="1317"/>
      <c r="G18" s="2364"/>
      <c r="H18" s="1317">
        <v>25000</v>
      </c>
      <c r="I18" s="1318">
        <f t="shared" si="0"/>
        <v>0</v>
      </c>
      <c r="J18" s="1319"/>
      <c r="K18" s="1314"/>
      <c r="L18" s="553"/>
      <c r="M18" s="553"/>
      <c r="N18" s="553"/>
      <c r="O18" s="553"/>
      <c r="P18" s="553"/>
      <c r="Q18" s="553"/>
      <c r="R18" s="553"/>
      <c r="S18" s="553"/>
      <c r="T18" s="553"/>
      <c r="U18" s="553"/>
      <c r="V18" s="553"/>
      <c r="W18" s="553"/>
      <c r="X18" s="553"/>
      <c r="Y18" s="553"/>
      <c r="Z18" s="553"/>
    </row>
    <row r="19" spans="1:26" ht="21" customHeight="1">
      <c r="A19" s="4383" t="s">
        <v>139</v>
      </c>
      <c r="B19" s="4384"/>
      <c r="C19" s="4384"/>
      <c r="D19" s="4385"/>
      <c r="E19" s="554"/>
      <c r="F19" s="555"/>
      <c r="G19" s="1320">
        <f>SUM(G11:G18)</f>
        <v>436</v>
      </c>
      <c r="H19" s="1320">
        <v>0</v>
      </c>
      <c r="I19" s="1251">
        <f>SUM(I11:I18)</f>
        <v>10900000</v>
      </c>
      <c r="J19" s="554"/>
      <c r="K19" s="556"/>
    </row>
    <row r="20" spans="1:26" ht="18.75" customHeight="1">
      <c r="A20" s="4386" t="s">
        <v>2403</v>
      </c>
      <c r="B20" s="4386"/>
      <c r="C20" s="4386"/>
      <c r="D20" s="4386"/>
      <c r="E20" s="4386"/>
      <c r="F20" s="4386"/>
      <c r="G20" s="4386"/>
      <c r="H20" s="4386"/>
      <c r="I20" s="4386"/>
      <c r="J20" s="4386"/>
      <c r="K20" s="4386"/>
    </row>
    <row r="21" spans="1:26" ht="19.5" customHeight="1">
      <c r="H21" s="4376" t="s">
        <v>2162</v>
      </c>
      <c r="I21" s="4376"/>
      <c r="J21" s="4376"/>
      <c r="K21" s="4376"/>
    </row>
    <row r="22" spans="1:26">
      <c r="A22" s="4367" t="s">
        <v>502</v>
      </c>
      <c r="B22" s="4367"/>
      <c r="C22" s="4367"/>
      <c r="D22" s="1472" t="s">
        <v>241</v>
      </c>
      <c r="E22" s="4367" t="s">
        <v>513</v>
      </c>
      <c r="F22" s="4367"/>
      <c r="G22" s="4367"/>
      <c r="H22" s="4367"/>
      <c r="I22" s="4367" t="s">
        <v>221</v>
      </c>
      <c r="J22" s="4367"/>
      <c r="K22" s="4367"/>
    </row>
    <row r="23" spans="1:26">
      <c r="A23" s="547"/>
      <c r="B23" s="547"/>
      <c r="C23" s="547"/>
      <c r="D23" s="547"/>
      <c r="E23" s="547"/>
      <c r="F23" s="547"/>
      <c r="G23" s="547"/>
      <c r="H23" s="547"/>
      <c r="K23" s="547"/>
    </row>
    <row r="24" spans="1:26">
      <c r="A24" s="547"/>
      <c r="B24" s="547"/>
      <c r="C24" s="547"/>
      <c r="D24" s="547"/>
      <c r="E24" s="547"/>
      <c r="F24" s="547"/>
      <c r="G24" s="665"/>
      <c r="H24" s="547"/>
      <c r="K24" s="547"/>
    </row>
    <row r="25" spans="1:26">
      <c r="A25" s="547"/>
      <c r="B25" s="547"/>
      <c r="C25" s="547"/>
      <c r="D25" s="547"/>
      <c r="E25" s="547"/>
      <c r="F25" s="547"/>
      <c r="G25" s="547"/>
      <c r="H25" s="547"/>
      <c r="K25" s="547"/>
    </row>
    <row r="26" spans="1:26">
      <c r="A26" s="547"/>
      <c r="B26" s="547"/>
      <c r="C26" s="547"/>
      <c r="D26" s="547"/>
      <c r="E26" s="547"/>
      <c r="F26" s="547"/>
      <c r="G26" s="665"/>
      <c r="H26" s="547"/>
      <c r="K26" s="547"/>
    </row>
    <row r="27" spans="1:26">
      <c r="A27" s="547"/>
      <c r="B27" s="547"/>
      <c r="C27" s="547"/>
      <c r="E27" s="4367"/>
      <c r="F27" s="4367"/>
      <c r="G27" s="856"/>
      <c r="H27" s="547"/>
      <c r="K27" s="667"/>
    </row>
    <row r="28" spans="1:26">
      <c r="A28" s="547"/>
      <c r="B28" s="547"/>
      <c r="C28" s="547"/>
      <c r="D28" s="547"/>
      <c r="E28" s="547"/>
      <c r="F28" s="547"/>
      <c r="G28" s="665"/>
      <c r="H28" s="547"/>
      <c r="J28" s="4367"/>
      <c r="K28" s="4367"/>
    </row>
    <row r="30" spans="1:26">
      <c r="A30" s="4367"/>
      <c r="B30" s="4367"/>
      <c r="C30" s="4367"/>
      <c r="D30" s="2738"/>
      <c r="G30" s="1208"/>
      <c r="I30" s="4367"/>
      <c r="J30" s="4367"/>
      <c r="K30" s="4367"/>
    </row>
    <row r="83" spans="10:11" ht="15.75">
      <c r="J83" s="546"/>
      <c r="K83" s="558" t="s">
        <v>178</v>
      </c>
    </row>
    <row r="84" spans="10:11" ht="15.75">
      <c r="J84" s="546"/>
      <c r="K84" s="558" t="s">
        <v>179</v>
      </c>
    </row>
    <row r="85" spans="10:11" ht="31.5">
      <c r="J85" s="546"/>
      <c r="K85" s="558" t="s">
        <v>180</v>
      </c>
    </row>
    <row r="88" spans="10:11">
      <c r="J88" s="546"/>
    </row>
    <row r="89" spans="10:11">
      <c r="J89" s="546"/>
    </row>
    <row r="90" spans="10:11">
      <c r="J90" s="546"/>
    </row>
    <row r="91" spans="10:11" ht="31.5">
      <c r="J91" s="546"/>
      <c r="K91" s="558" t="s">
        <v>181</v>
      </c>
    </row>
    <row r="96" spans="10:11">
      <c r="J96" s="546"/>
    </row>
  </sheetData>
  <mergeCells count="27">
    <mergeCell ref="G9:G10"/>
    <mergeCell ref="H9:H10"/>
    <mergeCell ref="I9:I10"/>
    <mergeCell ref="J9:J10"/>
    <mergeCell ref="A30:C30"/>
    <mergeCell ref="I22:K22"/>
    <mergeCell ref="I30:K30"/>
    <mergeCell ref="J28:K28"/>
    <mergeCell ref="A19:D19"/>
    <mergeCell ref="A20:K20"/>
    <mergeCell ref="E27:F27"/>
    <mergeCell ref="A4:E4"/>
    <mergeCell ref="A5:E5"/>
    <mergeCell ref="A1:K1"/>
    <mergeCell ref="A2:K2"/>
    <mergeCell ref="E22:H22"/>
    <mergeCell ref="A7:K7"/>
    <mergeCell ref="B9:B10"/>
    <mergeCell ref="C9:C10"/>
    <mergeCell ref="D9:D10"/>
    <mergeCell ref="E9:E10"/>
    <mergeCell ref="A3:K3"/>
    <mergeCell ref="K9:K10"/>
    <mergeCell ref="A22:C22"/>
    <mergeCell ref="A9:A10"/>
    <mergeCell ref="H21:K21"/>
    <mergeCell ref="F9:F10"/>
  </mergeCells>
  <printOptions horizontalCentered="1"/>
  <pageMargins left="0.09" right="0" top="0.38" bottom="0.2" header="0.2" footer="0.2"/>
  <pageSetup paperSize="9" orientation="landscape" r:id="rId1"/>
  <headerFooter alignWithMargins="0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6"/>
  <sheetViews>
    <sheetView topLeftCell="A7" workbookViewId="0">
      <selection activeCell="F23" sqref="F23"/>
    </sheetView>
  </sheetViews>
  <sheetFormatPr defaultRowHeight="12.75"/>
  <cols>
    <col min="1" max="1" width="5.85546875" customWidth="1"/>
    <col min="2" max="2" width="20" customWidth="1"/>
    <col min="3" max="3" width="13.7109375" customWidth="1"/>
    <col min="4" max="4" width="9.28515625" customWidth="1"/>
    <col min="6" max="6" width="11.5703125" customWidth="1"/>
    <col min="7" max="7" width="14" customWidth="1"/>
    <col min="8" max="8" width="11.5703125" customWidth="1"/>
    <col min="9" max="9" width="18.5703125" customWidth="1"/>
    <col min="10" max="10" width="15.5703125" customWidth="1"/>
    <col min="11" max="11" width="14.140625" customWidth="1"/>
    <col min="12" max="12" width="17.7109375" customWidth="1"/>
    <col min="13" max="13" width="15.28515625" customWidth="1"/>
    <col min="14" max="14" width="7.5703125" customWidth="1"/>
  </cols>
  <sheetData>
    <row r="1" spans="1:14" ht="15.75">
      <c r="A1" s="4116" t="s">
        <v>23</v>
      </c>
      <c r="B1" s="4116"/>
      <c r="C1" s="4116"/>
      <c r="D1" s="4116"/>
      <c r="E1" s="4116"/>
      <c r="F1" s="4116"/>
      <c r="G1" s="4116"/>
      <c r="H1" s="4116"/>
      <c r="I1" s="4116"/>
      <c r="J1" s="4116"/>
      <c r="K1" s="4116"/>
      <c r="L1" s="4116"/>
      <c r="M1" s="4116"/>
      <c r="N1" s="4116"/>
    </row>
    <row r="2" spans="1:14" ht="16.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</row>
    <row r="3" spans="1:14" ht="16.5">
      <c r="A3" s="3934"/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</row>
    <row r="4" spans="1:14" ht="16.5">
      <c r="A4" s="4185" t="s">
        <v>929</v>
      </c>
      <c r="B4" s="4185"/>
      <c r="C4" s="4185"/>
      <c r="D4" s="4185"/>
      <c r="E4" s="4185"/>
      <c r="F4" s="4185"/>
      <c r="G4" s="4185"/>
      <c r="H4" s="2088"/>
      <c r="I4" s="2089"/>
      <c r="J4" s="2089"/>
      <c r="K4" s="2089"/>
      <c r="L4" s="1621"/>
      <c r="M4" s="2090"/>
      <c r="N4" s="1621"/>
    </row>
    <row r="5" spans="1:14" ht="16.5">
      <c r="A5" s="4184" t="s">
        <v>90</v>
      </c>
      <c r="B5" s="4184"/>
      <c r="C5" s="4184"/>
      <c r="D5" s="4184"/>
      <c r="E5" s="4184"/>
      <c r="F5" s="4184"/>
      <c r="G5" s="4184"/>
      <c r="H5" s="1629"/>
      <c r="I5" s="2021"/>
      <c r="J5" s="2021"/>
      <c r="K5" s="2021"/>
      <c r="L5" s="1621"/>
      <c r="M5" s="2090"/>
      <c r="N5" s="1621"/>
    </row>
    <row r="6" spans="1:14">
      <c r="A6" s="1606"/>
      <c r="B6" s="1606"/>
      <c r="C6" s="1606"/>
      <c r="D6" s="1606"/>
      <c r="E6" s="1606"/>
      <c r="F6" s="1606"/>
      <c r="G6" s="1607"/>
      <c r="H6" s="1631"/>
      <c r="I6" s="1606"/>
      <c r="J6" s="1606"/>
      <c r="K6" s="1606"/>
      <c r="L6" s="1606"/>
      <c r="M6" s="1628"/>
      <c r="N6" s="1606"/>
    </row>
    <row r="7" spans="1:14">
      <c r="A7" s="1606"/>
      <c r="B7" s="1606"/>
      <c r="C7" s="1606"/>
      <c r="D7" s="1606"/>
      <c r="E7" s="1606"/>
      <c r="F7" s="1606"/>
      <c r="G7" s="1607"/>
      <c r="H7" s="1631"/>
      <c r="I7" s="1606"/>
      <c r="J7" s="1606"/>
      <c r="K7" s="1606"/>
      <c r="L7" s="1606"/>
      <c r="M7" s="1628"/>
      <c r="N7" s="1606"/>
    </row>
    <row r="8" spans="1:14" ht="20.25">
      <c r="A8" s="4387" t="s">
        <v>1405</v>
      </c>
      <c r="B8" s="4387"/>
      <c r="C8" s="4387"/>
      <c r="D8" s="4387"/>
      <c r="E8" s="4387"/>
      <c r="F8" s="4387"/>
      <c r="G8" s="4387"/>
      <c r="H8" s="4387"/>
      <c r="I8" s="4387"/>
      <c r="J8" s="4387"/>
      <c r="K8" s="4387"/>
      <c r="L8" s="4387"/>
      <c r="M8" s="4387"/>
      <c r="N8" s="4387"/>
    </row>
    <row r="9" spans="1:14" ht="16.5">
      <c r="A9" s="4188" t="s">
        <v>1404</v>
      </c>
      <c r="B9" s="4188"/>
      <c r="C9" s="4188"/>
      <c r="D9" s="4188"/>
      <c r="E9" s="4188"/>
      <c r="F9" s="4188"/>
      <c r="G9" s="4188"/>
      <c r="H9" s="4188"/>
      <c r="I9" s="4188"/>
      <c r="J9" s="4188"/>
      <c r="K9" s="4188"/>
      <c r="L9" s="4188"/>
      <c r="M9" s="4188"/>
      <c r="N9" s="4188"/>
    </row>
    <row r="10" spans="1:14" ht="18.75">
      <c r="A10" s="1608"/>
      <c r="B10" s="1612"/>
      <c r="C10" s="1613"/>
      <c r="D10" s="1613"/>
      <c r="E10" s="1613"/>
      <c r="F10" s="1613"/>
      <c r="G10" s="1611"/>
      <c r="H10" s="1632"/>
      <c r="I10" s="1608"/>
      <c r="J10" s="1608"/>
      <c r="K10" s="1608"/>
      <c r="L10" s="1633"/>
      <c r="M10" s="1634"/>
      <c r="N10" s="1608"/>
    </row>
    <row r="11" spans="1:14" ht="18.75">
      <c r="A11" s="1636"/>
      <c r="B11" s="1636"/>
      <c r="C11" s="1636"/>
      <c r="D11" s="1636"/>
      <c r="E11" s="1636"/>
      <c r="F11" s="1636"/>
      <c r="G11" s="1637"/>
      <c r="H11" s="1638"/>
      <c r="I11" s="1636"/>
      <c r="J11" s="1636"/>
      <c r="K11" s="1636"/>
      <c r="L11" s="1636"/>
      <c r="M11" s="1639"/>
      <c r="N11" s="1636"/>
    </row>
    <row r="12" spans="1:14" ht="18.75" customHeight="1">
      <c r="A12" s="4388" t="s">
        <v>932</v>
      </c>
      <c r="B12" s="4388" t="s">
        <v>1</v>
      </c>
      <c r="C12" s="4388" t="s">
        <v>46</v>
      </c>
      <c r="D12" s="4388" t="s">
        <v>1309</v>
      </c>
      <c r="E12" s="4389" t="s">
        <v>1316</v>
      </c>
      <c r="F12" s="2169"/>
      <c r="G12" s="4390" t="s">
        <v>1344</v>
      </c>
      <c r="H12" s="4393" t="s">
        <v>1318</v>
      </c>
      <c r="I12" s="4393"/>
      <c r="J12" s="4393"/>
      <c r="K12" s="4393"/>
      <c r="L12" s="4394" t="s">
        <v>1339</v>
      </c>
      <c r="M12" s="4398" t="s">
        <v>1336</v>
      </c>
      <c r="N12" s="4389" t="s">
        <v>1357</v>
      </c>
    </row>
    <row r="13" spans="1:14" ht="18.75" customHeight="1">
      <c r="A13" s="4388"/>
      <c r="B13" s="4388"/>
      <c r="C13" s="4388"/>
      <c r="D13" s="4388"/>
      <c r="E13" s="4389"/>
      <c r="F13" s="4390" t="s">
        <v>1322</v>
      </c>
      <c r="G13" s="4391"/>
      <c r="H13" s="4399" t="s">
        <v>1325</v>
      </c>
      <c r="I13" s="4389" t="s">
        <v>1326</v>
      </c>
      <c r="J13" s="4389" t="s">
        <v>1327</v>
      </c>
      <c r="K13" s="4400" t="s">
        <v>1328</v>
      </c>
      <c r="L13" s="4395"/>
      <c r="M13" s="4398"/>
      <c r="N13" s="4388"/>
    </row>
    <row r="14" spans="1:14" ht="52.5" customHeight="1">
      <c r="A14" s="4388"/>
      <c r="B14" s="4388"/>
      <c r="C14" s="4388"/>
      <c r="D14" s="4388"/>
      <c r="E14" s="4389"/>
      <c r="F14" s="4392"/>
      <c r="G14" s="4392"/>
      <c r="H14" s="4399"/>
      <c r="I14" s="4389"/>
      <c r="J14" s="4389"/>
      <c r="K14" s="4400"/>
      <c r="L14" s="4396"/>
      <c r="M14" s="4398"/>
      <c r="N14" s="4388"/>
    </row>
    <row r="15" spans="1:14" ht="37.5" hidden="1">
      <c r="A15" s="1619">
        <v>1</v>
      </c>
      <c r="B15" s="1619">
        <v>2</v>
      </c>
      <c r="C15" s="1619">
        <v>3</v>
      </c>
      <c r="D15" s="1619">
        <v>4</v>
      </c>
      <c r="E15" s="1645">
        <v>5</v>
      </c>
      <c r="F15" s="1646">
        <v>7</v>
      </c>
      <c r="G15" s="1646">
        <v>8</v>
      </c>
      <c r="H15" s="1648" t="s">
        <v>1337</v>
      </c>
      <c r="I15" s="1648" t="s">
        <v>1338</v>
      </c>
      <c r="J15" s="1649">
        <v>11</v>
      </c>
      <c r="K15" s="1649">
        <v>12</v>
      </c>
      <c r="L15" s="1649">
        <v>13</v>
      </c>
      <c r="M15" s="1651">
        <v>14</v>
      </c>
      <c r="N15" s="1619"/>
    </row>
    <row r="16" spans="1:14" ht="18.75">
      <c r="A16" s="1717" t="s">
        <v>140</v>
      </c>
      <c r="B16" s="1652" t="s">
        <v>48</v>
      </c>
      <c r="C16" s="1717"/>
      <c r="D16" s="1717"/>
      <c r="E16" s="1716"/>
      <c r="F16" s="1716"/>
      <c r="G16" s="1718">
        <f>SUM(G17:G20)</f>
        <v>1760</v>
      </c>
      <c r="H16" s="1718">
        <f>SUM(H17:H20)</f>
        <v>880</v>
      </c>
      <c r="I16" s="1718" t="e">
        <f>SUM(I17:I20)</f>
        <v>#REF!</v>
      </c>
      <c r="J16" s="1718"/>
      <c r="K16" s="1817" t="e">
        <f>SUM(K17:K20)</f>
        <v>#N/A</v>
      </c>
      <c r="L16" s="1829" t="e">
        <f>SUM(L17:L20)</f>
        <v>#REF!</v>
      </c>
      <c r="M16" s="1713" t="e">
        <f>SUM(M17:M20)</f>
        <v>#REF!</v>
      </c>
      <c r="N16" s="1619"/>
    </row>
    <row r="17" spans="1:14" ht="18.75">
      <c r="A17" s="1725">
        <v>1</v>
      </c>
      <c r="B17" s="1726" t="s">
        <v>536</v>
      </c>
      <c r="C17" s="1726" t="s">
        <v>704</v>
      </c>
      <c r="D17" s="1727" t="s">
        <v>451</v>
      </c>
      <c r="E17" s="1727" t="s">
        <v>17</v>
      </c>
      <c r="F17" s="1728">
        <f>+VLOOKUP(B17,HTSL!B15:H20,6,0)</f>
        <v>3.4393830306569324</v>
      </c>
      <c r="G17" s="1729">
        <v>450</v>
      </c>
      <c r="H17" s="1730">
        <f>G17*50%</f>
        <v>225</v>
      </c>
      <c r="I17" s="1731" t="e">
        <f>G17*0.5*#REF!</f>
        <v>#REF!</v>
      </c>
      <c r="J17" s="1732"/>
      <c r="K17" s="1734">
        <f>IF(F17&gt;=100%,0,(F17-100%)*10*100)</f>
        <v>0</v>
      </c>
      <c r="L17" s="1777" t="e">
        <f>H17+I17+J17+K17</f>
        <v>#REF!</v>
      </c>
      <c r="M17" s="1777" t="e">
        <f>IF(L17&lt;H17,H17,L17)</f>
        <v>#REF!</v>
      </c>
      <c r="N17" s="1735"/>
    </row>
    <row r="18" spans="1:14" ht="18.75">
      <c r="A18" s="1736">
        <v>2</v>
      </c>
      <c r="B18" s="1737" t="s">
        <v>789</v>
      </c>
      <c r="C18" s="1738" t="s">
        <v>704</v>
      </c>
      <c r="D18" s="1739" t="s">
        <v>452</v>
      </c>
      <c r="E18" s="1739" t="s">
        <v>17</v>
      </c>
      <c r="F18" s="1740" t="e">
        <f>+VLOOKUP(B18,HTSL!B16:H20,6,0)</f>
        <v>#N/A</v>
      </c>
      <c r="G18" s="1741">
        <v>450</v>
      </c>
      <c r="H18" s="1742">
        <f>G18*50%</f>
        <v>225</v>
      </c>
      <c r="I18" s="1743" t="e">
        <f>G18*0.5*#REF!</f>
        <v>#REF!</v>
      </c>
      <c r="J18" s="1776" t="e">
        <f>IF(F18&lt;100%,0,100)+ROUND(IF(F18&gt;100%,((F18-100%)*20*100),0),0)</f>
        <v>#N/A</v>
      </c>
      <c r="K18" s="1744" t="e">
        <f>IF(F18&gt;=100%,0,(F18-100%)*10*100)</f>
        <v>#N/A</v>
      </c>
      <c r="L18" s="1776" t="e">
        <f>H18+I18+J18+K18</f>
        <v>#REF!</v>
      </c>
      <c r="M18" s="1776" t="e">
        <f>IF(L18&lt;H18,H18,L18)</f>
        <v>#REF!</v>
      </c>
      <c r="N18" s="1745"/>
    </row>
    <row r="19" spans="1:14" ht="18.75">
      <c r="A19" s="1818">
        <v>3</v>
      </c>
      <c r="B19" s="1819" t="s">
        <v>1307</v>
      </c>
      <c r="C19" s="1819" t="s">
        <v>832</v>
      </c>
      <c r="D19" s="1739" t="s">
        <v>452</v>
      </c>
      <c r="E19" s="1739" t="s">
        <v>17</v>
      </c>
      <c r="F19" s="1740" t="e">
        <f>+F18</f>
        <v>#N/A</v>
      </c>
      <c r="G19" s="1741">
        <v>410</v>
      </c>
      <c r="H19" s="1742">
        <f>G19*50%</f>
        <v>205</v>
      </c>
      <c r="I19" s="1743" t="e">
        <f>G19*0.5*#REF!</f>
        <v>#REF!</v>
      </c>
      <c r="J19" s="1776" t="e">
        <f>IF(F19&lt;100%,0,100)+ROUND(IF(F19&gt;100%,((F19-100%)*20*100),0),0)</f>
        <v>#N/A</v>
      </c>
      <c r="K19" s="1744" t="e">
        <f>IF(F19&gt;=100%,0,(F19-100%)*10*100)</f>
        <v>#N/A</v>
      </c>
      <c r="L19" s="1776" t="e">
        <f>H19+I19+J19+K19</f>
        <v>#REF!</v>
      </c>
      <c r="M19" s="1776" t="e">
        <f>IF(L19&lt;H19,H19,L19)</f>
        <v>#REF!</v>
      </c>
      <c r="N19" s="1745"/>
    </row>
    <row r="20" spans="1:14" ht="18.75">
      <c r="A20" s="1746">
        <v>4</v>
      </c>
      <c r="B20" s="1747" t="s">
        <v>36</v>
      </c>
      <c r="C20" s="1748" t="s">
        <v>704</v>
      </c>
      <c r="D20" s="1749" t="s">
        <v>453</v>
      </c>
      <c r="E20" s="1749" t="s">
        <v>17</v>
      </c>
      <c r="F20" s="1750">
        <f>+VLOOKUP(B20,HTSL!B17:H21,6,0)</f>
        <v>1.9046489693430657</v>
      </c>
      <c r="G20" s="1751">
        <v>450</v>
      </c>
      <c r="H20" s="1751">
        <f>G20*50%</f>
        <v>225</v>
      </c>
      <c r="I20" s="1752" t="e">
        <f>G20*0.5*#REF!</f>
        <v>#REF!</v>
      </c>
      <c r="J20" s="1820">
        <f>IF(F20&lt;100%,0,100)+ROUND(IF(F20&gt;100%,((F20-100%)*20*100),0),0)</f>
        <v>1909</v>
      </c>
      <c r="K20" s="1754">
        <f>IF(F20&gt;=100%,0,(F20-100%)*10*100)</f>
        <v>0</v>
      </c>
      <c r="L20" s="1820" t="e">
        <f>H20+I20+J20+K20</f>
        <v>#REF!</v>
      </c>
      <c r="M20" s="1820" t="e">
        <f>IF(L20&lt;H20,H20,L20)</f>
        <v>#REF!</v>
      </c>
      <c r="N20" s="1755"/>
    </row>
    <row r="21" spans="1:14" ht="18.75">
      <c r="A21" s="1664" t="s">
        <v>143</v>
      </c>
      <c r="B21" s="1664" t="s">
        <v>1334</v>
      </c>
      <c r="C21" s="1654"/>
      <c r="D21" s="1655"/>
      <c r="E21" s="1719"/>
      <c r="F21" s="1720"/>
      <c r="G21" s="1709">
        <f t="shared" ref="G21:M21" si="0">SUM(G22:G23)</f>
        <v>7000000</v>
      </c>
      <c r="H21" s="1709">
        <f t="shared" si="0"/>
        <v>3500000</v>
      </c>
      <c r="I21" s="1709" t="e">
        <f t="shared" si="0"/>
        <v>#REF!</v>
      </c>
      <c r="J21" s="1714" t="e">
        <f t="shared" si="0"/>
        <v>#N/A</v>
      </c>
      <c r="K21" s="1733" t="e">
        <f t="shared" si="0"/>
        <v>#N/A</v>
      </c>
      <c r="L21" s="1709" t="e">
        <f t="shared" si="0"/>
        <v>#REF!</v>
      </c>
      <c r="M21" s="1709" t="e">
        <f t="shared" si="0"/>
        <v>#REF!</v>
      </c>
      <c r="N21" s="1723"/>
    </row>
    <row r="22" spans="1:14" ht="18.75">
      <c r="A22" s="1725">
        <v>1</v>
      </c>
      <c r="B22" s="1756" t="s">
        <v>327</v>
      </c>
      <c r="C22" s="1726" t="s">
        <v>832</v>
      </c>
      <c r="D22" s="1727" t="s">
        <v>452</v>
      </c>
      <c r="E22" s="1727" t="s">
        <v>81</v>
      </c>
      <c r="F22" s="1728" t="e">
        <f>+F18</f>
        <v>#N/A</v>
      </c>
      <c r="G22" s="1823">
        <v>3500000</v>
      </c>
      <c r="H22" s="1821">
        <f>G22*50%</f>
        <v>1750000</v>
      </c>
      <c r="I22" s="1730" t="e">
        <f>G22*0.5*#REF!</f>
        <v>#REF!</v>
      </c>
      <c r="J22" s="1777" t="e">
        <f>IF(F22&lt;100%,0,1000000)+ROUND(IF(F22&gt;100%,((F22-100%)*200000*100),0),0)</f>
        <v>#N/A</v>
      </c>
      <c r="K22" s="1733" t="e">
        <f>IF(F22&gt;=100%,0,(F22-100%)*100000*100)</f>
        <v>#N/A</v>
      </c>
      <c r="L22" s="1734" t="e">
        <f>H22+I22+J22+K22</f>
        <v>#REF!</v>
      </c>
      <c r="M22" s="1734" t="e">
        <f>IF(L22&lt;H22,H22,L22)</f>
        <v>#REF!</v>
      </c>
      <c r="N22" s="1757"/>
    </row>
    <row r="23" spans="1:14" ht="18.75">
      <c r="A23" s="1746">
        <v>2</v>
      </c>
      <c r="B23" s="1758" t="s">
        <v>437</v>
      </c>
      <c r="C23" s="1748" t="s">
        <v>832</v>
      </c>
      <c r="D23" s="1749" t="s">
        <v>453</v>
      </c>
      <c r="E23" s="1749" t="s">
        <v>81</v>
      </c>
      <c r="F23" s="1750">
        <f>+F20</f>
        <v>1.9046489693430657</v>
      </c>
      <c r="G23" s="1824">
        <v>3500000</v>
      </c>
      <c r="H23" s="1822">
        <f>G23*50%</f>
        <v>1750000</v>
      </c>
      <c r="I23" s="1751" t="e">
        <f>G23*0.5*#REF!</f>
        <v>#REF!</v>
      </c>
      <c r="J23" s="1820">
        <f>IF(F23&lt;100%,0,1000000)+ROUND(IF(F23&gt;100%,((F23-100%)*200000*100),0),0)</f>
        <v>19092979</v>
      </c>
      <c r="K23" s="1753">
        <f>IF(F23&gt;=100%,0,(F23-100%)*100000*100)</f>
        <v>0</v>
      </c>
      <c r="L23" s="1754" t="e">
        <f>H23+I23+J23+K23</f>
        <v>#REF!</v>
      </c>
      <c r="M23" s="1754" t="e">
        <f>IF(L23&lt;H23,H23,L23)</f>
        <v>#REF!</v>
      </c>
      <c r="N23" s="1759"/>
    </row>
    <row r="24" spans="1:14" ht="18.75">
      <c r="A24" s="1636"/>
      <c r="B24" s="1636"/>
      <c r="C24" s="1636"/>
      <c r="D24" s="1636"/>
      <c r="E24" s="1636"/>
      <c r="F24" s="1636"/>
      <c r="G24" s="1637"/>
      <c r="H24" s="1638"/>
      <c r="I24" s="1636"/>
      <c r="J24" s="1636"/>
      <c r="K24" s="1636"/>
      <c r="L24" s="1636"/>
      <c r="M24" s="1639"/>
      <c r="N24" s="1636"/>
    </row>
    <row r="25" spans="1:14" ht="18.75">
      <c r="A25" s="4397" t="s">
        <v>954</v>
      </c>
      <c r="B25" s="4397"/>
      <c r="C25" s="4397"/>
      <c r="D25" s="4397"/>
      <c r="E25" s="4397"/>
      <c r="F25" s="1721"/>
      <c r="G25" s="1722"/>
      <c r="H25" s="1674"/>
      <c r="I25" s="1722" t="s">
        <v>1335</v>
      </c>
      <c r="J25" s="1722"/>
      <c r="K25" s="1722"/>
      <c r="L25" s="1722"/>
      <c r="M25" s="1722" t="s">
        <v>20</v>
      </c>
      <c r="N25" s="1722"/>
    </row>
    <row r="26" spans="1:14" ht="18.75">
      <c r="A26" s="1635"/>
      <c r="B26" s="1635"/>
      <c r="C26" s="1635"/>
      <c r="D26" s="1635"/>
      <c r="E26" s="1635"/>
      <c r="F26" s="1635"/>
      <c r="G26" s="1678"/>
      <c r="H26" s="1679"/>
      <c r="I26" s="1635"/>
      <c r="J26" s="1635"/>
      <c r="K26" s="1635"/>
      <c r="L26" s="1635"/>
      <c r="M26" s="1680"/>
      <c r="N26" s="1635"/>
    </row>
  </sheetData>
  <mergeCells count="23">
    <mergeCell ref="A25:E25"/>
    <mergeCell ref="M12:M14"/>
    <mergeCell ref="N12:N14"/>
    <mergeCell ref="F13:F14"/>
    <mergeCell ref="H13:H14"/>
    <mergeCell ref="I13:I14"/>
    <mergeCell ref="J13:J14"/>
    <mergeCell ref="K13:K14"/>
    <mergeCell ref="A9:N9"/>
    <mergeCell ref="A12:A14"/>
    <mergeCell ref="B12:B14"/>
    <mergeCell ref="C12:C14"/>
    <mergeCell ref="D12:D14"/>
    <mergeCell ref="E12:E14"/>
    <mergeCell ref="G12:G14"/>
    <mergeCell ref="H12:K12"/>
    <mergeCell ref="L12:L14"/>
    <mergeCell ref="A8:N8"/>
    <mergeCell ref="A1:N1"/>
    <mergeCell ref="A2:N2"/>
    <mergeCell ref="A3:N3"/>
    <mergeCell ref="A4:G4"/>
    <mergeCell ref="A5:G5"/>
  </mergeCells>
  <pageMargins left="0.21" right="0.17" top="0.38" bottom="0.75" header="0.3" footer="0.3"/>
  <pageSetup scale="7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65"/>
  <sheetViews>
    <sheetView topLeftCell="A16" zoomScale="80" zoomScaleNormal="80" workbookViewId="0">
      <selection activeCell="V34" sqref="V34"/>
    </sheetView>
  </sheetViews>
  <sheetFormatPr defaultColWidth="9.140625" defaultRowHeight="15.75" outlineLevelRow="2"/>
  <cols>
    <col min="1" max="1" width="5.42578125" style="4" customWidth="1"/>
    <col min="2" max="2" width="13.5703125" style="43" hidden="1" customWidth="1"/>
    <col min="3" max="3" width="29.140625" style="4" customWidth="1"/>
    <col min="4" max="4" width="10.140625" style="2106" hidden="1" customWidth="1"/>
    <col min="5" max="5" width="10.7109375" style="2103" hidden="1" customWidth="1"/>
    <col min="6" max="6" width="8.28515625" style="2103" customWidth="1"/>
    <col min="7" max="7" width="13" style="4" customWidth="1"/>
    <col min="8" max="8" width="9.42578125" style="4" customWidth="1"/>
    <col min="9" max="9" width="6.42578125" style="2114" customWidth="1"/>
    <col min="10" max="10" width="6.42578125" style="18" hidden="1" customWidth="1"/>
    <col min="11" max="11" width="13.28515625" style="18" hidden="1" customWidth="1"/>
    <col min="12" max="12" width="13.42578125" style="4" customWidth="1"/>
    <col min="13" max="13" width="20.28515625" style="4" hidden="1" customWidth="1"/>
    <col min="14" max="14" width="12.140625" style="4" customWidth="1"/>
    <col min="15" max="15" width="10.7109375" style="4" hidden="1" customWidth="1"/>
    <col min="16" max="16" width="13.85546875" style="479" customWidth="1"/>
    <col min="17" max="17" width="8" style="4" customWidth="1"/>
    <col min="18" max="19" width="12.85546875" style="4" customWidth="1"/>
    <col min="20" max="20" width="14.28515625" style="4" customWidth="1"/>
    <col min="21" max="21" width="7" style="4" customWidth="1"/>
    <col min="22" max="22" width="9.5703125" style="4" customWidth="1"/>
    <col min="23" max="23" width="14.140625" style="4" customWidth="1"/>
    <col min="24" max="24" width="11.85546875" style="4" customWidth="1"/>
    <col min="25" max="25" width="12.28515625" style="4" customWidth="1"/>
    <col min="26" max="26" width="14.85546875" style="4" customWidth="1"/>
    <col min="27" max="27" width="18.42578125" style="4" hidden="1" customWidth="1"/>
    <col min="28" max="28" width="13.85546875" style="4" customWidth="1"/>
    <col min="29" max="29" width="19.5703125" style="4" customWidth="1"/>
    <col min="30" max="30" width="16.42578125" style="4" customWidth="1"/>
    <col min="31" max="16384" width="9.140625" style="4"/>
  </cols>
  <sheetData>
    <row r="1" spans="1:29" ht="17.25" customHeight="1">
      <c r="A1" s="3947" t="s">
        <v>23</v>
      </c>
      <c r="B1" s="3947"/>
      <c r="C1" s="3947"/>
      <c r="D1" s="3947"/>
      <c r="E1" s="3947"/>
      <c r="F1" s="3947"/>
      <c r="G1" s="3947"/>
      <c r="H1" s="3947"/>
      <c r="I1" s="3947"/>
      <c r="J1" s="3947"/>
      <c r="K1" s="3947"/>
      <c r="L1" s="3947"/>
      <c r="M1" s="3947"/>
      <c r="N1" s="3947"/>
      <c r="O1" s="3947"/>
      <c r="P1" s="3947"/>
      <c r="Q1" s="3947"/>
      <c r="R1" s="3947"/>
      <c r="S1" s="3947"/>
      <c r="T1" s="3947"/>
      <c r="U1" s="3947"/>
      <c r="V1" s="3947"/>
      <c r="W1" s="3947"/>
      <c r="X1" s="3947"/>
      <c r="Y1" s="3947"/>
      <c r="Z1" s="3947"/>
      <c r="AA1" s="3947"/>
      <c r="AB1" s="3947"/>
    </row>
    <row r="2" spans="1:29" ht="18" customHeight="1">
      <c r="A2" s="3947" t="s">
        <v>45</v>
      </c>
      <c r="B2" s="3947"/>
      <c r="C2" s="3947"/>
      <c r="D2" s="3947"/>
      <c r="E2" s="3947"/>
      <c r="F2" s="3947"/>
      <c r="G2" s="3947"/>
      <c r="H2" s="3947"/>
      <c r="I2" s="3947"/>
      <c r="J2" s="3947"/>
      <c r="K2" s="3947"/>
      <c r="L2" s="3947"/>
      <c r="M2" s="3947"/>
      <c r="N2" s="3947"/>
      <c r="O2" s="3947"/>
      <c r="P2" s="3947"/>
      <c r="Q2" s="3947"/>
      <c r="R2" s="3947"/>
      <c r="S2" s="3947"/>
      <c r="T2" s="3947"/>
      <c r="U2" s="3947"/>
      <c r="V2" s="3947"/>
      <c r="W2" s="3947"/>
      <c r="X2" s="3947"/>
      <c r="Y2" s="3947"/>
      <c r="Z2" s="3947"/>
      <c r="AA2" s="3947"/>
      <c r="AB2" s="3947"/>
    </row>
    <row r="3" spans="1:29" ht="17.25" customHeight="1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3934"/>
      <c r="X3" s="3934"/>
      <c r="Y3" s="3934"/>
      <c r="Z3" s="3934"/>
      <c r="AA3" s="3934"/>
      <c r="AB3" s="3934"/>
    </row>
    <row r="4" spans="1:29" ht="17.25" customHeight="1">
      <c r="A4" s="2091"/>
      <c r="B4" s="79"/>
      <c r="C4" s="4066" t="s">
        <v>929</v>
      </c>
      <c r="D4" s="4066"/>
      <c r="E4" s="4066"/>
      <c r="F4" s="4066"/>
      <c r="G4" s="4066"/>
      <c r="H4" s="4066"/>
      <c r="I4" s="2111"/>
      <c r="J4" s="82"/>
      <c r="K4" s="82"/>
      <c r="L4" s="2092"/>
      <c r="M4" s="2092"/>
      <c r="N4" s="2092"/>
      <c r="O4" s="2092"/>
      <c r="P4" s="2093"/>
      <c r="Q4" s="82"/>
      <c r="R4" s="82"/>
      <c r="S4" s="82"/>
      <c r="T4" s="79"/>
      <c r="U4" s="79"/>
      <c r="V4" s="79"/>
      <c r="W4" s="79"/>
      <c r="X4" s="79"/>
      <c r="Y4" s="79"/>
      <c r="Z4" s="79"/>
      <c r="AA4" s="79"/>
      <c r="AB4" s="87"/>
    </row>
    <row r="5" spans="1:29" ht="17.25" customHeight="1">
      <c r="A5" s="2112"/>
      <c r="B5" s="2110"/>
      <c r="C5" s="3947" t="s">
        <v>90</v>
      </c>
      <c r="D5" s="3947"/>
      <c r="E5" s="3947"/>
      <c r="F5" s="3947"/>
      <c r="G5" s="3947"/>
      <c r="H5" s="3947"/>
      <c r="I5" s="2094"/>
      <c r="J5" s="85"/>
      <c r="K5" s="85"/>
      <c r="L5" s="85"/>
      <c r="M5" s="85"/>
      <c r="N5" s="85"/>
      <c r="O5" s="85"/>
      <c r="P5" s="2095"/>
      <c r="Q5" s="85"/>
      <c r="R5" s="85"/>
      <c r="S5" s="85"/>
      <c r="T5" s="86"/>
      <c r="U5" s="86"/>
      <c r="V5" s="86"/>
      <c r="W5" s="87"/>
      <c r="X5" s="87"/>
      <c r="Y5" s="87"/>
      <c r="Z5" s="88"/>
      <c r="AA5" s="87"/>
      <c r="AB5" s="87"/>
    </row>
    <row r="6" spans="1:29" ht="17.25" customHeight="1">
      <c r="A6" s="2112"/>
      <c r="B6" s="2110"/>
      <c r="C6" s="2102"/>
      <c r="D6" s="2102"/>
      <c r="E6" s="2102"/>
      <c r="F6" s="2102"/>
      <c r="G6" s="2102"/>
      <c r="H6" s="2102"/>
      <c r="I6" s="2094"/>
      <c r="J6" s="85"/>
      <c r="K6" s="85"/>
      <c r="L6" s="85"/>
      <c r="M6" s="85"/>
      <c r="N6" s="85"/>
      <c r="O6" s="85"/>
      <c r="P6" s="2095"/>
      <c r="Q6" s="85"/>
      <c r="R6" s="85"/>
      <c r="S6" s="85"/>
      <c r="T6" s="86"/>
      <c r="U6" s="86"/>
      <c r="V6" s="86"/>
      <c r="W6" s="87"/>
      <c r="X6" s="87"/>
      <c r="Y6" s="87"/>
      <c r="Z6" s="88"/>
      <c r="AA6" s="87"/>
      <c r="AB6" s="87"/>
    </row>
    <row r="7" spans="1:29" s="10" customFormat="1" ht="21.75" customHeight="1">
      <c r="A7" s="4070" t="s">
        <v>1548</v>
      </c>
      <c r="B7" s="4070"/>
      <c r="C7" s="4070"/>
      <c r="D7" s="4070"/>
      <c r="E7" s="4070"/>
      <c r="F7" s="4070"/>
      <c r="G7" s="4070"/>
      <c r="H7" s="4070"/>
      <c r="I7" s="4070"/>
      <c r="J7" s="4070"/>
      <c r="K7" s="4070"/>
      <c r="L7" s="4070"/>
      <c r="M7" s="4070"/>
      <c r="N7" s="4070"/>
      <c r="O7" s="4070"/>
      <c r="P7" s="4070"/>
      <c r="Q7" s="4070"/>
      <c r="R7" s="4070"/>
      <c r="S7" s="4070"/>
      <c r="T7" s="4070"/>
      <c r="U7" s="4070"/>
      <c r="V7" s="4070"/>
      <c r="W7" s="4070"/>
      <c r="X7" s="4070"/>
      <c r="Y7" s="4070"/>
      <c r="Z7" s="4070"/>
      <c r="AA7" s="4070"/>
      <c r="AB7" s="4070"/>
    </row>
    <row r="8" spans="1:29" s="10" customFormat="1" ht="28.5" customHeight="1">
      <c r="A8" s="4070"/>
      <c r="B8" s="4070"/>
      <c r="C8" s="4070"/>
      <c r="D8" s="4070"/>
      <c r="E8" s="4070"/>
      <c r="F8" s="4070"/>
      <c r="G8" s="4070"/>
      <c r="H8" s="4070"/>
      <c r="I8" s="4070"/>
      <c r="J8" s="4070"/>
      <c r="K8" s="4070"/>
      <c r="L8" s="4070"/>
      <c r="M8" s="4070"/>
      <c r="N8" s="4070"/>
      <c r="O8" s="4070"/>
      <c r="P8" s="4070"/>
      <c r="Q8" s="4070"/>
      <c r="R8" s="4070"/>
      <c r="S8" s="4070"/>
      <c r="T8" s="4070"/>
      <c r="U8" s="4070"/>
      <c r="V8" s="4070"/>
      <c r="W8" s="4070"/>
      <c r="X8" s="4070"/>
      <c r="Y8" s="4070"/>
      <c r="Z8" s="4070"/>
      <c r="AA8" s="4070"/>
      <c r="AB8" s="4070"/>
    </row>
    <row r="9" spans="1:29" ht="17.25" hidden="1" customHeight="1">
      <c r="A9" s="59"/>
      <c r="C9" s="898" t="s">
        <v>438</v>
      </c>
      <c r="D9" s="4429">
        <f>+'BẢNG KÊ LƯƠNG'!C7</f>
        <v>20939</v>
      </c>
      <c r="E9" s="4429"/>
      <c r="F9" s="4429"/>
      <c r="G9" s="60"/>
      <c r="H9" s="61"/>
      <c r="I9" s="1087"/>
      <c r="J9" s="62"/>
      <c r="K9" s="62"/>
      <c r="L9" s="61"/>
      <c r="M9" s="61"/>
      <c r="N9" s="61"/>
      <c r="O9" s="61"/>
      <c r="P9" s="899"/>
      <c r="Q9" s="61"/>
      <c r="R9" s="61"/>
      <c r="S9" s="61"/>
      <c r="T9" s="63"/>
      <c r="U9" s="63"/>
      <c r="V9" s="63"/>
      <c r="W9" s="58"/>
      <c r="X9" s="58"/>
      <c r="Y9" s="58"/>
      <c r="Z9" s="57"/>
      <c r="AA9" s="58"/>
    </row>
    <row r="10" spans="1:29" ht="17.25" hidden="1" customHeight="1">
      <c r="A10" s="59"/>
      <c r="B10" s="4199" t="s">
        <v>439</v>
      </c>
      <c r="C10" s="4199"/>
      <c r="D10" s="4430">
        <f>+'BẢNG KÊ LƯƠNG'!C8</f>
        <v>0.99009999999999998</v>
      </c>
      <c r="E10" s="4430"/>
      <c r="F10" s="4430"/>
      <c r="G10" s="60"/>
      <c r="H10" s="61"/>
      <c r="I10" s="1087"/>
      <c r="J10" s="62"/>
      <c r="K10" s="62"/>
      <c r="L10" s="61"/>
      <c r="M10" s="61"/>
      <c r="N10" s="61"/>
      <c r="O10" s="61"/>
      <c r="P10" s="899"/>
      <c r="Q10" s="61"/>
      <c r="R10" s="61"/>
      <c r="S10" s="61"/>
      <c r="T10" s="63"/>
      <c r="U10" s="63"/>
      <c r="V10" s="63"/>
      <c r="W10" s="58"/>
      <c r="X10" s="58"/>
      <c r="Y10" s="58"/>
      <c r="Z10" s="57"/>
      <c r="AA10" s="58"/>
      <c r="AB10" s="58"/>
    </row>
    <row r="11" spans="1:29" ht="17.25" hidden="1" customHeight="1">
      <c r="A11" s="11"/>
      <c r="B11" s="2170"/>
      <c r="C11" s="2170" t="str">
        <f>+'Tong luong NT'!D11</f>
        <v>BATH -LAK</v>
      </c>
      <c r="D11" s="2171"/>
      <c r="E11" s="4434" t="e">
        <f>+'Tong luong NT'!F11:G11</f>
        <v>#VALUE!</v>
      </c>
      <c r="F11" s="4434"/>
      <c r="G11" s="12"/>
      <c r="H11" s="13"/>
      <c r="I11" s="1088"/>
      <c r="J11" s="14"/>
      <c r="K11" s="14"/>
      <c r="L11" s="13"/>
      <c r="M11" s="13"/>
      <c r="N11" s="13"/>
      <c r="O11" s="13"/>
      <c r="P11" s="900"/>
      <c r="Q11" s="13"/>
      <c r="R11" s="13"/>
      <c r="S11" s="13"/>
      <c r="T11" s="15"/>
      <c r="U11" s="15"/>
      <c r="V11" s="15"/>
      <c r="W11" s="16"/>
      <c r="X11" s="16"/>
      <c r="Y11" s="16"/>
      <c r="Z11" s="17"/>
      <c r="AA11" s="16"/>
      <c r="AB11" s="16"/>
    </row>
    <row r="12" spans="1:29" s="44" customFormat="1" ht="17.25" customHeight="1">
      <c r="A12" s="4438" t="s">
        <v>0</v>
      </c>
      <c r="B12" s="4440" t="s">
        <v>1</v>
      </c>
      <c r="C12" s="4441"/>
      <c r="D12" s="4438" t="s">
        <v>64</v>
      </c>
      <c r="E12" s="4442" t="s">
        <v>2</v>
      </c>
      <c r="F12" s="4445" t="s">
        <v>1395</v>
      </c>
      <c r="G12" s="4431" t="s">
        <v>496</v>
      </c>
      <c r="H12" s="4432"/>
      <c r="I12" s="4432"/>
      <c r="J12" s="4432"/>
      <c r="K12" s="4432"/>
      <c r="L12" s="4432"/>
      <c r="M12" s="4432"/>
      <c r="N12" s="4432"/>
      <c r="O12" s="4432"/>
      <c r="P12" s="4432"/>
      <c r="Q12" s="4432"/>
      <c r="R12" s="4432"/>
      <c r="S12" s="4433"/>
      <c r="T12" s="4412" t="s">
        <v>986</v>
      </c>
      <c r="U12" s="4412" t="s">
        <v>6</v>
      </c>
      <c r="V12" s="4412" t="s">
        <v>834</v>
      </c>
      <c r="W12" s="4412" t="s">
        <v>1138</v>
      </c>
      <c r="X12" s="4412" t="s">
        <v>1549</v>
      </c>
      <c r="Y12" s="4412" t="s">
        <v>1550</v>
      </c>
      <c r="Z12" s="4410" t="s">
        <v>1139</v>
      </c>
      <c r="AA12" s="4422" t="s">
        <v>10</v>
      </c>
      <c r="AB12" s="4425" t="s">
        <v>92</v>
      </c>
    </row>
    <row r="13" spans="1:29" s="44" customFormat="1" ht="17.25" customHeight="1" outlineLevel="1">
      <c r="A13" s="4438"/>
      <c r="B13" s="4441"/>
      <c r="C13" s="4441"/>
      <c r="D13" s="4438"/>
      <c r="E13" s="4443"/>
      <c r="F13" s="4438"/>
      <c r="G13" s="4435" t="s">
        <v>12</v>
      </c>
      <c r="H13" s="4437" t="s">
        <v>94</v>
      </c>
      <c r="I13" s="4410" t="s">
        <v>13</v>
      </c>
      <c r="J13" s="4410" t="s">
        <v>833</v>
      </c>
      <c r="K13" s="4410" t="s">
        <v>706</v>
      </c>
      <c r="L13" s="4413" t="s">
        <v>14</v>
      </c>
      <c r="M13" s="4413" t="s">
        <v>1349</v>
      </c>
      <c r="N13" s="4413" t="s">
        <v>1412</v>
      </c>
      <c r="O13" s="4413" t="s">
        <v>1350</v>
      </c>
      <c r="P13" s="4415" t="s">
        <v>444</v>
      </c>
      <c r="Q13" s="4410" t="s">
        <v>222</v>
      </c>
      <c r="R13" s="4410" t="s">
        <v>797</v>
      </c>
      <c r="S13" s="4410" t="s">
        <v>798</v>
      </c>
      <c r="T13" s="4412"/>
      <c r="U13" s="4412"/>
      <c r="V13" s="4412"/>
      <c r="W13" s="4412"/>
      <c r="X13" s="4412"/>
      <c r="Y13" s="4412"/>
      <c r="Z13" s="4421"/>
      <c r="AA13" s="4423"/>
      <c r="AB13" s="4426"/>
    </row>
    <row r="14" spans="1:29" s="42" customFormat="1" ht="46.5" customHeight="1" outlineLevel="1">
      <c r="A14" s="4439"/>
      <c r="B14" s="2230" t="s">
        <v>15</v>
      </c>
      <c r="C14" s="2230" t="s">
        <v>16</v>
      </c>
      <c r="D14" s="4438"/>
      <c r="E14" s="4444"/>
      <c r="F14" s="4439"/>
      <c r="G14" s="4436"/>
      <c r="H14" s="4437"/>
      <c r="I14" s="4411"/>
      <c r="J14" s="4411"/>
      <c r="K14" s="4411"/>
      <c r="L14" s="4414"/>
      <c r="M14" s="4414"/>
      <c r="N14" s="4414"/>
      <c r="O14" s="4414"/>
      <c r="P14" s="4416"/>
      <c r="Q14" s="4411"/>
      <c r="R14" s="4411"/>
      <c r="S14" s="4411"/>
      <c r="T14" s="4412"/>
      <c r="U14" s="4412"/>
      <c r="V14" s="4412"/>
      <c r="W14" s="4428"/>
      <c r="X14" s="4412"/>
      <c r="Y14" s="4412"/>
      <c r="Z14" s="4411"/>
      <c r="AA14" s="4424"/>
      <c r="AB14" s="4427"/>
    </row>
    <row r="15" spans="1:29" s="41" customFormat="1" ht="42" hidden="1" customHeight="1" outlineLevel="2">
      <c r="A15" s="901" t="s">
        <v>65</v>
      </c>
      <c r="B15" s="902" t="s">
        <v>66</v>
      </c>
      <c r="C15" s="901" t="s">
        <v>67</v>
      </c>
      <c r="D15" s="901" t="s">
        <v>116</v>
      </c>
      <c r="E15" s="901" t="s">
        <v>68</v>
      </c>
      <c r="F15" s="901" t="s">
        <v>114</v>
      </c>
      <c r="G15" s="901" t="s">
        <v>69</v>
      </c>
      <c r="H15" s="901" t="s">
        <v>70</v>
      </c>
      <c r="I15" s="901" t="s">
        <v>71</v>
      </c>
      <c r="J15" s="901"/>
      <c r="K15" s="901"/>
      <c r="L15" s="901" t="s">
        <v>72</v>
      </c>
      <c r="M15" s="901"/>
      <c r="N15" s="901"/>
      <c r="O15" s="901"/>
      <c r="P15" s="903" t="s">
        <v>204</v>
      </c>
      <c r="Q15" s="904"/>
      <c r="R15" s="901"/>
      <c r="S15" s="901"/>
      <c r="T15" s="901" t="s">
        <v>113</v>
      </c>
      <c r="U15" s="901" t="s">
        <v>73</v>
      </c>
      <c r="V15" s="901"/>
      <c r="W15" s="901" t="s">
        <v>74</v>
      </c>
      <c r="X15" s="901" t="s">
        <v>75</v>
      </c>
      <c r="Y15" s="901" t="s">
        <v>79</v>
      </c>
      <c r="Z15" s="901" t="s">
        <v>76</v>
      </c>
      <c r="AA15" s="901" t="s">
        <v>77</v>
      </c>
      <c r="AB15" s="1594"/>
    </row>
    <row r="16" spans="1:29" s="1455" customFormat="1" ht="26.25" customHeight="1" outlineLevel="1" collapsed="1">
      <c r="A16" s="2122" t="s">
        <v>140</v>
      </c>
      <c r="B16" s="2122"/>
      <c r="C16" s="4418" t="s">
        <v>1398</v>
      </c>
      <c r="D16" s="4419"/>
      <c r="E16" s="4420"/>
      <c r="F16" s="2148">
        <v>31</v>
      </c>
      <c r="G16" s="2313">
        <f>+BVNT!E46</f>
        <v>990</v>
      </c>
      <c r="H16" s="2314"/>
      <c r="I16" s="2314"/>
      <c r="J16" s="2314"/>
      <c r="K16" s="2314"/>
      <c r="L16" s="2314" t="e">
        <f>+BVNT!#REF!</f>
        <v>#REF!</v>
      </c>
      <c r="M16" s="2314"/>
      <c r="N16" s="2314"/>
      <c r="O16" s="2314"/>
      <c r="P16" s="2314" t="e">
        <f>+L16</f>
        <v>#REF!</v>
      </c>
      <c r="Q16" s="2314"/>
      <c r="R16" s="2314"/>
      <c r="S16" s="2314"/>
      <c r="T16" s="2314" t="e">
        <f>+P16</f>
        <v>#REF!</v>
      </c>
      <c r="U16" s="2314"/>
      <c r="V16" s="2314"/>
      <c r="W16" s="2314" t="e">
        <f>T16-U16</f>
        <v>#REF!</v>
      </c>
      <c r="X16" s="2314">
        <f>U16-V16</f>
        <v>0</v>
      </c>
      <c r="Y16" s="2314"/>
      <c r="Z16" s="2314" t="e">
        <f>W16</f>
        <v>#REF!</v>
      </c>
      <c r="AA16" s="1882"/>
      <c r="AB16" s="2244"/>
      <c r="AC16" s="1455" t="e">
        <f>+BVNT!#REF!</f>
        <v>#REF!</v>
      </c>
    </row>
    <row r="17" spans="1:31" s="907" customFormat="1" ht="26.25" customHeight="1" outlineLevel="1">
      <c r="A17" s="2129" t="s">
        <v>143</v>
      </c>
      <c r="B17" s="2130"/>
      <c r="C17" s="4417" t="s">
        <v>813</v>
      </c>
      <c r="D17" s="4417"/>
      <c r="E17" s="4417"/>
      <c r="F17" s="2295">
        <f t="shared" ref="F17:Z17" si="0">+F18+F20+F23</f>
        <v>117</v>
      </c>
      <c r="G17" s="2315" t="e">
        <f t="shared" si="0"/>
        <v>#REF!</v>
      </c>
      <c r="H17" s="2316">
        <f t="shared" si="0"/>
        <v>0</v>
      </c>
      <c r="I17" s="2316">
        <f t="shared" si="0"/>
        <v>0</v>
      </c>
      <c r="J17" s="2316">
        <f t="shared" si="0"/>
        <v>0</v>
      </c>
      <c r="K17" s="2316">
        <f t="shared" si="0"/>
        <v>0</v>
      </c>
      <c r="L17" s="2316" t="e">
        <f t="shared" si="0"/>
        <v>#REF!</v>
      </c>
      <c r="M17" s="2316">
        <f t="shared" si="0"/>
        <v>0</v>
      </c>
      <c r="N17" s="2316" t="e">
        <f t="shared" si="0"/>
        <v>#REF!</v>
      </c>
      <c r="O17" s="2316">
        <f t="shared" si="0"/>
        <v>0</v>
      </c>
      <c r="P17" s="2316" t="e">
        <f t="shared" si="0"/>
        <v>#REF!</v>
      </c>
      <c r="Q17" s="2316">
        <f t="shared" si="0"/>
        <v>0</v>
      </c>
      <c r="R17" s="2316" t="e">
        <f t="shared" si="0"/>
        <v>#REF!</v>
      </c>
      <c r="S17" s="2316" t="e">
        <f t="shared" si="0"/>
        <v>#REF!</v>
      </c>
      <c r="T17" s="2316" t="e">
        <f t="shared" si="0"/>
        <v>#REF!</v>
      </c>
      <c r="U17" s="2316">
        <f t="shared" si="0"/>
        <v>0</v>
      </c>
      <c r="V17" s="2316">
        <f t="shared" si="0"/>
        <v>0</v>
      </c>
      <c r="W17" s="2316" t="e">
        <f t="shared" si="0"/>
        <v>#REF!</v>
      </c>
      <c r="X17" s="2316" t="e">
        <f t="shared" si="0"/>
        <v>#REF!</v>
      </c>
      <c r="Y17" s="2316" t="e">
        <f t="shared" si="0"/>
        <v>#REF!</v>
      </c>
      <c r="Z17" s="2316" t="e">
        <f t="shared" si="0"/>
        <v>#REF!</v>
      </c>
      <c r="AA17" s="2245"/>
      <c r="AB17" s="2244"/>
      <c r="AC17" s="1475" t="e">
        <f>+VCKD!#REF!</f>
        <v>#REF!</v>
      </c>
      <c r="AD17" s="2078"/>
    </row>
    <row r="18" spans="1:31" s="1455" customFormat="1" ht="33" customHeight="1" outlineLevel="1">
      <c r="A18" s="2144">
        <v>1</v>
      </c>
      <c r="B18" s="2131"/>
      <c r="C18" s="2133" t="s">
        <v>1258</v>
      </c>
      <c r="D18" s="2132"/>
      <c r="E18" s="2132"/>
      <c r="F18" s="2150"/>
      <c r="G18" s="2317" t="e">
        <f>+'Tong luong NT'!#REF!</f>
        <v>#REF!</v>
      </c>
      <c r="H18" s="2318"/>
      <c r="I18" s="2318"/>
      <c r="J18" s="2318"/>
      <c r="K18" s="2318"/>
      <c r="L18" s="2318" t="e">
        <f>+'Tong luong NT'!#REF!</f>
        <v>#REF!</v>
      </c>
      <c r="M18" s="2318"/>
      <c r="N18" s="2318"/>
      <c r="O18" s="2318"/>
      <c r="P18" s="2318" t="e">
        <f>+'Tong luong NT'!#REF!</f>
        <v>#REF!</v>
      </c>
      <c r="Q18" s="2318"/>
      <c r="R18" s="2318" t="e">
        <f>+'Tong luong NT'!#REF!</f>
        <v>#REF!</v>
      </c>
      <c r="S18" s="2318" t="e">
        <f>+'Tong luong NT'!#REF!</f>
        <v>#REF!</v>
      </c>
      <c r="T18" s="2318" t="e">
        <f>+'Tong luong NT'!#REF!</f>
        <v>#REF!</v>
      </c>
      <c r="U18" s="2318"/>
      <c r="V18" s="2318"/>
      <c r="W18" s="2318" t="e">
        <f>+'Tong luong NT'!#REF!</f>
        <v>#REF!</v>
      </c>
      <c r="X18" s="2318"/>
      <c r="Y18" s="2318" t="e">
        <f>+'Đội 1'!#REF!</f>
        <v>#REF!</v>
      </c>
      <c r="Z18" s="2318" t="e">
        <f>+'Tong luong NT'!#REF!</f>
        <v>#REF!</v>
      </c>
      <c r="AA18" s="1882"/>
      <c r="AB18" s="2244"/>
      <c r="AC18" s="1475">
        <f>+VCKD!V17</f>
        <v>121978958.36000004</v>
      </c>
      <c r="AD18" s="2079"/>
    </row>
    <row r="19" spans="1:31" s="1455" customFormat="1" ht="26.25" customHeight="1" outlineLevel="2">
      <c r="A19" s="2123" t="s">
        <v>1281</v>
      </c>
      <c r="B19" s="2126"/>
      <c r="C19" s="1888" t="s">
        <v>1397</v>
      </c>
      <c r="D19" s="2124"/>
      <c r="E19" s="2125"/>
      <c r="F19" s="2149">
        <v>50</v>
      </c>
      <c r="G19" s="2319" t="e">
        <f t="shared" ref="G19:Z19" si="1">+G18</f>
        <v>#REF!</v>
      </c>
      <c r="H19" s="2319">
        <f t="shared" si="1"/>
        <v>0</v>
      </c>
      <c r="I19" s="2319">
        <f t="shared" si="1"/>
        <v>0</v>
      </c>
      <c r="J19" s="2320">
        <f t="shared" si="1"/>
        <v>0</v>
      </c>
      <c r="K19" s="2320">
        <f t="shared" si="1"/>
        <v>0</v>
      </c>
      <c r="L19" s="2321" t="e">
        <f t="shared" si="1"/>
        <v>#REF!</v>
      </c>
      <c r="M19" s="2321">
        <f t="shared" si="1"/>
        <v>0</v>
      </c>
      <c r="N19" s="2321">
        <f t="shared" si="1"/>
        <v>0</v>
      </c>
      <c r="O19" s="2321">
        <f t="shared" si="1"/>
        <v>0</v>
      </c>
      <c r="P19" s="2321" t="e">
        <f t="shared" si="1"/>
        <v>#REF!</v>
      </c>
      <c r="Q19" s="2321">
        <f t="shared" si="1"/>
        <v>0</v>
      </c>
      <c r="R19" s="2321" t="e">
        <f t="shared" si="1"/>
        <v>#REF!</v>
      </c>
      <c r="S19" s="2321" t="e">
        <f t="shared" si="1"/>
        <v>#REF!</v>
      </c>
      <c r="T19" s="2321" t="e">
        <f t="shared" si="1"/>
        <v>#REF!</v>
      </c>
      <c r="U19" s="2321">
        <f t="shared" si="1"/>
        <v>0</v>
      </c>
      <c r="V19" s="2321">
        <f t="shared" si="1"/>
        <v>0</v>
      </c>
      <c r="W19" s="2321" t="e">
        <f t="shared" si="1"/>
        <v>#REF!</v>
      </c>
      <c r="X19" s="2321">
        <f t="shared" si="1"/>
        <v>0</v>
      </c>
      <c r="Y19" s="2321" t="e">
        <f t="shared" si="1"/>
        <v>#REF!</v>
      </c>
      <c r="Z19" s="2321" t="e">
        <f t="shared" si="1"/>
        <v>#REF!</v>
      </c>
      <c r="AA19" s="2246"/>
      <c r="AB19" s="2247"/>
      <c r="AD19" s="1458"/>
    </row>
    <row r="20" spans="1:31" s="1455" customFormat="1" ht="18.75" customHeight="1" outlineLevel="2">
      <c r="A20" s="2134">
        <v>2</v>
      </c>
      <c r="B20" s="2138"/>
      <c r="C20" s="2135" t="s">
        <v>1393</v>
      </c>
      <c r="D20" s="2136"/>
      <c r="E20" s="2137"/>
      <c r="F20" s="2147">
        <f>+SUM(F21:F22)</f>
        <v>86</v>
      </c>
      <c r="G20" s="2322" t="e">
        <f t="shared" ref="G20:Z20" si="2">+SUM(G21:G22)</f>
        <v>#REF!</v>
      </c>
      <c r="H20" s="2323">
        <f t="shared" si="2"/>
        <v>0</v>
      </c>
      <c r="I20" s="2323">
        <f t="shared" si="2"/>
        <v>0</v>
      </c>
      <c r="J20" s="2323">
        <f t="shared" si="2"/>
        <v>0</v>
      </c>
      <c r="K20" s="2323">
        <f t="shared" si="2"/>
        <v>0</v>
      </c>
      <c r="L20" s="2323" t="e">
        <f t="shared" si="2"/>
        <v>#REF!</v>
      </c>
      <c r="M20" s="2323">
        <f t="shared" si="2"/>
        <v>0</v>
      </c>
      <c r="N20" s="2323" t="e">
        <f t="shared" si="2"/>
        <v>#REF!</v>
      </c>
      <c r="O20" s="2323">
        <f t="shared" si="2"/>
        <v>0</v>
      </c>
      <c r="P20" s="2323" t="e">
        <f t="shared" si="2"/>
        <v>#REF!</v>
      </c>
      <c r="Q20" s="2323">
        <f t="shared" si="2"/>
        <v>0</v>
      </c>
      <c r="R20" s="2323" t="e">
        <f t="shared" si="2"/>
        <v>#REF!</v>
      </c>
      <c r="S20" s="2323" t="e">
        <f t="shared" si="2"/>
        <v>#REF!</v>
      </c>
      <c r="T20" s="2323" t="e">
        <f t="shared" si="2"/>
        <v>#REF!</v>
      </c>
      <c r="U20" s="2323">
        <f t="shared" si="2"/>
        <v>0</v>
      </c>
      <c r="V20" s="2323">
        <f t="shared" si="2"/>
        <v>0</v>
      </c>
      <c r="W20" s="2323" t="e">
        <f t="shared" si="2"/>
        <v>#REF!</v>
      </c>
      <c r="X20" s="2323" t="e">
        <f t="shared" si="2"/>
        <v>#REF!</v>
      </c>
      <c r="Y20" s="2323" t="e">
        <f t="shared" si="2"/>
        <v>#REF!</v>
      </c>
      <c r="Z20" s="2323" t="e">
        <f t="shared" si="2"/>
        <v>#REF!</v>
      </c>
      <c r="AA20" s="1887"/>
      <c r="AB20" s="2248"/>
      <c r="AC20" s="2373" t="e">
        <f>+VCKD!#REF!</f>
        <v>#REF!</v>
      </c>
      <c r="AD20" s="1458"/>
    </row>
    <row r="21" spans="1:31" s="1455" customFormat="1" ht="26.25" customHeight="1" outlineLevel="2">
      <c r="A21" s="2118" t="s">
        <v>1284</v>
      </c>
      <c r="B21" s="2119"/>
      <c r="C21" s="1889" t="s">
        <v>1396</v>
      </c>
      <c r="D21" s="2139"/>
      <c r="E21" s="2120"/>
      <c r="F21" s="2145">
        <v>1</v>
      </c>
      <c r="G21" s="2324">
        <v>25</v>
      </c>
      <c r="H21" s="2325"/>
      <c r="I21" s="2325"/>
      <c r="J21" s="2325"/>
      <c r="K21" s="2325"/>
      <c r="L21" s="2325" t="e">
        <f>+'Tong luong NT'!#REF!</f>
        <v>#REF!</v>
      </c>
      <c r="M21" s="2325"/>
      <c r="N21" s="2325" t="e">
        <f>+'Tong luong NT'!#REF!</f>
        <v>#REF!</v>
      </c>
      <c r="O21" s="2325"/>
      <c r="P21" s="2325" t="e">
        <f>+'Tong luong NT'!#REF!</f>
        <v>#REF!</v>
      </c>
      <c r="Q21" s="2325"/>
      <c r="R21" s="2325"/>
      <c r="S21" s="2325"/>
      <c r="T21" s="2325" t="e">
        <f>+P21</f>
        <v>#REF!</v>
      </c>
      <c r="U21" s="2325"/>
      <c r="V21" s="2325"/>
      <c r="W21" s="2326" t="e">
        <f>+'Tong luong NT'!#REF!</f>
        <v>#REF!</v>
      </c>
      <c r="X21" s="2325" t="e">
        <f>+'Tong luong NT'!#REF!</f>
        <v>#REF!</v>
      </c>
      <c r="Y21" s="2325"/>
      <c r="Z21" s="2325" t="e">
        <f>+W21-X21</f>
        <v>#REF!</v>
      </c>
      <c r="AA21" s="1884"/>
      <c r="AB21" s="2121"/>
      <c r="AD21" s="1458"/>
    </row>
    <row r="22" spans="1:31" s="1455" customFormat="1" ht="26.25" customHeight="1" outlineLevel="2">
      <c r="A22" s="2140" t="s">
        <v>1285</v>
      </c>
      <c r="B22" s="2141"/>
      <c r="C22" s="1888" t="s">
        <v>1397</v>
      </c>
      <c r="D22" s="2142"/>
      <c r="E22" s="2143"/>
      <c r="F22" s="2365">
        <v>85</v>
      </c>
      <c r="G22" s="2327" t="e">
        <f>+VCKD!#REF!</f>
        <v>#REF!</v>
      </c>
      <c r="H22" s="2328"/>
      <c r="I22" s="2328"/>
      <c r="J22" s="2328"/>
      <c r="K22" s="2328"/>
      <c r="L22" s="2328" t="e">
        <f>+VCKD!#REF!</f>
        <v>#REF!</v>
      </c>
      <c r="M22" s="2328"/>
      <c r="N22" s="2328"/>
      <c r="O22" s="2328"/>
      <c r="P22" s="2328" t="e">
        <f>+L22</f>
        <v>#REF!</v>
      </c>
      <c r="Q22" s="2328"/>
      <c r="R22" s="2328" t="e">
        <f>+VCKD!#REF!</f>
        <v>#REF!</v>
      </c>
      <c r="S22" s="2328" t="e">
        <f>+VCKD!#REF!</f>
        <v>#REF!</v>
      </c>
      <c r="T22" s="2328" t="e">
        <f>+P22+R22+S22</f>
        <v>#REF!</v>
      </c>
      <c r="U22" s="2328"/>
      <c r="V22" s="2328"/>
      <c r="W22" s="2329" t="e">
        <f>+T22</f>
        <v>#REF!</v>
      </c>
      <c r="X22" s="2328"/>
      <c r="Y22" s="2328" t="e">
        <f>+'Đội 2'!#REF!</f>
        <v>#REF!</v>
      </c>
      <c r="Z22" s="2328" t="e">
        <f>+W22-Y22</f>
        <v>#REF!</v>
      </c>
      <c r="AA22" s="1886"/>
      <c r="AB22" s="2249"/>
      <c r="AD22" s="1458"/>
    </row>
    <row r="23" spans="1:31" s="1455" customFormat="1" ht="25.5" customHeight="1" outlineLevel="1">
      <c r="A23" s="2144">
        <v>3</v>
      </c>
      <c r="B23" s="2131"/>
      <c r="C23" s="2133" t="s">
        <v>1372</v>
      </c>
      <c r="D23" s="2133"/>
      <c r="E23" s="2133"/>
      <c r="F23" s="2150">
        <f>+F24+F25</f>
        <v>31</v>
      </c>
      <c r="G23" s="2330" t="e">
        <f t="shared" ref="G23:Z23" si="3">+G24+G25</f>
        <v>#REF!</v>
      </c>
      <c r="H23" s="2331">
        <f t="shared" si="3"/>
        <v>0</v>
      </c>
      <c r="I23" s="2331">
        <f t="shared" si="3"/>
        <v>0</v>
      </c>
      <c r="J23" s="2332">
        <f t="shared" si="3"/>
        <v>0</v>
      </c>
      <c r="K23" s="2332">
        <f t="shared" si="3"/>
        <v>0</v>
      </c>
      <c r="L23" s="2333" t="e">
        <f t="shared" si="3"/>
        <v>#REF!</v>
      </c>
      <c r="M23" s="2333">
        <f t="shared" si="3"/>
        <v>0</v>
      </c>
      <c r="N23" s="2333" t="e">
        <f t="shared" si="3"/>
        <v>#REF!</v>
      </c>
      <c r="O23" s="2333">
        <f t="shared" si="3"/>
        <v>0</v>
      </c>
      <c r="P23" s="2333" t="e">
        <f>+P24+P25</f>
        <v>#REF!</v>
      </c>
      <c r="Q23" s="2333">
        <f t="shared" si="3"/>
        <v>0</v>
      </c>
      <c r="R23" s="2333" t="e">
        <f t="shared" si="3"/>
        <v>#REF!</v>
      </c>
      <c r="S23" s="2333" t="e">
        <f t="shared" si="3"/>
        <v>#REF!</v>
      </c>
      <c r="T23" s="2333" t="e">
        <f t="shared" si="3"/>
        <v>#REF!</v>
      </c>
      <c r="U23" s="2333">
        <f t="shared" si="3"/>
        <v>0</v>
      </c>
      <c r="V23" s="2333">
        <f t="shared" si="3"/>
        <v>0</v>
      </c>
      <c r="W23" s="2333" t="e">
        <f t="shared" si="3"/>
        <v>#REF!</v>
      </c>
      <c r="X23" s="2333" t="e">
        <f t="shared" si="3"/>
        <v>#REF!</v>
      </c>
      <c r="Y23" s="2333">
        <f t="shared" si="3"/>
        <v>0</v>
      </c>
      <c r="Z23" s="2333" t="e">
        <f t="shared" si="3"/>
        <v>#REF!</v>
      </c>
      <c r="AA23" s="1882"/>
      <c r="AB23" s="2244"/>
      <c r="AC23" s="1475" t="e">
        <f>+VCKD!#REF!</f>
        <v>#REF!</v>
      </c>
      <c r="AD23" s="2080" t="e">
        <f>+AC23+AC20+AC18</f>
        <v>#REF!</v>
      </c>
    </row>
    <row r="24" spans="1:31" s="1455" customFormat="1" ht="26.25" customHeight="1" outlineLevel="2">
      <c r="A24" s="2250" t="s">
        <v>1399</v>
      </c>
      <c r="B24" s="2251"/>
      <c r="C24" s="1889" t="s">
        <v>1396</v>
      </c>
      <c r="D24" s="1889"/>
      <c r="E24" s="2118"/>
      <c r="F24" s="2252">
        <v>1</v>
      </c>
      <c r="G24" s="2324">
        <v>25</v>
      </c>
      <c r="H24" s="2325"/>
      <c r="I24" s="2325"/>
      <c r="J24" s="2334"/>
      <c r="K24" s="2334"/>
      <c r="L24" s="1803" t="e">
        <f>+'Tong luong NT'!#REF!</f>
        <v>#REF!</v>
      </c>
      <c r="M24" s="1803"/>
      <c r="N24" s="1803" t="e">
        <f>+'Tong luong NT'!#REF!</f>
        <v>#REF!</v>
      </c>
      <c r="O24" s="1803"/>
      <c r="P24" s="1803" t="e">
        <f>+L24+N24</f>
        <v>#REF!</v>
      </c>
      <c r="Q24" s="2335"/>
      <c r="R24" s="2335"/>
      <c r="S24" s="1803"/>
      <c r="T24" s="1803" t="e">
        <f>+P24</f>
        <v>#REF!</v>
      </c>
      <c r="U24" s="1803"/>
      <c r="V24" s="1803"/>
      <c r="W24" s="1803" t="e">
        <f>+T24</f>
        <v>#REF!</v>
      </c>
      <c r="X24" s="1803" t="e">
        <f>+'Tong luong NT'!#REF!</f>
        <v>#REF!</v>
      </c>
      <c r="Y24" s="1803"/>
      <c r="Z24" s="1803" t="e">
        <f>+W24-X24</f>
        <v>#REF!</v>
      </c>
      <c r="AA24" s="2155"/>
      <c r="AB24" s="2121"/>
    </row>
    <row r="25" spans="1:31" s="1455" customFormat="1" ht="26.25" customHeight="1" outlineLevel="2">
      <c r="A25" s="2253" t="s">
        <v>1400</v>
      </c>
      <c r="B25" s="2254"/>
      <c r="C25" s="1888" t="s">
        <v>1397</v>
      </c>
      <c r="D25" s="1888"/>
      <c r="E25" s="2140"/>
      <c r="F25" s="2255">
        <v>30</v>
      </c>
      <c r="G25" s="2336" t="e">
        <f>+VCKD!#REF!</f>
        <v>#REF!</v>
      </c>
      <c r="H25" s="2328"/>
      <c r="I25" s="2328"/>
      <c r="J25" s="2337"/>
      <c r="K25" s="2337"/>
      <c r="L25" s="2338" t="e">
        <f>+VCKD!#REF!</f>
        <v>#REF!</v>
      </c>
      <c r="M25" s="2338"/>
      <c r="N25" s="2338"/>
      <c r="O25" s="2338"/>
      <c r="P25" s="2338" t="e">
        <f>+VCKD!#REF!</f>
        <v>#REF!</v>
      </c>
      <c r="Q25" s="2339"/>
      <c r="R25" s="2338" t="e">
        <f>+VCKD!#REF!</f>
        <v>#REF!</v>
      </c>
      <c r="S25" s="2338" t="e">
        <f>+VCKD!#REF!</f>
        <v>#REF!</v>
      </c>
      <c r="T25" s="2338" t="e">
        <f>+P25+R25+S25</f>
        <v>#REF!</v>
      </c>
      <c r="U25" s="2338"/>
      <c r="V25" s="2338"/>
      <c r="W25" s="2338" t="e">
        <f>+T25</f>
        <v>#REF!</v>
      </c>
      <c r="X25" s="2338"/>
      <c r="Y25" s="2338"/>
      <c r="Z25" s="2338" t="e">
        <f>+W25</f>
        <v>#REF!</v>
      </c>
      <c r="AA25" s="2163"/>
      <c r="AB25" s="2249"/>
    </row>
    <row r="26" spans="1:31" s="1455" customFormat="1" ht="26.25" hidden="1" customHeight="1" outlineLevel="2">
      <c r="A26" s="2298" t="s">
        <v>220</v>
      </c>
      <c r="B26" s="2288"/>
      <c r="C26" s="2296" t="s">
        <v>1162</v>
      </c>
      <c r="D26" s="2290"/>
      <c r="E26" s="2291"/>
      <c r="F26" s="2297">
        <f>+F27</f>
        <v>6</v>
      </c>
      <c r="G26" s="2340">
        <f t="shared" ref="G26:Z26" si="4">+G27</f>
        <v>0</v>
      </c>
      <c r="H26" s="2341">
        <f t="shared" si="4"/>
        <v>0</v>
      </c>
      <c r="I26" s="2341">
        <f t="shared" si="4"/>
        <v>0</v>
      </c>
      <c r="J26" s="2341">
        <f t="shared" si="4"/>
        <v>0</v>
      </c>
      <c r="K26" s="2341">
        <f t="shared" si="4"/>
        <v>0</v>
      </c>
      <c r="L26" s="2341">
        <f t="shared" si="4"/>
        <v>0</v>
      </c>
      <c r="M26" s="2341">
        <f t="shared" si="4"/>
        <v>0</v>
      </c>
      <c r="N26" s="2341">
        <f t="shared" si="4"/>
        <v>0</v>
      </c>
      <c r="O26" s="2341">
        <f t="shared" si="4"/>
        <v>0</v>
      </c>
      <c r="P26" s="2341">
        <f t="shared" si="4"/>
        <v>0</v>
      </c>
      <c r="Q26" s="2341">
        <f t="shared" si="4"/>
        <v>0</v>
      </c>
      <c r="R26" s="2341">
        <f t="shared" si="4"/>
        <v>0</v>
      </c>
      <c r="S26" s="2341">
        <f t="shared" si="4"/>
        <v>0</v>
      </c>
      <c r="T26" s="2341">
        <f t="shared" si="4"/>
        <v>0</v>
      </c>
      <c r="U26" s="2341">
        <f t="shared" si="4"/>
        <v>0</v>
      </c>
      <c r="V26" s="2341">
        <f t="shared" si="4"/>
        <v>0</v>
      </c>
      <c r="W26" s="2341">
        <f t="shared" si="4"/>
        <v>0</v>
      </c>
      <c r="X26" s="2341">
        <f t="shared" si="4"/>
        <v>0</v>
      </c>
      <c r="Y26" s="2341">
        <f t="shared" si="4"/>
        <v>0</v>
      </c>
      <c r="Z26" s="2341">
        <f t="shared" si="4"/>
        <v>0</v>
      </c>
      <c r="AA26" s="2293"/>
      <c r="AB26" s="2294"/>
    </row>
    <row r="27" spans="1:31" s="1455" customFormat="1" ht="26.25" hidden="1" customHeight="1" outlineLevel="2">
      <c r="A27" s="2287">
        <v>1</v>
      </c>
      <c r="B27" s="2288"/>
      <c r="C27" s="2289" t="s">
        <v>1463</v>
      </c>
      <c r="D27" s="2290"/>
      <c r="E27" s="2291"/>
      <c r="F27" s="2292">
        <v>6</v>
      </c>
      <c r="G27" s="2342">
        <f>+KTCB!J13</f>
        <v>0</v>
      </c>
      <c r="H27" s="2343"/>
      <c r="I27" s="2343"/>
      <c r="J27" s="2344"/>
      <c r="K27" s="2344"/>
      <c r="L27" s="2345">
        <f>+KTCB!M13</f>
        <v>0</v>
      </c>
      <c r="M27" s="2345"/>
      <c r="N27" s="2345"/>
      <c r="O27" s="2345"/>
      <c r="P27" s="2345">
        <f>+L27</f>
        <v>0</v>
      </c>
      <c r="Q27" s="2346"/>
      <c r="R27" s="2345"/>
      <c r="S27" s="2345"/>
      <c r="T27" s="2345">
        <f>+P27</f>
        <v>0</v>
      </c>
      <c r="U27" s="2345"/>
      <c r="V27" s="2345"/>
      <c r="W27" s="2345">
        <f>+T27</f>
        <v>0</v>
      </c>
      <c r="X27" s="2345"/>
      <c r="Y27" s="2345"/>
      <c r="Z27" s="2345">
        <f>+W27</f>
        <v>0</v>
      </c>
      <c r="AA27" s="2293"/>
      <c r="AB27" s="2294"/>
    </row>
    <row r="28" spans="1:31" s="1455" customFormat="1" ht="26.25" customHeight="1" outlineLevel="1" collapsed="1">
      <c r="A28" s="2256" t="s">
        <v>491</v>
      </c>
      <c r="B28" s="2257"/>
      <c r="C28" s="4407" t="s">
        <v>1107</v>
      </c>
      <c r="D28" s="4408"/>
      <c r="E28" s="4409"/>
      <c r="F28" s="2146">
        <f t="shared" ref="F28:AA28" si="5">+SUM(F29:F30)</f>
        <v>4</v>
      </c>
      <c r="G28" s="2313" t="e">
        <f t="shared" si="5"/>
        <v>#REF!</v>
      </c>
      <c r="H28" s="2347">
        <f t="shared" si="5"/>
        <v>0</v>
      </c>
      <c r="I28" s="2347">
        <f t="shared" si="5"/>
        <v>0</v>
      </c>
      <c r="J28" s="2347">
        <f t="shared" si="5"/>
        <v>0</v>
      </c>
      <c r="K28" s="2347">
        <f t="shared" si="5"/>
        <v>0</v>
      </c>
      <c r="L28" s="2347" t="e">
        <f t="shared" si="5"/>
        <v>#REF!</v>
      </c>
      <c r="M28" s="2347">
        <f t="shared" si="5"/>
        <v>0</v>
      </c>
      <c r="N28" s="2347">
        <f t="shared" si="5"/>
        <v>0</v>
      </c>
      <c r="O28" s="2347">
        <f t="shared" si="5"/>
        <v>0</v>
      </c>
      <c r="P28" s="2347" t="e">
        <f t="shared" si="5"/>
        <v>#REF!</v>
      </c>
      <c r="Q28" s="2347">
        <f t="shared" si="5"/>
        <v>0</v>
      </c>
      <c r="R28" s="2347">
        <f t="shared" si="5"/>
        <v>0</v>
      </c>
      <c r="S28" s="2347">
        <f t="shared" si="5"/>
        <v>0</v>
      </c>
      <c r="T28" s="2347" t="e">
        <f t="shared" si="5"/>
        <v>#REF!</v>
      </c>
      <c r="U28" s="2347">
        <f t="shared" si="5"/>
        <v>0</v>
      </c>
      <c r="V28" s="2347">
        <f t="shared" si="5"/>
        <v>0</v>
      </c>
      <c r="W28" s="2347" t="e">
        <f t="shared" si="5"/>
        <v>#REF!</v>
      </c>
      <c r="X28" s="2347" t="e">
        <f t="shared" si="5"/>
        <v>#REF!</v>
      </c>
      <c r="Y28" s="2347">
        <f t="shared" si="5"/>
        <v>0</v>
      </c>
      <c r="Z28" s="2347" t="e">
        <f t="shared" si="5"/>
        <v>#REF!</v>
      </c>
      <c r="AA28" s="1882">
        <f t="shared" si="5"/>
        <v>0</v>
      </c>
      <c r="AB28" s="2244"/>
      <c r="AC28" s="1810" t="e">
        <f>+#REF!</f>
        <v>#REF!</v>
      </c>
      <c r="AD28" s="1810"/>
      <c r="AE28" s="2079"/>
    </row>
    <row r="29" spans="1:31" s="1455" customFormat="1" ht="26.25" customHeight="1" outlineLevel="1">
      <c r="A29" s="2151">
        <v>1</v>
      </c>
      <c r="B29" s="2152"/>
      <c r="C29" s="2127" t="s">
        <v>1401</v>
      </c>
      <c r="D29" s="2153"/>
      <c r="E29" s="2127"/>
      <c r="F29" s="2154">
        <v>1</v>
      </c>
      <c r="G29" s="1803">
        <v>31</v>
      </c>
      <c r="H29" s="1803"/>
      <c r="I29" s="1803"/>
      <c r="J29" s="1803"/>
      <c r="K29" s="1803"/>
      <c r="L29" s="1803" t="e">
        <f>+#REF!</f>
        <v>#REF!</v>
      </c>
      <c r="M29" s="2325"/>
      <c r="N29" s="2325"/>
      <c r="O29" s="2325"/>
      <c r="P29" s="2325" t="e">
        <f>+L29</f>
        <v>#REF!</v>
      </c>
      <c r="Q29" s="2325"/>
      <c r="R29" s="2325"/>
      <c r="S29" s="2325"/>
      <c r="T29" s="2325" t="e">
        <f>+P29</f>
        <v>#REF!</v>
      </c>
      <c r="U29" s="2325"/>
      <c r="V29" s="2325"/>
      <c r="W29" s="2325" t="e">
        <f>+T29</f>
        <v>#REF!</v>
      </c>
      <c r="X29" s="2325" t="e">
        <f>+#REF!</f>
        <v>#REF!</v>
      </c>
      <c r="Y29" s="2325"/>
      <c r="Z29" s="2325" t="e">
        <f>+W29-X29</f>
        <v>#REF!</v>
      </c>
      <c r="AA29" s="2155"/>
      <c r="AB29" s="2156"/>
      <c r="AD29" s="1810"/>
      <c r="AE29" s="2079"/>
    </row>
    <row r="30" spans="1:31" s="1455" customFormat="1" ht="26.25" customHeight="1" outlineLevel="1">
      <c r="A30" s="2157">
        <v>2</v>
      </c>
      <c r="B30" s="2158"/>
      <c r="C30" s="2128" t="s">
        <v>60</v>
      </c>
      <c r="D30" s="2159"/>
      <c r="E30" s="2128"/>
      <c r="F30" s="2160">
        <v>3</v>
      </c>
      <c r="G30" s="1807" t="e">
        <f>+#REF!+#REF!+#REF!</f>
        <v>#REF!</v>
      </c>
      <c r="H30" s="1807"/>
      <c r="I30" s="1807"/>
      <c r="J30" s="1807"/>
      <c r="K30" s="1807"/>
      <c r="L30" s="1807" t="e">
        <f>+#REF!+#REF!+#REF!</f>
        <v>#REF!</v>
      </c>
      <c r="M30" s="2348"/>
      <c r="N30" s="2348"/>
      <c r="O30" s="2348"/>
      <c r="P30" s="2348" t="e">
        <f>+#REF!+#REF!+#REF!</f>
        <v>#REF!</v>
      </c>
      <c r="Q30" s="2348"/>
      <c r="R30" s="2348"/>
      <c r="S30" s="2348"/>
      <c r="T30" s="2348" t="e">
        <f>+P30</f>
        <v>#REF!</v>
      </c>
      <c r="U30" s="2348"/>
      <c r="V30" s="2348"/>
      <c r="W30" s="2348" t="e">
        <f>+T30</f>
        <v>#REF!</v>
      </c>
      <c r="X30" s="2348" t="e">
        <f>+#REF!+#REF!+#REF!</f>
        <v>#REF!</v>
      </c>
      <c r="Y30" s="2348"/>
      <c r="Z30" s="2348" t="e">
        <f>+W30-X30</f>
        <v>#REF!</v>
      </c>
      <c r="AA30" s="2161"/>
      <c r="AB30" s="2162"/>
      <c r="AD30" s="1810"/>
      <c r="AE30" s="2079"/>
    </row>
    <row r="31" spans="1:31" s="1455" customFormat="1" ht="21.75" customHeight="1">
      <c r="A31" s="4099" t="s">
        <v>1394</v>
      </c>
      <c r="B31" s="4100"/>
      <c r="C31" s="4100"/>
      <c r="D31" s="4100"/>
      <c r="E31" s="4100"/>
      <c r="F31" s="2258">
        <f>+F28+F17+F16+F26</f>
        <v>158</v>
      </c>
      <c r="G31" s="2349"/>
      <c r="H31" s="2349">
        <f t="shared" ref="H31:Z31" si="6">+H28+H17+H16+H26</f>
        <v>0</v>
      </c>
      <c r="I31" s="2349">
        <f t="shared" si="6"/>
        <v>0</v>
      </c>
      <c r="J31" s="2349">
        <f t="shared" si="6"/>
        <v>0</v>
      </c>
      <c r="K31" s="2349">
        <f t="shared" si="6"/>
        <v>0</v>
      </c>
      <c r="L31" s="2349" t="e">
        <f t="shared" si="6"/>
        <v>#REF!</v>
      </c>
      <c r="M31" s="2349">
        <f t="shared" si="6"/>
        <v>0</v>
      </c>
      <c r="N31" s="2349" t="e">
        <f t="shared" si="6"/>
        <v>#REF!</v>
      </c>
      <c r="O31" s="2349">
        <f t="shared" si="6"/>
        <v>0</v>
      </c>
      <c r="P31" s="2349" t="e">
        <f t="shared" si="6"/>
        <v>#REF!</v>
      </c>
      <c r="Q31" s="2349">
        <f t="shared" si="6"/>
        <v>0</v>
      </c>
      <c r="R31" s="2349" t="e">
        <f t="shared" si="6"/>
        <v>#REF!</v>
      </c>
      <c r="S31" s="2349" t="e">
        <f t="shared" si="6"/>
        <v>#REF!</v>
      </c>
      <c r="T31" s="2349" t="e">
        <f t="shared" si="6"/>
        <v>#REF!</v>
      </c>
      <c r="U31" s="2349">
        <f t="shared" si="6"/>
        <v>0</v>
      </c>
      <c r="V31" s="2349">
        <f t="shared" si="6"/>
        <v>0</v>
      </c>
      <c r="W31" s="2349" t="e">
        <f t="shared" si="6"/>
        <v>#REF!</v>
      </c>
      <c r="X31" s="2349" t="e">
        <f t="shared" si="6"/>
        <v>#REF!</v>
      </c>
      <c r="Y31" s="2349" t="e">
        <f t="shared" si="6"/>
        <v>#REF!</v>
      </c>
      <c r="Z31" s="2349" t="e">
        <f t="shared" si="6"/>
        <v>#REF!</v>
      </c>
      <c r="AA31" s="1413"/>
      <c r="AB31" s="2244"/>
    </row>
    <row r="32" spans="1:31" s="1470" customFormat="1" ht="24.6" customHeight="1">
      <c r="A32" s="4405" t="s">
        <v>1464</v>
      </c>
      <c r="B32" s="4405"/>
      <c r="C32" s="4405"/>
      <c r="D32" s="4405"/>
      <c r="E32" s="4405"/>
      <c r="F32" s="4405"/>
      <c r="G32" s="4405"/>
      <c r="H32" s="4405"/>
      <c r="I32" s="4405"/>
      <c r="J32" s="4405"/>
      <c r="K32" s="4405"/>
      <c r="L32" s="4405"/>
      <c r="M32" s="4405"/>
      <c r="N32" s="4405"/>
      <c r="O32" s="4405"/>
      <c r="P32" s="4405"/>
      <c r="Q32" s="4405"/>
      <c r="R32" s="4405"/>
      <c r="S32" s="4405"/>
      <c r="T32" s="4405"/>
      <c r="U32" s="4405"/>
      <c r="V32" s="4405"/>
      <c r="W32" s="4405"/>
      <c r="X32" s="4405"/>
      <c r="Y32" s="4405"/>
      <c r="Z32" s="4405"/>
      <c r="AA32" s="4405"/>
      <c r="AB32" s="4405"/>
      <c r="AC32" s="1498"/>
    </row>
    <row r="33" spans="1:31" s="1455" customFormat="1" ht="24.6" customHeight="1">
      <c r="A33" s="2104"/>
      <c r="B33" s="43"/>
      <c r="C33" s="4"/>
      <c r="D33" s="2106"/>
      <c r="E33" s="2103"/>
      <c r="F33" s="2103"/>
      <c r="G33" s="115"/>
      <c r="H33" s="4"/>
      <c r="I33" s="2114"/>
      <c r="J33" s="18"/>
      <c r="K33" s="18"/>
      <c r="L33" s="4406"/>
      <c r="M33" s="4406"/>
      <c r="N33" s="4406"/>
      <c r="O33" s="4406"/>
      <c r="P33" s="4406"/>
      <c r="Q33" s="19"/>
      <c r="R33" s="19"/>
      <c r="S33" s="19"/>
      <c r="T33" s="19"/>
      <c r="U33" s="19"/>
      <c r="V33" s="19"/>
      <c r="W33" s="4345" t="s">
        <v>1440</v>
      </c>
      <c r="X33" s="4345"/>
      <c r="Y33" s="4345"/>
      <c r="Z33" s="4345"/>
      <c r="AA33" s="4345"/>
      <c r="AB33" s="4345"/>
      <c r="AC33" s="1457"/>
    </row>
    <row r="34" spans="1:31" s="2116" customFormat="1" ht="24.6" customHeight="1">
      <c r="A34" s="1466"/>
      <c r="B34" s="4404" t="s">
        <v>19</v>
      </c>
      <c r="C34" s="4404"/>
      <c r="D34" s="4404"/>
      <c r="E34" s="4404"/>
      <c r="F34" s="4404"/>
      <c r="G34" s="4404"/>
      <c r="H34" s="2115"/>
      <c r="I34" s="4404" t="s">
        <v>177</v>
      </c>
      <c r="J34" s="4404"/>
      <c r="K34" s="4404"/>
      <c r="L34" s="4404"/>
      <c r="M34" s="4404"/>
      <c r="N34" s="4404"/>
      <c r="O34" s="4404"/>
      <c r="P34" s="4404"/>
      <c r="Q34" s="2115"/>
      <c r="R34" s="2115"/>
      <c r="S34" s="2115" t="s">
        <v>93</v>
      </c>
      <c r="U34" s="2115"/>
      <c r="V34" s="2115"/>
      <c r="W34" s="4404" t="s">
        <v>21</v>
      </c>
      <c r="X34" s="4404"/>
      <c r="Y34" s="4404"/>
      <c r="Z34" s="4404"/>
      <c r="AA34" s="4404"/>
      <c r="AB34" s="4404"/>
      <c r="AC34" s="2117"/>
    </row>
    <row r="35" spans="1:31" s="1455" customFormat="1" ht="24.6" customHeight="1">
      <c r="A35" s="75"/>
      <c r="B35" s="43"/>
      <c r="C35" s="19"/>
      <c r="D35" s="2106"/>
      <c r="E35" s="2103"/>
      <c r="F35" s="2103"/>
      <c r="G35" s="115"/>
      <c r="H35" s="4"/>
      <c r="I35" s="2114"/>
      <c r="J35" s="18"/>
      <c r="K35" s="18"/>
      <c r="L35" s="4"/>
      <c r="M35" s="4"/>
      <c r="N35" s="4"/>
      <c r="O35" s="4"/>
      <c r="P35" s="479"/>
      <c r="Q35" s="4"/>
      <c r="R35" s="4"/>
      <c r="S35" s="4"/>
      <c r="T35" s="908"/>
      <c r="U35" s="19"/>
      <c r="V35" s="4"/>
      <c r="W35" s="19"/>
      <c r="X35" s="4"/>
      <c r="Y35" s="4"/>
      <c r="Z35" s="4"/>
      <c r="AA35" s="909"/>
      <c r="AB35" s="1458"/>
      <c r="AE35" s="1455">
        <v>112</v>
      </c>
    </row>
    <row r="36" spans="1:31" s="1455" customFormat="1" ht="24.6" customHeight="1">
      <c r="A36" s="180"/>
      <c r="B36" s="43"/>
      <c r="C36" s="19"/>
      <c r="D36" s="2106"/>
      <c r="E36" s="2103"/>
      <c r="F36" s="2103"/>
      <c r="G36" s="8"/>
      <c r="H36" s="4"/>
      <c r="I36" s="2114"/>
      <c r="J36" s="18"/>
      <c r="K36" s="18"/>
      <c r="L36" s="4"/>
      <c r="M36" s="4"/>
      <c r="N36" s="4"/>
      <c r="O36" s="4"/>
      <c r="P36" s="479"/>
      <c r="Q36" s="4"/>
      <c r="R36" s="4"/>
      <c r="S36" s="4"/>
      <c r="T36" s="479"/>
      <c r="U36" s="4"/>
      <c r="V36" s="4"/>
      <c r="W36" s="19"/>
      <c r="X36" s="4"/>
      <c r="Y36" s="4"/>
      <c r="Z36" s="4"/>
      <c r="AA36" s="909"/>
    </row>
    <row r="37" spans="1:31" s="1455" customFormat="1" ht="24.6" customHeight="1">
      <c r="A37" s="75"/>
      <c r="B37" s="43"/>
      <c r="C37" s="19"/>
      <c r="D37" s="2106"/>
      <c r="E37" s="2103"/>
      <c r="F37" s="2103"/>
      <c r="G37" s="19"/>
      <c r="H37" s="4084"/>
      <c r="I37" s="4084"/>
      <c r="J37" s="4084"/>
      <c r="K37" s="4084"/>
      <c r="L37" s="4084"/>
      <c r="M37" s="2108"/>
      <c r="N37" s="2108"/>
      <c r="O37" s="2108"/>
      <c r="P37" s="479"/>
      <c r="Q37" s="4"/>
      <c r="R37" s="4091"/>
      <c r="S37" s="4091"/>
      <c r="T37" s="4094"/>
      <c r="U37" s="4094"/>
      <c r="V37" s="4"/>
      <c r="W37" s="19"/>
      <c r="X37" s="4"/>
      <c r="Y37" s="4"/>
      <c r="Z37" s="6"/>
      <c r="AA37" s="909"/>
    </row>
    <row r="38" spans="1:31" s="905" customFormat="1" ht="24.6" customHeight="1">
      <c r="A38" s="180"/>
      <c r="B38" s="43"/>
      <c r="C38" s="19"/>
      <c r="D38" s="2106"/>
      <c r="E38" s="914"/>
      <c r="F38" s="2103"/>
      <c r="G38" s="4"/>
      <c r="H38" s="4401"/>
      <c r="I38" s="4401"/>
      <c r="J38" s="4401"/>
      <c r="K38" s="4401"/>
      <c r="L38" s="4401"/>
      <c r="M38" s="2109"/>
      <c r="N38" s="2109"/>
      <c r="O38" s="2109"/>
      <c r="P38" s="479"/>
      <c r="Q38" s="4"/>
      <c r="R38" s="2192"/>
      <c r="S38" s="2192"/>
      <c r="T38" s="4094"/>
      <c r="U38" s="4094"/>
      <c r="V38" s="4"/>
      <c r="W38" s="19"/>
      <c r="X38" s="4"/>
      <c r="Z38" s="1263"/>
    </row>
    <row r="39" spans="1:31" s="905" customFormat="1" ht="24.6" customHeight="1">
      <c r="A39" s="75"/>
      <c r="B39" s="43"/>
      <c r="C39" s="19"/>
      <c r="D39" s="2106"/>
      <c r="E39" s="478"/>
      <c r="F39" s="2103"/>
      <c r="G39" s="4"/>
      <c r="H39" s="4"/>
      <c r="I39" s="2114"/>
      <c r="J39" s="18"/>
      <c r="K39" s="18"/>
      <c r="L39" s="115"/>
      <c r="M39" s="115"/>
      <c r="N39" s="115"/>
      <c r="O39" s="115"/>
      <c r="P39" s="479"/>
      <c r="Q39" s="4"/>
      <c r="R39" s="4402"/>
      <c r="S39" s="4402"/>
      <c r="T39" s="4094"/>
      <c r="U39" s="4094"/>
      <c r="V39" s="4"/>
      <c r="W39" s="19"/>
      <c r="X39" s="4"/>
      <c r="Y39" s="4403"/>
      <c r="Z39" s="4330"/>
      <c r="AA39" s="4330"/>
    </row>
    <row r="40" spans="1:31" s="905" customFormat="1" ht="24.6" customHeight="1">
      <c r="A40" s="75"/>
      <c r="B40" s="43"/>
      <c r="C40" s="19"/>
      <c r="D40" s="2106"/>
      <c r="E40" s="914"/>
      <c r="F40" s="2108"/>
      <c r="G40" s="4"/>
      <c r="H40" s="4"/>
      <c r="I40" s="2114"/>
      <c r="J40" s="18"/>
      <c r="K40" s="18"/>
      <c r="L40" s="897"/>
      <c r="M40" s="897"/>
      <c r="N40" s="897"/>
      <c r="O40" s="89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910"/>
      <c r="AB40" s="922"/>
    </row>
    <row r="41" spans="1:31" s="905" customFormat="1" ht="24.6" customHeight="1">
      <c r="A41" s="180"/>
      <c r="B41" s="43"/>
      <c r="C41" s="19"/>
      <c r="D41" s="2106"/>
      <c r="E41" s="915"/>
      <c r="F41" s="2108"/>
      <c r="G41" s="4"/>
      <c r="H41" s="19"/>
      <c r="I41" s="2103"/>
      <c r="J41" s="4"/>
      <c r="K41" s="4"/>
      <c r="L41" s="4"/>
      <c r="M41" s="4"/>
      <c r="N41" s="4"/>
      <c r="O41" s="4"/>
      <c r="P41" s="896"/>
      <c r="Q41" s="6"/>
      <c r="R41" s="19"/>
      <c r="S41" s="19"/>
      <c r="T41" s="666"/>
      <c r="U41" s="19"/>
      <c r="V41" s="19"/>
      <c r="W41" s="19"/>
      <c r="X41" s="4091"/>
      <c r="Y41" s="4091"/>
      <c r="Z41" s="19"/>
      <c r="AA41" s="911"/>
    </row>
    <row r="42" spans="1:31" s="905" customFormat="1" ht="24.6" customHeight="1">
      <c r="A42" s="75"/>
      <c r="B42" s="43"/>
      <c r="C42" s="19"/>
      <c r="D42" s="2106"/>
      <c r="E42" s="2103"/>
      <c r="F42" s="2103"/>
      <c r="G42" s="4"/>
      <c r="H42" s="19"/>
      <c r="I42" s="2103"/>
      <c r="J42" s="4"/>
      <c r="K42" s="4"/>
      <c r="L42" s="4"/>
      <c r="M42" s="4"/>
      <c r="N42" s="4"/>
      <c r="O42" s="4"/>
      <c r="P42" s="479"/>
      <c r="Q42" s="4"/>
      <c r="R42" s="19"/>
      <c r="S42" s="4"/>
      <c r="T42" s="666"/>
      <c r="U42" s="19"/>
      <c r="V42" s="19"/>
      <c r="W42" s="19"/>
      <c r="X42" s="19"/>
      <c r="Y42" s="19"/>
      <c r="Z42" s="4"/>
      <c r="AA42" s="911"/>
    </row>
    <row r="43" spans="1:31" s="905" customFormat="1" ht="24.6" customHeight="1">
      <c r="A43" s="75"/>
      <c r="B43" s="43"/>
      <c r="C43" s="4"/>
      <c r="D43" s="2106"/>
      <c r="E43" s="2103"/>
      <c r="F43" s="2103"/>
      <c r="G43" s="4"/>
      <c r="H43" s="20"/>
      <c r="I43" s="2103"/>
      <c r="J43" s="4"/>
      <c r="K43" s="4"/>
      <c r="L43" s="4"/>
      <c r="M43" s="4"/>
      <c r="N43" s="4"/>
      <c r="O43" s="4"/>
      <c r="P43" s="479"/>
      <c r="Q43" s="4"/>
      <c r="R43" s="4"/>
      <c r="S43" s="4"/>
      <c r="T43" s="19"/>
      <c r="U43" s="19"/>
      <c r="V43" s="19"/>
      <c r="W43" s="19"/>
      <c r="X43" s="19"/>
      <c r="Y43" s="19"/>
      <c r="Z43" s="4"/>
      <c r="AA43" s="910"/>
    </row>
    <row r="44" spans="1:31" s="905" customFormat="1" ht="24.6" customHeight="1">
      <c r="A44" s="180"/>
      <c r="B44" s="43"/>
      <c r="C44" s="4"/>
      <c r="D44" s="2106"/>
      <c r="E44" s="2103"/>
      <c r="F44" s="2103"/>
      <c r="G44" s="4"/>
      <c r="H44" s="20"/>
      <c r="I44" s="2103"/>
      <c r="J44" s="4"/>
      <c r="K44" s="4"/>
      <c r="L44" s="4"/>
      <c r="M44" s="4"/>
      <c r="N44" s="4"/>
      <c r="O44" s="4"/>
      <c r="P44" s="479"/>
      <c r="Q44" s="4"/>
      <c r="R44" s="4"/>
      <c r="S44" s="4"/>
      <c r="T44" s="19"/>
      <c r="U44" s="4090"/>
      <c r="V44" s="4090"/>
      <c r="W44" s="4090"/>
      <c r="X44" s="4090"/>
      <c r="Y44" s="2105"/>
      <c r="Z44" s="2105"/>
      <c r="AA44" s="911"/>
    </row>
    <row r="45" spans="1:31" s="905" customFormat="1" ht="24.6" customHeight="1">
      <c r="A45" s="180"/>
      <c r="B45" s="43"/>
      <c r="C45" s="4"/>
      <c r="D45" s="2106"/>
      <c r="E45" s="2103"/>
      <c r="F45" s="2103"/>
      <c r="G45" s="4"/>
      <c r="H45" s="4"/>
      <c r="I45" s="2114"/>
      <c r="J45" s="18"/>
      <c r="K45" s="18"/>
      <c r="L45" s="4"/>
      <c r="M45" s="4"/>
      <c r="N45" s="4"/>
      <c r="O45" s="4"/>
      <c r="P45" s="479"/>
      <c r="Q45" s="4"/>
      <c r="R45" s="4"/>
      <c r="S45" s="4"/>
      <c r="T45" s="8"/>
      <c r="U45" s="4"/>
      <c r="V45" s="4"/>
      <c r="W45" s="4"/>
      <c r="X45" s="4"/>
      <c r="Y45" s="4"/>
      <c r="Z45" s="4"/>
      <c r="AA45" s="911"/>
    </row>
    <row r="46" spans="1:31" s="905" customFormat="1" ht="24.6" customHeight="1">
      <c r="A46" s="912"/>
      <c r="B46" s="43"/>
      <c r="C46" s="4"/>
      <c r="D46" s="2106"/>
      <c r="E46" s="2103"/>
      <c r="F46" s="2103"/>
      <c r="G46" s="4"/>
      <c r="H46" s="4"/>
      <c r="I46" s="2114"/>
      <c r="J46" s="18"/>
      <c r="K46" s="18"/>
      <c r="L46" s="4"/>
      <c r="M46" s="4"/>
      <c r="N46" s="4"/>
      <c r="O46" s="4"/>
      <c r="P46" s="479"/>
      <c r="Q46" s="4"/>
      <c r="R46" s="4"/>
      <c r="S46" s="4"/>
      <c r="T46" s="4"/>
      <c r="U46" s="4"/>
      <c r="V46" s="4"/>
      <c r="W46" s="4"/>
      <c r="X46" s="4"/>
      <c r="Y46" s="4"/>
      <c r="Z46" s="4"/>
      <c r="AA46" s="910"/>
    </row>
    <row r="47" spans="1:31" s="1455" customFormat="1" ht="24.6" customHeight="1">
      <c r="A47" s="4"/>
      <c r="B47" s="43"/>
      <c r="C47" s="4"/>
      <c r="D47" s="2106"/>
      <c r="E47" s="2103"/>
      <c r="F47" s="2103"/>
      <c r="G47" s="4"/>
      <c r="H47" s="4"/>
      <c r="I47" s="2114"/>
      <c r="J47" s="18"/>
      <c r="K47" s="18"/>
      <c r="L47" s="4"/>
      <c r="M47" s="4"/>
      <c r="N47" s="4"/>
      <c r="O47" s="4"/>
      <c r="P47" s="479"/>
      <c r="Q47" s="4"/>
      <c r="R47" s="4"/>
      <c r="S47" s="4"/>
      <c r="T47" s="4"/>
      <c r="U47" s="4"/>
      <c r="V47" s="4"/>
      <c r="W47" s="4"/>
      <c r="X47" s="4"/>
      <c r="Y47" s="4"/>
      <c r="Z47" s="4"/>
      <c r="AA47" s="911"/>
    </row>
    <row r="48" spans="1:31" s="1455" customFormat="1" ht="30" customHeight="1">
      <c r="A48" s="9"/>
      <c r="B48" s="43"/>
      <c r="C48" s="4"/>
      <c r="D48" s="2106"/>
      <c r="E48" s="2103"/>
      <c r="F48" s="2103"/>
      <c r="G48" s="4"/>
      <c r="H48" s="4"/>
      <c r="I48" s="2114"/>
      <c r="J48" s="18"/>
      <c r="K48" s="18"/>
      <c r="L48" s="4"/>
      <c r="M48" s="4"/>
      <c r="N48" s="4"/>
      <c r="O48" s="4"/>
      <c r="P48" s="479"/>
      <c r="Q48" s="4"/>
      <c r="R48" s="4"/>
      <c r="S48" s="4"/>
      <c r="T48" s="4"/>
      <c r="U48" s="4"/>
      <c r="V48" s="4"/>
      <c r="W48" s="4"/>
      <c r="X48" s="4"/>
      <c r="Y48" s="4"/>
      <c r="Z48" s="4"/>
      <c r="AA48" s="913"/>
    </row>
    <row r="49" spans="1:27" ht="21" customHeight="1">
      <c r="T49" s="8"/>
      <c r="Z49" s="2107"/>
      <c r="AA49" s="2113"/>
    </row>
    <row r="50" spans="1:27" s="9" customFormat="1" ht="21.75" customHeight="1">
      <c r="A50" s="4"/>
      <c r="B50" s="43"/>
      <c r="C50" s="4"/>
      <c r="D50" s="2106"/>
      <c r="E50" s="2103"/>
      <c r="F50" s="2103"/>
      <c r="G50" s="4"/>
      <c r="H50" s="4"/>
      <c r="I50" s="2114"/>
      <c r="J50" s="18"/>
      <c r="K50" s="18"/>
      <c r="L50" s="4"/>
      <c r="M50" s="4"/>
      <c r="N50" s="4"/>
      <c r="O50" s="4"/>
      <c r="P50" s="479"/>
      <c r="Q50" s="4"/>
      <c r="R50" s="4"/>
      <c r="S50" s="4"/>
      <c r="T50" s="8"/>
      <c r="U50" s="4"/>
      <c r="V50" s="4"/>
      <c r="W50" s="4"/>
      <c r="X50" s="4"/>
      <c r="Y50" s="4"/>
      <c r="Z50" s="4"/>
      <c r="AA50" s="2105"/>
    </row>
    <row r="52" spans="1:27">
      <c r="T52" s="19"/>
      <c r="W52" s="19"/>
    </row>
    <row r="55" spans="1:27">
      <c r="AA55" s="19"/>
    </row>
    <row r="60" spans="1:27">
      <c r="AA60" s="2105"/>
    </row>
    <row r="65" spans="27:27">
      <c r="AA65" s="2107"/>
    </row>
  </sheetData>
  <mergeCells count="59">
    <mergeCell ref="A8:AB8"/>
    <mergeCell ref="A1:AB1"/>
    <mergeCell ref="A2:AB2"/>
    <mergeCell ref="C4:H4"/>
    <mergeCell ref="C5:H5"/>
    <mergeCell ref="A7:AB7"/>
    <mergeCell ref="A3:AB3"/>
    <mergeCell ref="A12:A14"/>
    <mergeCell ref="B12:C13"/>
    <mergeCell ref="D12:D14"/>
    <mergeCell ref="E12:E14"/>
    <mergeCell ref="F12:F14"/>
    <mergeCell ref="T12:T14"/>
    <mergeCell ref="U12:U14"/>
    <mergeCell ref="V12:V14"/>
    <mergeCell ref="G13:G14"/>
    <mergeCell ref="H13:H14"/>
    <mergeCell ref="I13:I14"/>
    <mergeCell ref="J13:J14"/>
    <mergeCell ref="K13:K14"/>
    <mergeCell ref="M13:M14"/>
    <mergeCell ref="D9:F9"/>
    <mergeCell ref="B10:C10"/>
    <mergeCell ref="D10:F10"/>
    <mergeCell ref="L13:L14"/>
    <mergeCell ref="G12:S12"/>
    <mergeCell ref="E11:F11"/>
    <mergeCell ref="W33:AB33"/>
    <mergeCell ref="C28:E28"/>
    <mergeCell ref="Q13:Q14"/>
    <mergeCell ref="R13:R14"/>
    <mergeCell ref="S13:S14"/>
    <mergeCell ref="Y12:Y14"/>
    <mergeCell ref="N13:N14"/>
    <mergeCell ref="O13:O14"/>
    <mergeCell ref="P13:P14"/>
    <mergeCell ref="C17:E17"/>
    <mergeCell ref="C16:E16"/>
    <mergeCell ref="Z12:Z14"/>
    <mergeCell ref="AA12:AA14"/>
    <mergeCell ref="AB12:AB14"/>
    <mergeCell ref="W12:W14"/>
    <mergeCell ref="X12:X14"/>
    <mergeCell ref="X41:Y41"/>
    <mergeCell ref="U44:X44"/>
    <mergeCell ref="A31:E31"/>
    <mergeCell ref="H38:L38"/>
    <mergeCell ref="T38:U38"/>
    <mergeCell ref="R39:S39"/>
    <mergeCell ref="T39:U39"/>
    <mergeCell ref="Y39:AA39"/>
    <mergeCell ref="B34:G34"/>
    <mergeCell ref="I34:P34"/>
    <mergeCell ref="W34:AB34"/>
    <mergeCell ref="H37:L37"/>
    <mergeCell ref="R37:S37"/>
    <mergeCell ref="T37:U37"/>
    <mergeCell ref="A32:AB32"/>
    <mergeCell ref="L33:P33"/>
  </mergeCells>
  <pageMargins left="0.31496062992125984" right="0" top="0.35433070866141736" bottom="0.28000000000000003" header="0.19685039370078741" footer="0.37"/>
  <pageSetup paperSize="9" scale="65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1"/>
  <sheetViews>
    <sheetView topLeftCell="A10" workbookViewId="0">
      <selection activeCell="Q20" sqref="Q20"/>
    </sheetView>
  </sheetViews>
  <sheetFormatPr defaultColWidth="9.140625" defaultRowHeight="12.75"/>
  <cols>
    <col min="1" max="1" width="4.5703125" style="1623" customWidth="1"/>
    <col min="2" max="2" width="18" style="1623" customWidth="1"/>
    <col min="3" max="3" width="13.5703125" style="1623" customWidth="1"/>
    <col min="4" max="4" width="8.140625" style="1623" customWidth="1"/>
    <col min="5" max="5" width="9" style="1623" customWidth="1"/>
    <col min="6" max="6" width="8.42578125" style="1623" customWidth="1"/>
    <col min="7" max="7" width="9.7109375" style="1623" customWidth="1"/>
    <col min="8" max="8" width="12.85546875" style="1624" customWidth="1"/>
    <col min="9" max="9" width="9.140625" style="1624" customWidth="1"/>
    <col min="10" max="10" width="14.5703125" style="1624" customWidth="1"/>
    <col min="11" max="11" width="14.5703125" style="1698" customWidth="1"/>
    <col min="12" max="12" width="19.140625" style="1623" customWidth="1"/>
    <col min="13" max="13" width="11.5703125" style="1623" customWidth="1"/>
    <col min="14" max="14" width="14.140625" style="1623" customWidth="1"/>
    <col min="15" max="15" width="15.5703125" style="1623" customWidth="1"/>
    <col min="16" max="16" width="12.5703125" style="1623" customWidth="1"/>
    <col min="17" max="17" width="18" style="1699" customWidth="1"/>
    <col min="18" max="18" width="10.7109375" style="1623" customWidth="1"/>
    <col min="19" max="20" width="22.42578125" style="1623" customWidth="1"/>
    <col min="21" max="21" width="36.7109375" style="1623" customWidth="1"/>
    <col min="22" max="22" width="26.28515625" style="1623" customWidth="1"/>
    <col min="23" max="23" width="19.85546875" style="1623" customWidth="1"/>
    <col min="24" max="24" width="24" style="1623" customWidth="1"/>
    <col min="25" max="25" width="22" style="1623" customWidth="1"/>
    <col min="26" max="26" width="20" style="1623" customWidth="1"/>
    <col min="27" max="16384" width="9.140625" style="1623"/>
  </cols>
  <sheetData>
    <row r="1" spans="1:27" ht="18.75" customHeight="1">
      <c r="A1" s="4116" t="s">
        <v>23</v>
      </c>
      <c r="B1" s="4116"/>
      <c r="C1" s="4116"/>
      <c r="D1" s="4116"/>
      <c r="E1" s="4116"/>
      <c r="F1" s="4116"/>
      <c r="G1" s="4116"/>
      <c r="H1" s="4116"/>
      <c r="I1" s="4116"/>
      <c r="J1" s="4116"/>
      <c r="K1" s="4116"/>
      <c r="L1" s="4116"/>
      <c r="M1" s="4116"/>
      <c r="N1" s="4116"/>
      <c r="O1" s="4116"/>
      <c r="P1" s="4116"/>
      <c r="Q1" s="4116"/>
      <c r="R1" s="4116"/>
    </row>
    <row r="2" spans="1:27" ht="18.75" customHeight="1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  <c r="O2" s="4184"/>
      <c r="P2" s="4184"/>
      <c r="Q2" s="4184"/>
      <c r="R2" s="4184"/>
    </row>
    <row r="3" spans="1:27" ht="18.75" customHeight="1">
      <c r="A3" s="1606"/>
      <c r="B3" s="4452" t="s">
        <v>1308</v>
      </c>
      <c r="C3" s="4452"/>
      <c r="D3" s="4452"/>
      <c r="E3" s="4452"/>
      <c r="F3" s="4452"/>
      <c r="G3" s="4452"/>
      <c r="H3" s="4452"/>
      <c r="I3" s="4452"/>
      <c r="J3" s="4452"/>
      <c r="K3" s="4452"/>
      <c r="L3" s="4452"/>
      <c r="M3" s="4452"/>
      <c r="N3" s="4452"/>
      <c r="O3" s="4452"/>
      <c r="P3" s="4452"/>
      <c r="Q3" s="4452"/>
      <c r="R3" s="4452"/>
      <c r="S3" s="1625"/>
    </row>
    <row r="4" spans="1:27" ht="18.75" customHeight="1">
      <c r="A4" s="4117" t="s">
        <v>929</v>
      </c>
      <c r="B4" s="4117"/>
      <c r="C4" s="4117"/>
      <c r="D4" s="4117"/>
      <c r="E4" s="4117"/>
      <c r="F4" s="4117"/>
      <c r="G4" s="4117"/>
      <c r="H4" s="4117"/>
      <c r="I4" s="4117"/>
      <c r="J4" s="4117"/>
      <c r="K4" s="1626"/>
      <c r="L4" s="1627"/>
      <c r="M4" s="1627"/>
      <c r="N4" s="1627"/>
      <c r="O4" s="1627"/>
      <c r="P4" s="1606"/>
      <c r="Q4" s="1628"/>
      <c r="R4" s="1606"/>
    </row>
    <row r="5" spans="1:27" ht="18.75" customHeight="1">
      <c r="A5" s="4184" t="s">
        <v>90</v>
      </c>
      <c r="B5" s="4184"/>
      <c r="C5" s="4184"/>
      <c r="D5" s="4184"/>
      <c r="E5" s="4184"/>
      <c r="F5" s="4184"/>
      <c r="G5" s="4184"/>
      <c r="H5" s="4184"/>
      <c r="I5" s="4184"/>
      <c r="J5" s="4184"/>
      <c r="K5" s="1629"/>
      <c r="L5" s="1630"/>
      <c r="M5" s="1630"/>
      <c r="N5" s="1630"/>
      <c r="O5" s="1630"/>
      <c r="P5" s="1606"/>
      <c r="Q5" s="1628"/>
      <c r="R5" s="1606"/>
    </row>
    <row r="6" spans="1:27" ht="18.75" customHeight="1">
      <c r="A6" s="1606"/>
      <c r="B6" s="1606"/>
      <c r="C6" s="1606"/>
      <c r="D6" s="1606"/>
      <c r="E6" s="1606"/>
      <c r="F6" s="1606"/>
      <c r="G6" s="1606"/>
      <c r="H6" s="1607"/>
      <c r="I6" s="1607"/>
      <c r="J6" s="1607"/>
      <c r="K6" s="1631"/>
      <c r="L6" s="1606"/>
      <c r="M6" s="1606"/>
      <c r="N6" s="1606"/>
      <c r="O6" s="1606"/>
      <c r="P6" s="1606"/>
      <c r="Q6" s="1628"/>
      <c r="R6" s="1606"/>
    </row>
    <row r="7" spans="1:27" ht="18.75" customHeight="1">
      <c r="A7" s="1606"/>
      <c r="B7" s="1606"/>
      <c r="C7" s="1606"/>
      <c r="D7" s="1606"/>
      <c r="E7" s="1606"/>
      <c r="F7" s="1606"/>
      <c r="G7" s="1606"/>
      <c r="H7" s="1607"/>
      <c r="I7" s="1607"/>
      <c r="J7" s="1607"/>
      <c r="K7" s="1631"/>
      <c r="L7" s="1606"/>
      <c r="M7" s="1606"/>
      <c r="N7" s="1606"/>
      <c r="O7" s="1606"/>
      <c r="P7" s="1606"/>
      <c r="Q7" s="1628"/>
      <c r="R7" s="1606"/>
    </row>
    <row r="8" spans="1:27" ht="22.5" customHeight="1">
      <c r="A8" s="4387" t="s">
        <v>1314</v>
      </c>
      <c r="B8" s="4387"/>
      <c r="C8" s="4387"/>
      <c r="D8" s="4387"/>
      <c r="E8" s="4387"/>
      <c r="F8" s="4387"/>
      <c r="G8" s="4387"/>
      <c r="H8" s="4387"/>
      <c r="I8" s="4387"/>
      <c r="J8" s="4387"/>
      <c r="K8" s="4387"/>
      <c r="L8" s="4387"/>
      <c r="M8" s="4387"/>
      <c r="N8" s="4387"/>
      <c r="O8" s="4387"/>
      <c r="P8" s="4387"/>
      <c r="Q8" s="4387"/>
      <c r="R8" s="4387"/>
    </row>
    <row r="9" spans="1:27" ht="22.5" customHeight="1">
      <c r="A9" s="4188" t="s">
        <v>1315</v>
      </c>
      <c r="B9" s="4188"/>
      <c r="C9" s="4188"/>
      <c r="D9" s="4188"/>
      <c r="E9" s="4188"/>
      <c r="F9" s="4188"/>
      <c r="G9" s="4188"/>
      <c r="H9" s="4188"/>
      <c r="I9" s="4188"/>
      <c r="J9" s="4188"/>
      <c r="K9" s="4188"/>
      <c r="L9" s="4188"/>
      <c r="M9" s="4188"/>
      <c r="N9" s="4188"/>
      <c r="O9" s="4188"/>
      <c r="P9" s="4188"/>
      <c r="Q9" s="4188"/>
      <c r="R9" s="4188"/>
    </row>
    <row r="10" spans="1:27" ht="18.75">
      <c r="A10" s="1608"/>
      <c r="B10" s="1612"/>
      <c r="C10" s="1613"/>
      <c r="D10" s="1613"/>
      <c r="E10" s="1613"/>
      <c r="F10" s="1613"/>
      <c r="G10" s="1613"/>
      <c r="H10" s="1611"/>
      <c r="I10" s="1611"/>
      <c r="J10" s="1611"/>
      <c r="K10" s="1632"/>
      <c r="L10" s="1608"/>
      <c r="M10" s="1608"/>
      <c r="N10" s="1608"/>
      <c r="O10" s="1608"/>
      <c r="P10" s="1633"/>
      <c r="Q10" s="1634"/>
      <c r="R10" s="1608"/>
      <c r="S10" s="1635"/>
      <c r="V10" s="1635"/>
      <c r="W10" s="1635"/>
      <c r="X10" s="1635"/>
      <c r="Y10" s="1635"/>
      <c r="Z10" s="1635"/>
      <c r="AA10" s="1635"/>
    </row>
    <row r="11" spans="1:27" ht="20.25" hidden="1" customHeight="1">
      <c r="A11" s="1636"/>
      <c r="B11" s="1636"/>
      <c r="C11" s="1636"/>
      <c r="D11" s="1636"/>
      <c r="E11" s="1636"/>
      <c r="F11" s="1636"/>
      <c r="G11" s="1636"/>
      <c r="H11" s="1637"/>
      <c r="I11" s="1637"/>
      <c r="J11" s="1637"/>
      <c r="K11" s="1638"/>
      <c r="L11" s="1636"/>
      <c r="M11" s="1636"/>
      <c r="N11" s="1636"/>
      <c r="O11" s="1636"/>
      <c r="P11" s="1636"/>
      <c r="Q11" s="1639"/>
      <c r="R11" s="1636"/>
      <c r="S11" s="1635"/>
      <c r="V11" s="1635"/>
      <c r="W11" s="1635"/>
      <c r="X11" s="1635"/>
      <c r="Y11" s="1635"/>
      <c r="Z11" s="1635"/>
      <c r="AA11" s="1635"/>
    </row>
    <row r="12" spans="1:27" s="1635" customFormat="1" ht="64.5" customHeight="1">
      <c r="A12" s="4388" t="s">
        <v>932</v>
      </c>
      <c r="B12" s="4388" t="s">
        <v>1</v>
      </c>
      <c r="C12" s="4388" t="s">
        <v>46</v>
      </c>
      <c r="D12" s="4388" t="s">
        <v>1309</v>
      </c>
      <c r="E12" s="4389" t="s">
        <v>1316</v>
      </c>
      <c r="F12" s="4449" t="s">
        <v>1310</v>
      </c>
      <c r="G12" s="4450"/>
      <c r="H12" s="4451" t="s">
        <v>1317</v>
      </c>
      <c r="I12" s="4451"/>
      <c r="J12" s="4451"/>
      <c r="K12" s="4393" t="s">
        <v>1318</v>
      </c>
      <c r="L12" s="4393"/>
      <c r="M12" s="4393"/>
      <c r="N12" s="4393"/>
      <c r="O12" s="4449" t="s">
        <v>1319</v>
      </c>
      <c r="P12" s="4450"/>
      <c r="Q12" s="4398" t="s">
        <v>1320</v>
      </c>
      <c r="R12" s="4388" t="s">
        <v>92</v>
      </c>
    </row>
    <row r="13" spans="1:27" s="1640" customFormat="1" ht="39" customHeight="1">
      <c r="A13" s="4388"/>
      <c r="B13" s="4388"/>
      <c r="C13" s="4388"/>
      <c r="D13" s="4388"/>
      <c r="E13" s="4389"/>
      <c r="F13" s="4390" t="s">
        <v>1321</v>
      </c>
      <c r="G13" s="4390" t="s">
        <v>1322</v>
      </c>
      <c r="H13" s="4389" t="s">
        <v>1323</v>
      </c>
      <c r="I13" s="4448" t="s">
        <v>1324</v>
      </c>
      <c r="J13" s="4448" t="s">
        <v>1254</v>
      </c>
      <c r="K13" s="4399" t="s">
        <v>1325</v>
      </c>
      <c r="L13" s="4389" t="s">
        <v>1326</v>
      </c>
      <c r="M13" s="4389" t="s">
        <v>1327</v>
      </c>
      <c r="N13" s="4446" t="s">
        <v>61</v>
      </c>
      <c r="O13" s="4400" t="s">
        <v>1328</v>
      </c>
      <c r="P13" s="4394" t="s">
        <v>1329</v>
      </c>
      <c r="Q13" s="4398"/>
      <c r="R13" s="4388"/>
      <c r="S13" s="1635"/>
      <c r="V13" s="1641"/>
      <c r="W13" s="1641"/>
      <c r="X13" s="1642"/>
      <c r="Y13" s="1635"/>
      <c r="Z13" s="1635"/>
      <c r="AA13" s="1635"/>
    </row>
    <row r="14" spans="1:27" s="1640" customFormat="1" ht="60" customHeight="1">
      <c r="A14" s="4388"/>
      <c r="B14" s="4388"/>
      <c r="C14" s="4388"/>
      <c r="D14" s="4388"/>
      <c r="E14" s="4389"/>
      <c r="F14" s="4392"/>
      <c r="G14" s="4392"/>
      <c r="H14" s="4389"/>
      <c r="I14" s="4448"/>
      <c r="J14" s="4448"/>
      <c r="K14" s="4399"/>
      <c r="L14" s="4389"/>
      <c r="M14" s="4389"/>
      <c r="N14" s="4446"/>
      <c r="O14" s="4400"/>
      <c r="P14" s="4396"/>
      <c r="Q14" s="4398"/>
      <c r="R14" s="4388"/>
      <c r="S14" s="1635"/>
      <c r="V14" s="1643"/>
      <c r="W14" s="1643"/>
      <c r="X14" s="1644"/>
    </row>
    <row r="15" spans="1:27" s="1640" customFormat="1" ht="30.75" customHeight="1">
      <c r="A15" s="1619" t="s">
        <v>141</v>
      </c>
      <c r="B15" s="1619" t="s">
        <v>138</v>
      </c>
      <c r="C15" s="1619" t="s">
        <v>168</v>
      </c>
      <c r="D15" s="1619" t="s">
        <v>224</v>
      </c>
      <c r="E15" s="1645" t="s">
        <v>1149</v>
      </c>
      <c r="F15" s="1646" t="s">
        <v>938</v>
      </c>
      <c r="G15" s="1646" t="s">
        <v>939</v>
      </c>
      <c r="H15" s="1646" t="s">
        <v>940</v>
      </c>
      <c r="I15" s="1646" t="s">
        <v>941</v>
      </c>
      <c r="J15" s="1647">
        <v>-5</v>
      </c>
      <c r="K15" s="1648" t="s">
        <v>1330</v>
      </c>
      <c r="L15" s="1648" t="s">
        <v>1331</v>
      </c>
      <c r="M15" s="1649">
        <v>-8</v>
      </c>
      <c r="N15" s="1650" t="s">
        <v>1332</v>
      </c>
      <c r="O15" s="1649">
        <v>-10</v>
      </c>
      <c r="P15" s="1649">
        <v>-11</v>
      </c>
      <c r="Q15" s="1651" t="s">
        <v>1333</v>
      </c>
      <c r="R15" s="1619"/>
      <c r="S15" s="1635"/>
      <c r="V15" s="1643"/>
      <c r="W15" s="1643"/>
      <c r="X15" s="1644"/>
    </row>
    <row r="16" spans="1:27" s="1640" customFormat="1" ht="18.75">
      <c r="A16" s="1614" t="s">
        <v>140</v>
      </c>
      <c r="B16" s="1652" t="s">
        <v>48</v>
      </c>
      <c r="C16" s="1614"/>
      <c r="D16" s="1614"/>
      <c r="E16" s="1615"/>
      <c r="F16" s="1615"/>
      <c r="G16" s="1615"/>
      <c r="H16" s="1617">
        <f t="shared" ref="H16:Q16" si="0">SUM(H17:H19)</f>
        <v>1350</v>
      </c>
      <c r="I16" s="1713">
        <f t="shared" si="0"/>
        <v>0</v>
      </c>
      <c r="J16" s="1617">
        <f t="shared" si="0"/>
        <v>1350</v>
      </c>
      <c r="K16" s="1617">
        <f t="shared" si="0"/>
        <v>675</v>
      </c>
      <c r="L16" s="1617" t="e">
        <f t="shared" si="0"/>
        <v>#REF!</v>
      </c>
      <c r="M16" s="1713" t="e">
        <f t="shared" si="0"/>
        <v>#N/A</v>
      </c>
      <c r="N16" s="1617" t="e">
        <f t="shared" si="0"/>
        <v>#REF!</v>
      </c>
      <c r="O16" s="1617" t="e">
        <f t="shared" si="0"/>
        <v>#N/A</v>
      </c>
      <c r="P16" s="1617" t="e">
        <f t="shared" si="0"/>
        <v>#N/A</v>
      </c>
      <c r="Q16" s="1617" t="e">
        <f t="shared" si="0"/>
        <v>#REF!</v>
      </c>
      <c r="R16" s="1619"/>
      <c r="S16" s="1635"/>
      <c r="V16" s="1643"/>
      <c r="W16" s="1643"/>
      <c r="X16" s="1644"/>
    </row>
    <row r="17" spans="1:24" s="1660" customFormat="1" ht="18.75">
      <c r="A17" s="1653">
        <v>1</v>
      </c>
      <c r="B17" s="1654" t="s">
        <v>536</v>
      </c>
      <c r="C17" s="1654" t="str">
        <f>VLOOKUP(B17,'[9]TỶ LỆ HT NT3'!$B$24:$G$30,2,0)</f>
        <v>Đội trưởng</v>
      </c>
      <c r="D17" s="1655" t="str">
        <f>VLOOKUP(B17,'[9]TỶ LỆ HT NT3'!$B$24:$G$30,3,0)</f>
        <v>Đội 1</v>
      </c>
      <c r="E17" s="1700" t="e">
        <f>+HTSL!#REF!</f>
        <v>#REF!</v>
      </c>
      <c r="F17" s="1701" t="e">
        <f>+VLOOKUP(B17,HTSL!#REF!,6,0)</f>
        <v>#REF!</v>
      </c>
      <c r="G17" s="1702">
        <f>+VLOOKUP(B17,HTSL!B15:H20,6,0)</f>
        <v>3.4393830306569324</v>
      </c>
      <c r="H17" s="1703">
        <v>450</v>
      </c>
      <c r="I17" s="1703"/>
      <c r="J17" s="1703">
        <f>H17+I17</f>
        <v>450</v>
      </c>
      <c r="K17" s="1704">
        <f>H17*50%</f>
        <v>225</v>
      </c>
      <c r="L17" s="1704" t="e">
        <f>H17*0.5*F17</f>
        <v>#REF!</v>
      </c>
      <c r="M17" s="1712">
        <f>IF(G17&lt;100%,0,100)+ROUND(IF(G17&gt;100%,((G17-100%)*20*100),0),0)</f>
        <v>4979</v>
      </c>
      <c r="N17" s="1705" t="e">
        <f>K17+L17+M17</f>
        <v>#REF!</v>
      </c>
      <c r="O17" s="1706">
        <f>IF(G17&gt;=10%,0,(100%-G17)*10*100)</f>
        <v>0</v>
      </c>
      <c r="P17" s="1706">
        <f>IF(G17&gt;=100%,0,IF(O17+(H17*50%-L17)&gt;K17,L17,(100%-G17)*10*100))</f>
        <v>0</v>
      </c>
      <c r="Q17" s="1707" t="e">
        <f>N17-P17</f>
        <v>#REF!</v>
      </c>
      <c r="R17" s="1656"/>
      <c r="S17" s="1657"/>
      <c r="T17" s="1658"/>
      <c r="U17" s="1659"/>
    </row>
    <row r="18" spans="1:24" s="1660" customFormat="1" ht="18.75">
      <c r="A18" s="1653">
        <v>2</v>
      </c>
      <c r="B18" s="1661" t="s">
        <v>789</v>
      </c>
      <c r="C18" s="1654" t="str">
        <f>VLOOKUP(B18,'[9]TỶ LỆ HT NT3'!$B$24:$G$30,2,0)</f>
        <v>Đội trưởng</v>
      </c>
      <c r="D18" s="1655" t="str">
        <f>VLOOKUP(B18,'[9]TỶ LỆ HT NT3'!$B$24:$G$30,3,0)</f>
        <v>Đội 2</v>
      </c>
      <c r="E18" s="1700" t="e">
        <f>+HTSL!#REF!</f>
        <v>#REF!</v>
      </c>
      <c r="F18" s="1701" t="e">
        <f>+VLOOKUP(B18,HTSL!#REF!,6,0)</f>
        <v>#REF!</v>
      </c>
      <c r="G18" s="1702" t="e">
        <f>+VLOOKUP(B18,HTSL!B16:H20,6,0)</f>
        <v>#N/A</v>
      </c>
      <c r="H18" s="1704">
        <v>450</v>
      </c>
      <c r="I18" s="1704"/>
      <c r="J18" s="1703">
        <f>H18+I18</f>
        <v>450</v>
      </c>
      <c r="K18" s="1704">
        <f>H18*50%</f>
        <v>225</v>
      </c>
      <c r="L18" s="1704" t="e">
        <f>H18*0.5*F18</f>
        <v>#REF!</v>
      </c>
      <c r="M18" s="1712" t="e">
        <f>IF(G18&lt;100%,0,100)+ROUND(IF(G18&gt;100%,((G18-100%)*20*100),0),0)</f>
        <v>#N/A</v>
      </c>
      <c r="N18" s="1705" t="e">
        <f>K18+L18+M18</f>
        <v>#REF!</v>
      </c>
      <c r="O18" s="1706" t="e">
        <f>IF(G18&gt;=100%,0,(100%-G18)*10*100)</f>
        <v>#N/A</v>
      </c>
      <c r="P18" s="1706" t="e">
        <f>IF(G18&gt;=100%,0,IF(O18+(H18*50%-L18)&gt;K18,L18,(100%-G18)*10*100))</f>
        <v>#N/A</v>
      </c>
      <c r="Q18" s="1707" t="e">
        <f>N18-P18</f>
        <v>#REF!</v>
      </c>
      <c r="R18" s="1662"/>
      <c r="S18" s="1657"/>
      <c r="T18" s="1663"/>
      <c r="U18" s="1659"/>
    </row>
    <row r="19" spans="1:24" s="1660" customFormat="1" ht="18.75">
      <c r="A19" s="1653">
        <v>3</v>
      </c>
      <c r="B19" s="1661" t="s">
        <v>36</v>
      </c>
      <c r="C19" s="1654" t="str">
        <f>VLOOKUP(B19,'[9]TỶ LỆ HT NT3'!$B$24:$G$30,2,0)</f>
        <v>Đội trưởng</v>
      </c>
      <c r="D19" s="1655" t="str">
        <f>VLOOKUP(B19,'[9]TỶ LỆ HT NT3'!$B$24:$G$30,3,0)</f>
        <v>Đội 3</v>
      </c>
      <c r="E19" s="1700" t="e">
        <f>+HTSL!#REF!</f>
        <v>#REF!</v>
      </c>
      <c r="F19" s="1701" t="e">
        <f>+VLOOKUP(B19,HTSL!B11:H11,6,0)</f>
        <v>#N/A</v>
      </c>
      <c r="G19" s="1702">
        <f>+VLOOKUP(B19,HTSL!B17:H21,6,0)</f>
        <v>1.9046489693430657</v>
      </c>
      <c r="H19" s="1704">
        <v>450</v>
      </c>
      <c r="I19" s="1704"/>
      <c r="J19" s="1703">
        <f>H19+I19</f>
        <v>450</v>
      </c>
      <c r="K19" s="1704">
        <f>H19*50%</f>
        <v>225</v>
      </c>
      <c r="L19" s="1704" t="e">
        <f>H19*0.5*F19</f>
        <v>#N/A</v>
      </c>
      <c r="M19" s="1712">
        <f>IF(G19&lt;100%,0,100)+ROUND(IF(G19&gt;100%,((G19-100%)*20*100),0),0)</f>
        <v>1909</v>
      </c>
      <c r="N19" s="1705" t="e">
        <f>K19+L19+M19</f>
        <v>#N/A</v>
      </c>
      <c r="O19" s="1706">
        <f>IF(G19&gt;=100%,0,(100%-G19)*10*100)</f>
        <v>0</v>
      </c>
      <c r="P19" s="1706">
        <f>IF(G19&gt;=100%,0,IF(O19+(H19*50%-L19)&gt;K19,L19,(100%-G19)*10*100))</f>
        <v>0</v>
      </c>
      <c r="Q19" s="1707" t="e">
        <f>N19-P19</f>
        <v>#N/A</v>
      </c>
      <c r="R19" s="1656"/>
      <c r="S19" s="1657"/>
      <c r="T19" s="1658"/>
      <c r="U19" s="1659"/>
    </row>
    <row r="20" spans="1:24" s="1660" customFormat="1" ht="18.75">
      <c r="A20" s="1664" t="s">
        <v>143</v>
      </c>
      <c r="B20" s="1664" t="s">
        <v>1334</v>
      </c>
      <c r="C20" s="1654"/>
      <c r="D20" s="1655"/>
      <c r="E20" s="1708"/>
      <c r="F20" s="1702"/>
      <c r="G20" s="1702"/>
      <c r="H20" s="1709">
        <f>SUM(H21:H22)</f>
        <v>7000000</v>
      </c>
      <c r="I20" s="1709"/>
      <c r="J20" s="1709">
        <f t="shared" ref="J20:Q20" si="1">SUM(J21:J22)</f>
        <v>7000000</v>
      </c>
      <c r="K20" s="1709">
        <f t="shared" si="1"/>
        <v>3500000</v>
      </c>
      <c r="L20" s="1709" t="e">
        <f t="shared" si="1"/>
        <v>#REF!</v>
      </c>
      <c r="M20" s="1714">
        <f t="shared" si="1"/>
        <v>35440320</v>
      </c>
      <c r="N20" s="1709" t="e">
        <f t="shared" si="1"/>
        <v>#REF!</v>
      </c>
      <c r="O20" s="1710">
        <f t="shared" si="1"/>
        <v>0</v>
      </c>
      <c r="P20" s="1710">
        <f t="shared" si="1"/>
        <v>0</v>
      </c>
      <c r="Q20" s="1710" t="e">
        <f t="shared" si="1"/>
        <v>#REF!</v>
      </c>
      <c r="R20" s="1665"/>
      <c r="S20" s="1666"/>
    </row>
    <row r="21" spans="1:24" s="1669" customFormat="1" ht="18.75">
      <c r="A21" s="1653">
        <v>1</v>
      </c>
      <c r="B21" s="1661" t="s">
        <v>327</v>
      </c>
      <c r="C21" s="1654" t="str">
        <f>VLOOKUP(B21,'[9]TỶ LỆ HT NT3'!$B$24:$G$30,2,0)</f>
        <v>Đội phó</v>
      </c>
      <c r="D21" s="1655" t="str">
        <f>VLOOKUP(B21,'[9]TỶ LỆ HT NT3'!$B$24:$G$30,3,0)</f>
        <v>Đội 2</v>
      </c>
      <c r="E21" s="1700" t="s">
        <v>81</v>
      </c>
      <c r="F21" s="1702" t="e">
        <f>+VLOOKUP(B21,HTSL!#REF!,6,0)</f>
        <v>#REF!</v>
      </c>
      <c r="G21" s="1702">
        <f>+VLOOKUP(B21,HTSL!B15:H20,6,0)</f>
        <v>3.4393830306569324</v>
      </c>
      <c r="H21" s="1703">
        <v>3500000</v>
      </c>
      <c r="I21" s="1703"/>
      <c r="J21" s="1703">
        <f>H21+I21</f>
        <v>3500000</v>
      </c>
      <c r="K21" s="1704">
        <f>J21*50%</f>
        <v>1750000</v>
      </c>
      <c r="L21" s="1704" t="e">
        <f>H21*0.5*F21</f>
        <v>#REF!</v>
      </c>
      <c r="M21" s="1712">
        <f>IF(VLOOKUP(B21,HTSL!B15:H20,6,0)&lt;100%,0,1000000)+ROUND(IF(VLOOKUP(B21,HTSL!B15:H20,6,0)&gt;100%,((VLOOKUP(B21,HTSL!B15:H20,6, 0)-100%)*100000*100),0),0)</f>
        <v>25393830</v>
      </c>
      <c r="N21" s="1705" t="e">
        <f>K21+L21+M21</f>
        <v>#REF!</v>
      </c>
      <c r="O21" s="1706">
        <f>IF(G21&gt;=100%,0,(100%-G21)*100000*100)</f>
        <v>0</v>
      </c>
      <c r="P21" s="1706">
        <f>IF(G21&gt;=100%,0,IF(O21+(H21*50%-L21)&gt;K21,L21,(G21-100%)*100000*100))</f>
        <v>0</v>
      </c>
      <c r="Q21" s="1711" t="e">
        <f>N21-O21</f>
        <v>#REF!</v>
      </c>
      <c r="R21" s="1670"/>
      <c r="S21" s="1635"/>
    </row>
    <row r="22" spans="1:24" s="1669" customFormat="1" ht="18.75">
      <c r="A22" s="1653">
        <v>2</v>
      </c>
      <c r="B22" s="1661" t="s">
        <v>437</v>
      </c>
      <c r="C22" s="1654" t="str">
        <f>VLOOKUP(B22,'[9]TỶ LỆ HT NT3'!$B$24:$G$30,2,0)</f>
        <v>Đội phó</v>
      </c>
      <c r="D22" s="1655" t="str">
        <f>VLOOKUP(B22,'[9]TỶ LỆ HT NT3'!$B$24:$G$30,3,0)</f>
        <v>Đội 3</v>
      </c>
      <c r="E22" s="1700" t="s">
        <v>81</v>
      </c>
      <c r="F22" s="1702" t="e">
        <f>+VLOOKUP(B22,HTSL!#REF!,6,0)</f>
        <v>#REF!</v>
      </c>
      <c r="G22" s="1702">
        <f>+VLOOKUP(B22,HTSL!B16:H20,6,0)</f>
        <v>1.9046489693430657</v>
      </c>
      <c r="H22" s="1703">
        <v>3500000</v>
      </c>
      <c r="I22" s="1703"/>
      <c r="J22" s="1703">
        <f>H22+I22</f>
        <v>3500000</v>
      </c>
      <c r="K22" s="1704">
        <f>J22*50%</f>
        <v>1750000</v>
      </c>
      <c r="L22" s="1704" t="e">
        <f>H22*0.5*F22</f>
        <v>#REF!</v>
      </c>
      <c r="M22" s="1712">
        <f>IF(VLOOKUP(B22,HTSL!B16:H20,6,0)&lt;100%,0,1000000)+ROUND(IF(VLOOKUP(B22,HTSL!B16:H20,6,0)&gt;100%,((VLOOKUP(B22,HTSL!B16:H20,6, 0)-100%)*100000*100),0),0)</f>
        <v>10046490</v>
      </c>
      <c r="N22" s="1705" t="e">
        <f>K22+L22+M22</f>
        <v>#REF!</v>
      </c>
      <c r="O22" s="1706">
        <f>IF(G22&gt;=100%,0,(100%-G22)*100000*100)</f>
        <v>0</v>
      </c>
      <c r="P22" s="1706">
        <f>IF(G22&gt;=100%,0,IF(O22+(H22*50%-L22)&gt;K22,L22,(G22-100%)*100000*100))</f>
        <v>0</v>
      </c>
      <c r="Q22" s="1711" t="e">
        <f>+N22-P22</f>
        <v>#REF!</v>
      </c>
      <c r="R22" s="1670"/>
      <c r="S22" s="1635"/>
    </row>
    <row r="23" spans="1:24" s="1669" customFormat="1" ht="18.75">
      <c r="A23" s="1667"/>
      <c r="B23" s="1667"/>
      <c r="C23" s="1667"/>
      <c r="D23" s="1667"/>
      <c r="E23" s="1667"/>
      <c r="F23" s="1667"/>
      <c r="G23" s="1667"/>
      <c r="H23" s="1668"/>
      <c r="I23" s="1668"/>
      <c r="J23" s="1668"/>
      <c r="K23" s="1671"/>
      <c r="L23" s="1667"/>
      <c r="M23" s="1667"/>
      <c r="N23" s="1667"/>
      <c r="O23" s="1667"/>
      <c r="P23" s="1667"/>
      <c r="Q23" s="1672"/>
      <c r="R23" s="1667"/>
      <c r="S23" s="1673"/>
    </row>
    <row r="24" spans="1:24" s="1669" customFormat="1" ht="18.75">
      <c r="A24" s="1636"/>
      <c r="B24" s="1636"/>
      <c r="C24" s="1636"/>
      <c r="D24" s="1636"/>
      <c r="E24" s="1636"/>
      <c r="F24" s="1636"/>
      <c r="G24" s="1636"/>
      <c r="H24" s="1637"/>
      <c r="I24" s="1637"/>
      <c r="J24" s="1637"/>
      <c r="K24" s="1638"/>
      <c r="L24" s="1636"/>
      <c r="M24" s="1636"/>
      <c r="N24" s="1636"/>
      <c r="O24" s="1636"/>
      <c r="P24" s="1636"/>
      <c r="Q24" s="1639"/>
      <c r="R24" s="1636"/>
      <c r="S24" s="1673"/>
    </row>
    <row r="25" spans="1:24" s="1677" customFormat="1" ht="18.75">
      <c r="A25" s="4447" t="s">
        <v>954</v>
      </c>
      <c r="B25" s="4447"/>
      <c r="C25" s="4447"/>
      <c r="D25" s="4447"/>
      <c r="E25" s="4447"/>
      <c r="F25" s="4447"/>
      <c r="G25" s="4447"/>
      <c r="H25" s="4447"/>
      <c r="I25" s="1674"/>
      <c r="J25" s="4447" t="s">
        <v>1335</v>
      </c>
      <c r="K25" s="4447"/>
      <c r="L25" s="4447"/>
      <c r="M25" s="1675"/>
      <c r="N25" s="4447" t="s">
        <v>20</v>
      </c>
      <c r="O25" s="4447"/>
      <c r="P25" s="4447"/>
      <c r="Q25" s="4447"/>
      <c r="R25" s="4447"/>
      <c r="S25" s="1676"/>
    </row>
    <row r="26" spans="1:24" s="1669" customFormat="1" ht="18.75">
      <c r="A26" s="1635"/>
      <c r="B26" s="1635"/>
      <c r="C26" s="1635"/>
      <c r="D26" s="1635"/>
      <c r="E26" s="1635"/>
      <c r="F26" s="1635"/>
      <c r="G26" s="1635"/>
      <c r="H26" s="1678"/>
      <c r="I26" s="1678"/>
      <c r="J26" s="1678"/>
      <c r="K26" s="1679"/>
      <c r="L26" s="1635"/>
      <c r="M26" s="1635"/>
      <c r="N26" s="1635"/>
      <c r="O26" s="1635"/>
      <c r="P26" s="1635"/>
      <c r="Q26" s="1680"/>
      <c r="R26" s="1635"/>
      <c r="S26" s="1635"/>
    </row>
    <row r="27" spans="1:24" s="1669" customFormat="1" ht="16.5">
      <c r="H27" s="1681"/>
      <c r="I27" s="1681"/>
      <c r="J27" s="1681"/>
      <c r="K27" s="1682"/>
      <c r="Q27" s="1683"/>
    </row>
    <row r="28" spans="1:24" s="1669" customFormat="1" ht="16.5">
      <c r="H28" s="1681"/>
      <c r="I28" s="1681"/>
      <c r="J28" s="1681"/>
      <c r="K28" s="1682"/>
      <c r="Q28" s="1684"/>
      <c r="R28" s="1685"/>
    </row>
    <row r="29" spans="1:24" s="1669" customFormat="1" ht="16.5">
      <c r="H29" s="1681"/>
      <c r="I29" s="1681"/>
      <c r="J29" s="1681"/>
      <c r="K29" s="1682"/>
      <c r="Q29" s="1686"/>
      <c r="T29" s="1682"/>
    </row>
    <row r="30" spans="1:24" s="1669" customFormat="1" ht="16.5">
      <c r="H30" s="1681"/>
      <c r="I30" s="1681"/>
      <c r="J30" s="1681"/>
      <c r="K30" s="1682"/>
      <c r="Q30" s="1687"/>
    </row>
    <row r="31" spans="1:24" s="1669" customFormat="1" ht="16.5">
      <c r="H31" s="1681"/>
      <c r="I31" s="1681"/>
      <c r="J31" s="1681"/>
      <c r="K31" s="1682"/>
      <c r="Q31" s="1683"/>
      <c r="R31" s="1685"/>
    </row>
    <row r="32" spans="1:24" s="1669" customFormat="1" ht="16.5">
      <c r="H32" s="1681"/>
      <c r="I32" s="1681"/>
      <c r="J32" s="1681"/>
      <c r="K32" s="1682"/>
      <c r="L32" s="1688"/>
      <c r="M32" s="1688"/>
      <c r="N32" s="1688"/>
      <c r="O32" s="1688"/>
      <c r="Q32" s="1683"/>
      <c r="S32" s="1621"/>
      <c r="T32" s="1621"/>
      <c r="U32" s="1621"/>
      <c r="V32" s="1621"/>
      <c r="W32" s="1621"/>
      <c r="X32" s="1621"/>
    </row>
    <row r="33" spans="8:24" s="1669" customFormat="1" ht="18.75">
      <c r="H33" s="1681"/>
      <c r="I33" s="1681"/>
      <c r="J33" s="1681"/>
      <c r="K33" s="1682"/>
      <c r="Q33" s="1684"/>
      <c r="S33" s="1621"/>
      <c r="T33" s="1606"/>
      <c r="U33" s="1636"/>
      <c r="V33" s="1636"/>
      <c r="W33" s="1636"/>
      <c r="X33" s="1621"/>
    </row>
    <row r="34" spans="8:24" s="1669" customFormat="1" ht="18.75">
      <c r="H34" s="1681"/>
      <c r="I34" s="1681"/>
      <c r="J34" s="1681"/>
      <c r="K34" s="1682"/>
      <c r="Q34" s="1683"/>
      <c r="S34" s="1621"/>
      <c r="T34" s="1606"/>
      <c r="U34" s="1636"/>
      <c r="V34" s="1636"/>
      <c r="W34" s="1636"/>
      <c r="X34" s="1621"/>
    </row>
    <row r="35" spans="8:24" s="1669" customFormat="1" ht="18.75">
      <c r="H35" s="1681"/>
      <c r="I35" s="1681"/>
      <c r="J35" s="1681"/>
      <c r="K35" s="1682"/>
      <c r="Q35" s="4136"/>
      <c r="R35" s="4136"/>
      <c r="S35" s="1621"/>
      <c r="T35" s="1689"/>
      <c r="U35" s="1690"/>
      <c r="V35" s="1690"/>
      <c r="W35" s="1690"/>
      <c r="X35" s="1621"/>
    </row>
    <row r="36" spans="8:24" s="1669" customFormat="1" ht="18.75">
      <c r="H36" s="1681"/>
      <c r="I36" s="1681"/>
      <c r="J36" s="1681"/>
      <c r="K36" s="1682"/>
      <c r="Q36" s="1683"/>
      <c r="S36" s="1621"/>
      <c r="T36" s="1627"/>
      <c r="U36" s="1691"/>
      <c r="V36" s="1691"/>
      <c r="W36" s="1608"/>
      <c r="X36" s="1621"/>
    </row>
    <row r="37" spans="8:24" s="1669" customFormat="1" ht="16.5">
      <c r="H37" s="1681"/>
      <c r="I37" s="1681"/>
      <c r="J37" s="1681"/>
      <c r="K37" s="1682"/>
      <c r="Q37" s="1683"/>
      <c r="S37" s="1621"/>
      <c r="T37" s="1627"/>
      <c r="U37" s="1627"/>
      <c r="V37" s="1627"/>
      <c r="W37" s="1692"/>
      <c r="X37" s="1621"/>
    </row>
    <row r="38" spans="8:24" s="1669" customFormat="1" ht="16.5">
      <c r="H38" s="1681"/>
      <c r="I38" s="1681"/>
      <c r="J38" s="1681"/>
      <c r="K38" s="1682"/>
      <c r="Q38" s="1683"/>
      <c r="S38" s="1621"/>
      <c r="T38" s="1627"/>
      <c r="U38" s="1627"/>
      <c r="V38" s="1627"/>
      <c r="W38" s="1692"/>
      <c r="X38" s="1621"/>
    </row>
    <row r="39" spans="8:24" s="1669" customFormat="1" ht="16.5">
      <c r="H39" s="1681"/>
      <c r="I39" s="1681"/>
      <c r="J39" s="1681"/>
      <c r="K39" s="1682"/>
      <c r="Q39" s="1683"/>
      <c r="S39" s="1621"/>
      <c r="T39" s="1627"/>
      <c r="U39" s="1627"/>
      <c r="V39" s="1627"/>
      <c r="W39" s="1692"/>
      <c r="X39" s="1621"/>
    </row>
    <row r="40" spans="8:24" s="1669" customFormat="1" ht="16.5">
      <c r="H40" s="1681"/>
      <c r="I40" s="1681"/>
      <c r="J40" s="1681"/>
      <c r="K40" s="1682"/>
      <c r="Q40" s="1683"/>
      <c r="S40" s="1621"/>
      <c r="T40" s="1627"/>
      <c r="U40" s="1627"/>
      <c r="V40" s="1627"/>
      <c r="W40" s="1692"/>
      <c r="X40" s="1621"/>
    </row>
    <row r="41" spans="8:24" s="1669" customFormat="1" ht="16.5">
      <c r="H41" s="1681"/>
      <c r="I41" s="1681"/>
      <c r="J41" s="1681"/>
      <c r="K41" s="1682"/>
      <c r="Q41" s="1683"/>
      <c r="S41" s="1621"/>
      <c r="T41" s="1693"/>
      <c r="U41" s="1694"/>
      <c r="V41" s="1694"/>
      <c r="W41" s="1694"/>
      <c r="X41" s="1621"/>
    </row>
    <row r="42" spans="8:24" s="1669" customFormat="1" ht="16.5">
      <c r="H42" s="1681"/>
      <c r="I42" s="1681"/>
      <c r="J42" s="1681"/>
      <c r="K42" s="1682"/>
      <c r="Q42" s="1683"/>
      <c r="S42" s="1621"/>
      <c r="T42" s="1695"/>
      <c r="U42" s="1696"/>
      <c r="V42" s="1696"/>
      <c r="W42" s="1696"/>
      <c r="X42" s="1621"/>
    </row>
    <row r="43" spans="8:24" s="1669" customFormat="1" ht="16.5">
      <c r="H43" s="1681"/>
      <c r="I43" s="1681"/>
      <c r="J43" s="1681"/>
      <c r="K43" s="1682"/>
      <c r="Q43" s="1683"/>
      <c r="S43" s="1621"/>
      <c r="T43" s="1627"/>
      <c r="U43" s="1621"/>
      <c r="V43" s="1621"/>
      <c r="W43" s="1697"/>
      <c r="X43" s="1621"/>
    </row>
    <row r="44" spans="8:24" s="1669" customFormat="1" ht="16.5">
      <c r="H44" s="1681"/>
      <c r="I44" s="1681"/>
      <c r="J44" s="1681"/>
      <c r="K44" s="1682"/>
      <c r="Q44" s="1683"/>
      <c r="S44" s="1621"/>
      <c r="T44" s="1627"/>
      <c r="U44" s="1621"/>
      <c r="V44" s="1621"/>
      <c r="W44" s="1697"/>
      <c r="X44" s="1621"/>
    </row>
    <row r="45" spans="8:24" s="1669" customFormat="1" ht="16.5">
      <c r="H45" s="1681"/>
      <c r="I45" s="1681"/>
      <c r="J45" s="1681"/>
      <c r="K45" s="1682"/>
      <c r="Q45" s="1683"/>
      <c r="S45" s="1621"/>
      <c r="T45" s="1627"/>
      <c r="U45" s="1621"/>
      <c r="V45" s="1621"/>
      <c r="W45" s="1697"/>
      <c r="X45" s="1621"/>
    </row>
    <row r="46" spans="8:24" s="1669" customFormat="1" ht="16.5">
      <c r="H46" s="1681"/>
      <c r="I46" s="1681"/>
      <c r="J46" s="1681"/>
      <c r="K46" s="1682"/>
      <c r="Q46" s="1683"/>
      <c r="S46" s="1621"/>
      <c r="T46" s="1627"/>
      <c r="U46" s="1621"/>
      <c r="V46" s="1621"/>
      <c r="W46" s="1697"/>
      <c r="X46" s="1621"/>
    </row>
    <row r="47" spans="8:24">
      <c r="S47" s="1606"/>
      <c r="T47" s="1606"/>
      <c r="U47" s="1606"/>
      <c r="V47" s="1606"/>
      <c r="W47" s="1606"/>
      <c r="X47" s="1606"/>
    </row>
    <row r="48" spans="8:24">
      <c r="S48" s="1606"/>
      <c r="T48" s="1606"/>
      <c r="U48" s="1606"/>
      <c r="V48" s="1606"/>
      <c r="W48" s="1606"/>
      <c r="X48" s="1606"/>
    </row>
    <row r="49" spans="19:24">
      <c r="S49" s="1606"/>
      <c r="T49" s="1606"/>
      <c r="U49" s="1606"/>
      <c r="V49" s="1606"/>
      <c r="W49" s="1606"/>
      <c r="X49" s="1606"/>
    </row>
    <row r="50" spans="19:24">
      <c r="S50" s="1606"/>
      <c r="T50" s="1606"/>
      <c r="U50" s="1606"/>
      <c r="V50" s="1606"/>
      <c r="W50" s="1606"/>
      <c r="X50" s="1606"/>
    </row>
    <row r="51" spans="19:24">
      <c r="S51" s="1606"/>
      <c r="T51" s="1606"/>
      <c r="U51" s="1606"/>
      <c r="V51" s="1606"/>
      <c r="W51" s="1606"/>
      <c r="X51" s="1606"/>
    </row>
  </sheetData>
  <mergeCells count="33">
    <mergeCell ref="A8:R8"/>
    <mergeCell ref="A1:R1"/>
    <mergeCell ref="A2:R2"/>
    <mergeCell ref="B3:R3"/>
    <mergeCell ref="A4:J4"/>
    <mergeCell ref="A5:J5"/>
    <mergeCell ref="M13:M14"/>
    <mergeCell ref="A9:R9"/>
    <mergeCell ref="A12:A14"/>
    <mergeCell ref="B12:B14"/>
    <mergeCell ref="C12:C14"/>
    <mergeCell ref="D12:D14"/>
    <mergeCell ref="E12:E14"/>
    <mergeCell ref="F12:G12"/>
    <mergeCell ref="H12:J12"/>
    <mergeCell ref="K12:N12"/>
    <mergeCell ref="O12:P12"/>
    <mergeCell ref="Q35:R35"/>
    <mergeCell ref="N13:N14"/>
    <mergeCell ref="O13:O14"/>
    <mergeCell ref="P13:P14"/>
    <mergeCell ref="A25:H25"/>
    <mergeCell ref="J25:L25"/>
    <mergeCell ref="N25:R25"/>
    <mergeCell ref="Q12:Q14"/>
    <mergeCell ref="R12:R14"/>
    <mergeCell ref="F13:F14"/>
    <mergeCell ref="G13:G14"/>
    <mergeCell ref="H13:H14"/>
    <mergeCell ref="I13:I14"/>
    <mergeCell ref="J13:J14"/>
    <mergeCell ref="K13:K14"/>
    <mergeCell ref="L13:L14"/>
  </mergeCells>
  <pageMargins left="0.19685039370078741" right="0.19685039370078741" top="0.47244094488188981" bottom="0.23622047244094491" header="0.31496062992125984" footer="0.31496062992125984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topLeftCell="A16" workbookViewId="0">
      <selection activeCell="O22" sqref="O22"/>
    </sheetView>
  </sheetViews>
  <sheetFormatPr defaultColWidth="9" defaultRowHeight="16.5"/>
  <cols>
    <col min="1" max="1" width="4.42578125" style="3514" customWidth="1"/>
    <col min="2" max="2" width="48.140625" style="2850" customWidth="1"/>
    <col min="3" max="3" width="8.28515625" style="3526" customWidth="1"/>
    <col min="4" max="4" width="9.7109375" style="3515" customWidth="1"/>
    <col min="5" max="5" width="7.5703125" style="3511" customWidth="1"/>
    <col min="6" max="6" width="12.7109375" style="3511" customWidth="1"/>
    <col min="7" max="7" width="7.5703125" style="3511" customWidth="1"/>
    <col min="8" max="8" width="11.5703125" style="3511" customWidth="1"/>
    <col min="9" max="9" width="8.28515625" style="3511" customWidth="1"/>
    <col min="10" max="10" width="12.140625" style="3511" customWidth="1"/>
    <col min="11" max="11" width="7" style="3511" customWidth="1"/>
    <col min="12" max="12" width="10.85546875" style="3511" customWidth="1"/>
    <col min="13" max="13" width="14.140625" style="3516" customWidth="1"/>
    <col min="14" max="14" width="7" style="2850" customWidth="1"/>
    <col min="15" max="15" width="12.5703125" style="2850" customWidth="1"/>
    <col min="16" max="16" width="7.85546875" style="2850" customWidth="1"/>
    <col min="17" max="17" width="19.85546875" style="2850" bestFit="1" customWidth="1"/>
    <col min="18" max="18" width="19.28515625" style="2850" bestFit="1" customWidth="1"/>
    <col min="19" max="19" width="19.28515625" style="2850" customWidth="1"/>
    <col min="20" max="21" width="20.42578125" style="2850" customWidth="1"/>
    <col min="22" max="22" width="9" style="2850"/>
    <col min="23" max="23" width="12.28515625" style="2850" customWidth="1"/>
    <col min="24" max="25" width="14.42578125" style="2850" customWidth="1"/>
    <col min="26" max="27" width="18.42578125" style="2850" customWidth="1"/>
    <col min="28" max="28" width="9" style="2850"/>
    <col min="29" max="29" width="10" style="2850" bestFit="1" customWidth="1"/>
    <col min="30" max="30" width="9" style="2850"/>
    <col min="31" max="31" width="11.85546875" style="2850" bestFit="1" customWidth="1"/>
    <col min="32" max="32" width="13" style="2850" customWidth="1"/>
    <col min="33" max="35" width="9" style="2850"/>
    <col min="36" max="36" width="18.7109375" style="2850" bestFit="1" customWidth="1"/>
    <col min="37" max="37" width="11.5703125" style="2850" bestFit="1" customWidth="1"/>
    <col min="38" max="16384" width="9" style="2850"/>
  </cols>
  <sheetData>
    <row r="1" spans="1:36">
      <c r="A1" s="4453" t="s">
        <v>23</v>
      </c>
      <c r="B1" s="4453"/>
      <c r="C1" s="4453"/>
      <c r="D1" s="4453"/>
      <c r="E1" s="4453"/>
      <c r="F1" s="4453"/>
      <c r="G1" s="4453"/>
      <c r="H1" s="4453"/>
      <c r="I1" s="4453"/>
      <c r="J1" s="4453"/>
      <c r="K1" s="4453"/>
      <c r="L1" s="4453"/>
      <c r="M1" s="4453"/>
      <c r="N1" s="4453"/>
      <c r="O1" s="4453"/>
      <c r="P1" s="4453"/>
    </row>
    <row r="2" spans="1:36">
      <c r="A2" s="4453" t="s">
        <v>657</v>
      </c>
      <c r="B2" s="4453"/>
      <c r="C2" s="4453"/>
      <c r="D2" s="4453"/>
      <c r="E2" s="4453"/>
      <c r="F2" s="4453"/>
      <c r="G2" s="4453"/>
      <c r="H2" s="4453"/>
      <c r="I2" s="4453"/>
      <c r="J2" s="4453"/>
      <c r="K2" s="4453"/>
      <c r="L2" s="4453"/>
      <c r="M2" s="4453"/>
      <c r="N2" s="4453"/>
      <c r="O2" s="4453"/>
      <c r="P2" s="4453"/>
    </row>
    <row r="3" spans="1:36" ht="15" customHeight="1">
      <c r="A3" s="4454" t="s">
        <v>2075</v>
      </c>
      <c r="B3" s="4454"/>
      <c r="C3" s="4454"/>
      <c r="D3" s="4454"/>
      <c r="E3" s="4454"/>
      <c r="F3" s="4454"/>
      <c r="G3" s="4454"/>
      <c r="H3" s="4454"/>
      <c r="I3" s="4454"/>
      <c r="J3" s="4454"/>
      <c r="K3" s="4454"/>
      <c r="L3" s="4454"/>
      <c r="M3" s="4454"/>
      <c r="N3" s="4454"/>
      <c r="O3" s="4454"/>
      <c r="P3" s="4454"/>
    </row>
    <row r="4" spans="1:36" ht="15" customHeight="1">
      <c r="A4" s="4455" t="s">
        <v>1715</v>
      </c>
      <c r="B4" s="4455"/>
      <c r="C4" s="4455"/>
      <c r="D4" s="4455"/>
      <c r="E4" s="3696"/>
      <c r="F4" s="3696"/>
      <c r="G4" s="3396"/>
      <c r="H4" s="3396"/>
      <c r="I4" s="3396"/>
      <c r="J4" s="3396"/>
      <c r="K4" s="3396"/>
      <c r="L4" s="3396"/>
      <c r="M4" s="3396"/>
      <c r="N4" s="3396"/>
      <c r="O4" s="3396"/>
      <c r="P4" s="3396"/>
    </row>
    <row r="5" spans="1:36" ht="15" customHeight="1">
      <c r="A5" s="4453" t="s">
        <v>90</v>
      </c>
      <c r="B5" s="4453"/>
      <c r="C5" s="4453"/>
      <c r="D5" s="4453"/>
      <c r="E5" s="3696"/>
      <c r="F5" s="3696"/>
      <c r="G5" s="3396"/>
      <c r="H5" s="3396"/>
      <c r="I5" s="3396"/>
      <c r="J5" s="3396"/>
      <c r="K5" s="3396"/>
      <c r="L5" s="3396"/>
      <c r="M5" s="3396"/>
      <c r="N5" s="3396"/>
      <c r="O5" s="3396"/>
      <c r="P5" s="3396"/>
    </row>
    <row r="6" spans="1:36" ht="8.25" customHeight="1">
      <c r="A6" s="3688"/>
      <c r="B6" s="3688"/>
      <c r="C6" s="3688"/>
      <c r="D6" s="3688"/>
      <c r="E6" s="3696"/>
      <c r="F6" s="3696"/>
      <c r="G6" s="3396"/>
      <c r="H6" s="3396"/>
      <c r="I6" s="3396"/>
      <c r="J6" s="3396"/>
      <c r="K6" s="3396"/>
      <c r="L6" s="3396"/>
      <c r="M6" s="3396"/>
      <c r="N6" s="3396"/>
      <c r="O6" s="3396"/>
      <c r="P6" s="3396"/>
    </row>
    <row r="7" spans="1:36">
      <c r="A7" s="4453" t="s">
        <v>2314</v>
      </c>
      <c r="B7" s="4453"/>
      <c r="C7" s="4453"/>
      <c r="D7" s="4453"/>
      <c r="E7" s="4453"/>
      <c r="F7" s="4453"/>
      <c r="G7" s="4453"/>
      <c r="H7" s="4453"/>
      <c r="I7" s="4453"/>
      <c r="J7" s="4453"/>
      <c r="K7" s="4453"/>
      <c r="L7" s="4453"/>
      <c r="M7" s="4453"/>
      <c r="N7" s="4453"/>
      <c r="O7" s="4453"/>
      <c r="P7" s="4453"/>
    </row>
    <row r="8" spans="1:36">
      <c r="A8" s="4455" t="s">
        <v>2315</v>
      </c>
      <c r="B8" s="4455"/>
      <c r="C8" s="4455"/>
      <c r="D8" s="4455"/>
      <c r="E8" s="4455"/>
      <c r="F8" s="4455"/>
      <c r="G8" s="4455"/>
      <c r="H8" s="4455"/>
      <c r="I8" s="4455"/>
      <c r="J8" s="4455"/>
      <c r="K8" s="4455"/>
      <c r="L8" s="4455"/>
      <c r="M8" s="4455"/>
      <c r="N8" s="4455"/>
      <c r="O8" s="4455"/>
      <c r="P8" s="4455"/>
    </row>
    <row r="9" spans="1:36" ht="8.25" customHeight="1">
      <c r="A9" s="2741"/>
      <c r="B9" s="3691"/>
      <c r="C9" s="3691"/>
      <c r="D9" s="2742"/>
      <c r="E9" s="2743"/>
      <c r="F9" s="2743"/>
      <c r="G9" s="2743"/>
      <c r="H9" s="2743"/>
      <c r="I9" s="2743"/>
      <c r="J9" s="2743"/>
      <c r="K9" s="2743"/>
      <c r="L9" s="2743"/>
      <c r="M9" s="2744"/>
      <c r="N9" s="3691"/>
      <c r="O9" s="3691"/>
      <c r="P9" s="3691"/>
    </row>
    <row r="10" spans="1:36" ht="19.5" customHeight="1">
      <c r="A10" s="4460" t="s">
        <v>0</v>
      </c>
      <c r="B10" s="4462" t="s">
        <v>1716</v>
      </c>
      <c r="C10" s="4462" t="s">
        <v>13</v>
      </c>
      <c r="D10" s="4464" t="s">
        <v>808</v>
      </c>
      <c r="E10" s="4466" t="s">
        <v>1935</v>
      </c>
      <c r="F10" s="4466"/>
      <c r="G10" s="4466"/>
      <c r="H10" s="4466"/>
      <c r="I10" s="4466"/>
      <c r="J10" s="4466"/>
      <c r="K10" s="4466"/>
      <c r="L10" s="4466"/>
      <c r="M10" s="4467" t="s">
        <v>1717</v>
      </c>
      <c r="N10" s="4469" t="s">
        <v>810</v>
      </c>
      <c r="O10" s="3069" t="s">
        <v>26</v>
      </c>
      <c r="P10" s="4462" t="s">
        <v>92</v>
      </c>
    </row>
    <row r="11" spans="1:36" ht="23.25" customHeight="1">
      <c r="A11" s="4461"/>
      <c r="B11" s="4463"/>
      <c r="C11" s="4463"/>
      <c r="D11" s="4465"/>
      <c r="E11" s="3070" t="s">
        <v>1523</v>
      </c>
      <c r="F11" s="3070" t="s">
        <v>812</v>
      </c>
      <c r="G11" s="3070" t="s">
        <v>1523</v>
      </c>
      <c r="H11" s="3070" t="s">
        <v>812</v>
      </c>
      <c r="I11" s="3070" t="s">
        <v>1523</v>
      </c>
      <c r="J11" s="3070" t="s">
        <v>812</v>
      </c>
      <c r="K11" s="3070" t="s">
        <v>1523</v>
      </c>
      <c r="L11" s="3070" t="s">
        <v>812</v>
      </c>
      <c r="M11" s="4468"/>
      <c r="N11" s="4470"/>
      <c r="O11" s="3071" t="s">
        <v>1718</v>
      </c>
      <c r="P11" s="4463"/>
    </row>
    <row r="12" spans="1:36" ht="22.5" customHeight="1">
      <c r="A12" s="3072" t="s">
        <v>141</v>
      </c>
      <c r="B12" s="3073" t="s">
        <v>813</v>
      </c>
      <c r="C12" s="1179"/>
      <c r="D12" s="3074"/>
      <c r="E12" s="3689"/>
      <c r="F12" s="3689"/>
      <c r="G12" s="3689"/>
      <c r="H12" s="3689"/>
      <c r="I12" s="3689"/>
      <c r="J12" s="3689"/>
      <c r="K12" s="3689"/>
      <c r="L12" s="3689"/>
      <c r="M12" s="3075"/>
      <c r="N12" s="3076"/>
      <c r="O12" s="3694">
        <f>O17+O22</f>
        <v>14774.720000000001</v>
      </c>
      <c r="P12" s="3077"/>
    </row>
    <row r="13" spans="1:36" ht="22.5" customHeight="1">
      <c r="A13" s="3072" t="s">
        <v>140</v>
      </c>
      <c r="B13" s="3073" t="s">
        <v>814</v>
      </c>
      <c r="C13" s="3693" t="s">
        <v>815</v>
      </c>
      <c r="D13" s="3721"/>
      <c r="E13" s="3070"/>
      <c r="F13" s="3070"/>
      <c r="G13" s="3070"/>
      <c r="H13" s="3070"/>
      <c r="I13" s="3070"/>
      <c r="J13" s="3070"/>
      <c r="K13" s="3070"/>
      <c r="L13" s="3070"/>
      <c r="M13" s="3722"/>
      <c r="N13" s="3723"/>
      <c r="O13" s="3724"/>
      <c r="P13" s="3725"/>
    </row>
    <row r="14" spans="1:36" ht="20.25" customHeight="1">
      <c r="A14" s="3726" t="s">
        <v>1281</v>
      </c>
      <c r="B14" s="1603" t="s">
        <v>2316</v>
      </c>
      <c r="C14" s="1179" t="s">
        <v>2317</v>
      </c>
      <c r="D14" s="3727"/>
      <c r="E14" s="3070"/>
      <c r="F14" s="3070"/>
      <c r="G14" s="3070"/>
      <c r="H14" s="3636"/>
      <c r="I14" s="3070"/>
      <c r="J14" s="3070"/>
      <c r="K14" s="3070"/>
      <c r="L14" s="3070"/>
      <c r="M14" s="3078"/>
      <c r="N14" s="3723"/>
      <c r="O14" s="3724"/>
      <c r="P14" s="3079"/>
    </row>
    <row r="15" spans="1:36" ht="20.25" customHeight="1">
      <c r="A15" s="3726" t="s">
        <v>1282</v>
      </c>
      <c r="B15" s="1603" t="s">
        <v>2318</v>
      </c>
      <c r="C15" s="1179" t="s">
        <v>815</v>
      </c>
      <c r="D15" s="3727"/>
      <c r="E15" s="3070"/>
      <c r="F15" s="3070"/>
      <c r="G15" s="3728"/>
      <c r="H15" s="4476"/>
      <c r="I15" s="4476"/>
      <c r="J15" s="4476"/>
      <c r="K15" s="3070"/>
      <c r="L15" s="3070"/>
      <c r="M15" s="3080"/>
      <c r="N15" s="3723"/>
      <c r="O15" s="3724"/>
      <c r="P15" s="3079"/>
      <c r="T15" s="2850">
        <f>+S18+AC18+AE18+U18</f>
        <v>1522</v>
      </c>
      <c r="X15" s="2850">
        <f>+Y18+W18</f>
        <v>966</v>
      </c>
    </row>
    <row r="16" spans="1:36" ht="20.25" customHeight="1">
      <c r="A16" s="3726" t="s">
        <v>1283</v>
      </c>
      <c r="B16" s="1603" t="s">
        <v>2319</v>
      </c>
      <c r="C16" s="1179" t="s">
        <v>815</v>
      </c>
      <c r="D16" s="3727"/>
      <c r="E16" s="3070"/>
      <c r="F16" s="3070"/>
      <c r="G16" s="3728"/>
      <c r="H16" s="4476"/>
      <c r="I16" s="4476"/>
      <c r="J16" s="4476"/>
      <c r="K16" s="3070"/>
      <c r="L16" s="3070"/>
      <c r="M16" s="3080"/>
      <c r="N16" s="3723"/>
      <c r="O16" s="3724"/>
      <c r="P16" s="3725"/>
      <c r="Q16" s="3062"/>
      <c r="R16" s="3062"/>
      <c r="S16" s="3062"/>
      <c r="T16" s="3062"/>
      <c r="U16" s="3062"/>
      <c r="V16" s="3062"/>
      <c r="W16" s="3062"/>
      <c r="X16" s="3062"/>
      <c r="Y16" s="3062"/>
      <c r="Z16" s="3062"/>
      <c r="AA16" s="3062"/>
      <c r="AB16" s="3062"/>
      <c r="AC16" s="3062"/>
      <c r="AD16" s="3062"/>
      <c r="AE16" s="3062"/>
      <c r="AF16" s="3062"/>
      <c r="AG16" s="3062"/>
      <c r="AH16" s="3062"/>
      <c r="AI16" s="3062"/>
      <c r="AJ16" s="3062"/>
    </row>
    <row r="17" spans="1:37" ht="20.25" customHeight="1">
      <c r="A17" s="3692" t="s">
        <v>821</v>
      </c>
      <c r="B17" s="3073" t="s">
        <v>822</v>
      </c>
      <c r="C17" s="3693" t="s">
        <v>500</v>
      </c>
      <c r="D17" s="3727"/>
      <c r="E17" s="3070"/>
      <c r="F17" s="3070"/>
      <c r="G17" s="3070"/>
      <c r="H17" s="3636"/>
      <c r="I17" s="3070"/>
      <c r="J17" s="3070"/>
      <c r="K17" s="3070"/>
      <c r="L17" s="3070"/>
      <c r="M17" s="3075"/>
      <c r="N17" s="3723"/>
      <c r="O17" s="3081">
        <f>SUM(O18:O21)</f>
        <v>0</v>
      </c>
      <c r="P17" s="3725"/>
      <c r="Q17" s="3789"/>
      <c r="R17" s="3789" t="s">
        <v>2320</v>
      </c>
      <c r="S17" s="3789"/>
      <c r="T17" s="3789" t="s">
        <v>2321</v>
      </c>
      <c r="U17" s="3789"/>
      <c r="V17" s="3789" t="s">
        <v>2322</v>
      </c>
      <c r="W17" s="3789"/>
      <c r="X17" s="3789" t="s">
        <v>2323</v>
      </c>
      <c r="Y17" s="3789"/>
      <c r="Z17" s="3789" t="s">
        <v>2324</v>
      </c>
      <c r="AA17" s="3789"/>
      <c r="AB17" s="3789" t="s">
        <v>2325</v>
      </c>
      <c r="AC17" s="3789"/>
      <c r="AD17" s="3789" t="s">
        <v>2326</v>
      </c>
      <c r="AE17" s="3789"/>
      <c r="AF17" s="3789" t="s">
        <v>2327</v>
      </c>
      <c r="AG17" s="3062"/>
      <c r="AH17" s="3062"/>
      <c r="AI17" s="3062"/>
      <c r="AJ17" s="3062"/>
    </row>
    <row r="18" spans="1:37" ht="20.25" customHeight="1">
      <c r="A18" s="3726" t="s">
        <v>1284</v>
      </c>
      <c r="B18" s="1603" t="s">
        <v>824</v>
      </c>
      <c r="C18" s="1179" t="s">
        <v>500</v>
      </c>
      <c r="D18" s="3729"/>
      <c r="E18" s="4471"/>
      <c r="F18" s="4471"/>
      <c r="G18" s="4471"/>
      <c r="H18" s="4471"/>
      <c r="I18" s="4471"/>
      <c r="J18" s="4471"/>
      <c r="K18" s="4471"/>
      <c r="L18" s="4471"/>
      <c r="M18" s="3078"/>
      <c r="N18" s="3082"/>
      <c r="O18" s="1178">
        <f>ROUND(M18*30/25,2)</f>
        <v>0</v>
      </c>
      <c r="P18" s="3079"/>
      <c r="Q18" s="3789" t="s">
        <v>2328</v>
      </c>
      <c r="R18" s="3789">
        <v>75</v>
      </c>
      <c r="S18" s="3789">
        <f>+R18*6.4</f>
        <v>480</v>
      </c>
      <c r="T18" s="3789">
        <v>61</v>
      </c>
      <c r="U18" s="3789">
        <f>+T18*6</f>
        <v>366</v>
      </c>
      <c r="V18" s="3789">
        <v>75</v>
      </c>
      <c r="W18" s="3789">
        <f>+V18*8</f>
        <v>600</v>
      </c>
      <c r="X18" s="3789">
        <f>49+12</f>
        <v>61</v>
      </c>
      <c r="Y18" s="3789">
        <f>+X18*6</f>
        <v>366</v>
      </c>
      <c r="Z18" s="3789"/>
      <c r="AA18" s="3789">
        <f>+Z18*8</f>
        <v>0</v>
      </c>
      <c r="AB18" s="3789">
        <v>132</v>
      </c>
      <c r="AC18" s="3789">
        <f>+AB18</f>
        <v>132</v>
      </c>
      <c r="AD18" s="3789">
        <v>136</v>
      </c>
      <c r="AE18" s="3789">
        <f>+AD18*4</f>
        <v>544</v>
      </c>
      <c r="AF18" s="3789">
        <f>+S18+U18+W18+Y18+AA18+AC18+AE18</f>
        <v>2488</v>
      </c>
      <c r="AG18" s="3062">
        <f>+SUM('Đội 1'!F18:F50)</f>
        <v>0</v>
      </c>
      <c r="AH18" s="3062">
        <f>+AF18-AG18</f>
        <v>2488</v>
      </c>
      <c r="AI18" s="3062">
        <f>+AH18-AC18</f>
        <v>2356</v>
      </c>
      <c r="AJ18" s="3790">
        <f>+AI18*25000</f>
        <v>58900000</v>
      </c>
    </row>
    <row r="19" spans="1:37" ht="20.25" customHeight="1">
      <c r="A19" s="3726" t="s">
        <v>1285</v>
      </c>
      <c r="B19" s="1603" t="s">
        <v>823</v>
      </c>
      <c r="C19" s="1179" t="s">
        <v>500</v>
      </c>
      <c r="D19" s="3083"/>
      <c r="E19" s="4471"/>
      <c r="F19" s="4471"/>
      <c r="G19" s="4471"/>
      <c r="H19" s="4471"/>
      <c r="I19" s="4471"/>
      <c r="J19" s="4471"/>
      <c r="K19" s="4471"/>
      <c r="L19" s="4471"/>
      <c r="M19" s="3078"/>
      <c r="N19" s="3082"/>
      <c r="O19" s="1178">
        <f>ROUND(M19*50/25,2)</f>
        <v>0</v>
      </c>
      <c r="P19" s="3730"/>
      <c r="Q19" s="3789" t="s">
        <v>2329</v>
      </c>
      <c r="R19" s="3789"/>
      <c r="S19" s="3789">
        <f t="shared" ref="S19:S22" si="0">+R19*6.4</f>
        <v>0</v>
      </c>
      <c r="T19" s="3789">
        <v>172</v>
      </c>
      <c r="U19" s="3789">
        <f t="shared" ref="U19:U22" si="1">+T19*6</f>
        <v>1032</v>
      </c>
      <c r="V19" s="3789"/>
      <c r="W19" s="3789">
        <f t="shared" ref="W19:W22" si="2">+V19*8</f>
        <v>0</v>
      </c>
      <c r="X19" s="3789">
        <v>97</v>
      </c>
      <c r="Y19" s="3789">
        <f t="shared" ref="Y19:Y22" si="3">+X19*6</f>
        <v>582</v>
      </c>
      <c r="Z19" s="3789">
        <f>52+23</f>
        <v>75</v>
      </c>
      <c r="AA19" s="3789">
        <f t="shared" ref="AA19:AA22" si="4">+Z19*8</f>
        <v>600</v>
      </c>
      <c r="AB19" s="3789"/>
      <c r="AC19" s="3789">
        <f t="shared" ref="AC19:AC22" si="5">+AB19</f>
        <v>0</v>
      </c>
      <c r="AD19" s="3789">
        <v>172</v>
      </c>
      <c r="AE19" s="3789">
        <f t="shared" ref="AE19:AE22" si="6">+AD19*4</f>
        <v>688</v>
      </c>
      <c r="AF19" s="3789">
        <f t="shared" ref="AF19:AF22" si="7">+S19+U19+W19+Y19+AA19+AC19+AE19</f>
        <v>2902</v>
      </c>
      <c r="AG19" s="3062">
        <f>+SUM('Đội 1'!F52:F92)</f>
        <v>0</v>
      </c>
      <c r="AH19" s="3062">
        <f t="shared" ref="AH19:AH22" si="8">+AF19-AG19</f>
        <v>2902</v>
      </c>
      <c r="AI19" s="3062">
        <f t="shared" ref="AI19:AI23" si="9">+AH19-AC19</f>
        <v>2902</v>
      </c>
      <c r="AJ19" s="3790">
        <f t="shared" ref="AJ19:AJ23" si="10">+AI19*25000</f>
        <v>72550000</v>
      </c>
    </row>
    <row r="20" spans="1:37" ht="20.25" customHeight="1">
      <c r="A20" s="3726" t="s">
        <v>1351</v>
      </c>
      <c r="B20" s="1603" t="s">
        <v>2330</v>
      </c>
      <c r="C20" s="1179" t="s">
        <v>500</v>
      </c>
      <c r="D20" s="3729"/>
      <c r="E20" s="4471"/>
      <c r="F20" s="4471"/>
      <c r="G20" s="4471"/>
      <c r="H20" s="4471"/>
      <c r="I20" s="4471"/>
      <c r="J20" s="4471"/>
      <c r="K20" s="4471"/>
      <c r="L20" s="4471"/>
      <c r="M20" s="3078"/>
      <c r="N20" s="3082"/>
      <c r="O20" s="1178">
        <f>ROUND(M20*20/25,2)</f>
        <v>0</v>
      </c>
      <c r="P20" s="3079"/>
      <c r="Q20" s="3789" t="s">
        <v>2331</v>
      </c>
      <c r="R20" s="3789">
        <v>77</v>
      </c>
      <c r="S20" s="3789">
        <f t="shared" si="0"/>
        <v>492.8</v>
      </c>
      <c r="T20" s="3789">
        <v>171</v>
      </c>
      <c r="U20" s="3789">
        <f t="shared" si="1"/>
        <v>1026</v>
      </c>
      <c r="V20" s="3789">
        <v>77</v>
      </c>
      <c r="W20" s="3789">
        <f t="shared" si="2"/>
        <v>616</v>
      </c>
      <c r="X20" s="3789">
        <v>171</v>
      </c>
      <c r="Y20" s="3789">
        <f t="shared" si="3"/>
        <v>1026</v>
      </c>
      <c r="Z20" s="3789"/>
      <c r="AA20" s="3789">
        <f t="shared" si="4"/>
        <v>0</v>
      </c>
      <c r="AB20" s="3789">
        <v>248</v>
      </c>
      <c r="AC20" s="3789">
        <f t="shared" si="5"/>
        <v>248</v>
      </c>
      <c r="AD20" s="3789">
        <v>248</v>
      </c>
      <c r="AE20" s="3789">
        <f t="shared" si="6"/>
        <v>992</v>
      </c>
      <c r="AF20" s="3789">
        <f t="shared" si="7"/>
        <v>4400.8</v>
      </c>
      <c r="AG20" s="3062">
        <f>+SUM('Đội 2'!F18:F79)</f>
        <v>0</v>
      </c>
      <c r="AH20" s="3062">
        <f t="shared" si="8"/>
        <v>4400.8</v>
      </c>
      <c r="AI20" s="3062">
        <f>+AH20-AC20</f>
        <v>4152.8</v>
      </c>
      <c r="AJ20" s="3790">
        <f t="shared" si="10"/>
        <v>103820000</v>
      </c>
      <c r="AK20" s="2850">
        <f>+AH20*25000</f>
        <v>110020000</v>
      </c>
    </row>
    <row r="21" spans="1:37" ht="20.25" customHeight="1">
      <c r="A21" s="3726" t="s">
        <v>2332</v>
      </c>
      <c r="B21" s="3590" t="s">
        <v>2333</v>
      </c>
      <c r="C21" s="1179" t="s">
        <v>500</v>
      </c>
      <c r="D21" s="3727"/>
      <c r="E21" s="4471"/>
      <c r="F21" s="4471"/>
      <c r="G21" s="4471"/>
      <c r="H21" s="4471"/>
      <c r="I21" s="4471"/>
      <c r="J21" s="4471"/>
      <c r="K21" s="4471"/>
      <c r="L21" s="4471"/>
      <c r="M21" s="3078"/>
      <c r="N21" s="3075"/>
      <c r="O21" s="1178">
        <f>ROUND(M21*20/25,2)</f>
        <v>0</v>
      </c>
      <c r="P21" s="3725"/>
      <c r="Q21" s="3791" t="s">
        <v>2334</v>
      </c>
      <c r="R21" s="3789">
        <v>59</v>
      </c>
      <c r="S21" s="3789">
        <f t="shared" si="0"/>
        <v>377.6</v>
      </c>
      <c r="T21" s="3789">
        <v>37</v>
      </c>
      <c r="U21" s="3789">
        <f t="shared" si="1"/>
        <v>222</v>
      </c>
      <c r="V21" s="3789">
        <v>59</v>
      </c>
      <c r="W21" s="3789">
        <f t="shared" si="2"/>
        <v>472</v>
      </c>
      <c r="X21" s="3789">
        <v>25</v>
      </c>
      <c r="Y21" s="3789">
        <f t="shared" si="3"/>
        <v>150</v>
      </c>
      <c r="Z21" s="3789">
        <v>12</v>
      </c>
      <c r="AA21" s="3789">
        <f t="shared" si="4"/>
        <v>96</v>
      </c>
      <c r="AB21" s="3789">
        <v>96</v>
      </c>
      <c r="AC21" s="3789">
        <f t="shared" si="5"/>
        <v>96</v>
      </c>
      <c r="AD21" s="3789">
        <v>96</v>
      </c>
      <c r="AE21" s="3789">
        <f t="shared" si="6"/>
        <v>384</v>
      </c>
      <c r="AF21" s="3789">
        <f t="shared" si="7"/>
        <v>1797.6</v>
      </c>
      <c r="AG21" s="3792">
        <f>+SUM('Đội 2'!F80:F103)</f>
        <v>0</v>
      </c>
      <c r="AH21" s="3062">
        <f t="shared" si="8"/>
        <v>1797.6</v>
      </c>
      <c r="AI21" s="3062">
        <f>+AH21-AC21</f>
        <v>1701.6</v>
      </c>
      <c r="AJ21" s="3790">
        <f t="shared" si="10"/>
        <v>42540000</v>
      </c>
    </row>
    <row r="22" spans="1:37" ht="20.25" customHeight="1">
      <c r="A22" s="3692" t="s">
        <v>220</v>
      </c>
      <c r="B22" s="3073" t="s">
        <v>825</v>
      </c>
      <c r="C22" s="1179"/>
      <c r="D22" s="3083"/>
      <c r="E22" s="3636"/>
      <c r="F22" s="3636"/>
      <c r="G22" s="3689"/>
      <c r="H22" s="3636"/>
      <c r="I22" s="3636"/>
      <c r="J22" s="3636"/>
      <c r="K22" s="3636"/>
      <c r="L22" s="3636"/>
      <c r="M22" s="3080"/>
      <c r="N22" s="3082"/>
      <c r="O22" s="3081">
        <f>O28+O33+O38+O42+O71+O64+O23</f>
        <v>14774.720000000001</v>
      </c>
      <c r="P22" s="3079"/>
      <c r="Q22" s="3789" t="s">
        <v>453</v>
      </c>
      <c r="R22" s="3789">
        <v>42</v>
      </c>
      <c r="S22" s="3789">
        <f t="shared" si="0"/>
        <v>268.8</v>
      </c>
      <c r="T22" s="3789">
        <v>78</v>
      </c>
      <c r="U22" s="3789">
        <f t="shared" si="1"/>
        <v>468</v>
      </c>
      <c r="V22" s="3789">
        <v>42</v>
      </c>
      <c r="W22" s="3789">
        <f t="shared" si="2"/>
        <v>336</v>
      </c>
      <c r="X22" s="3789">
        <v>78</v>
      </c>
      <c r="Y22" s="3789">
        <f t="shared" si="3"/>
        <v>468</v>
      </c>
      <c r="Z22" s="3789"/>
      <c r="AA22" s="3789">
        <f t="shared" si="4"/>
        <v>0</v>
      </c>
      <c r="AB22" s="3789">
        <v>120</v>
      </c>
      <c r="AC22" s="3789">
        <f t="shared" si="5"/>
        <v>120</v>
      </c>
      <c r="AD22" s="3789">
        <v>120</v>
      </c>
      <c r="AE22" s="3789">
        <f t="shared" si="6"/>
        <v>480</v>
      </c>
      <c r="AF22" s="3789">
        <f t="shared" si="7"/>
        <v>2140.8000000000002</v>
      </c>
      <c r="AG22" s="3062">
        <f>+SUM('Đội 3'!F16:F45)</f>
        <v>0</v>
      </c>
      <c r="AH22" s="3062">
        <f t="shared" si="8"/>
        <v>2140.8000000000002</v>
      </c>
      <c r="AI22" s="3062">
        <f t="shared" si="9"/>
        <v>2020.8000000000002</v>
      </c>
      <c r="AJ22" s="3790">
        <f t="shared" si="10"/>
        <v>50520000.000000007</v>
      </c>
    </row>
    <row r="23" spans="1:37" ht="20.25" customHeight="1">
      <c r="A23" s="3084">
        <v>1</v>
      </c>
      <c r="B23" s="3085" t="s">
        <v>709</v>
      </c>
      <c r="C23" s="1179"/>
      <c r="D23" s="3083"/>
      <c r="E23" s="3636"/>
      <c r="F23" s="3636"/>
      <c r="G23" s="3689"/>
      <c r="H23" s="3636"/>
      <c r="I23" s="3636"/>
      <c r="J23" s="3636"/>
      <c r="K23" s="3636"/>
      <c r="L23" s="3636"/>
      <c r="M23" s="3080"/>
      <c r="N23" s="3082"/>
      <c r="O23" s="3081">
        <f>SUM(O24:O27)</f>
        <v>942</v>
      </c>
      <c r="P23" s="3079"/>
      <c r="Q23" s="3789" t="s">
        <v>2327</v>
      </c>
      <c r="R23" s="3789">
        <f>SUM(R18:R22)</f>
        <v>253</v>
      </c>
      <c r="S23" s="3789">
        <f>SUM(S18:S22)</f>
        <v>1619.2</v>
      </c>
      <c r="T23" s="3789">
        <f t="shared" ref="T23:AE23" si="11">SUM(T18:T22)</f>
        <v>519</v>
      </c>
      <c r="U23" s="3789">
        <f>+T23*6</f>
        <v>3114</v>
      </c>
      <c r="V23" s="3789">
        <f t="shared" si="11"/>
        <v>253</v>
      </c>
      <c r="W23" s="3789">
        <f t="shared" si="11"/>
        <v>2024</v>
      </c>
      <c r="X23" s="3789">
        <f t="shared" si="11"/>
        <v>432</v>
      </c>
      <c r="Y23" s="3789">
        <f t="shared" si="11"/>
        <v>2592</v>
      </c>
      <c r="Z23" s="3789">
        <f t="shared" si="11"/>
        <v>87</v>
      </c>
      <c r="AA23" s="3789">
        <f>SUM(AA18:AA22)</f>
        <v>696</v>
      </c>
      <c r="AB23" s="3789">
        <f t="shared" si="11"/>
        <v>596</v>
      </c>
      <c r="AC23" s="3789">
        <f t="shared" si="11"/>
        <v>596</v>
      </c>
      <c r="AD23" s="3789">
        <f t="shared" si="11"/>
        <v>772</v>
      </c>
      <c r="AE23" s="3789">
        <f t="shared" si="11"/>
        <v>3088</v>
      </c>
      <c r="AF23" s="3789">
        <f>SUM(AF18:AF22)</f>
        <v>13729.2</v>
      </c>
      <c r="AG23" s="3062">
        <f>SUM(AG18:AG22)</f>
        <v>0</v>
      </c>
      <c r="AH23" s="3062">
        <f>SUM(AH18:AH22)</f>
        <v>13729.2</v>
      </c>
      <c r="AI23" s="3062">
        <f t="shared" si="9"/>
        <v>13133.2</v>
      </c>
      <c r="AJ23" s="3790">
        <f t="shared" si="10"/>
        <v>328330000</v>
      </c>
    </row>
    <row r="24" spans="1:37" s="3363" customFormat="1" ht="20.25" customHeight="1">
      <c r="A24" s="3587" t="s">
        <v>1281</v>
      </c>
      <c r="B24" s="3590" t="s">
        <v>2335</v>
      </c>
      <c r="C24" s="3589" t="s">
        <v>1000</v>
      </c>
      <c r="D24" s="3637">
        <f>1/6</f>
        <v>0.16666666666666666</v>
      </c>
      <c r="E24" s="3638"/>
      <c r="F24" s="3638"/>
      <c r="G24" s="3639"/>
      <c r="H24" s="3638"/>
      <c r="I24" s="3638"/>
      <c r="J24" s="3638"/>
      <c r="K24" s="3638"/>
      <c r="L24" s="3638"/>
      <c r="M24" s="3640">
        <f>23+33</f>
        <v>56</v>
      </c>
      <c r="N24" s="3641"/>
      <c r="O24" s="3591">
        <f>M24/D24</f>
        <v>336</v>
      </c>
      <c r="P24" s="3642"/>
      <c r="Q24" s="3062"/>
      <c r="R24" s="3062"/>
      <c r="S24" s="3062"/>
      <c r="T24" s="3062"/>
      <c r="U24" s="3062"/>
      <c r="V24" s="3062"/>
      <c r="W24" s="3062"/>
      <c r="X24" s="3062"/>
      <c r="Y24" s="3062"/>
      <c r="Z24" s="3062"/>
      <c r="AA24" s="3062"/>
      <c r="AB24" s="3062"/>
      <c r="AC24" s="3062"/>
      <c r="AD24" s="3062"/>
      <c r="AE24" s="3062"/>
      <c r="AF24" s="3062"/>
      <c r="AG24" s="3062"/>
      <c r="AH24" s="3062"/>
      <c r="AI24" s="3062"/>
      <c r="AJ24" s="3062"/>
    </row>
    <row r="25" spans="1:37" s="3363" customFormat="1" ht="20.25" customHeight="1">
      <c r="A25" s="3587" t="s">
        <v>1282</v>
      </c>
      <c r="B25" s="3590" t="s">
        <v>2336</v>
      </c>
      <c r="C25" s="3589" t="s">
        <v>1000</v>
      </c>
      <c r="D25" s="3637">
        <f>1/4</f>
        <v>0.25</v>
      </c>
      <c r="E25" s="3638"/>
      <c r="F25" s="3638"/>
      <c r="G25" s="3639"/>
      <c r="H25" s="3638"/>
      <c r="I25" s="3638"/>
      <c r="J25" s="3638"/>
      <c r="K25" s="3638"/>
      <c r="L25" s="3638"/>
      <c r="M25" s="3640">
        <v>56</v>
      </c>
      <c r="N25" s="3641"/>
      <c r="O25" s="3591">
        <f t="shared" ref="O25:O27" si="12">M25/D25</f>
        <v>224</v>
      </c>
      <c r="P25" s="3642"/>
      <c r="Q25" s="3062"/>
      <c r="R25" s="3062"/>
      <c r="S25" s="3793">
        <f>+O67+O45</f>
        <v>1619.2</v>
      </c>
      <c r="T25" s="3062"/>
      <c r="U25" s="3793">
        <f>+O24+O30+O35+O39+O44+O66+O73</f>
        <v>3114</v>
      </c>
      <c r="V25" s="3062"/>
      <c r="W25" s="3793">
        <f>+O48+O70</f>
        <v>2024</v>
      </c>
      <c r="X25" s="3062"/>
      <c r="Y25" s="3793">
        <f>+O27+O32+O47+O69+O75</f>
        <v>2592</v>
      </c>
      <c r="Z25" s="3062"/>
      <c r="AA25" s="3793">
        <f>+O26+O41+O37</f>
        <v>696</v>
      </c>
      <c r="AB25" s="3062"/>
      <c r="AC25" s="3793">
        <f>+O29+O34+O43+O65+O72</f>
        <v>600</v>
      </c>
      <c r="AD25" s="3062"/>
      <c r="AE25" s="3793">
        <f>+O25+O31+O40+O46+O68+O74+O36</f>
        <v>3088</v>
      </c>
      <c r="AF25" s="3062"/>
      <c r="AG25" s="3062"/>
      <c r="AH25" s="3062"/>
      <c r="AI25" s="3062"/>
      <c r="AJ25" s="3062"/>
    </row>
    <row r="26" spans="1:37" s="3363" customFormat="1" ht="20.25" customHeight="1">
      <c r="A26" s="3587" t="s">
        <v>1283</v>
      </c>
      <c r="B26" s="3590" t="s">
        <v>2337</v>
      </c>
      <c r="C26" s="3589" t="s">
        <v>1000</v>
      </c>
      <c r="D26" s="3637">
        <f>1/8</f>
        <v>0.125</v>
      </c>
      <c r="E26" s="3638"/>
      <c r="F26" s="3638"/>
      <c r="G26" s="3639"/>
      <c r="H26" s="3638"/>
      <c r="I26" s="3638"/>
      <c r="J26" s="3638"/>
      <c r="K26" s="3638"/>
      <c r="L26" s="3638"/>
      <c r="M26" s="3640">
        <v>23</v>
      </c>
      <c r="N26" s="3641"/>
      <c r="O26" s="3591">
        <f t="shared" si="12"/>
        <v>184</v>
      </c>
      <c r="P26" s="3642"/>
      <c r="Q26" s="3062"/>
      <c r="R26" s="3062"/>
      <c r="S26" s="3062"/>
      <c r="T26" s="3062"/>
      <c r="U26" s="3062"/>
      <c r="V26" s="3062"/>
      <c r="W26" s="3062"/>
      <c r="X26" s="3062"/>
      <c r="Y26" s="3062"/>
      <c r="Z26" s="3062"/>
      <c r="AA26" s="3062"/>
      <c r="AB26" s="3062"/>
      <c r="AC26" s="3062"/>
      <c r="AD26" s="3062"/>
      <c r="AE26" s="3062"/>
      <c r="AF26" s="3062"/>
      <c r="AG26" s="3062"/>
      <c r="AH26" s="3062"/>
      <c r="AI26" s="3062"/>
      <c r="AJ26" s="3062"/>
    </row>
    <row r="27" spans="1:37" s="3363" customFormat="1" ht="20.25" customHeight="1">
      <c r="A27" s="3587" t="s">
        <v>1283</v>
      </c>
      <c r="B27" s="3590" t="s">
        <v>2337</v>
      </c>
      <c r="C27" s="3589" t="s">
        <v>1000</v>
      </c>
      <c r="D27" s="3637">
        <f>1/6</f>
        <v>0.16666666666666666</v>
      </c>
      <c r="E27" s="3638"/>
      <c r="F27" s="3638"/>
      <c r="G27" s="3639"/>
      <c r="H27" s="3638"/>
      <c r="I27" s="3638"/>
      <c r="J27" s="3638"/>
      <c r="K27" s="3638"/>
      <c r="L27" s="3638"/>
      <c r="M27" s="3640">
        <v>33</v>
      </c>
      <c r="N27" s="3641"/>
      <c r="O27" s="3591">
        <f t="shared" si="12"/>
        <v>198</v>
      </c>
      <c r="P27" s="3642"/>
      <c r="Q27" s="3062"/>
      <c r="R27" s="3062"/>
      <c r="S27" s="3062"/>
      <c r="T27" s="3062"/>
      <c r="U27" s="3062"/>
      <c r="V27" s="3062"/>
      <c r="W27" s="3062"/>
      <c r="X27" s="3062"/>
      <c r="Y27" s="3793">
        <f>+Y23-Y25</f>
        <v>0</v>
      </c>
      <c r="Z27" s="3062"/>
      <c r="AA27" s="3793">
        <f>+AA23-AA25</f>
        <v>0</v>
      </c>
      <c r="AB27" s="3062"/>
      <c r="AC27" s="3793">
        <f>+AC23-AC25</f>
        <v>-4</v>
      </c>
      <c r="AD27" s="3062"/>
      <c r="AE27" s="3793">
        <f>+AE23-AE25</f>
        <v>0</v>
      </c>
      <c r="AF27" s="3062"/>
      <c r="AG27" s="3062"/>
      <c r="AH27" s="3062"/>
      <c r="AI27" s="3062"/>
      <c r="AJ27" s="3062"/>
    </row>
    <row r="28" spans="1:37" ht="20.25" customHeight="1">
      <c r="A28" s="3084">
        <v>3</v>
      </c>
      <c r="B28" s="3085" t="s">
        <v>835</v>
      </c>
      <c r="C28" s="1179"/>
      <c r="D28" s="3083"/>
      <c r="E28" s="3636"/>
      <c r="F28" s="3636"/>
      <c r="G28" s="3689"/>
      <c r="H28" s="3636"/>
      <c r="I28" s="3636"/>
      <c r="J28" s="3636"/>
      <c r="K28" s="3636"/>
      <c r="L28" s="3636"/>
      <c r="M28" s="3078"/>
      <c r="N28" s="3082"/>
      <c r="O28" s="3086">
        <f>SUM(O29:O32)</f>
        <v>1432</v>
      </c>
      <c r="P28" s="3079"/>
      <c r="Q28" s="3062"/>
      <c r="R28" s="3062">
        <f>25000/500</f>
        <v>50</v>
      </c>
      <c r="S28" s="3793">
        <f>+S23-S25</f>
        <v>0</v>
      </c>
      <c r="T28" s="3062"/>
      <c r="U28" s="3793">
        <f>+U23-U25</f>
        <v>0</v>
      </c>
      <c r="V28" s="3062"/>
      <c r="W28" s="3793">
        <f>+W23-W25</f>
        <v>0</v>
      </c>
      <c r="X28" s="3062"/>
      <c r="Y28" s="3062"/>
      <c r="Z28" s="3062"/>
      <c r="AA28" s="3062"/>
      <c r="AB28" s="3794">
        <f>+M29+M34+M43+M65+M72</f>
        <v>600</v>
      </c>
      <c r="AC28" s="3062"/>
      <c r="AD28" s="3062"/>
      <c r="AE28" s="3062"/>
      <c r="AF28" s="3062"/>
      <c r="AG28" s="3062"/>
      <c r="AH28" s="3062"/>
      <c r="AI28" s="3062"/>
      <c r="AJ28" s="3062"/>
    </row>
    <row r="29" spans="1:37" s="3363" customFormat="1" ht="20.25" customHeight="1">
      <c r="A29" s="3587" t="s">
        <v>1399</v>
      </c>
      <c r="B29" s="3590" t="s">
        <v>2145</v>
      </c>
      <c r="C29" s="3589" t="s">
        <v>1000</v>
      </c>
      <c r="D29" s="3637">
        <v>1</v>
      </c>
      <c r="E29" s="3638"/>
      <c r="F29" s="3638"/>
      <c r="G29" s="3639"/>
      <c r="H29" s="3638"/>
      <c r="I29" s="3638"/>
      <c r="J29" s="3638"/>
      <c r="K29" s="3638"/>
      <c r="L29" s="3638"/>
      <c r="M29" s="3640">
        <v>24</v>
      </c>
      <c r="N29" s="3641"/>
      <c r="O29" s="3591">
        <f>M29/D29</f>
        <v>24</v>
      </c>
      <c r="P29" s="3642"/>
      <c r="Q29" s="3363">
        <f>755-772</f>
        <v>-17</v>
      </c>
    </row>
    <row r="30" spans="1:37" s="3363" customFormat="1" ht="20.25" customHeight="1">
      <c r="A30" s="3587" t="s">
        <v>1400</v>
      </c>
      <c r="B30" s="3590" t="s">
        <v>2335</v>
      </c>
      <c r="C30" s="3589" t="s">
        <v>1000</v>
      </c>
      <c r="D30" s="3637">
        <f>1/6</f>
        <v>0.16666666666666666</v>
      </c>
      <c r="E30" s="3638"/>
      <c r="F30" s="3638"/>
      <c r="G30" s="3639"/>
      <c r="H30" s="3638"/>
      <c r="I30" s="3638"/>
      <c r="J30" s="3638"/>
      <c r="K30" s="3638"/>
      <c r="L30" s="3638"/>
      <c r="M30" s="3640">
        <f>(97-33)+24</f>
        <v>88</v>
      </c>
      <c r="N30" s="3641"/>
      <c r="O30" s="3591">
        <f t="shared" ref="O30:O32" si="13">M30/D30</f>
        <v>528</v>
      </c>
      <c r="P30" s="3642"/>
    </row>
    <row r="31" spans="1:37" s="3363" customFormat="1" ht="20.25" customHeight="1">
      <c r="A31" s="3587" t="s">
        <v>2338</v>
      </c>
      <c r="B31" s="3590" t="s">
        <v>2336</v>
      </c>
      <c r="C31" s="3589" t="s">
        <v>1000</v>
      </c>
      <c r="D31" s="3637">
        <f>1/4</f>
        <v>0.25</v>
      </c>
      <c r="E31" s="3638"/>
      <c r="F31" s="3638"/>
      <c r="G31" s="3639"/>
      <c r="H31" s="3638"/>
      <c r="I31" s="3638"/>
      <c r="J31" s="3638"/>
      <c r="K31" s="3638"/>
      <c r="L31" s="3638"/>
      <c r="M31" s="3640">
        <v>88</v>
      </c>
      <c r="N31" s="3641"/>
      <c r="O31" s="3591">
        <f t="shared" si="13"/>
        <v>352</v>
      </c>
      <c r="P31" s="3642"/>
      <c r="Q31" s="3363">
        <f>96+120+132+248</f>
        <v>596</v>
      </c>
    </row>
    <row r="32" spans="1:37" s="3363" customFormat="1" ht="20.25" customHeight="1">
      <c r="A32" s="3587" t="s">
        <v>2339</v>
      </c>
      <c r="B32" s="3590" t="s">
        <v>2340</v>
      </c>
      <c r="C32" s="3589" t="s">
        <v>1000</v>
      </c>
      <c r="D32" s="3637">
        <f>1/6</f>
        <v>0.16666666666666666</v>
      </c>
      <c r="E32" s="3638"/>
      <c r="F32" s="3638"/>
      <c r="G32" s="3639"/>
      <c r="H32" s="3638"/>
      <c r="I32" s="3638"/>
      <c r="J32" s="3638"/>
      <c r="K32" s="3638"/>
      <c r="L32" s="3638"/>
      <c r="M32" s="3640">
        <v>88</v>
      </c>
      <c r="N32" s="3641"/>
      <c r="O32" s="3591">
        <f t="shared" si="13"/>
        <v>528</v>
      </c>
      <c r="P32" s="3642"/>
    </row>
    <row r="33" spans="1:17" s="3731" customFormat="1" ht="20.25" customHeight="1">
      <c r="A33" s="3089">
        <v>4</v>
      </c>
      <c r="B33" s="3085" t="s">
        <v>988</v>
      </c>
      <c r="C33" s="3089"/>
      <c r="D33" s="3090"/>
      <c r="E33" s="3091"/>
      <c r="F33" s="3092"/>
      <c r="G33" s="3092"/>
      <c r="H33" s="3092"/>
      <c r="I33" s="3087"/>
      <c r="J33" s="3092"/>
      <c r="K33" s="3087"/>
      <c r="L33" s="3087"/>
      <c r="M33" s="3689"/>
      <c r="N33" s="3093"/>
      <c r="O33" s="3086">
        <f>SUM(O34:O37)</f>
        <v>228</v>
      </c>
      <c r="P33" s="3094"/>
    </row>
    <row r="34" spans="1:17" s="3363" customFormat="1" ht="20.25" customHeight="1">
      <c r="A34" s="3587" t="s">
        <v>1458</v>
      </c>
      <c r="B34" s="3590" t="s">
        <v>2145</v>
      </c>
      <c r="C34" s="3589" t="s">
        <v>1000</v>
      </c>
      <c r="D34" s="3637">
        <v>1</v>
      </c>
      <c r="E34" s="3638"/>
      <c r="F34" s="3638"/>
      <c r="G34" s="3639"/>
      <c r="H34" s="3638"/>
      <c r="I34" s="3638"/>
      <c r="J34" s="3638"/>
      <c r="K34" s="3638"/>
      <c r="L34" s="3638"/>
      <c r="M34" s="3640">
        <v>12</v>
      </c>
      <c r="N34" s="3641"/>
      <c r="O34" s="3591">
        <f>M34/D34</f>
        <v>12</v>
      </c>
      <c r="P34" s="3642"/>
      <c r="Q34" s="3363">
        <f>105+27+23+23</f>
        <v>178</v>
      </c>
    </row>
    <row r="35" spans="1:17" s="3363" customFormat="1" ht="20.25" customHeight="1">
      <c r="A35" s="3587" t="s">
        <v>2116</v>
      </c>
      <c r="B35" s="3590" t="s">
        <v>2335</v>
      </c>
      <c r="C35" s="3589" t="s">
        <v>1000</v>
      </c>
      <c r="D35" s="3637">
        <f>1/6</f>
        <v>0.16666666666666666</v>
      </c>
      <c r="E35" s="3638"/>
      <c r="F35" s="3638"/>
      <c r="G35" s="3639"/>
      <c r="H35" s="3638"/>
      <c r="I35" s="3638"/>
      <c r="J35" s="3638"/>
      <c r="K35" s="3638"/>
      <c r="L35" s="3638"/>
      <c r="M35" s="3640">
        <v>12</v>
      </c>
      <c r="N35" s="3641"/>
      <c r="O35" s="3591">
        <f t="shared" ref="O35:O37" si="14">M35/D35</f>
        <v>72</v>
      </c>
      <c r="P35" s="3642"/>
    </row>
    <row r="36" spans="1:17" s="3363" customFormat="1" ht="20.25" customHeight="1">
      <c r="A36" s="3587" t="s">
        <v>2147</v>
      </c>
      <c r="B36" s="3590" t="s">
        <v>2336</v>
      </c>
      <c r="C36" s="3589" t="s">
        <v>1000</v>
      </c>
      <c r="D36" s="3637">
        <f>1/4</f>
        <v>0.25</v>
      </c>
      <c r="E36" s="3638"/>
      <c r="F36" s="3638"/>
      <c r="G36" s="3639"/>
      <c r="H36" s="3638"/>
      <c r="I36" s="3638"/>
      <c r="J36" s="3638"/>
      <c r="K36" s="3638"/>
      <c r="L36" s="3638"/>
      <c r="M36" s="3640">
        <v>12</v>
      </c>
      <c r="N36" s="3641"/>
      <c r="O36" s="3591">
        <f t="shared" si="14"/>
        <v>48</v>
      </c>
      <c r="P36" s="3642"/>
    </row>
    <row r="37" spans="1:17" s="3363" customFormat="1" ht="20.25" customHeight="1">
      <c r="A37" s="3587" t="s">
        <v>2341</v>
      </c>
      <c r="B37" s="3590" t="s">
        <v>2340</v>
      </c>
      <c r="C37" s="3589" t="s">
        <v>1000</v>
      </c>
      <c r="D37" s="3637">
        <f>1/8</f>
        <v>0.125</v>
      </c>
      <c r="E37" s="3638"/>
      <c r="F37" s="3638"/>
      <c r="G37" s="3639"/>
      <c r="H37" s="3638"/>
      <c r="I37" s="3638"/>
      <c r="J37" s="3638"/>
      <c r="K37" s="3638"/>
      <c r="L37" s="3638"/>
      <c r="M37" s="3640">
        <v>12</v>
      </c>
      <c r="N37" s="3641"/>
      <c r="O37" s="3591">
        <f t="shared" si="14"/>
        <v>96</v>
      </c>
      <c r="P37" s="3642"/>
      <c r="Q37" s="3363">
        <f>178/3.6</f>
        <v>49.444444444444443</v>
      </c>
    </row>
    <row r="38" spans="1:17" s="3731" customFormat="1" ht="20.25" customHeight="1">
      <c r="A38" s="3089">
        <v>5</v>
      </c>
      <c r="B38" s="3085" t="s">
        <v>2342</v>
      </c>
      <c r="C38" s="3089"/>
      <c r="D38" s="3090"/>
      <c r="E38" s="3588"/>
      <c r="F38" s="3588"/>
      <c r="G38" s="3092"/>
      <c r="H38" s="3092"/>
      <c r="I38" s="3087"/>
      <c r="J38" s="3092"/>
      <c r="K38" s="3087"/>
      <c r="L38" s="3087"/>
      <c r="M38" s="3512"/>
      <c r="N38" s="3093"/>
      <c r="O38" s="3086">
        <f>SUM(O39:O41)</f>
        <v>936</v>
      </c>
      <c r="P38" s="3094"/>
    </row>
    <row r="39" spans="1:17" s="3363" customFormat="1" ht="20.25" customHeight="1">
      <c r="A39" s="3587" t="s">
        <v>1547</v>
      </c>
      <c r="B39" s="3590" t="s">
        <v>2335</v>
      </c>
      <c r="C39" s="3589" t="s">
        <v>1000</v>
      </c>
      <c r="D39" s="3637">
        <f>1/6</f>
        <v>0.16666666666666666</v>
      </c>
      <c r="E39" s="3638"/>
      <c r="F39" s="3638"/>
      <c r="G39" s="3639"/>
      <c r="H39" s="3638"/>
      <c r="I39" s="3638"/>
      <c r="J39" s="3638"/>
      <c r="K39" s="3638"/>
      <c r="L39" s="3638"/>
      <c r="M39" s="3640">
        <f>52</f>
        <v>52</v>
      </c>
      <c r="N39" s="3641"/>
      <c r="O39" s="3591">
        <f t="shared" ref="O39:O41" si="15">M39/D39</f>
        <v>312</v>
      </c>
      <c r="P39" s="3642"/>
    </row>
    <row r="40" spans="1:17" s="3363" customFormat="1" ht="20.25" customHeight="1">
      <c r="A40" s="3587" t="s">
        <v>2053</v>
      </c>
      <c r="B40" s="3590" t="s">
        <v>2336</v>
      </c>
      <c r="C40" s="3589" t="s">
        <v>1000</v>
      </c>
      <c r="D40" s="3637">
        <f>1/4</f>
        <v>0.25</v>
      </c>
      <c r="E40" s="3638"/>
      <c r="F40" s="3638"/>
      <c r="G40" s="3639"/>
      <c r="H40" s="3638"/>
      <c r="I40" s="3638"/>
      <c r="J40" s="3638"/>
      <c r="K40" s="3638"/>
      <c r="L40" s="3638"/>
      <c r="M40" s="3640">
        <v>52</v>
      </c>
      <c r="N40" s="3641"/>
      <c r="O40" s="3591">
        <f t="shared" si="15"/>
        <v>208</v>
      </c>
      <c r="P40" s="3642"/>
    </row>
    <row r="41" spans="1:17" s="3363" customFormat="1" ht="20.25" customHeight="1">
      <c r="A41" s="3587" t="s">
        <v>2343</v>
      </c>
      <c r="B41" s="3590" t="s">
        <v>2340</v>
      </c>
      <c r="C41" s="3589" t="s">
        <v>1000</v>
      </c>
      <c r="D41" s="3637">
        <f>1/8</f>
        <v>0.125</v>
      </c>
      <c r="E41" s="3638"/>
      <c r="F41" s="3638"/>
      <c r="G41" s="3639"/>
      <c r="H41" s="3638"/>
      <c r="I41" s="3638"/>
      <c r="J41" s="3638"/>
      <c r="K41" s="3638"/>
      <c r="L41" s="3638"/>
      <c r="M41" s="3640">
        <v>52</v>
      </c>
      <c r="N41" s="3641"/>
      <c r="O41" s="3591">
        <f t="shared" si="15"/>
        <v>416</v>
      </c>
      <c r="P41" s="3642"/>
    </row>
    <row r="42" spans="1:17" s="3731" customFormat="1" ht="20.25" customHeight="1">
      <c r="A42" s="3089">
        <v>6</v>
      </c>
      <c r="B42" s="3085" t="s">
        <v>1459</v>
      </c>
      <c r="C42" s="3089"/>
      <c r="D42" s="3095"/>
      <c r="E42" s="3096"/>
      <c r="F42" s="3097"/>
      <c r="G42" s="3097"/>
      <c r="H42" s="3097"/>
      <c r="I42" s="3091"/>
      <c r="J42" s="3097"/>
      <c r="K42" s="3087"/>
      <c r="L42" s="3087"/>
      <c r="M42" s="3513"/>
      <c r="N42" s="3093"/>
      <c r="O42" s="3086">
        <f>SUM(O43:O63)</f>
        <v>6835.92</v>
      </c>
      <c r="P42" s="3094"/>
    </row>
    <row r="43" spans="1:17" s="3363" customFormat="1" ht="20.25" customHeight="1">
      <c r="A43" s="3587" t="s">
        <v>1460</v>
      </c>
      <c r="B43" s="3590" t="s">
        <v>2145</v>
      </c>
      <c r="C43" s="3589" t="s">
        <v>1000</v>
      </c>
      <c r="D43" s="3637">
        <v>1</v>
      </c>
      <c r="E43" s="3638"/>
      <c r="F43" s="3638"/>
      <c r="G43" s="3639"/>
      <c r="H43" s="3638"/>
      <c r="I43" s="3638"/>
      <c r="J43" s="3638"/>
      <c r="K43" s="3638"/>
      <c r="L43" s="3638"/>
      <c r="M43" s="3640">
        <v>316</v>
      </c>
      <c r="N43" s="3641"/>
      <c r="O43" s="3591">
        <f>M43/D43</f>
        <v>316</v>
      </c>
      <c r="P43" s="3642"/>
      <c r="Q43" s="3363">
        <f>33+68+16+56+304+216+32</f>
        <v>725</v>
      </c>
    </row>
    <row r="44" spans="1:17" s="3363" customFormat="1" ht="20.25" customHeight="1">
      <c r="A44" s="3587" t="s">
        <v>2344</v>
      </c>
      <c r="B44" s="3590" t="s">
        <v>2335</v>
      </c>
      <c r="C44" s="3589" t="s">
        <v>1000</v>
      </c>
      <c r="D44" s="3637">
        <f>1/6</f>
        <v>0.16666666666666666</v>
      </c>
      <c r="E44" s="3638"/>
      <c r="F44" s="3364"/>
      <c r="G44" s="3364"/>
      <c r="H44" s="3638"/>
      <c r="I44" s="3638"/>
      <c r="J44" s="3638"/>
      <c r="K44" s="3638"/>
      <c r="L44" s="3638"/>
      <c r="M44" s="3640">
        <f>61+25+78-24</f>
        <v>140</v>
      </c>
      <c r="N44" s="3641"/>
      <c r="O44" s="3591">
        <f t="shared" ref="O44:O48" si="16">M44/D44</f>
        <v>840</v>
      </c>
      <c r="P44" s="3642"/>
    </row>
    <row r="45" spans="1:17" s="3363" customFormat="1" ht="20.25" customHeight="1">
      <c r="A45" s="3587" t="s">
        <v>2345</v>
      </c>
      <c r="B45" s="3590" t="s">
        <v>2346</v>
      </c>
      <c r="C45" s="3589" t="s">
        <v>1000</v>
      </c>
      <c r="D45" s="3637">
        <f>1/6.4</f>
        <v>0.15625</v>
      </c>
      <c r="E45" s="3638"/>
      <c r="F45" s="3364"/>
      <c r="G45" s="3364"/>
      <c r="H45" s="3638"/>
      <c r="I45" s="3638"/>
      <c r="J45" s="3638"/>
      <c r="K45" s="3638"/>
      <c r="L45" s="3638"/>
      <c r="M45" s="3640">
        <f>75+59+42</f>
        <v>176</v>
      </c>
      <c r="N45" s="3641"/>
      <c r="O45" s="3591">
        <f t="shared" si="16"/>
        <v>1126.4000000000001</v>
      </c>
      <c r="P45" s="3642"/>
    </row>
    <row r="46" spans="1:17" s="3363" customFormat="1" ht="20.25" customHeight="1">
      <c r="A46" s="3587" t="s">
        <v>2347</v>
      </c>
      <c r="B46" s="3590" t="s">
        <v>2336</v>
      </c>
      <c r="C46" s="3589" t="s">
        <v>1000</v>
      </c>
      <c r="D46" s="3637">
        <f>1/4</f>
        <v>0.25</v>
      </c>
      <c r="E46" s="3638"/>
      <c r="F46" s="3638"/>
      <c r="G46" s="3639"/>
      <c r="H46" s="3638"/>
      <c r="I46" s="3638"/>
      <c r="J46" s="3638"/>
      <c r="K46" s="3638"/>
      <c r="L46" s="3638"/>
      <c r="M46" s="3640">
        <v>316</v>
      </c>
      <c r="N46" s="3641"/>
      <c r="O46" s="3591">
        <f t="shared" si="16"/>
        <v>1264</v>
      </c>
      <c r="P46" s="3642"/>
    </row>
    <row r="47" spans="1:17" s="3363" customFormat="1" ht="20.25" customHeight="1">
      <c r="A47" s="3587" t="s">
        <v>2348</v>
      </c>
      <c r="B47" s="3590" t="s">
        <v>2340</v>
      </c>
      <c r="C47" s="3589" t="s">
        <v>1000</v>
      </c>
      <c r="D47" s="3637">
        <f>1/6</f>
        <v>0.16666666666666666</v>
      </c>
      <c r="E47" s="3638"/>
      <c r="F47" s="3638"/>
      <c r="G47" s="3639"/>
      <c r="H47" s="3638"/>
      <c r="I47" s="3638"/>
      <c r="J47" s="3638"/>
      <c r="K47" s="3638"/>
      <c r="L47" s="3638"/>
      <c r="M47" s="3640">
        <v>140</v>
      </c>
      <c r="N47" s="3641"/>
      <c r="O47" s="3591">
        <f t="shared" si="16"/>
        <v>840</v>
      </c>
      <c r="P47" s="3642"/>
      <c r="Q47" s="3363">
        <f>348+171</f>
        <v>519</v>
      </c>
    </row>
    <row r="48" spans="1:17" s="3363" customFormat="1" ht="20.25" customHeight="1">
      <c r="A48" s="3587" t="s">
        <v>2349</v>
      </c>
      <c r="B48" s="3590" t="s">
        <v>2350</v>
      </c>
      <c r="C48" s="3589" t="s">
        <v>1000</v>
      </c>
      <c r="D48" s="3637">
        <f>1/8</f>
        <v>0.125</v>
      </c>
      <c r="E48" s="3638"/>
      <c r="F48" s="3638"/>
      <c r="G48" s="3639"/>
      <c r="H48" s="3638"/>
      <c r="I48" s="3638"/>
      <c r="J48" s="3638"/>
      <c r="K48" s="3638"/>
      <c r="L48" s="3638"/>
      <c r="M48" s="3640">
        <f>253-77</f>
        <v>176</v>
      </c>
      <c r="N48" s="3641"/>
      <c r="O48" s="3591">
        <f t="shared" si="16"/>
        <v>1408</v>
      </c>
      <c r="P48" s="3642"/>
      <c r="Q48" s="3363">
        <v>248</v>
      </c>
    </row>
    <row r="49" spans="1:18" ht="20.25" customHeight="1">
      <c r="A49" s="3587">
        <v>4</v>
      </c>
      <c r="B49" s="3590" t="s">
        <v>2351</v>
      </c>
      <c r="C49" s="2812"/>
      <c r="D49" s="2812"/>
      <c r="E49" s="2812"/>
      <c r="F49" s="2812"/>
      <c r="G49" s="2812"/>
      <c r="H49" s="2812"/>
      <c r="I49" s="3689"/>
      <c r="J49" s="3689"/>
      <c r="K49" s="3689"/>
      <c r="L49" s="3689"/>
      <c r="M49" s="3078">
        <f>SUM(E49:L49)</f>
        <v>0</v>
      </c>
      <c r="N49" s="3098"/>
      <c r="O49" s="3591"/>
      <c r="P49" s="3077"/>
    </row>
    <row r="50" spans="1:18" ht="20.25" customHeight="1">
      <c r="A50" s="3587"/>
      <c r="B50" s="3589" t="s">
        <v>2352</v>
      </c>
      <c r="C50" s="1179" t="s">
        <v>2353</v>
      </c>
      <c r="D50" s="3732">
        <f>25000/7000</f>
        <v>3.5714285714285716</v>
      </c>
      <c r="E50" s="2851" t="s">
        <v>2354</v>
      </c>
      <c r="F50" s="3733">
        <v>49</v>
      </c>
      <c r="G50" s="3733" t="s">
        <v>2355</v>
      </c>
      <c r="H50" s="3733">
        <v>39</v>
      </c>
      <c r="I50" s="3734" t="s">
        <v>2356</v>
      </c>
      <c r="J50" s="3734">
        <v>194</v>
      </c>
      <c r="K50" s="3734" t="s">
        <v>2357</v>
      </c>
      <c r="L50" s="3734">
        <v>129</v>
      </c>
      <c r="M50" s="3078">
        <f>SUM(E50:L51)</f>
        <v>669</v>
      </c>
      <c r="N50" s="3098"/>
      <c r="O50" s="3591">
        <f>M50/D50</f>
        <v>187.32</v>
      </c>
      <c r="P50" s="3077"/>
      <c r="Q50" s="2850">
        <f>24+24+25+30</f>
        <v>103</v>
      </c>
    </row>
    <row r="51" spans="1:18" ht="20.25" customHeight="1">
      <c r="A51" s="3587"/>
      <c r="B51" s="3589"/>
      <c r="C51" s="1179"/>
      <c r="D51" s="3732"/>
      <c r="E51" s="3689" t="s">
        <v>2358</v>
      </c>
      <c r="F51" s="3734">
        <v>89</v>
      </c>
      <c r="G51" s="3734" t="s">
        <v>2359</v>
      </c>
      <c r="H51" s="3734">
        <v>169</v>
      </c>
      <c r="I51" s="3734"/>
      <c r="J51" s="3734"/>
      <c r="K51" s="3734"/>
      <c r="L51" s="3734"/>
      <c r="M51" s="3078"/>
      <c r="N51" s="3098"/>
      <c r="O51" s="3591"/>
      <c r="P51" s="3077"/>
      <c r="Q51" s="2850">
        <f>4000000/8</f>
        <v>500000</v>
      </c>
    </row>
    <row r="52" spans="1:18" ht="20.25" customHeight="1">
      <c r="A52" s="3587"/>
      <c r="B52" s="3589" t="s">
        <v>452</v>
      </c>
      <c r="C52" s="1179" t="s">
        <v>2353</v>
      </c>
      <c r="D52" s="3732">
        <f>25000/7000</f>
        <v>3.5714285714285716</v>
      </c>
      <c r="E52" s="3689" t="s">
        <v>2360</v>
      </c>
      <c r="F52" s="3734">
        <v>24</v>
      </c>
      <c r="G52" s="3734" t="s">
        <v>2361</v>
      </c>
      <c r="H52" s="3734">
        <v>26</v>
      </c>
      <c r="I52" s="3734" t="s">
        <v>2362</v>
      </c>
      <c r="J52" s="3734">
        <f>29+40</f>
        <v>69</v>
      </c>
      <c r="K52" s="3734" t="s">
        <v>2097</v>
      </c>
      <c r="L52" s="3734">
        <v>63</v>
      </c>
      <c r="M52" s="3078">
        <f>SUM(E52:L53)</f>
        <v>285</v>
      </c>
      <c r="N52" s="3098"/>
      <c r="O52" s="3591">
        <f>M52/D52</f>
        <v>79.8</v>
      </c>
      <c r="P52" s="3077"/>
      <c r="Q52" s="2850">
        <f>1/Q51</f>
        <v>1.9999999999999999E-6</v>
      </c>
    </row>
    <row r="53" spans="1:18" ht="20.25" customHeight="1">
      <c r="A53" s="3587"/>
      <c r="B53" s="3589"/>
      <c r="C53" s="1179"/>
      <c r="D53" s="3732"/>
      <c r="E53" s="3689" t="s">
        <v>2096</v>
      </c>
      <c r="F53" s="3734">
        <v>88</v>
      </c>
      <c r="G53" s="3734" t="s">
        <v>2363</v>
      </c>
      <c r="H53" s="3734">
        <v>15</v>
      </c>
      <c r="I53" s="3734"/>
      <c r="J53" s="3734"/>
      <c r="K53" s="3734"/>
      <c r="L53" s="3734"/>
      <c r="M53" s="3078"/>
      <c r="N53" s="3098"/>
      <c r="O53" s="3591"/>
      <c r="P53" s="3077"/>
      <c r="Q53" s="2850">
        <f>14/Q52</f>
        <v>7000000</v>
      </c>
    </row>
    <row r="54" spans="1:18" ht="20.25" customHeight="1">
      <c r="A54" s="3587"/>
      <c r="B54" s="3589" t="s">
        <v>2364</v>
      </c>
      <c r="C54" s="1179" t="s">
        <v>2353</v>
      </c>
      <c r="D54" s="3732">
        <f>25000/7000</f>
        <v>3.5714285714285716</v>
      </c>
      <c r="E54" s="3689" t="s">
        <v>2365</v>
      </c>
      <c r="F54" s="3734">
        <v>48</v>
      </c>
      <c r="G54" s="3734" t="s">
        <v>2366</v>
      </c>
      <c r="H54" s="3734">
        <v>25</v>
      </c>
      <c r="I54" s="3734" t="s">
        <v>2367</v>
      </c>
      <c r="J54" s="3734">
        <v>30</v>
      </c>
      <c r="K54" s="3734" t="s">
        <v>2368</v>
      </c>
      <c r="L54" s="3734">
        <v>14</v>
      </c>
      <c r="M54" s="3078">
        <f>SUM(E54:L55)</f>
        <v>302</v>
      </c>
      <c r="N54" s="3098"/>
      <c r="O54" s="3591">
        <f t="shared" ref="O54" si="17">M54/D54</f>
        <v>84.56</v>
      </c>
      <c r="P54" s="3077"/>
      <c r="Q54" s="2850">
        <f>3+4+7</f>
        <v>14</v>
      </c>
    </row>
    <row r="55" spans="1:18" ht="20.25" customHeight="1">
      <c r="A55" s="3587"/>
      <c r="B55" s="3589"/>
      <c r="C55" s="1179"/>
      <c r="D55" s="3732"/>
      <c r="E55" s="3689" t="s">
        <v>2369</v>
      </c>
      <c r="F55" s="3734">
        <f>98+20</f>
        <v>118</v>
      </c>
      <c r="G55" s="3734" t="s">
        <v>2146</v>
      </c>
      <c r="H55" s="3734">
        <v>67</v>
      </c>
      <c r="I55" s="3734"/>
      <c r="J55" s="3734"/>
      <c r="K55" s="3734"/>
      <c r="L55" s="3734"/>
      <c r="M55" s="3078"/>
      <c r="N55" s="3098"/>
      <c r="O55" s="3591"/>
      <c r="P55" s="3077"/>
      <c r="R55" s="2850">
        <v>4</v>
      </c>
    </row>
    <row r="56" spans="1:18" ht="20.25" customHeight="1">
      <c r="A56" s="3587"/>
      <c r="B56" s="3589"/>
      <c r="C56" s="1179"/>
      <c r="D56" s="3732"/>
      <c r="E56" s="3689"/>
      <c r="F56" s="3734"/>
      <c r="G56" s="3734"/>
      <c r="H56" s="3734"/>
      <c r="I56" s="3734"/>
      <c r="J56" s="3734"/>
      <c r="K56" s="3734"/>
      <c r="L56" s="3734"/>
      <c r="M56" s="3078"/>
      <c r="N56" s="3098"/>
      <c r="O56" s="3591"/>
      <c r="P56" s="3077"/>
      <c r="Q56" s="2850">
        <f>1/20</f>
        <v>0.05</v>
      </c>
    </row>
    <row r="57" spans="1:18" ht="20.25" customHeight="1">
      <c r="A57" s="3587"/>
      <c r="B57" s="3589" t="s">
        <v>453</v>
      </c>
      <c r="C57" s="1179" t="s">
        <v>2353</v>
      </c>
      <c r="D57" s="3732">
        <f>25000/7000</f>
        <v>3.5714285714285716</v>
      </c>
      <c r="E57" s="3689" t="s">
        <v>2370</v>
      </c>
      <c r="F57" s="3734">
        <v>27</v>
      </c>
      <c r="G57" s="3734" t="s">
        <v>2371</v>
      </c>
      <c r="H57" s="3734">
        <v>23</v>
      </c>
      <c r="I57" s="3734" t="s">
        <v>2372</v>
      </c>
      <c r="J57" s="3734">
        <v>105</v>
      </c>
      <c r="K57" s="3734" t="s">
        <v>2373</v>
      </c>
      <c r="L57" s="3734">
        <v>23</v>
      </c>
      <c r="M57" s="3078">
        <f>SUM(E57:L57)</f>
        <v>178</v>
      </c>
      <c r="N57" s="3098"/>
      <c r="O57" s="3591">
        <f t="shared" ref="O57" si="18">M57/D57</f>
        <v>49.839999999999996</v>
      </c>
      <c r="P57" s="3077"/>
      <c r="Q57" s="3511">
        <f>8/Q56</f>
        <v>160</v>
      </c>
    </row>
    <row r="58" spans="1:18" ht="20.25" customHeight="1">
      <c r="A58" s="3735"/>
      <c r="B58" s="3736" t="s">
        <v>2374</v>
      </c>
      <c r="C58" s="3737"/>
      <c r="D58" s="3738"/>
      <c r="E58" s="3739"/>
      <c r="F58" s="3740"/>
      <c r="G58" s="3740"/>
      <c r="H58" s="3740"/>
      <c r="I58" s="3740"/>
      <c r="J58" s="3740"/>
      <c r="K58" s="3740"/>
      <c r="L58" s="3740"/>
      <c r="M58" s="3741"/>
      <c r="N58" s="3742"/>
      <c r="O58" s="3743"/>
      <c r="P58" s="3744"/>
      <c r="Q58" s="3511"/>
    </row>
    <row r="59" spans="1:18" ht="20.25" customHeight="1">
      <c r="A59" s="3735"/>
      <c r="B59" s="3736" t="s">
        <v>2364</v>
      </c>
      <c r="C59" s="3737" t="s">
        <v>2375</v>
      </c>
      <c r="D59" s="3745">
        <f>1/20</f>
        <v>0.05</v>
      </c>
      <c r="E59" s="3739" t="s">
        <v>2376</v>
      </c>
      <c r="F59" s="3740">
        <v>3</v>
      </c>
      <c r="G59" s="3740" t="s">
        <v>2377</v>
      </c>
      <c r="H59" s="3740">
        <v>2</v>
      </c>
      <c r="I59" s="3740" t="s">
        <v>2369</v>
      </c>
      <c r="J59" s="3740">
        <v>2</v>
      </c>
      <c r="K59" s="3740" t="s">
        <v>2368</v>
      </c>
      <c r="L59" s="3740">
        <v>3</v>
      </c>
      <c r="M59" s="3741">
        <f>SUM(E59:L60)</f>
        <v>14</v>
      </c>
      <c r="N59" s="3742"/>
      <c r="O59" s="3743">
        <f>M59/D59</f>
        <v>280</v>
      </c>
      <c r="P59" s="3744"/>
      <c r="Q59" s="3511"/>
    </row>
    <row r="60" spans="1:18" ht="20.25" customHeight="1">
      <c r="A60" s="3735"/>
      <c r="B60" s="3736"/>
      <c r="C60" s="3737"/>
      <c r="D60" s="3738"/>
      <c r="E60" s="3739" t="s">
        <v>2367</v>
      </c>
      <c r="F60" s="3740">
        <v>4</v>
      </c>
      <c r="G60" s="3740"/>
      <c r="H60" s="3740"/>
      <c r="I60" s="3740"/>
      <c r="J60" s="3740"/>
      <c r="K60" s="3740"/>
      <c r="L60" s="3740"/>
      <c r="M60" s="3741"/>
      <c r="N60" s="3742"/>
      <c r="O60" s="3743"/>
      <c r="P60" s="3744"/>
      <c r="Q60" s="3511">
        <f>640*25000</f>
        <v>16000000</v>
      </c>
    </row>
    <row r="61" spans="1:18" ht="20.25" customHeight="1">
      <c r="A61" s="3735"/>
      <c r="B61" s="3736" t="s">
        <v>2352</v>
      </c>
      <c r="C61" s="3737" t="s">
        <v>2375</v>
      </c>
      <c r="D61" s="3745">
        <f>1/20</f>
        <v>0.05</v>
      </c>
      <c r="E61" s="3739" t="s">
        <v>2378</v>
      </c>
      <c r="F61" s="3740">
        <v>2</v>
      </c>
      <c r="G61" s="3740" t="s">
        <v>2356</v>
      </c>
      <c r="H61" s="3740">
        <v>2</v>
      </c>
      <c r="I61" s="3740"/>
      <c r="J61" s="3740"/>
      <c r="K61" s="3740"/>
      <c r="L61" s="3740"/>
      <c r="M61" s="3741">
        <f>SUM(E61:L61)</f>
        <v>4</v>
      </c>
      <c r="N61" s="3742"/>
      <c r="O61" s="3743">
        <f t="shared" ref="O61:O63" si="19">M61/D61</f>
        <v>80</v>
      </c>
      <c r="P61" s="3744"/>
      <c r="Q61" s="3511"/>
    </row>
    <row r="62" spans="1:18" ht="20.25" customHeight="1">
      <c r="A62" s="3735"/>
      <c r="B62" s="3736" t="s">
        <v>452</v>
      </c>
      <c r="C62" s="3737" t="s">
        <v>2375</v>
      </c>
      <c r="D62" s="3745">
        <f>1/20</f>
        <v>0.05</v>
      </c>
      <c r="E62" s="3739" t="s">
        <v>2379</v>
      </c>
      <c r="F62" s="3740">
        <v>1</v>
      </c>
      <c r="G62" s="3740" t="s">
        <v>2380</v>
      </c>
      <c r="H62" s="3740">
        <v>1</v>
      </c>
      <c r="I62" s="3740" t="s">
        <v>2097</v>
      </c>
      <c r="J62" s="3740">
        <v>2</v>
      </c>
      <c r="K62" s="3740" t="s">
        <v>2381</v>
      </c>
      <c r="L62" s="3740">
        <v>2</v>
      </c>
      <c r="M62" s="3741">
        <f>SUM(E62:L62)</f>
        <v>6</v>
      </c>
      <c r="N62" s="3742"/>
      <c r="O62" s="3743">
        <f t="shared" si="19"/>
        <v>120</v>
      </c>
      <c r="P62" s="3744"/>
      <c r="Q62" s="3511"/>
    </row>
    <row r="63" spans="1:18" ht="20.25" customHeight="1">
      <c r="A63" s="3735"/>
      <c r="B63" s="3736" t="s">
        <v>453</v>
      </c>
      <c r="C63" s="3737" t="s">
        <v>2375</v>
      </c>
      <c r="D63" s="3745">
        <f>1/20</f>
        <v>0.05</v>
      </c>
      <c r="E63" s="3739" t="s">
        <v>2373</v>
      </c>
      <c r="F63" s="3740">
        <v>2</v>
      </c>
      <c r="G63" s="3740" t="s">
        <v>2370</v>
      </c>
      <c r="H63" s="3740">
        <v>3</v>
      </c>
      <c r="I63" s="3740" t="s">
        <v>2371</v>
      </c>
      <c r="J63" s="3740">
        <v>3</v>
      </c>
      <c r="K63" s="3740"/>
      <c r="L63" s="3740"/>
      <c r="M63" s="3741">
        <f>SUM(E63:L63)</f>
        <v>8</v>
      </c>
      <c r="N63" s="3742"/>
      <c r="O63" s="3743">
        <f t="shared" si="19"/>
        <v>160</v>
      </c>
      <c r="P63" s="3744"/>
      <c r="Q63" s="3511"/>
    </row>
    <row r="64" spans="1:18" s="3731" customFormat="1" ht="20.25" customHeight="1">
      <c r="A64" s="3089">
        <v>7</v>
      </c>
      <c r="B64" s="3085" t="s">
        <v>2382</v>
      </c>
      <c r="C64" s="1182"/>
      <c r="D64" s="1115"/>
      <c r="E64" s="3087"/>
      <c r="F64" s="3088"/>
      <c r="G64" s="3087"/>
      <c r="H64" s="3088"/>
      <c r="I64" s="3087"/>
      <c r="J64" s="3088"/>
      <c r="K64" s="3087"/>
      <c r="L64" s="3087"/>
      <c r="M64" s="3530"/>
      <c r="N64" s="3093"/>
      <c r="O64" s="3086">
        <f>SUM(O65:O70)</f>
        <v>3856.8</v>
      </c>
      <c r="P64" s="3094"/>
      <c r="Q64" s="3731">
        <v>253</v>
      </c>
    </row>
    <row r="65" spans="1:17" s="3363" customFormat="1" ht="20.25" customHeight="1">
      <c r="A65" s="3587" t="s">
        <v>2148</v>
      </c>
      <c r="B65" s="3590" t="s">
        <v>2145</v>
      </c>
      <c r="C65" s="3589" t="s">
        <v>1000</v>
      </c>
      <c r="D65" s="3637">
        <v>1</v>
      </c>
      <c r="E65" s="3638"/>
      <c r="F65" s="3638"/>
      <c r="G65" s="3639"/>
      <c r="H65" s="3638"/>
      <c r="I65" s="3638"/>
      <c r="J65" s="3638"/>
      <c r="K65" s="3638"/>
      <c r="L65" s="3638"/>
      <c r="M65" s="3640">
        <v>216</v>
      </c>
      <c r="N65" s="3641"/>
      <c r="O65" s="3591">
        <f>M65/D65</f>
        <v>216</v>
      </c>
      <c r="P65" s="3642"/>
    </row>
    <row r="66" spans="1:17" s="3363" customFormat="1" ht="20.25" customHeight="1">
      <c r="A66" s="3587" t="s">
        <v>2383</v>
      </c>
      <c r="B66" s="3590" t="s">
        <v>2335</v>
      </c>
      <c r="C66" s="3589" t="s">
        <v>1000</v>
      </c>
      <c r="D66" s="3637">
        <f>1/6</f>
        <v>0.16666666666666666</v>
      </c>
      <c r="E66" s="3638"/>
      <c r="F66" s="3638"/>
      <c r="G66" s="3639"/>
      <c r="H66" s="3638"/>
      <c r="I66" s="3638"/>
      <c r="J66" s="3638"/>
      <c r="K66" s="3638"/>
      <c r="L66" s="3638"/>
      <c r="M66" s="3640">
        <f>248-77-32</f>
        <v>139</v>
      </c>
      <c r="N66" s="3641"/>
      <c r="O66" s="3591">
        <f t="shared" ref="O66:O70" si="20">M66/D66</f>
        <v>834</v>
      </c>
      <c r="P66" s="3642"/>
    </row>
    <row r="67" spans="1:17" s="3363" customFormat="1" ht="20.25" customHeight="1">
      <c r="A67" s="3587" t="s">
        <v>2384</v>
      </c>
      <c r="B67" s="3590" t="s">
        <v>2346</v>
      </c>
      <c r="C67" s="3589" t="s">
        <v>1000</v>
      </c>
      <c r="D67" s="3637">
        <f>1/6.4</f>
        <v>0.15625</v>
      </c>
      <c r="E67" s="3638"/>
      <c r="F67" s="3638"/>
      <c r="G67" s="3639"/>
      <c r="H67" s="3638"/>
      <c r="I67" s="3638"/>
      <c r="J67" s="3638"/>
      <c r="K67" s="3638"/>
      <c r="L67" s="3638"/>
      <c r="M67" s="3640">
        <v>77</v>
      </c>
      <c r="N67" s="3641"/>
      <c r="O67" s="3591">
        <f t="shared" si="20"/>
        <v>492.8</v>
      </c>
      <c r="P67" s="3642"/>
      <c r="Q67" s="3363">
        <f>193*4</f>
        <v>772</v>
      </c>
    </row>
    <row r="68" spans="1:17" s="3363" customFormat="1" ht="20.25" customHeight="1">
      <c r="A68" s="3587" t="s">
        <v>2385</v>
      </c>
      <c r="B68" s="3590" t="s">
        <v>2336</v>
      </c>
      <c r="C68" s="3589" t="s">
        <v>1000</v>
      </c>
      <c r="D68" s="3637">
        <f>1/4</f>
        <v>0.25</v>
      </c>
      <c r="E68" s="3638"/>
      <c r="F68" s="3638"/>
      <c r="G68" s="3639"/>
      <c r="H68" s="3638"/>
      <c r="I68" s="3638"/>
      <c r="J68" s="3638"/>
      <c r="K68" s="3638"/>
      <c r="L68" s="3638"/>
      <c r="M68" s="3640">
        <v>216</v>
      </c>
      <c r="N68" s="3641"/>
      <c r="O68" s="3591">
        <f t="shared" si="20"/>
        <v>864</v>
      </c>
      <c r="P68" s="3642"/>
      <c r="Q68" s="3363">
        <f>Q67-253</f>
        <v>519</v>
      </c>
    </row>
    <row r="69" spans="1:17" s="3363" customFormat="1" ht="20.25" customHeight="1">
      <c r="A69" s="3587" t="s">
        <v>2386</v>
      </c>
      <c r="B69" s="3590" t="s">
        <v>2387</v>
      </c>
      <c r="C69" s="3589" t="s">
        <v>1000</v>
      </c>
      <c r="D69" s="3637">
        <f>1/6</f>
        <v>0.16666666666666666</v>
      </c>
      <c r="E69" s="3638"/>
      <c r="F69" s="3638"/>
      <c r="G69" s="3639"/>
      <c r="H69" s="3638"/>
      <c r="I69" s="3638"/>
      <c r="J69" s="3638"/>
      <c r="K69" s="3638"/>
      <c r="L69" s="3638"/>
      <c r="M69" s="3640">
        <v>139</v>
      </c>
      <c r="N69" s="3641"/>
      <c r="O69" s="3591">
        <f t="shared" si="20"/>
        <v>834</v>
      </c>
      <c r="P69" s="3642"/>
    </row>
    <row r="70" spans="1:17" s="3363" customFormat="1" ht="20.25" customHeight="1">
      <c r="A70" s="3587" t="s">
        <v>2388</v>
      </c>
      <c r="B70" s="3590" t="s">
        <v>2350</v>
      </c>
      <c r="C70" s="3589" t="s">
        <v>1000</v>
      </c>
      <c r="D70" s="3637">
        <f>1/8</f>
        <v>0.125</v>
      </c>
      <c r="E70" s="3638"/>
      <c r="F70" s="3638"/>
      <c r="G70" s="3639"/>
      <c r="H70" s="3638"/>
      <c r="I70" s="3638"/>
      <c r="J70" s="3638"/>
      <c r="K70" s="3638"/>
      <c r="L70" s="3638"/>
      <c r="M70" s="3640">
        <v>77</v>
      </c>
      <c r="N70" s="3641"/>
      <c r="O70" s="3591">
        <f t="shared" si="20"/>
        <v>616</v>
      </c>
      <c r="P70" s="3642"/>
    </row>
    <row r="71" spans="1:17" s="3731" customFormat="1" ht="20.25" customHeight="1">
      <c r="A71" s="3089">
        <v>8</v>
      </c>
      <c r="B71" s="3085" t="s">
        <v>698</v>
      </c>
      <c r="C71" s="3089"/>
      <c r="D71" s="3095"/>
      <c r="E71" s="3096"/>
      <c r="F71" s="3097"/>
      <c r="G71" s="3097"/>
      <c r="H71" s="3097"/>
      <c r="I71" s="3096"/>
      <c r="J71" s="3097"/>
      <c r="K71" s="3096"/>
      <c r="L71" s="3096"/>
      <c r="M71" s="3513"/>
      <c r="N71" s="3093"/>
      <c r="O71" s="3086">
        <f>SUM(O72:O75)</f>
        <v>544</v>
      </c>
      <c r="P71" s="3094"/>
      <c r="Q71" s="3731">
        <f>781-772</f>
        <v>9</v>
      </c>
    </row>
    <row r="72" spans="1:17" s="3363" customFormat="1" ht="20.25" customHeight="1">
      <c r="A72" s="3587" t="s">
        <v>2389</v>
      </c>
      <c r="B72" s="3590" t="s">
        <v>2145</v>
      </c>
      <c r="C72" s="3589" t="s">
        <v>1000</v>
      </c>
      <c r="D72" s="3637">
        <v>1</v>
      </c>
      <c r="E72" s="3638"/>
      <c r="F72" s="3638"/>
      <c r="G72" s="3639"/>
      <c r="H72" s="3638"/>
      <c r="I72" s="3638"/>
      <c r="J72" s="3638"/>
      <c r="K72" s="3638"/>
      <c r="L72" s="3638"/>
      <c r="M72" s="3640">
        <v>32</v>
      </c>
      <c r="N72" s="3641"/>
      <c r="O72" s="3591">
        <f>M72/D72</f>
        <v>32</v>
      </c>
      <c r="P72" s="3642"/>
    </row>
    <row r="73" spans="1:17" s="3363" customFormat="1" ht="20.25" customHeight="1">
      <c r="A73" s="3587" t="s">
        <v>2390</v>
      </c>
      <c r="B73" s="3590" t="s">
        <v>2335</v>
      </c>
      <c r="C73" s="3589" t="s">
        <v>1000</v>
      </c>
      <c r="D73" s="3637">
        <f>1/6</f>
        <v>0.16666666666666666</v>
      </c>
      <c r="E73" s="3638"/>
      <c r="F73" s="3638"/>
      <c r="G73" s="3639"/>
      <c r="H73" s="3638"/>
      <c r="I73" s="3638"/>
      <c r="J73" s="3638"/>
      <c r="K73" s="3638"/>
      <c r="L73" s="3638"/>
      <c r="M73" s="3640">
        <v>32</v>
      </c>
      <c r="N73" s="3641"/>
      <c r="O73" s="3591">
        <f t="shared" ref="O73:O75" si="21">M73/D73</f>
        <v>192</v>
      </c>
      <c r="P73" s="3642"/>
      <c r="Q73" s="3363">
        <f>519-171</f>
        <v>348</v>
      </c>
    </row>
    <row r="74" spans="1:17" s="3363" customFormat="1" ht="20.25" customHeight="1">
      <c r="A74" s="3587" t="s">
        <v>2391</v>
      </c>
      <c r="B74" s="3590" t="s">
        <v>2336</v>
      </c>
      <c r="C74" s="3589" t="s">
        <v>1000</v>
      </c>
      <c r="D74" s="3637">
        <f>1/4</f>
        <v>0.25</v>
      </c>
      <c r="E74" s="3638"/>
      <c r="F74" s="3638"/>
      <c r="G74" s="3639"/>
      <c r="H74" s="3638"/>
      <c r="I74" s="3638"/>
      <c r="J74" s="3638"/>
      <c r="K74" s="3638"/>
      <c r="L74" s="3638"/>
      <c r="M74" s="3640">
        <v>32</v>
      </c>
      <c r="N74" s="3641"/>
      <c r="O74" s="3591">
        <f t="shared" si="21"/>
        <v>128</v>
      </c>
      <c r="P74" s="3642"/>
    </row>
    <row r="75" spans="1:17" s="3363" customFormat="1" ht="20.25" customHeight="1">
      <c r="A75" s="3587" t="s">
        <v>2392</v>
      </c>
      <c r="B75" s="3590" t="s">
        <v>2340</v>
      </c>
      <c r="C75" s="3589" t="s">
        <v>1000</v>
      </c>
      <c r="D75" s="3637">
        <f>1/6</f>
        <v>0.16666666666666666</v>
      </c>
      <c r="E75" s="3638"/>
      <c r="F75" s="3638"/>
      <c r="G75" s="3639"/>
      <c r="H75" s="3638"/>
      <c r="I75" s="3638"/>
      <c r="J75" s="3638"/>
      <c r="K75" s="3638"/>
      <c r="L75" s="3638"/>
      <c r="M75" s="3640">
        <v>32</v>
      </c>
      <c r="N75" s="3641"/>
      <c r="O75" s="3591">
        <f t="shared" si="21"/>
        <v>192</v>
      </c>
      <c r="P75" s="3642"/>
    </row>
    <row r="76" spans="1:17" s="3746" customFormat="1" ht="20.25" customHeight="1">
      <c r="A76" s="3643" t="s">
        <v>138</v>
      </c>
      <c r="B76" s="3644" t="s">
        <v>1162</v>
      </c>
      <c r="C76" s="3645"/>
      <c r="D76" s="3646"/>
      <c r="E76" s="3647"/>
      <c r="F76" s="3648"/>
      <c r="G76" s="3647"/>
      <c r="H76" s="3648"/>
      <c r="I76" s="3364"/>
      <c r="J76" s="3649"/>
      <c r="K76" s="3075"/>
      <c r="L76" s="3075"/>
      <c r="M76" s="3689"/>
      <c r="N76" s="3650"/>
      <c r="O76" s="3081">
        <v>0</v>
      </c>
      <c r="P76" s="3651"/>
    </row>
    <row r="77" spans="1:17" ht="20.25" customHeight="1">
      <c r="A77" s="3072" t="s">
        <v>168</v>
      </c>
      <c r="B77" s="3073" t="s">
        <v>826</v>
      </c>
      <c r="C77" s="1179"/>
      <c r="D77" s="3083"/>
      <c r="E77" s="2812"/>
      <c r="F77" s="2812"/>
      <c r="G77" s="3689"/>
      <c r="H77" s="3689"/>
      <c r="I77" s="3397"/>
      <c r="J77" s="3397"/>
      <c r="K77" s="3397"/>
      <c r="L77" s="3397"/>
      <c r="M77" s="1178"/>
      <c r="N77" s="3098"/>
      <c r="O77" s="3100">
        <f>SUM(O78:O80)</f>
        <v>3512</v>
      </c>
      <c r="P77" s="3077"/>
      <c r="Q77" s="2850">
        <f>225/194</f>
        <v>1.1597938144329898</v>
      </c>
    </row>
    <row r="78" spans="1:17" ht="20.25" customHeight="1">
      <c r="A78" s="3101">
        <v>1</v>
      </c>
      <c r="B78" s="1603" t="s">
        <v>235</v>
      </c>
      <c r="C78" s="1179" t="s">
        <v>500</v>
      </c>
      <c r="D78" s="3083"/>
      <c r="E78" s="4475" t="s">
        <v>1719</v>
      </c>
      <c r="F78" s="4475"/>
      <c r="G78" s="4475"/>
      <c r="H78" s="4475"/>
      <c r="I78" s="4475"/>
      <c r="J78" s="4475"/>
      <c r="K78" s="4475"/>
      <c r="L78" s="4475"/>
      <c r="M78" s="4475"/>
      <c r="N78" s="3098"/>
      <c r="O78" s="1178">
        <f>+(2600000*10)/25000</f>
        <v>1040</v>
      </c>
      <c r="P78" s="3102"/>
    </row>
    <row r="79" spans="1:17" ht="20.25" customHeight="1">
      <c r="A79" s="3101">
        <v>2</v>
      </c>
      <c r="B79" s="1603" t="s">
        <v>235</v>
      </c>
      <c r="C79" s="1179" t="s">
        <v>500</v>
      </c>
      <c r="D79" s="3083"/>
      <c r="E79" s="4475" t="s">
        <v>2393</v>
      </c>
      <c r="F79" s="4475"/>
      <c r="G79" s="4475"/>
      <c r="H79" s="4475"/>
      <c r="I79" s="4475"/>
      <c r="J79" s="4475"/>
      <c r="K79" s="4475"/>
      <c r="L79" s="4475"/>
      <c r="M79" s="4475"/>
      <c r="N79" s="3098"/>
      <c r="O79" s="1178">
        <f>+(2600000*23)/25000</f>
        <v>2392</v>
      </c>
      <c r="P79" s="3102"/>
    </row>
    <row r="80" spans="1:17" ht="20.25" customHeight="1">
      <c r="A80" s="3101">
        <v>3</v>
      </c>
      <c r="B80" s="1603" t="s">
        <v>989</v>
      </c>
      <c r="C80" s="1179" t="s">
        <v>500</v>
      </c>
      <c r="D80" s="3083"/>
      <c r="E80" s="4475" t="s">
        <v>1720</v>
      </c>
      <c r="F80" s="4475"/>
      <c r="G80" s="4475"/>
      <c r="H80" s="4475"/>
      <c r="I80" s="4475"/>
      <c r="J80" s="4475"/>
      <c r="K80" s="4475"/>
      <c r="L80" s="4475"/>
      <c r="M80" s="4475"/>
      <c r="N80" s="1179"/>
      <c r="O80" s="1178">
        <f>+((1*2000000)/25000)</f>
        <v>80</v>
      </c>
      <c r="P80" s="3102"/>
    </row>
    <row r="81" spans="1:18" ht="20.25">
      <c r="A81" s="3072" t="s">
        <v>224</v>
      </c>
      <c r="B81" s="3073" t="s">
        <v>234</v>
      </c>
      <c r="C81" s="1179"/>
      <c r="D81" s="3083"/>
      <c r="E81" s="3689"/>
      <c r="F81" s="3689"/>
      <c r="G81" s="3689"/>
      <c r="H81" s="3689"/>
      <c r="I81" s="3689"/>
      <c r="J81" s="3689"/>
      <c r="K81" s="3689"/>
      <c r="L81" s="3689"/>
      <c r="M81" s="3099"/>
      <c r="N81" s="3098"/>
      <c r="O81" s="3100">
        <f>SUM(O82:O84)</f>
        <v>436</v>
      </c>
      <c r="P81" s="3077"/>
    </row>
    <row r="82" spans="1:18">
      <c r="A82" s="3587">
        <v>1</v>
      </c>
      <c r="B82" s="3590" t="s">
        <v>2394</v>
      </c>
      <c r="C82" s="1179" t="s">
        <v>500</v>
      </c>
      <c r="D82" s="3083"/>
      <c r="E82" s="4471" t="s">
        <v>2395</v>
      </c>
      <c r="F82" s="4471"/>
      <c r="G82" s="4471"/>
      <c r="H82" s="4471"/>
      <c r="I82" s="4471"/>
      <c r="J82" s="4471"/>
      <c r="K82" s="4471"/>
      <c r="L82" s="4471"/>
      <c r="M82" s="4471"/>
      <c r="N82" s="3098"/>
      <c r="O82" s="3591">
        <f>1900000/25000</f>
        <v>76</v>
      </c>
      <c r="P82" s="3077"/>
    </row>
    <row r="83" spans="1:18">
      <c r="A83" s="3587">
        <v>2</v>
      </c>
      <c r="B83" s="3590" t="s">
        <v>2396</v>
      </c>
      <c r="C83" s="1179" t="s">
        <v>500</v>
      </c>
      <c r="D83" s="3083"/>
      <c r="E83" s="4471" t="s">
        <v>2397</v>
      </c>
      <c r="F83" s="4471"/>
      <c r="G83" s="4471"/>
      <c r="H83" s="4471"/>
      <c r="I83" s="4471"/>
      <c r="J83" s="4471"/>
      <c r="K83" s="4471"/>
      <c r="L83" s="4471"/>
      <c r="M83" s="4471"/>
      <c r="N83" s="3098"/>
      <c r="O83" s="3591">
        <f>4200000/25000</f>
        <v>168</v>
      </c>
      <c r="P83" s="3077"/>
      <c r="Q83" s="2850">
        <f>7+4+6+3+3</f>
        <v>23</v>
      </c>
    </row>
    <row r="84" spans="1:18">
      <c r="A84" s="3587">
        <v>3</v>
      </c>
      <c r="B84" s="3590" t="s">
        <v>2398</v>
      </c>
      <c r="C84" s="1179" t="s">
        <v>2399</v>
      </c>
      <c r="D84" s="3083">
        <f>1/32</f>
        <v>3.125E-2</v>
      </c>
      <c r="E84" s="3689"/>
      <c r="F84" s="3689"/>
      <c r="G84" s="3689"/>
      <c r="H84" s="3689"/>
      <c r="I84" s="3689"/>
      <c r="J84" s="3689"/>
      <c r="K84" s="3689"/>
      <c r="L84" s="3689"/>
      <c r="M84" s="3734">
        <v>6</v>
      </c>
      <c r="N84" s="3098"/>
      <c r="O84" s="3591">
        <f t="shared" ref="O84" si="22">M84/D84</f>
        <v>192</v>
      </c>
      <c r="P84" s="3077"/>
      <c r="Q84" s="2850">
        <f>8*6</f>
        <v>48</v>
      </c>
    </row>
    <row r="85" spans="1:18">
      <c r="A85" s="4472" t="s">
        <v>830</v>
      </c>
      <c r="B85" s="4472"/>
      <c r="C85" s="3695"/>
      <c r="D85" s="3652"/>
      <c r="E85" s="3653"/>
      <c r="F85" s="3653"/>
      <c r="G85" s="3653"/>
      <c r="H85" s="3653"/>
      <c r="I85" s="3653"/>
      <c r="J85" s="3653"/>
      <c r="K85" s="3653"/>
      <c r="L85" s="3653"/>
      <c r="M85" s="3654"/>
      <c r="N85" s="3695"/>
      <c r="O85" s="3655">
        <f>O81+O77+O12+O76</f>
        <v>18722.72</v>
      </c>
      <c r="P85" s="3695"/>
      <c r="Q85" s="3747">
        <f>Q57*25000</f>
        <v>4000000</v>
      </c>
    </row>
    <row r="86" spans="1:18">
      <c r="A86" s="2747"/>
      <c r="B86" s="2748"/>
      <c r="C86" s="2748"/>
      <c r="D86" s="2749"/>
      <c r="E86" s="2750"/>
      <c r="F86" s="2750"/>
      <c r="G86" s="2750"/>
      <c r="H86" s="2750"/>
      <c r="I86" s="4473" t="s">
        <v>2117</v>
      </c>
      <c r="J86" s="4473"/>
      <c r="K86" s="4473"/>
      <c r="L86" s="4473"/>
      <c r="M86" s="4473"/>
      <c r="N86" s="4473"/>
      <c r="O86" s="4473"/>
      <c r="P86" s="4473"/>
    </row>
    <row r="87" spans="1:18">
      <c r="A87" s="4474" t="s">
        <v>1428</v>
      </c>
      <c r="B87" s="4474"/>
      <c r="C87" s="4453" t="s">
        <v>1721</v>
      </c>
      <c r="D87" s="4453"/>
      <c r="E87" s="4453"/>
      <c r="F87" s="4453"/>
      <c r="G87" s="4453"/>
      <c r="H87" s="4453"/>
      <c r="I87" s="4453"/>
      <c r="J87" s="4453"/>
      <c r="K87" s="4453"/>
      <c r="L87" s="4459" t="s">
        <v>2400</v>
      </c>
      <c r="M87" s="4459"/>
      <c r="N87" s="4459"/>
      <c r="O87" s="4459"/>
      <c r="P87" s="4459"/>
      <c r="Q87" s="2850">
        <f>50/30</f>
        <v>1.6666666666666667</v>
      </c>
    </row>
    <row r="88" spans="1:18">
      <c r="A88" s="2741"/>
      <c r="B88" s="3688"/>
      <c r="C88" s="3688"/>
      <c r="D88" s="2751"/>
      <c r="E88" s="3696"/>
      <c r="F88" s="3696"/>
      <c r="G88" s="3696"/>
      <c r="H88" s="3696"/>
      <c r="I88" s="3696"/>
      <c r="J88" s="2752"/>
      <c r="K88" s="2752"/>
      <c r="L88" s="2752"/>
      <c r="M88" s="2753"/>
      <c r="N88" s="3688"/>
      <c r="O88" s="2754"/>
      <c r="P88" s="2748"/>
      <c r="R88" s="2850">
        <f>30*25</f>
        <v>750</v>
      </c>
    </row>
    <row r="89" spans="1:18">
      <c r="A89" s="2752"/>
      <c r="B89" s="3688"/>
      <c r="C89" s="3688"/>
      <c r="D89" s="2751"/>
      <c r="E89" s="3696"/>
      <c r="F89" s="3696"/>
      <c r="G89" s="3696"/>
      <c r="H89" s="3696"/>
      <c r="I89" s="3696"/>
      <c r="J89" s="3696"/>
      <c r="K89" s="3696"/>
      <c r="L89" s="3696"/>
      <c r="M89" s="2753"/>
      <c r="N89" s="3688"/>
      <c r="O89" s="2754"/>
      <c r="P89" s="2748"/>
      <c r="R89" s="2850">
        <f>+R88/60</f>
        <v>12.5</v>
      </c>
    </row>
    <row r="90" spans="1:18">
      <c r="A90" s="2752"/>
      <c r="B90" s="3688"/>
      <c r="C90" s="3688"/>
      <c r="D90" s="2751"/>
      <c r="E90" s="3696"/>
      <c r="F90" s="3696"/>
      <c r="G90" s="3696"/>
      <c r="H90" s="3696"/>
      <c r="I90" s="3696"/>
      <c r="J90" s="3696"/>
      <c r="K90" s="3696"/>
      <c r="L90" s="3696"/>
      <c r="M90" s="2753"/>
      <c r="N90" s="3688"/>
      <c r="O90" s="2754"/>
      <c r="P90" s="2748"/>
    </row>
    <row r="91" spans="1:18">
      <c r="A91" s="2752"/>
      <c r="B91" s="3688"/>
      <c r="C91" s="3688"/>
      <c r="D91" s="2751"/>
      <c r="E91" s="3696"/>
      <c r="F91" s="3696"/>
      <c r="G91" s="3696"/>
      <c r="H91" s="3696"/>
      <c r="I91" s="3696"/>
      <c r="J91" s="3696"/>
      <c r="K91" s="3696"/>
      <c r="L91" s="3696"/>
      <c r="M91" s="2753"/>
      <c r="N91" s="3688"/>
      <c r="O91" s="2754"/>
      <c r="P91" s="2748"/>
    </row>
    <row r="92" spans="1:18">
      <c r="A92" s="2752"/>
      <c r="B92" s="2755"/>
      <c r="C92" s="3688"/>
      <c r="D92" s="2740"/>
      <c r="E92" s="2756"/>
      <c r="F92" s="2756"/>
      <c r="G92" s="2756"/>
      <c r="H92" s="2756"/>
      <c r="I92" s="2756"/>
      <c r="J92" s="2756"/>
      <c r="K92" s="2756"/>
      <c r="L92" s="2756"/>
      <c r="M92" s="2753"/>
      <c r="N92" s="2757"/>
      <c r="O92" s="2754"/>
      <c r="P92" s="2758"/>
    </row>
    <row r="93" spans="1:18">
      <c r="A93" s="2752"/>
      <c r="B93" s="3690"/>
      <c r="C93" s="3688"/>
      <c r="D93" s="2751"/>
      <c r="E93" s="3696"/>
      <c r="F93" s="3696"/>
      <c r="G93" s="3696"/>
      <c r="H93" s="3696"/>
      <c r="I93" s="3696"/>
      <c r="J93" s="3696"/>
      <c r="K93" s="3696"/>
      <c r="L93" s="3696"/>
      <c r="M93" s="2753"/>
      <c r="N93" s="2759"/>
      <c r="O93" s="2754"/>
      <c r="P93" s="2760"/>
    </row>
    <row r="94" spans="1:18">
      <c r="A94" s="4456" t="s">
        <v>666</v>
      </c>
      <c r="B94" s="4456"/>
      <c r="C94" s="4456"/>
      <c r="D94" s="4456"/>
      <c r="E94" s="4456"/>
      <c r="F94" s="4456"/>
      <c r="G94" s="4456"/>
      <c r="H94" s="4456"/>
      <c r="I94" s="4456"/>
      <c r="J94" s="4456"/>
      <c r="K94" s="4456"/>
      <c r="L94" s="4456"/>
      <c r="M94" s="4456"/>
      <c r="N94" s="4456"/>
      <c r="O94" s="4456"/>
      <c r="P94" s="4456"/>
    </row>
    <row r="95" spans="1:18">
      <c r="A95" s="2741"/>
      <c r="B95" s="2755"/>
      <c r="C95" s="3691"/>
      <c r="D95" s="2740"/>
      <c r="E95" s="3696"/>
      <c r="F95" s="2741"/>
      <c r="G95" s="3696"/>
      <c r="H95" s="2741"/>
      <c r="I95" s="2761"/>
      <c r="J95" s="2761"/>
      <c r="K95" s="2761"/>
      <c r="L95" s="2761"/>
      <c r="M95" s="2753"/>
      <c r="N95" s="2762"/>
      <c r="O95" s="2763"/>
      <c r="P95" s="2764"/>
    </row>
    <row r="96" spans="1:18">
      <c r="A96" s="2752" t="s">
        <v>2149</v>
      </c>
      <c r="B96" s="2755"/>
      <c r="C96" s="4457" t="s">
        <v>1150</v>
      </c>
      <c r="D96" s="4457"/>
      <c r="E96" s="4457"/>
      <c r="F96" s="2762"/>
      <c r="G96" s="2752" t="s">
        <v>117</v>
      </c>
      <c r="H96" s="2752"/>
      <c r="I96" s="2752"/>
      <c r="J96" s="4458" t="s">
        <v>1722</v>
      </c>
      <c r="K96" s="4458"/>
      <c r="L96" s="4458"/>
      <c r="M96" s="4459" t="s">
        <v>2401</v>
      </c>
      <c r="N96" s="4459"/>
      <c r="O96" s="4459"/>
      <c r="P96" s="4459"/>
    </row>
    <row r="97" spans="1:16">
      <c r="A97" s="3398"/>
      <c r="B97" s="3399"/>
      <c r="C97" s="3400"/>
      <c r="D97" s="3401"/>
      <c r="E97" s="3402"/>
      <c r="F97" s="3402"/>
      <c r="G97" s="3402"/>
      <c r="H97" s="3402"/>
      <c r="I97" s="3402"/>
      <c r="J97" s="3402"/>
      <c r="K97" s="3402"/>
      <c r="L97" s="3402"/>
      <c r="M97" s="3403"/>
      <c r="N97" s="3399"/>
      <c r="O97" s="3399"/>
      <c r="P97" s="3399"/>
    </row>
    <row r="98" spans="1:16">
      <c r="A98" s="3398"/>
      <c r="B98" s="3399"/>
      <c r="C98" s="3400"/>
      <c r="D98" s="3401"/>
      <c r="E98" s="3402"/>
      <c r="F98" s="3402"/>
      <c r="G98" s="3402"/>
      <c r="H98" s="3402"/>
      <c r="I98" s="3402"/>
      <c r="J98" s="3402"/>
      <c r="K98" s="3402"/>
      <c r="L98" s="3402"/>
      <c r="M98" s="3403"/>
      <c r="N98" s="3399"/>
      <c r="O98" s="3399"/>
      <c r="P98" s="3399"/>
    </row>
    <row r="99" spans="1:16">
      <c r="A99" s="3398"/>
      <c r="B99" s="3399"/>
      <c r="C99" s="3400"/>
      <c r="D99" s="3401"/>
      <c r="E99" s="3402"/>
      <c r="F99" s="3402"/>
      <c r="G99" s="3402"/>
      <c r="H99" s="3402"/>
      <c r="I99" s="3402"/>
      <c r="J99" s="3402"/>
      <c r="K99" s="3402"/>
      <c r="L99" s="3402"/>
      <c r="M99" s="3403"/>
      <c r="N99" s="3399"/>
      <c r="O99" s="3399"/>
      <c r="P99" s="3399"/>
    </row>
    <row r="100" spans="1:16">
      <c r="A100" s="3398"/>
      <c r="B100" s="3399"/>
      <c r="C100" s="3400"/>
      <c r="D100" s="3401"/>
      <c r="E100" s="3402"/>
      <c r="F100" s="3402"/>
      <c r="G100" s="3402"/>
      <c r="H100" s="3402"/>
      <c r="I100" s="3402"/>
      <c r="J100" s="3402"/>
      <c r="K100" s="3402"/>
      <c r="L100" s="3402"/>
      <c r="M100" s="3403"/>
      <c r="N100" s="3399"/>
      <c r="O100" s="3399"/>
      <c r="P100" s="3399"/>
    </row>
    <row r="101" spans="1:16">
      <c r="A101" s="3398"/>
      <c r="B101" s="3399"/>
      <c r="C101" s="3400"/>
      <c r="D101" s="3401"/>
      <c r="E101" s="3402"/>
      <c r="F101" s="3402"/>
      <c r="G101" s="3402"/>
      <c r="H101" s="3402"/>
      <c r="I101" s="3402"/>
      <c r="J101" s="3402"/>
      <c r="K101" s="3402"/>
      <c r="L101" s="3402"/>
      <c r="M101" s="3403"/>
      <c r="N101" s="3399"/>
      <c r="O101" s="3399"/>
      <c r="P101" s="3399"/>
    </row>
    <row r="102" spans="1:16">
      <c r="A102" s="3398"/>
      <c r="B102" s="3399"/>
      <c r="C102" s="3400"/>
      <c r="D102" s="3401"/>
      <c r="E102" s="3402"/>
      <c r="F102" s="3402"/>
      <c r="G102" s="3402"/>
      <c r="H102" s="3402"/>
      <c r="I102" s="3402"/>
      <c r="J102" s="3402"/>
      <c r="K102" s="3402"/>
      <c r="L102" s="3402"/>
      <c r="M102" s="3403"/>
      <c r="N102" s="3399"/>
      <c r="O102" s="3399"/>
      <c r="P102" s="3399"/>
    </row>
    <row r="103" spans="1:16">
      <c r="A103" s="3398"/>
      <c r="B103" s="3399"/>
      <c r="C103" s="3400"/>
      <c r="D103" s="3401"/>
      <c r="E103" s="3402"/>
      <c r="F103" s="3402"/>
      <c r="G103" s="3402"/>
      <c r="H103" s="3402"/>
      <c r="I103" s="3402"/>
      <c r="J103" s="3402"/>
      <c r="K103" s="3402"/>
      <c r="L103" s="3402"/>
      <c r="M103" s="3403"/>
      <c r="N103" s="3399"/>
      <c r="O103" s="3399"/>
      <c r="P103" s="3399"/>
    </row>
    <row r="104" spans="1:16">
      <c r="A104" s="3398"/>
      <c r="B104" s="3399"/>
      <c r="C104" s="3400"/>
      <c r="D104" s="3401"/>
      <c r="E104" s="3402"/>
      <c r="F104" s="3402"/>
      <c r="G104" s="3402"/>
      <c r="H104" s="3402"/>
      <c r="I104" s="3402"/>
      <c r="J104" s="3402"/>
      <c r="K104" s="3402"/>
      <c r="L104" s="3402"/>
      <c r="M104" s="3403"/>
      <c r="N104" s="3399"/>
      <c r="O104" s="3399"/>
      <c r="P104" s="3399"/>
    </row>
    <row r="110" spans="1:16">
      <c r="A110" s="2850"/>
      <c r="C110" s="2850"/>
      <c r="D110" s="2850"/>
      <c r="E110" s="2850"/>
      <c r="F110" s="2850"/>
      <c r="G110" s="2850"/>
      <c r="H110" s="2850"/>
      <c r="I110" s="2850"/>
      <c r="J110" s="2850"/>
      <c r="K110" s="2850"/>
      <c r="L110" s="2850"/>
      <c r="M110" s="2850"/>
    </row>
    <row r="111" spans="1:16">
      <c r="A111" s="2850"/>
      <c r="C111" s="2850"/>
      <c r="D111" s="2850"/>
      <c r="E111" s="2850"/>
      <c r="F111" s="2850"/>
      <c r="G111" s="2850"/>
      <c r="H111" s="2850"/>
      <c r="I111" s="2850"/>
      <c r="J111" s="2850"/>
      <c r="K111" s="2850"/>
      <c r="L111" s="2850"/>
      <c r="M111" s="2850"/>
    </row>
    <row r="112" spans="1:16">
      <c r="A112" s="2850"/>
      <c r="C112" s="2850"/>
      <c r="D112" s="2850"/>
      <c r="E112" s="2850"/>
      <c r="F112" s="2850"/>
      <c r="G112" s="2850"/>
      <c r="H112" s="2850"/>
      <c r="I112" s="2850"/>
      <c r="J112" s="2850"/>
      <c r="K112" s="2850"/>
      <c r="L112" s="2850"/>
      <c r="M112" s="2850"/>
    </row>
    <row r="113" spans="1:13">
      <c r="A113" s="2850"/>
      <c r="C113" s="2850"/>
      <c r="D113" s="2850"/>
      <c r="E113" s="2850"/>
      <c r="F113" s="2850"/>
      <c r="G113" s="2850"/>
      <c r="H113" s="2850"/>
      <c r="I113" s="2850"/>
      <c r="J113" s="2850"/>
      <c r="K113" s="2850"/>
      <c r="L113" s="2850"/>
      <c r="M113" s="2850"/>
    </row>
    <row r="114" spans="1:13">
      <c r="A114" s="2850"/>
      <c r="C114" s="2850"/>
      <c r="D114" s="2850"/>
      <c r="E114" s="2850"/>
      <c r="F114" s="2850"/>
      <c r="G114" s="2850"/>
      <c r="H114" s="2850"/>
      <c r="I114" s="2850"/>
      <c r="J114" s="2850"/>
      <c r="K114" s="2850"/>
      <c r="L114" s="2850"/>
      <c r="M114" s="2850"/>
    </row>
    <row r="115" spans="1:13">
      <c r="A115" s="2850"/>
      <c r="C115" s="2850"/>
      <c r="D115" s="2850"/>
      <c r="E115" s="2850"/>
      <c r="F115" s="2850"/>
      <c r="G115" s="2850"/>
      <c r="H115" s="2850"/>
      <c r="I115" s="2850"/>
      <c r="J115" s="2850"/>
      <c r="K115" s="2850"/>
      <c r="L115" s="2850"/>
      <c r="M115" s="2850"/>
    </row>
    <row r="116" spans="1:13">
      <c r="A116" s="2850"/>
      <c r="C116" s="2850"/>
      <c r="D116" s="2850"/>
      <c r="E116" s="2850"/>
      <c r="F116" s="2850"/>
      <c r="G116" s="2850"/>
      <c r="H116" s="2850"/>
      <c r="I116" s="2850"/>
      <c r="J116" s="2850"/>
      <c r="K116" s="2850"/>
      <c r="L116" s="2850"/>
      <c r="M116" s="2850"/>
    </row>
    <row r="117" spans="1:13">
      <c r="A117" s="2850"/>
      <c r="C117" s="2850"/>
      <c r="D117" s="2850"/>
      <c r="E117" s="2850"/>
      <c r="F117" s="2850"/>
      <c r="G117" s="2850"/>
      <c r="H117" s="2850"/>
      <c r="I117" s="2850"/>
      <c r="J117" s="2850"/>
      <c r="K117" s="2850"/>
      <c r="L117" s="2850"/>
      <c r="M117" s="2850"/>
    </row>
    <row r="118" spans="1:13">
      <c r="A118" s="2850"/>
      <c r="C118" s="2850"/>
      <c r="D118" s="2850"/>
      <c r="E118" s="2850"/>
      <c r="F118" s="2850"/>
      <c r="G118" s="2850"/>
      <c r="H118" s="2850"/>
      <c r="I118" s="2850"/>
      <c r="J118" s="2850"/>
      <c r="K118" s="2850"/>
      <c r="L118" s="2850"/>
      <c r="M118" s="2850"/>
    </row>
    <row r="119" spans="1:13">
      <c r="A119" s="2850"/>
      <c r="C119" s="2850"/>
      <c r="D119" s="2850"/>
      <c r="E119" s="2850"/>
      <c r="F119" s="2850"/>
      <c r="G119" s="2850"/>
      <c r="H119" s="2850"/>
      <c r="I119" s="2850"/>
      <c r="J119" s="2850"/>
      <c r="K119" s="2850"/>
      <c r="L119" s="2850"/>
      <c r="M119" s="2850"/>
    </row>
  </sheetData>
  <mergeCells count="35">
    <mergeCell ref="H15:J15"/>
    <mergeCell ref="H16:J16"/>
    <mergeCell ref="E18:L18"/>
    <mergeCell ref="E19:L19"/>
    <mergeCell ref="E20:L20"/>
    <mergeCell ref="A87:B87"/>
    <mergeCell ref="C87:K87"/>
    <mergeCell ref="L87:P87"/>
    <mergeCell ref="E21:L21"/>
    <mergeCell ref="E78:M78"/>
    <mergeCell ref="E79:M79"/>
    <mergeCell ref="E80:M80"/>
    <mergeCell ref="E82:M82"/>
    <mergeCell ref="A94:P94"/>
    <mergeCell ref="C96:E96"/>
    <mergeCell ref="J96:L96"/>
    <mergeCell ref="M96:P96"/>
    <mergeCell ref="A8:P8"/>
    <mergeCell ref="A10:A11"/>
    <mergeCell ref="B10:B11"/>
    <mergeCell ref="C10:C11"/>
    <mergeCell ref="D10:D11"/>
    <mergeCell ref="E10:L10"/>
    <mergeCell ref="M10:M11"/>
    <mergeCell ref="N10:N11"/>
    <mergeCell ref="P10:P11"/>
    <mergeCell ref="E83:M83"/>
    <mergeCell ref="A85:B85"/>
    <mergeCell ref="I86:P86"/>
    <mergeCell ref="A7:P7"/>
    <mergeCell ref="A1:P1"/>
    <mergeCell ref="A2:P2"/>
    <mergeCell ref="A3:P3"/>
    <mergeCell ref="A4:D4"/>
    <mergeCell ref="A5:D5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23"/>
  <sheetViews>
    <sheetView workbookViewId="0">
      <selection activeCell="E18" sqref="E18"/>
    </sheetView>
  </sheetViews>
  <sheetFormatPr defaultColWidth="9.140625" defaultRowHeight="16.5"/>
  <cols>
    <col min="1" max="1" width="5" style="2481" customWidth="1"/>
    <col min="2" max="2" width="23.85546875" style="2481" customWidth="1"/>
    <col min="3" max="3" width="13.42578125" style="2481" customWidth="1"/>
    <col min="4" max="4" width="12.85546875" style="2481" customWidth="1"/>
    <col min="5" max="5" width="13.42578125" style="2481" customWidth="1"/>
    <col min="6" max="6" width="16.85546875" style="2481" customWidth="1"/>
    <col min="7" max="7" width="17.5703125" style="2481" customWidth="1"/>
    <col min="8" max="8" width="15.42578125" style="2481" customWidth="1"/>
    <col min="9" max="9" width="16.7109375" style="2481" customWidth="1"/>
    <col min="10" max="10" width="11.140625" style="2481" customWidth="1"/>
    <col min="11" max="11" width="8.42578125" style="2481" customWidth="1"/>
    <col min="12" max="12" width="12.85546875" style="2481" customWidth="1"/>
    <col min="13" max="13" width="13.42578125" style="2481" customWidth="1"/>
    <col min="14" max="15" width="7.85546875" style="2481" customWidth="1"/>
    <col min="16" max="16" width="7.28515625" style="2481" customWidth="1"/>
    <col min="17" max="17" width="7.42578125" style="2481" customWidth="1"/>
    <col min="18" max="18" width="6.28515625" style="2481" customWidth="1"/>
    <col min="19" max="19" width="5.7109375" style="2481" customWidth="1"/>
    <col min="20" max="20" width="6" style="2481" customWidth="1"/>
    <col min="21" max="21" width="4.85546875" style="2481" customWidth="1"/>
    <col min="22" max="22" width="6" style="2481" customWidth="1"/>
    <col min="23" max="23" width="6.5703125" style="2481" customWidth="1"/>
    <col min="24" max="24" width="8.140625" style="2481" customWidth="1"/>
    <col min="25" max="25" width="6" style="2481" customWidth="1"/>
    <col min="26" max="26" width="8.140625" style="2481" customWidth="1"/>
    <col min="27" max="27" width="15" style="2481" bestFit="1" customWidth="1"/>
    <col min="28" max="28" width="17.85546875" style="2481" bestFit="1" customWidth="1"/>
    <col min="29" max="29" width="12.85546875" style="2481" bestFit="1" customWidth="1"/>
    <col min="30" max="16384" width="9.140625" style="2481"/>
  </cols>
  <sheetData>
    <row r="1" spans="1:29">
      <c r="A1" s="4174" t="s">
        <v>23</v>
      </c>
      <c r="B1" s="4174"/>
      <c r="C1" s="4174"/>
      <c r="D1" s="4174"/>
      <c r="E1" s="4174"/>
      <c r="F1" s="4174"/>
      <c r="G1" s="4174"/>
      <c r="H1" s="4174"/>
      <c r="I1" s="4174"/>
      <c r="J1" s="4174"/>
      <c r="K1" s="2482"/>
      <c r="L1" s="2482"/>
      <c r="M1" s="2482"/>
      <c r="N1" s="2483"/>
      <c r="P1" s="2482"/>
      <c r="Q1" s="2482"/>
      <c r="R1" s="2482"/>
      <c r="S1" s="2482"/>
      <c r="T1" s="2482"/>
      <c r="U1" s="2482"/>
      <c r="V1" s="2482"/>
      <c r="W1" s="2482"/>
      <c r="X1" s="2482"/>
      <c r="Y1" s="2482"/>
      <c r="Z1" s="2482"/>
    </row>
    <row r="2" spans="1:29">
      <c r="A2" s="4174" t="s">
        <v>170</v>
      </c>
      <c r="B2" s="4174"/>
      <c r="C2" s="4174"/>
      <c r="D2" s="4174"/>
      <c r="E2" s="4174"/>
      <c r="F2" s="4174"/>
      <c r="G2" s="4174"/>
      <c r="H2" s="4174"/>
      <c r="I2" s="4174"/>
      <c r="J2" s="4174"/>
      <c r="K2" s="2484"/>
      <c r="L2" s="2484"/>
      <c r="M2" s="2484"/>
      <c r="N2" s="2484"/>
      <c r="O2" s="2485"/>
      <c r="Q2" s="2484"/>
      <c r="R2" s="2484"/>
      <c r="S2" s="2484"/>
      <c r="T2" s="2484"/>
      <c r="U2" s="2484"/>
      <c r="V2" s="2484"/>
      <c r="W2" s="2484"/>
      <c r="X2" s="2484"/>
      <c r="Y2" s="2484"/>
      <c r="Z2" s="2485"/>
    </row>
    <row r="3" spans="1:29">
      <c r="A3" s="4175" t="s">
        <v>1580</v>
      </c>
      <c r="B3" s="4174"/>
      <c r="C3" s="4174"/>
      <c r="D3" s="4174"/>
      <c r="E3" s="4174"/>
      <c r="F3" s="4174"/>
      <c r="G3" s="4174"/>
      <c r="H3" s="4174"/>
      <c r="I3" s="4174"/>
      <c r="J3" s="4174"/>
      <c r="K3" s="2484"/>
      <c r="L3" s="2484"/>
      <c r="M3" s="2484"/>
      <c r="N3" s="2484"/>
      <c r="O3" s="2485"/>
      <c r="Q3" s="2484"/>
      <c r="R3" s="2484"/>
      <c r="S3" s="2484"/>
      <c r="T3" s="2484"/>
      <c r="U3" s="2484"/>
      <c r="V3" s="2484"/>
      <c r="W3" s="2484"/>
      <c r="X3" s="2484"/>
      <c r="Y3" s="2484"/>
      <c r="Z3" s="2485"/>
    </row>
    <row r="4" spans="1:29">
      <c r="A4" s="2480"/>
      <c r="B4" s="2480"/>
      <c r="C4" s="2480"/>
      <c r="D4" s="2480"/>
      <c r="E4" s="2480"/>
      <c r="F4" s="2480"/>
      <c r="G4" s="2480"/>
      <c r="H4" s="2480"/>
      <c r="I4" s="2486"/>
      <c r="J4" s="2486"/>
      <c r="K4" s="2487"/>
      <c r="L4" s="2487"/>
      <c r="M4" s="2487"/>
      <c r="N4" s="2488"/>
      <c r="O4" s="2489"/>
      <c r="P4" s="2490"/>
      <c r="Q4" s="2491"/>
      <c r="R4" s="2491"/>
      <c r="S4" s="2491"/>
      <c r="T4" s="2491"/>
      <c r="U4" s="2491"/>
      <c r="V4" s="2491"/>
      <c r="W4" s="2491"/>
      <c r="X4" s="2491"/>
      <c r="Y4" s="2491"/>
      <c r="Z4" s="2485"/>
      <c r="AA4" s="2492">
        <f>1372+388</f>
        <v>1760</v>
      </c>
      <c r="AB4" s="2481">
        <f>AA4*30000</f>
        <v>52800000</v>
      </c>
      <c r="AC4" s="2481" t="e">
        <f>AB4+#REF!+#REF!</f>
        <v>#REF!</v>
      </c>
    </row>
    <row r="5" spans="1:29">
      <c r="A5" s="4477" t="s">
        <v>922</v>
      </c>
      <c r="B5" s="4477"/>
      <c r="C5" s="4477"/>
      <c r="D5" s="4477"/>
      <c r="E5" s="4477"/>
      <c r="F5" s="83"/>
      <c r="G5" s="83"/>
      <c r="H5" s="83"/>
      <c r="I5" s="2486"/>
      <c r="J5" s="2486"/>
      <c r="K5" s="2487"/>
      <c r="L5" s="2487"/>
      <c r="M5" s="2487"/>
      <c r="N5" s="2488"/>
      <c r="O5" s="2489"/>
      <c r="P5" s="2490"/>
      <c r="Q5" s="2491"/>
      <c r="R5" s="2491"/>
      <c r="S5" s="2491"/>
      <c r="T5" s="2491"/>
      <c r="U5" s="2491"/>
      <c r="V5" s="2491"/>
      <c r="W5" s="2491"/>
      <c r="X5" s="2491"/>
      <c r="Y5" s="2491"/>
      <c r="Z5" s="2485"/>
      <c r="AA5" s="2492"/>
    </row>
    <row r="6" spans="1:29" ht="14.25" customHeight="1">
      <c r="A6" s="4171" t="s">
        <v>90</v>
      </c>
      <c r="B6" s="4171"/>
      <c r="C6" s="4171"/>
      <c r="D6" s="4171"/>
      <c r="E6" s="4171"/>
      <c r="F6" s="2493"/>
      <c r="G6" s="2493"/>
      <c r="H6" s="2486"/>
      <c r="I6" s="2486"/>
      <c r="J6" s="2486"/>
      <c r="K6" s="2487"/>
      <c r="L6" s="2487"/>
      <c r="M6" s="2487"/>
      <c r="N6" s="2488"/>
      <c r="O6" s="2489"/>
      <c r="P6" s="2490"/>
      <c r="Q6" s="2491"/>
      <c r="R6" s="2491"/>
      <c r="S6" s="2491"/>
      <c r="T6" s="2491"/>
      <c r="U6" s="2491"/>
      <c r="V6" s="2491"/>
      <c r="W6" s="2491"/>
      <c r="X6" s="2491"/>
      <c r="Y6" s="2491"/>
      <c r="Z6" s="2485"/>
      <c r="AA6" s="2492"/>
    </row>
    <row r="7" spans="1:29">
      <c r="A7" s="2381"/>
      <c r="B7" s="2381"/>
      <c r="C7" s="2381"/>
      <c r="D7" s="2381"/>
      <c r="E7" s="2381"/>
      <c r="F7" s="2493"/>
      <c r="G7" s="2493"/>
      <c r="H7" s="2486"/>
      <c r="I7" s="2486"/>
      <c r="J7" s="2486"/>
      <c r="K7" s="2487"/>
      <c r="L7" s="2487"/>
      <c r="M7" s="2487"/>
      <c r="N7" s="2488"/>
      <c r="O7" s="2489"/>
      <c r="P7" s="2490"/>
      <c r="Q7" s="2491"/>
      <c r="R7" s="2491"/>
      <c r="S7" s="2491"/>
      <c r="T7" s="2491"/>
      <c r="U7" s="2491"/>
      <c r="V7" s="2491"/>
      <c r="W7" s="2491"/>
      <c r="X7" s="2491"/>
      <c r="Y7" s="2491"/>
      <c r="Z7" s="2485"/>
      <c r="AA7" s="2492"/>
    </row>
    <row r="8" spans="1:29" ht="18.75">
      <c r="A8" s="4173" t="s">
        <v>2501</v>
      </c>
      <c r="B8" s="4088"/>
      <c r="C8" s="4088"/>
      <c r="D8" s="4088"/>
      <c r="E8" s="4088"/>
      <c r="F8" s="4088"/>
      <c r="G8" s="4088"/>
      <c r="H8" s="4088"/>
      <c r="I8" s="4088"/>
      <c r="J8" s="4088"/>
      <c r="K8" s="2494"/>
      <c r="L8" s="2494"/>
      <c r="M8" s="2494"/>
      <c r="N8" s="2494"/>
      <c r="O8" s="2495"/>
      <c r="P8" s="2495"/>
      <c r="Q8" s="2495"/>
      <c r="R8" s="2495"/>
      <c r="S8" s="2495"/>
      <c r="T8" s="2495"/>
      <c r="U8" s="2495"/>
      <c r="V8" s="2495"/>
      <c r="W8" s="2495"/>
      <c r="X8" s="2495"/>
      <c r="Y8" s="2495"/>
      <c r="Z8" s="2495"/>
    </row>
    <row r="9" spans="1:29">
      <c r="A9" s="2496"/>
      <c r="B9" s="2116"/>
      <c r="C9" s="2116"/>
      <c r="D9" s="2496"/>
      <c r="E9" s="2496"/>
      <c r="F9" s="2496"/>
      <c r="G9" s="2496"/>
      <c r="H9" s="2496"/>
      <c r="I9" s="4176" t="s">
        <v>1581</v>
      </c>
      <c r="J9" s="4176"/>
      <c r="K9" s="2497"/>
      <c r="L9" s="2498"/>
      <c r="M9" s="2499"/>
    </row>
    <row r="10" spans="1:29" ht="16.5" customHeight="1">
      <c r="A10" s="4154" t="s">
        <v>0</v>
      </c>
      <c r="B10" s="4154" t="s">
        <v>1582</v>
      </c>
      <c r="C10" s="4154" t="s">
        <v>1583</v>
      </c>
      <c r="D10" s="4177" t="s">
        <v>137</v>
      </c>
      <c r="E10" s="4144" t="s">
        <v>94</v>
      </c>
      <c r="F10" s="4144" t="s">
        <v>1254</v>
      </c>
      <c r="G10" s="4177" t="s">
        <v>1549</v>
      </c>
      <c r="H10" s="4179" t="s">
        <v>9</v>
      </c>
      <c r="I10" s="4154" t="s">
        <v>10</v>
      </c>
      <c r="J10" s="4154" t="s">
        <v>92</v>
      </c>
      <c r="K10" s="2500"/>
      <c r="L10" s="2501"/>
      <c r="M10" s="2502"/>
    </row>
    <row r="11" spans="1:29">
      <c r="A11" s="4154"/>
      <c r="B11" s="4154"/>
      <c r="C11" s="4154"/>
      <c r="D11" s="4178"/>
      <c r="E11" s="4144"/>
      <c r="F11" s="4144"/>
      <c r="G11" s="4178"/>
      <c r="H11" s="4179"/>
      <c r="I11" s="4154"/>
      <c r="J11" s="4154"/>
      <c r="K11" s="2503"/>
      <c r="L11" s="2501"/>
      <c r="M11" s="2502"/>
    </row>
    <row r="12" spans="1:29" ht="30.75" customHeight="1">
      <c r="A12" s="2504">
        <v>1</v>
      </c>
      <c r="B12" s="3801" t="s">
        <v>1677</v>
      </c>
      <c r="C12" s="2504" t="s">
        <v>167</v>
      </c>
      <c r="D12" s="2438">
        <f>+VLOOKUP(B12,'Đội 1'!C18:P99,14,0)</f>
        <v>15</v>
      </c>
      <c r="E12" s="3802">
        <v>80000</v>
      </c>
      <c r="F12" s="3802">
        <f t="shared" ref="F12" si="0">D12*E12</f>
        <v>1200000</v>
      </c>
      <c r="G12" s="2508">
        <f t="shared" ref="G12" si="1">IF(F12&gt;65000000,((F12-65000000)*25%+10685000),IF(F12&gt;25000000,((F12-25000000)*20%+2685000),IF(F12&gt;15000000,((F12-15000000)*15%+1185000),IF(F12&gt;5000000,(F12-5000000)*10%+185000,IF(F12&gt;1300000,(F12-1300000)*5%,0)))))</f>
        <v>0</v>
      </c>
      <c r="H12" s="3802">
        <f t="shared" ref="H12" si="2">+F12-G12</f>
        <v>1200000</v>
      </c>
      <c r="I12" s="3785"/>
      <c r="J12" s="3785"/>
      <c r="K12" s="2503"/>
      <c r="L12" s="2501"/>
      <c r="M12" s="2502"/>
    </row>
    <row r="13" spans="1:29" ht="30.75" customHeight="1">
      <c r="A13" s="4478" t="s">
        <v>61</v>
      </c>
      <c r="B13" s="4478"/>
      <c r="C13" s="3796"/>
      <c r="D13" s="3797">
        <f>SUM(D12:D12)</f>
        <v>15</v>
      </c>
      <c r="E13" s="3798"/>
      <c r="F13" s="3798">
        <f>SUM(F12:F12)</f>
        <v>1200000</v>
      </c>
      <c r="G13" s="3799">
        <f>SUM(G12:G12)</f>
        <v>0</v>
      </c>
      <c r="H13" s="3798">
        <f>SUM(H12:H12)</f>
        <v>1200000</v>
      </c>
      <c r="I13" s="3797"/>
      <c r="J13" s="3800"/>
      <c r="K13" s="2503"/>
      <c r="L13" s="2511"/>
      <c r="M13" s="2512"/>
    </row>
    <row r="14" spans="1:29" ht="22.5" customHeight="1">
      <c r="A14" s="4181" t="s">
        <v>2503</v>
      </c>
      <c r="B14" s="4182"/>
      <c r="C14" s="4182"/>
      <c r="D14" s="4182"/>
      <c r="E14" s="4182"/>
      <c r="F14" s="4182"/>
      <c r="G14" s="4182"/>
      <c r="H14" s="4182"/>
      <c r="I14" s="4182"/>
      <c r="J14" s="4182"/>
    </row>
    <row r="15" spans="1:29">
      <c r="G15" s="4479" t="s">
        <v>2502</v>
      </c>
      <c r="H15" s="4479"/>
      <c r="I15" s="4479"/>
      <c r="J15" s="4479"/>
      <c r="K15" s="2513"/>
      <c r="L15" s="2513"/>
      <c r="M15" s="2513"/>
      <c r="N15" s="2513"/>
      <c r="O15" s="2513"/>
    </row>
    <row r="16" spans="1:29">
      <c r="A16" s="4180" t="s">
        <v>1586</v>
      </c>
      <c r="B16" s="4180"/>
      <c r="C16" s="4180" t="s">
        <v>1587</v>
      </c>
      <c r="D16" s="4180"/>
      <c r="E16" s="4180"/>
      <c r="F16" s="4180" t="s">
        <v>513</v>
      </c>
      <c r="G16" s="4180"/>
      <c r="H16" s="4180" t="s">
        <v>1588</v>
      </c>
      <c r="I16" s="4180"/>
      <c r="J16" s="4180"/>
    </row>
    <row r="22" spans="4:10">
      <c r="H22" s="4180"/>
      <c r="I22" s="4180"/>
      <c r="J22" s="4180"/>
    </row>
    <row r="23" spans="4:10">
      <c r="D23" s="2481" t="s">
        <v>227</v>
      </c>
    </row>
  </sheetData>
  <mergeCells count="25">
    <mergeCell ref="A13:B13"/>
    <mergeCell ref="A14:J14"/>
    <mergeCell ref="H16:J16"/>
    <mergeCell ref="H22:J22"/>
    <mergeCell ref="A16:B16"/>
    <mergeCell ref="F16:G16"/>
    <mergeCell ref="C16:E16"/>
    <mergeCell ref="G15:J15"/>
    <mergeCell ref="I9:J9"/>
    <mergeCell ref="A10:A11"/>
    <mergeCell ref="B10:B11"/>
    <mergeCell ref="C10:C11"/>
    <mergeCell ref="E10:E11"/>
    <mergeCell ref="F10:F11"/>
    <mergeCell ref="H10:H11"/>
    <mergeCell ref="D10:D11"/>
    <mergeCell ref="I10:I11"/>
    <mergeCell ref="J10:J11"/>
    <mergeCell ref="G10:G11"/>
    <mergeCell ref="A8:J8"/>
    <mergeCell ref="A1:J1"/>
    <mergeCell ref="A2:J2"/>
    <mergeCell ref="A3:J3"/>
    <mergeCell ref="A5:E5"/>
    <mergeCell ref="A6:E6"/>
  </mergeCells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Z158"/>
  <sheetViews>
    <sheetView topLeftCell="A17" zoomScale="62" zoomScaleNormal="62" workbookViewId="0">
      <selection activeCell="L22" sqref="L22:L23"/>
    </sheetView>
  </sheetViews>
  <sheetFormatPr defaultColWidth="9.42578125" defaultRowHeight="23.25"/>
  <cols>
    <col min="1" max="1" width="6.140625" style="2516" customWidth="1"/>
    <col min="2" max="2" width="19.140625" style="2934" customWidth="1"/>
    <col min="3" max="3" width="28.42578125" style="2518" customWidth="1"/>
    <col min="4" max="4" width="15.5703125" style="2519" customWidth="1"/>
    <col min="5" max="5" width="22.28515625" style="2519" customWidth="1"/>
    <col min="6" max="6" width="20.140625" style="2520" hidden="1" customWidth="1"/>
    <col min="7" max="7" width="20.140625" style="2519" hidden="1" customWidth="1"/>
    <col min="8" max="8" width="17.140625" style="2519" customWidth="1"/>
    <col min="9" max="9" width="9.42578125" style="2519" hidden="1" customWidth="1"/>
    <col min="10" max="10" width="23.140625" style="2521" customWidth="1"/>
    <col min="11" max="11" width="15" style="2521" hidden="1" customWidth="1"/>
    <col min="12" max="12" width="18.7109375" style="2522" customWidth="1"/>
    <col min="13" max="13" width="27.28515625" style="2523" customWidth="1"/>
    <col min="14" max="14" width="24.140625" style="2523" customWidth="1"/>
    <col min="15" max="15" width="20.42578125" style="2523" customWidth="1"/>
    <col min="16" max="16" width="11.85546875" style="2519" hidden="1" customWidth="1"/>
    <col min="17" max="17" width="14.5703125" style="2519" hidden="1" customWidth="1"/>
    <col min="18" max="18" width="12.42578125" style="2519" hidden="1" customWidth="1"/>
    <col min="19" max="19" width="0.28515625" style="2519" customWidth="1"/>
    <col min="20" max="20" width="23.42578125" style="2519" customWidth="1"/>
    <col min="21" max="21" width="16.7109375" style="2519" hidden="1" customWidth="1"/>
    <col min="22" max="22" width="20.85546875" style="2519" customWidth="1"/>
    <col min="23" max="23" width="24.28515625" style="2519" customWidth="1"/>
    <col min="24" max="24" width="17.5703125" style="2519" customWidth="1"/>
    <col min="25" max="25" width="22.7109375" style="2519" bestFit="1" customWidth="1"/>
    <col min="26" max="26" width="15.140625" style="2519" customWidth="1"/>
    <col min="27" max="27" width="24.140625" style="2519" customWidth="1"/>
    <col min="28" max="28" width="9.42578125" style="2519"/>
    <col min="29" max="29" width="18.85546875" style="2519" bestFit="1" customWidth="1"/>
    <col min="30" max="31" width="9.42578125" style="2519"/>
    <col min="32" max="32" width="9.5703125" style="2519" bestFit="1" customWidth="1"/>
    <col min="33" max="16384" width="9.42578125" style="2519"/>
  </cols>
  <sheetData>
    <row r="2" spans="1:26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  <c r="X2" s="3958"/>
    </row>
    <row r="3" spans="1:26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  <c r="X3" s="3958"/>
    </row>
    <row r="4" spans="1:26" ht="21" customHeight="1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  <c r="X4" s="3960"/>
    </row>
    <row r="5" spans="1:26">
      <c r="A5" s="2930"/>
      <c r="B5" s="2930"/>
      <c r="C5" s="2930"/>
      <c r="D5" s="2930"/>
      <c r="E5" s="2930"/>
      <c r="F5" s="2930"/>
      <c r="G5" s="2930"/>
      <c r="H5" s="2930"/>
      <c r="I5" s="2930"/>
      <c r="J5" s="2930"/>
      <c r="K5" s="2930"/>
      <c r="L5" s="2930"/>
      <c r="M5" s="2930"/>
      <c r="N5" s="3199"/>
      <c r="O5" s="3199"/>
      <c r="P5" s="2930"/>
      <c r="Q5" s="2930"/>
      <c r="R5" s="2930"/>
      <c r="S5" s="2930"/>
      <c r="T5" s="2930"/>
      <c r="U5" s="2930"/>
      <c r="V5" s="2930"/>
      <c r="W5" s="2930"/>
      <c r="X5" s="2930"/>
    </row>
    <row r="6" spans="1:26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2925"/>
      <c r="L6" s="2525"/>
      <c r="M6" s="2525"/>
      <c r="N6" s="2525"/>
      <c r="O6" s="2525"/>
      <c r="P6" s="2525"/>
      <c r="Q6" s="2525"/>
      <c r="R6" s="2525"/>
      <c r="S6" s="2526"/>
      <c r="T6" s="2526"/>
      <c r="U6" s="2526"/>
      <c r="V6" s="2526"/>
      <c r="W6" s="2526"/>
    </row>
    <row r="7" spans="1:26">
      <c r="A7" s="3962" t="s">
        <v>1894</v>
      </c>
      <c r="B7" s="3962"/>
      <c r="C7" s="3962"/>
      <c r="D7" s="3962"/>
      <c r="E7" s="3962"/>
      <c r="F7" s="3962"/>
      <c r="G7" s="3962"/>
      <c r="H7" s="3962"/>
      <c r="I7" s="3962"/>
      <c r="J7" s="3962"/>
      <c r="K7" s="2925"/>
      <c r="L7" s="2525"/>
      <c r="M7" s="2525"/>
      <c r="N7" s="2525"/>
      <c r="O7" s="2525"/>
      <c r="P7" s="2525"/>
      <c r="Q7" s="2525"/>
      <c r="R7" s="2525"/>
      <c r="S7" s="2526"/>
      <c r="T7" s="2526"/>
      <c r="U7" s="2526"/>
      <c r="V7" s="2526"/>
      <c r="W7" s="2526"/>
    </row>
    <row r="8" spans="1:26">
      <c r="A8" s="2925"/>
      <c r="B8" s="2925"/>
      <c r="C8" s="2925"/>
      <c r="D8" s="2925"/>
      <c r="E8" s="2925"/>
      <c r="F8" s="2925"/>
      <c r="G8" s="2925"/>
      <c r="H8" s="2925"/>
      <c r="I8" s="2925"/>
      <c r="J8" s="2925"/>
      <c r="K8" s="2925"/>
      <c r="L8" s="2525"/>
      <c r="M8" s="2525"/>
      <c r="N8" s="2525"/>
      <c r="O8" s="2525"/>
      <c r="P8" s="2525"/>
      <c r="Q8" s="2525"/>
      <c r="R8" s="2525"/>
      <c r="S8" s="2526"/>
      <c r="T8" s="2526"/>
      <c r="U8" s="2526"/>
      <c r="V8" s="2526"/>
      <c r="W8" s="2526"/>
    </row>
    <row r="9" spans="1:26" s="2528" customFormat="1" ht="27.75" customHeight="1">
      <c r="A9" s="3963" t="s">
        <v>1942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  <c r="X9" s="3963"/>
    </row>
    <row r="10" spans="1:26" s="2528" customFormat="1" ht="22.5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</row>
    <row r="11" spans="1:26" s="2528" customFormat="1" ht="29.25" customHeight="1">
      <c r="A11" s="2529"/>
      <c r="B11" s="2925"/>
      <c r="C11" s="2577"/>
      <c r="D11" s="3007">
        <v>680.72</v>
      </c>
      <c r="E11" s="2577"/>
      <c r="F11" s="2577"/>
      <c r="G11" s="2530"/>
      <c r="H11" s="2530"/>
      <c r="I11" s="2530"/>
      <c r="J11" s="2531"/>
      <c r="K11" s="2531"/>
      <c r="L11" s="2925"/>
      <c r="M11" s="2925"/>
      <c r="N11" s="3194"/>
      <c r="O11" s="3194"/>
      <c r="P11" s="2925"/>
      <c r="Q11" s="2925"/>
      <c r="R11" s="2925"/>
      <c r="S11" s="2925"/>
      <c r="T11" s="2925"/>
      <c r="U11" s="2925"/>
      <c r="V11" s="2925"/>
      <c r="W11" s="2925"/>
      <c r="Y11" s="2528">
        <f>'[3]Bảng CC vn'!AK10</f>
        <v>25</v>
      </c>
    </row>
    <row r="12" spans="1:26" ht="31.5" customHeight="1">
      <c r="A12" s="2532"/>
      <c r="B12" s="2932"/>
      <c r="C12" s="4480"/>
      <c r="D12" s="4480"/>
      <c r="E12" s="4480"/>
      <c r="F12" s="4480"/>
      <c r="G12" s="2534"/>
      <c r="H12" s="2534"/>
      <c r="I12" s="2534"/>
      <c r="J12" s="2535"/>
      <c r="K12" s="2535"/>
      <c r="L12" s="2536"/>
      <c r="M12" s="2537"/>
      <c r="N12" s="2537"/>
      <c r="O12" s="2537"/>
      <c r="P12" s="2538"/>
      <c r="Q12" s="2538"/>
      <c r="R12" s="2538"/>
      <c r="S12" s="2538"/>
      <c r="T12" s="2538"/>
      <c r="U12" s="2538"/>
      <c r="V12" s="2538"/>
      <c r="W12" s="2538"/>
      <c r="X12" s="2539" t="s">
        <v>1590</v>
      </c>
    </row>
    <row r="13" spans="1:26" s="2925" customFormat="1" ht="35.25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7"/>
      <c r="T13" s="3968" t="s">
        <v>1650</v>
      </c>
      <c r="U13" s="3968" t="s">
        <v>1585</v>
      </c>
      <c r="V13" s="3951" t="s">
        <v>1653</v>
      </c>
      <c r="W13" s="3968" t="s">
        <v>1570</v>
      </c>
      <c r="X13" s="3950" t="s">
        <v>92</v>
      </c>
    </row>
    <row r="14" spans="1:26" s="2925" customFormat="1" ht="33" customHeight="1">
      <c r="A14" s="3965"/>
      <c r="B14" s="3965"/>
      <c r="C14" s="3966"/>
      <c r="D14" s="3965"/>
      <c r="E14" s="3950"/>
      <c r="F14" s="3980" t="s">
        <v>1660</v>
      </c>
      <c r="G14" s="3981"/>
      <c r="H14" s="3984" t="s">
        <v>183</v>
      </c>
      <c r="I14" s="3953"/>
      <c r="J14" s="3953"/>
      <c r="K14" s="3953"/>
      <c r="L14" s="3953"/>
      <c r="M14" s="3953"/>
      <c r="N14" s="3953"/>
      <c r="O14" s="3954"/>
      <c r="P14" s="3984" t="s">
        <v>1900</v>
      </c>
      <c r="Q14" s="3953"/>
      <c r="R14" s="3953"/>
      <c r="S14" s="3954"/>
      <c r="T14" s="3968"/>
      <c r="U14" s="3968"/>
      <c r="V14" s="3972"/>
      <c r="W14" s="3968"/>
      <c r="X14" s="3950"/>
      <c r="Y14" s="2925" t="s">
        <v>819</v>
      </c>
      <c r="Z14" s="3191">
        <v>0.43429611090000003</v>
      </c>
    </row>
    <row r="15" spans="1:26" s="2925" customFormat="1" ht="51" customHeight="1">
      <c r="A15" s="3965"/>
      <c r="B15" s="3965"/>
      <c r="C15" s="3966"/>
      <c r="D15" s="3965"/>
      <c r="E15" s="3950"/>
      <c r="F15" s="3982"/>
      <c r="G15" s="3983"/>
      <c r="H15" s="3985"/>
      <c r="I15" s="3955"/>
      <c r="J15" s="3955"/>
      <c r="K15" s="3955"/>
      <c r="L15" s="3955"/>
      <c r="M15" s="3955"/>
      <c r="N15" s="3955"/>
      <c r="O15" s="3956"/>
      <c r="P15" s="3985"/>
      <c r="Q15" s="3955"/>
      <c r="R15" s="3955"/>
      <c r="S15" s="3956"/>
      <c r="T15" s="3968"/>
      <c r="U15" s="3968"/>
      <c r="V15" s="3972"/>
      <c r="W15" s="3968"/>
      <c r="X15" s="3950"/>
    </row>
    <row r="16" spans="1:26" s="2935" customFormat="1" ht="123" customHeight="1">
      <c r="A16" s="3965"/>
      <c r="B16" s="3965"/>
      <c r="C16" s="3966"/>
      <c r="D16" s="3965"/>
      <c r="E16" s="3950"/>
      <c r="F16" s="2540" t="s">
        <v>1593</v>
      </c>
      <c r="G16" s="2927" t="s">
        <v>14</v>
      </c>
      <c r="H16" s="3210" t="s">
        <v>1594</v>
      </c>
      <c r="I16" s="3195" t="s">
        <v>1646</v>
      </c>
      <c r="J16" s="3211" t="s">
        <v>1898</v>
      </c>
      <c r="K16" s="3207" t="s">
        <v>1891</v>
      </c>
      <c r="L16" s="3198" t="s">
        <v>1595</v>
      </c>
      <c r="M16" s="3196" t="s">
        <v>1084</v>
      </c>
      <c r="N16" s="3196" t="s">
        <v>1943</v>
      </c>
      <c r="O16" s="3196" t="s">
        <v>1956</v>
      </c>
      <c r="P16" s="2928" t="s">
        <v>1596</v>
      </c>
      <c r="Q16" s="2928" t="s">
        <v>1651</v>
      </c>
      <c r="R16" s="2928" t="s">
        <v>1652</v>
      </c>
      <c r="S16" s="2928" t="s">
        <v>1254</v>
      </c>
      <c r="T16" s="3968"/>
      <c r="U16" s="3968"/>
      <c r="V16" s="3952"/>
      <c r="W16" s="3968"/>
      <c r="X16" s="3950"/>
    </row>
    <row r="17" spans="1:24" s="2935" customFormat="1" ht="57.75" customHeight="1">
      <c r="A17" s="2545">
        <v>1</v>
      </c>
      <c r="B17" s="2773" t="s">
        <v>1726</v>
      </c>
      <c r="C17" s="2546" t="s">
        <v>1551</v>
      </c>
      <c r="D17" s="2546" t="str">
        <f>'[3]CNKT '!D16</f>
        <v>CNKT</v>
      </c>
      <c r="E17" s="2546"/>
      <c r="F17" s="2547">
        <v>0</v>
      </c>
      <c r="G17" s="2546">
        <f>+F17</f>
        <v>0</v>
      </c>
      <c r="H17" s="2546">
        <f>+VLOOKUP(C17,'Mủ CN (tam ung)'!C12:AK40,35,0)</f>
        <v>51</v>
      </c>
      <c r="I17" s="2546" t="e">
        <f>VLOOKUP(C17,VCKD!#REF!,9,0)</f>
        <v>#REF!</v>
      </c>
      <c r="J17" s="2688">
        <f>+H17*$Z$14</f>
        <v>22.149101655900001</v>
      </c>
      <c r="K17" s="2546" t="e">
        <f>+I17*0.5</f>
        <v>#REF!</v>
      </c>
      <c r="L17" s="2545" t="e">
        <f>+VLOOKUP(C17,#REF!,37,0)</f>
        <v>#REF!</v>
      </c>
      <c r="M17" s="3006" t="e">
        <f>J17*IF(L17="A",(6.1*$D$11),IF(L17="B",(5.8*$D$11),IF(L17="C",(5.5*$D$11),IF(L17="D",(5.2*$D$11)))))</f>
        <v>#REF!</v>
      </c>
      <c r="N17" s="3006">
        <f>+VLOOKUP(C17,'Đôi 1 tạm ứng'!C17:M61,11,0)</f>
        <v>85689.384000000005</v>
      </c>
      <c r="O17" s="3006" t="e">
        <f>+M17-N17</f>
        <v>#REF!</v>
      </c>
      <c r="P17" s="2546">
        <v>0</v>
      </c>
      <c r="Q17" s="2546">
        <v>0</v>
      </c>
      <c r="R17" s="2546">
        <v>0</v>
      </c>
      <c r="S17" s="2546">
        <v>0</v>
      </c>
      <c r="T17" s="2545" t="e">
        <f>+O17</f>
        <v>#REF!</v>
      </c>
      <c r="U17" s="2546"/>
      <c r="V17" s="2546">
        <v>0</v>
      </c>
      <c r="W17" s="2546" t="e">
        <f>+T17-V17</f>
        <v>#REF!</v>
      </c>
      <c r="X17" s="2546"/>
    </row>
    <row r="18" spans="1:24" s="2935" customFormat="1" ht="57.75" customHeight="1">
      <c r="A18" s="2545">
        <v>2</v>
      </c>
      <c r="B18" s="2545">
        <f>[3]TONGHOPCONGDOI!B12</f>
        <v>0</v>
      </c>
      <c r="C18" s="2546" t="s">
        <v>1670</v>
      </c>
      <c r="D18" s="2546" t="str">
        <f>'[3]CNKT '!D17</f>
        <v>CNKT</v>
      </c>
      <c r="E18" s="2546"/>
      <c r="F18" s="2547">
        <v>0</v>
      </c>
      <c r="G18" s="2546">
        <f>+F18</f>
        <v>0</v>
      </c>
      <c r="H18" s="2546">
        <f>+VLOOKUP(C18,'Mủ CN (tam ung)'!C13:AK41,35,0)</f>
        <v>103</v>
      </c>
      <c r="I18" s="2546" t="e">
        <f>VLOOKUP(C18,VCKD!#REF!,9,0)</f>
        <v>#REF!</v>
      </c>
      <c r="J18" s="2688">
        <f t="shared" ref="J18:J61" si="0">+H18*$Z$14</f>
        <v>44.732499422700002</v>
      </c>
      <c r="K18" s="2546" t="e">
        <f t="shared" ref="K18:K61" si="1">+I18*0.5</f>
        <v>#REF!</v>
      </c>
      <c r="L18" s="2545" t="e">
        <f>+VLOOKUP(C18,#REF!,37,0)</f>
        <v>#REF!</v>
      </c>
      <c r="M18" s="3006" t="e">
        <f t="shared" ref="M18:M61" si="2">J18*IF(L18="A",(6.1*$D$11),IF(L18="B",(5.8*$D$11),IF(L18="C",(5.5*$D$11),IF(L18="D",(5.2*$D$11)))))</f>
        <v>#REF!</v>
      </c>
      <c r="N18" s="3006">
        <f>+VLOOKUP(C18,'Đôi 1 tạm ứng'!C18:M62,11,0)</f>
        <v>164547.85600000003</v>
      </c>
      <c r="O18" s="3006" t="e">
        <f t="shared" ref="O18:O61" si="3">+M18-N18</f>
        <v>#REF!</v>
      </c>
      <c r="P18" s="2546">
        <v>0</v>
      </c>
      <c r="Q18" s="2546">
        <v>0</v>
      </c>
      <c r="R18" s="2546">
        <v>0</v>
      </c>
      <c r="S18" s="2546">
        <v>0</v>
      </c>
      <c r="T18" s="2545" t="e">
        <f t="shared" ref="T18:T61" si="4">+O18</f>
        <v>#REF!</v>
      </c>
      <c r="U18" s="2546"/>
      <c r="V18" s="2546">
        <v>0</v>
      </c>
      <c r="W18" s="2546" t="e">
        <f t="shared" ref="W18:W61" si="5">+T18-V18</f>
        <v>#REF!</v>
      </c>
      <c r="X18" s="2546"/>
    </row>
    <row r="19" spans="1:24" s="2935" customFormat="1" ht="57.75" customHeight="1">
      <c r="A19" s="2545">
        <v>3</v>
      </c>
      <c r="B19" s="2545" t="s">
        <v>1741</v>
      </c>
      <c r="C19" s="2546" t="s">
        <v>490</v>
      </c>
      <c r="D19" s="2546" t="str">
        <f>'[3]CNKT '!D18</f>
        <v>CNKT</v>
      </c>
      <c r="E19" s="2546"/>
      <c r="F19" s="2547">
        <v>0</v>
      </c>
      <c r="G19" s="2546">
        <f t="shared" ref="G19:G61" si="6">+F19</f>
        <v>0</v>
      </c>
      <c r="H19" s="2546">
        <f>+VLOOKUP(C19,'Mủ CN (tam ung)'!C14:AK42,35,0)</f>
        <v>52</v>
      </c>
      <c r="I19" s="2546" t="e">
        <f>VLOOKUP(C19,VCKD!#REF!,9,0)</f>
        <v>#REF!</v>
      </c>
      <c r="J19" s="2688">
        <f t="shared" si="0"/>
        <v>22.583397766800001</v>
      </c>
      <c r="K19" s="2546" t="e">
        <f t="shared" si="1"/>
        <v>#REF!</v>
      </c>
      <c r="L19" s="2545" t="e">
        <f>+VLOOKUP(C19,#REF!,37,0)</f>
        <v>#REF!</v>
      </c>
      <c r="M19" s="3006" t="e">
        <f t="shared" si="2"/>
        <v>#REF!</v>
      </c>
      <c r="N19" s="3006">
        <f>+VLOOKUP(C19,'Đôi 1 tạm ứng'!C19:M63,11,0)</f>
        <v>83072.703999999998</v>
      </c>
      <c r="O19" s="3006" t="e">
        <f t="shared" si="3"/>
        <v>#REF!</v>
      </c>
      <c r="P19" s="2546">
        <v>0</v>
      </c>
      <c r="Q19" s="2546">
        <v>0</v>
      </c>
      <c r="R19" s="2546">
        <v>0</v>
      </c>
      <c r="S19" s="2546">
        <v>0</v>
      </c>
      <c r="T19" s="2545" t="e">
        <f t="shared" si="4"/>
        <v>#REF!</v>
      </c>
      <c r="U19" s="2546"/>
      <c r="V19" s="2546">
        <v>0</v>
      </c>
      <c r="W19" s="2546" t="e">
        <f t="shared" si="5"/>
        <v>#REF!</v>
      </c>
      <c r="X19" s="2546"/>
    </row>
    <row r="20" spans="1:24" s="2935" customFormat="1" ht="57.75" customHeight="1">
      <c r="A20" s="2545">
        <v>4</v>
      </c>
      <c r="B20" s="2545"/>
      <c r="C20" s="2546" t="s">
        <v>1552</v>
      </c>
      <c r="D20" s="2546" t="str">
        <f>'[3]CNKT '!D19</f>
        <v>CNKT</v>
      </c>
      <c r="E20" s="2546"/>
      <c r="F20" s="2547">
        <v>0</v>
      </c>
      <c r="G20" s="2546">
        <f t="shared" si="6"/>
        <v>0</v>
      </c>
      <c r="H20" s="2546">
        <f>+VLOOKUP(C20,'Mủ CN (tam ung)'!C15:AK43,35,0)</f>
        <v>48</v>
      </c>
      <c r="I20" s="2546" t="e">
        <f>VLOOKUP(C20,VCKD!#REF!,9,0)</f>
        <v>#REF!</v>
      </c>
      <c r="J20" s="2688">
        <f t="shared" si="0"/>
        <v>20.846213323200001</v>
      </c>
      <c r="K20" s="2546" t="e">
        <f t="shared" si="1"/>
        <v>#REF!</v>
      </c>
      <c r="L20" s="2545" t="e">
        <f>+VLOOKUP(C20,#REF!,37,0)</f>
        <v>#REF!</v>
      </c>
      <c r="M20" s="3006" t="e">
        <f t="shared" si="2"/>
        <v>#REF!</v>
      </c>
      <c r="N20" s="3006">
        <f>+VLOOKUP(C20,'Đôi 1 tạm ứng'!C20:M64,11,0)</f>
        <v>80648.832000000009</v>
      </c>
      <c r="O20" s="3006" t="e">
        <f t="shared" si="3"/>
        <v>#REF!</v>
      </c>
      <c r="P20" s="2546">
        <v>0</v>
      </c>
      <c r="Q20" s="2546">
        <v>0</v>
      </c>
      <c r="R20" s="2546">
        <v>0</v>
      </c>
      <c r="S20" s="2546">
        <v>0</v>
      </c>
      <c r="T20" s="2545" t="e">
        <f t="shared" si="4"/>
        <v>#REF!</v>
      </c>
      <c r="U20" s="2546"/>
      <c r="V20" s="2546">
        <v>0</v>
      </c>
      <c r="W20" s="2546" t="e">
        <f t="shared" si="5"/>
        <v>#REF!</v>
      </c>
      <c r="X20" s="2546"/>
    </row>
    <row r="21" spans="1:24" s="2935" customFormat="1" ht="57.75" customHeight="1">
      <c r="A21" s="2545">
        <v>5</v>
      </c>
      <c r="B21" s="2545" t="s">
        <v>1731</v>
      </c>
      <c r="C21" s="2546" t="s">
        <v>1671</v>
      </c>
      <c r="D21" s="2546" t="str">
        <f>'[3]CNKT '!D20</f>
        <v>CNKT</v>
      </c>
      <c r="E21" s="2546"/>
      <c r="F21" s="2547">
        <v>0</v>
      </c>
      <c r="G21" s="2546">
        <f t="shared" si="6"/>
        <v>0</v>
      </c>
      <c r="H21" s="2546">
        <f>+VLOOKUP(C21,'Mủ CN (tam ung)'!C16:AK44,35,0)</f>
        <v>127</v>
      </c>
      <c r="I21" s="2546" t="e">
        <f>VLOOKUP(C21,VCKD!#REF!,9,0)</f>
        <v>#REF!</v>
      </c>
      <c r="J21" s="2688">
        <f t="shared" si="0"/>
        <v>55.155606084300004</v>
      </c>
      <c r="K21" s="2546" t="e">
        <f t="shared" si="1"/>
        <v>#REF!</v>
      </c>
      <c r="L21" s="2545" t="e">
        <f>+VLOOKUP(C21,#REF!,37,0)</f>
        <v>#REF!</v>
      </c>
      <c r="M21" s="3006" t="e">
        <f t="shared" si="2"/>
        <v>#REF!</v>
      </c>
      <c r="N21" s="3006">
        <f>+VLOOKUP(C21,'Đôi 1 tạm ứng'!C21:M65,11,0)</f>
        <v>213383.36800000002</v>
      </c>
      <c r="O21" s="3006" t="e">
        <f t="shared" si="3"/>
        <v>#REF!</v>
      </c>
      <c r="P21" s="2546">
        <v>0</v>
      </c>
      <c r="Q21" s="2546">
        <v>0</v>
      </c>
      <c r="R21" s="2546">
        <v>0</v>
      </c>
      <c r="S21" s="2546">
        <v>0</v>
      </c>
      <c r="T21" s="2545" t="e">
        <f t="shared" si="4"/>
        <v>#REF!</v>
      </c>
      <c r="U21" s="2546"/>
      <c r="V21" s="2546">
        <v>0</v>
      </c>
      <c r="W21" s="2546" t="e">
        <f t="shared" si="5"/>
        <v>#REF!</v>
      </c>
      <c r="X21" s="2546"/>
    </row>
    <row r="22" spans="1:24" s="2935" customFormat="1" ht="57.75" customHeight="1">
      <c r="A22" s="2545">
        <v>6</v>
      </c>
      <c r="B22" s="2545" t="s">
        <v>1739</v>
      </c>
      <c r="C22" s="2546" t="s">
        <v>1261</v>
      </c>
      <c r="D22" s="2546" t="str">
        <f>'[3]CNKT '!D21</f>
        <v>CNKT</v>
      </c>
      <c r="E22" s="2546"/>
      <c r="F22" s="2547">
        <v>0</v>
      </c>
      <c r="G22" s="2546">
        <f t="shared" si="6"/>
        <v>0</v>
      </c>
      <c r="H22" s="2546">
        <f>+VLOOKUP(C22,'Mủ CN (tam ung)'!C17:AK45,35,0)</f>
        <v>96</v>
      </c>
      <c r="I22" s="2546" t="e">
        <f>VLOOKUP(C22,VCKD!#REF!,9,0)</f>
        <v>#REF!</v>
      </c>
      <c r="J22" s="2688">
        <f t="shared" si="0"/>
        <v>41.692426646400001</v>
      </c>
      <c r="K22" s="2546" t="e">
        <f t="shared" si="1"/>
        <v>#REF!</v>
      </c>
      <c r="L22" s="2545" t="e">
        <f>+VLOOKUP(C22,#REF!,37,0)</f>
        <v>#REF!</v>
      </c>
      <c r="M22" s="3006" t="e">
        <f t="shared" si="2"/>
        <v>#REF!</v>
      </c>
      <c r="N22" s="3006">
        <f>+VLOOKUP(C22,'Đôi 1 tạm ứng'!C22:M66,11,0)</f>
        <v>161297.66400000002</v>
      </c>
      <c r="O22" s="3006" t="e">
        <f t="shared" si="3"/>
        <v>#REF!</v>
      </c>
      <c r="P22" s="2546">
        <v>0</v>
      </c>
      <c r="Q22" s="2546">
        <v>0</v>
      </c>
      <c r="R22" s="2546">
        <v>0</v>
      </c>
      <c r="S22" s="2546">
        <v>0</v>
      </c>
      <c r="T22" s="2545" t="e">
        <f t="shared" si="4"/>
        <v>#REF!</v>
      </c>
      <c r="U22" s="2546"/>
      <c r="V22" s="2546">
        <v>0</v>
      </c>
      <c r="W22" s="2546" t="e">
        <f t="shared" si="5"/>
        <v>#REF!</v>
      </c>
      <c r="X22" s="2546"/>
    </row>
    <row r="23" spans="1:24" s="2935" customFormat="1" ht="57.75" customHeight="1">
      <c r="A23" s="2545">
        <v>7</v>
      </c>
      <c r="B23" s="2545">
        <f>[3]TONGHOPCONGDOI!B18</f>
        <v>0</v>
      </c>
      <c r="C23" s="2546" t="s">
        <v>1672</v>
      </c>
      <c r="D23" s="2546" t="str">
        <f>'[3]CNKT '!D22</f>
        <v>CNKT</v>
      </c>
      <c r="E23" s="2546"/>
      <c r="F23" s="2547">
        <v>0</v>
      </c>
      <c r="G23" s="2546">
        <f t="shared" si="6"/>
        <v>0</v>
      </c>
      <c r="H23" s="2546">
        <f>+VLOOKUP(C23,'Mủ CN (tam ung)'!C18:AK45,35,0)</f>
        <v>167</v>
      </c>
      <c r="I23" s="2546" t="e">
        <f>VLOOKUP(C23,VCKD!#REF!,9,0)</f>
        <v>#REF!</v>
      </c>
      <c r="J23" s="2688">
        <f t="shared" si="0"/>
        <v>72.527450520300007</v>
      </c>
      <c r="K23" s="2546" t="e">
        <f t="shared" si="1"/>
        <v>#REF!</v>
      </c>
      <c r="L23" s="2545" t="e">
        <f>+VLOOKUP(C23,#REF!,37,0)</f>
        <v>#REF!</v>
      </c>
      <c r="M23" s="3006" t="e">
        <f t="shared" si="2"/>
        <v>#REF!</v>
      </c>
      <c r="N23" s="3006" t="e">
        <f>+VLOOKUP(C23,'Đôi 1 tạm ứng'!C23:M67,11,0)</f>
        <v>#N/A</v>
      </c>
      <c r="O23" s="3006" t="e">
        <f t="shared" si="3"/>
        <v>#REF!</v>
      </c>
      <c r="P23" s="2546">
        <v>0</v>
      </c>
      <c r="Q23" s="2546">
        <v>0</v>
      </c>
      <c r="R23" s="2546">
        <v>0</v>
      </c>
      <c r="S23" s="2546">
        <v>0</v>
      </c>
      <c r="T23" s="2545" t="e">
        <f t="shared" si="4"/>
        <v>#REF!</v>
      </c>
      <c r="U23" s="2546"/>
      <c r="V23" s="2546">
        <v>0</v>
      </c>
      <c r="W23" s="2546" t="e">
        <f t="shared" si="5"/>
        <v>#REF!</v>
      </c>
      <c r="X23" s="2546"/>
    </row>
    <row r="24" spans="1:24" s="2935" customFormat="1" ht="57.75" customHeight="1">
      <c r="A24" s="2545">
        <v>8</v>
      </c>
      <c r="B24" s="2545" t="s">
        <v>1740</v>
      </c>
      <c r="C24" s="2546" t="s">
        <v>1553</v>
      </c>
      <c r="D24" s="2546" t="str">
        <f>'[3]CNKT '!D23</f>
        <v>CNKT</v>
      </c>
      <c r="E24" s="2546"/>
      <c r="F24" s="2547">
        <v>0</v>
      </c>
      <c r="G24" s="2546">
        <f t="shared" si="6"/>
        <v>0</v>
      </c>
      <c r="H24" s="2546">
        <f>+VLOOKUP(C24,'Mủ CN (tam ung)'!C19:AK46,35,0)</f>
        <v>57</v>
      </c>
      <c r="I24" s="2546" t="e">
        <f>VLOOKUP(C24,VCKD!#REF!,9,0)</f>
        <v>#REF!</v>
      </c>
      <c r="J24" s="2688">
        <f t="shared" si="0"/>
        <v>24.754878321300001</v>
      </c>
      <c r="K24" s="2546" t="e">
        <f t="shared" si="1"/>
        <v>#REF!</v>
      </c>
      <c r="L24" s="2545" t="e">
        <f>+VLOOKUP(C24,#REF!,37,0)</f>
        <v>#REF!</v>
      </c>
      <c r="M24" s="3006" t="e">
        <f t="shared" si="2"/>
        <v>#REF!</v>
      </c>
      <c r="N24" s="3006">
        <f>+VLOOKUP(C24,'Đôi 1 tạm ứng'!C24:M68,11,0)</f>
        <v>95770.487999999998</v>
      </c>
      <c r="O24" s="3006" t="e">
        <f t="shared" si="3"/>
        <v>#REF!</v>
      </c>
      <c r="P24" s="2546">
        <v>0</v>
      </c>
      <c r="Q24" s="2546">
        <v>0</v>
      </c>
      <c r="R24" s="2546">
        <v>0</v>
      </c>
      <c r="S24" s="2546">
        <v>0</v>
      </c>
      <c r="T24" s="2545" t="e">
        <f t="shared" si="4"/>
        <v>#REF!</v>
      </c>
      <c r="U24" s="2546"/>
      <c r="V24" s="2546">
        <v>0</v>
      </c>
      <c r="W24" s="2546" t="e">
        <f t="shared" si="5"/>
        <v>#REF!</v>
      </c>
      <c r="X24" s="2546"/>
    </row>
    <row r="25" spans="1:24" s="2935" customFormat="1" ht="57.75" customHeight="1">
      <c r="A25" s="2545">
        <v>9</v>
      </c>
      <c r="B25" s="2545" t="s">
        <v>1747</v>
      </c>
      <c r="C25" s="2546" t="s">
        <v>1525</v>
      </c>
      <c r="D25" s="2546" t="str">
        <f>'[3]CNKT '!D25</f>
        <v>CNKT</v>
      </c>
      <c r="E25" s="2546"/>
      <c r="F25" s="2547">
        <v>0</v>
      </c>
      <c r="G25" s="2546">
        <f t="shared" si="6"/>
        <v>0</v>
      </c>
      <c r="H25" s="2546">
        <f>+VLOOKUP(C25,'Mủ CN (tam ung)'!C20:AK48,35,0)</f>
        <v>114</v>
      </c>
      <c r="I25" s="2546">
        <v>0</v>
      </c>
      <c r="J25" s="2688">
        <f t="shared" si="0"/>
        <v>49.509756642600003</v>
      </c>
      <c r="K25" s="2546">
        <f t="shared" si="1"/>
        <v>0</v>
      </c>
      <c r="L25" s="2545" t="e">
        <f>+VLOOKUP(C25,#REF!,37,0)</f>
        <v>#REF!</v>
      </c>
      <c r="M25" s="3006" t="e">
        <f t="shared" si="2"/>
        <v>#REF!</v>
      </c>
      <c r="N25" s="3006">
        <f>+VLOOKUP(C25,'Đôi 1 tạm ứng'!C25:M69,11,0)</f>
        <v>191540.976</v>
      </c>
      <c r="O25" s="3006" t="e">
        <f t="shared" si="3"/>
        <v>#REF!</v>
      </c>
      <c r="P25" s="2546">
        <v>0</v>
      </c>
      <c r="Q25" s="2546">
        <v>0</v>
      </c>
      <c r="R25" s="2546">
        <v>0</v>
      </c>
      <c r="S25" s="2546">
        <v>0</v>
      </c>
      <c r="T25" s="2545" t="e">
        <f t="shared" si="4"/>
        <v>#REF!</v>
      </c>
      <c r="U25" s="2546"/>
      <c r="V25" s="2546">
        <v>0</v>
      </c>
      <c r="W25" s="2546" t="e">
        <f t="shared" si="5"/>
        <v>#REF!</v>
      </c>
      <c r="X25" s="2546"/>
    </row>
    <row r="26" spans="1:24" s="2935" customFormat="1" ht="57.75" customHeight="1">
      <c r="A26" s="2545">
        <v>10</v>
      </c>
      <c r="B26" s="2545" t="s">
        <v>1748</v>
      </c>
      <c r="C26" s="2546" t="s">
        <v>1554</v>
      </c>
      <c r="D26" s="2546" t="str">
        <f>'[3]CNKT '!D26</f>
        <v>CNKT</v>
      </c>
      <c r="E26" s="2546"/>
      <c r="F26" s="2547">
        <v>0</v>
      </c>
      <c r="G26" s="2546">
        <f t="shared" si="6"/>
        <v>0</v>
      </c>
      <c r="H26" s="2546">
        <f>+VLOOKUP(C26,'Mủ CN (tam ung)'!C21:AK49,35,0)</f>
        <v>55</v>
      </c>
      <c r="I26" s="2546">
        <v>0</v>
      </c>
      <c r="J26" s="2688">
        <f t="shared" si="0"/>
        <v>23.886286099500001</v>
      </c>
      <c r="K26" s="2546">
        <f t="shared" si="1"/>
        <v>0</v>
      </c>
      <c r="L26" s="2545" t="e">
        <f>+VLOOKUP(C26,#REF!,37,0)</f>
        <v>#REF!</v>
      </c>
      <c r="M26" s="3006" t="e">
        <f t="shared" si="2"/>
        <v>#REF!</v>
      </c>
      <c r="N26" s="3006">
        <f>+VLOOKUP(C26,'Đôi 1 tạm ứng'!C26:M70,11,0)</f>
        <v>92410.12</v>
      </c>
      <c r="O26" s="3006" t="e">
        <f t="shared" si="3"/>
        <v>#REF!</v>
      </c>
      <c r="P26" s="2546">
        <v>0</v>
      </c>
      <c r="Q26" s="2546">
        <v>0</v>
      </c>
      <c r="R26" s="2546">
        <v>0</v>
      </c>
      <c r="S26" s="2546">
        <v>0</v>
      </c>
      <c r="T26" s="2545" t="e">
        <f t="shared" si="4"/>
        <v>#REF!</v>
      </c>
      <c r="U26" s="2546"/>
      <c r="V26" s="2546">
        <v>0</v>
      </c>
      <c r="W26" s="2546" t="e">
        <f t="shared" si="5"/>
        <v>#REF!</v>
      </c>
      <c r="X26" s="2546"/>
    </row>
    <row r="27" spans="1:24" s="2935" customFormat="1" ht="57.75" customHeight="1">
      <c r="A27" s="2545">
        <v>11</v>
      </c>
      <c r="B27" s="2545">
        <f>[3]TONGHOPCONGDOI!B26</f>
        <v>0</v>
      </c>
      <c r="C27" s="2546" t="s">
        <v>1674</v>
      </c>
      <c r="D27" s="2546" t="str">
        <f>'[3]CNKT '!D27</f>
        <v>CNKT</v>
      </c>
      <c r="E27" s="2546"/>
      <c r="F27" s="2547">
        <v>0</v>
      </c>
      <c r="G27" s="2546">
        <f t="shared" si="6"/>
        <v>0</v>
      </c>
      <c r="H27" s="2546">
        <f>+VLOOKUP(C27,'Mủ CN (tam ung)'!C22:AK50,35,0)</f>
        <v>85</v>
      </c>
      <c r="I27" s="2546" t="e">
        <f>VLOOKUP(C27,VCKD!#REF!,9,0)</f>
        <v>#REF!</v>
      </c>
      <c r="J27" s="2688">
        <f t="shared" si="0"/>
        <v>36.9151694265</v>
      </c>
      <c r="K27" s="2546" t="e">
        <f t="shared" si="1"/>
        <v>#REF!</v>
      </c>
      <c r="L27" s="2545" t="e">
        <f>+VLOOKUP(C27,#REF!,37,0)</f>
        <v>#REF!</v>
      </c>
      <c r="M27" s="3006" t="e">
        <f t="shared" si="2"/>
        <v>#REF!</v>
      </c>
      <c r="N27" s="3006">
        <f>+VLOOKUP(C27,'Đôi 1 tạm ứng'!C27:M71,11,0)</f>
        <v>142815.64000000001</v>
      </c>
      <c r="O27" s="3006" t="e">
        <f t="shared" si="3"/>
        <v>#REF!</v>
      </c>
      <c r="P27" s="2546">
        <v>0</v>
      </c>
      <c r="Q27" s="2546">
        <v>0</v>
      </c>
      <c r="R27" s="2546">
        <v>0</v>
      </c>
      <c r="S27" s="2546">
        <v>0</v>
      </c>
      <c r="T27" s="2545" t="e">
        <f t="shared" si="4"/>
        <v>#REF!</v>
      </c>
      <c r="U27" s="2546"/>
      <c r="V27" s="2546">
        <v>0</v>
      </c>
      <c r="W27" s="2546" t="e">
        <f t="shared" si="5"/>
        <v>#REF!</v>
      </c>
      <c r="X27" s="2546"/>
    </row>
    <row r="28" spans="1:24" s="2935" customFormat="1" ht="57.75" customHeight="1">
      <c r="A28" s="2545">
        <v>12</v>
      </c>
      <c r="B28" s="2545" t="s">
        <v>1729</v>
      </c>
      <c r="C28" s="2546" t="s">
        <v>1555</v>
      </c>
      <c r="D28" s="2546" t="str">
        <f>'[3]CNKT '!D28</f>
        <v>CNKT</v>
      </c>
      <c r="E28" s="2546"/>
      <c r="F28" s="2547">
        <v>0</v>
      </c>
      <c r="G28" s="2546">
        <f t="shared" si="6"/>
        <v>0</v>
      </c>
      <c r="H28" s="2546">
        <f>+VLOOKUP(C28,'Mủ CN (tam ung)'!C23:AK51,35,0)</f>
        <v>163</v>
      </c>
      <c r="I28" s="2546" t="e">
        <f>VLOOKUP(C28,VCKD!#REF!,9,0)</f>
        <v>#REF!</v>
      </c>
      <c r="J28" s="2688">
        <f t="shared" si="0"/>
        <v>70.790266076700007</v>
      </c>
      <c r="K28" s="2546" t="e">
        <f t="shared" si="1"/>
        <v>#REF!</v>
      </c>
      <c r="L28" s="2545" t="e">
        <f>+VLOOKUP(C28,#REF!,37,0)</f>
        <v>#REF!</v>
      </c>
      <c r="M28" s="3006" t="e">
        <f t="shared" si="2"/>
        <v>#REF!</v>
      </c>
      <c r="N28" s="3006">
        <f>+VLOOKUP(C28,'Đôi 1 tạm ứng'!C28:M72,11,0)</f>
        <v>273869.99200000003</v>
      </c>
      <c r="O28" s="3006" t="e">
        <f t="shared" si="3"/>
        <v>#REF!</v>
      </c>
      <c r="P28" s="2546">
        <v>0</v>
      </c>
      <c r="Q28" s="2546">
        <v>0</v>
      </c>
      <c r="R28" s="2546">
        <v>0</v>
      </c>
      <c r="S28" s="2546">
        <v>0</v>
      </c>
      <c r="T28" s="2545" t="e">
        <f t="shared" si="4"/>
        <v>#REF!</v>
      </c>
      <c r="U28" s="2546"/>
      <c r="V28" s="2546">
        <v>0</v>
      </c>
      <c r="W28" s="2546" t="e">
        <f t="shared" si="5"/>
        <v>#REF!</v>
      </c>
      <c r="X28" s="2546"/>
    </row>
    <row r="29" spans="1:24" s="2935" customFormat="1" ht="57.75" customHeight="1">
      <c r="A29" s="2545">
        <v>13</v>
      </c>
      <c r="B29" s="2545" t="s">
        <v>1730</v>
      </c>
      <c r="C29" s="2546" t="s">
        <v>552</v>
      </c>
      <c r="D29" s="2546" t="str">
        <f>'[3]CNKT '!D29</f>
        <v>CNKT</v>
      </c>
      <c r="E29" s="2546"/>
      <c r="F29" s="2547">
        <v>0</v>
      </c>
      <c r="G29" s="2546">
        <f t="shared" si="6"/>
        <v>0</v>
      </c>
      <c r="H29" s="2546">
        <f>+VLOOKUP(C29,'Mủ CN (tam ung)'!C24:AK52,35,0)</f>
        <v>94</v>
      </c>
      <c r="I29" s="2546" t="e">
        <f>VLOOKUP(C29,VCKD!#REF!,9,0)</f>
        <v>#REF!</v>
      </c>
      <c r="J29" s="2688">
        <f t="shared" si="0"/>
        <v>40.823834424600001</v>
      </c>
      <c r="K29" s="2546" t="e">
        <f t="shared" si="1"/>
        <v>#REF!</v>
      </c>
      <c r="L29" s="2545" t="e">
        <f>+VLOOKUP(C29,#REF!,37,0)</f>
        <v>#REF!</v>
      </c>
      <c r="M29" s="3006" t="e">
        <f t="shared" si="2"/>
        <v>#REF!</v>
      </c>
      <c r="N29" s="3006">
        <f>+VLOOKUP(C29,'Đôi 1 tạm ứng'!C29:M73,11,0)</f>
        <v>157937.296</v>
      </c>
      <c r="O29" s="3006" t="e">
        <f t="shared" si="3"/>
        <v>#REF!</v>
      </c>
      <c r="P29" s="2546">
        <v>0</v>
      </c>
      <c r="Q29" s="2546">
        <v>0</v>
      </c>
      <c r="R29" s="2546">
        <v>0</v>
      </c>
      <c r="S29" s="2546">
        <v>0</v>
      </c>
      <c r="T29" s="2545" t="e">
        <f t="shared" si="4"/>
        <v>#REF!</v>
      </c>
      <c r="U29" s="2546"/>
      <c r="V29" s="2546">
        <v>0</v>
      </c>
      <c r="W29" s="2546" t="e">
        <f t="shared" si="5"/>
        <v>#REF!</v>
      </c>
      <c r="X29" s="2546"/>
    </row>
    <row r="30" spans="1:24" s="2935" customFormat="1" ht="57.75" customHeight="1">
      <c r="A30" s="2545">
        <v>14</v>
      </c>
      <c r="B30" s="2545" t="s">
        <v>1727</v>
      </c>
      <c r="C30" s="2546" t="s">
        <v>1526</v>
      </c>
      <c r="D30" s="2546" t="str">
        <f>'[3]CNKT '!D31</f>
        <v>CNKT</v>
      </c>
      <c r="E30" s="2546"/>
      <c r="F30" s="2547">
        <v>0</v>
      </c>
      <c r="G30" s="2546">
        <f t="shared" si="6"/>
        <v>0</v>
      </c>
      <c r="H30" s="2546">
        <f>+VLOOKUP(C30,'Mủ CN (tam ung)'!C25:AK53,35,0)</f>
        <v>79</v>
      </c>
      <c r="I30" s="2546" t="e">
        <f>VLOOKUP(C30,VCKD!#REF!,9,0)</f>
        <v>#REF!</v>
      </c>
      <c r="J30" s="2688">
        <f t="shared" si="0"/>
        <v>34.3093927611</v>
      </c>
      <c r="K30" s="2546" t="e">
        <f t="shared" si="1"/>
        <v>#REF!</v>
      </c>
      <c r="L30" s="2545" t="e">
        <f>+VLOOKUP(C30,#REF!,37,0)</f>
        <v>#REF!</v>
      </c>
      <c r="M30" s="3006" t="e">
        <f t="shared" si="2"/>
        <v>#REF!</v>
      </c>
      <c r="N30" s="3006">
        <f>+VLOOKUP(C30,'Đôi 1 tạm ứng'!C30:M74,11,0)</f>
        <v>132734.53599999999</v>
      </c>
      <c r="O30" s="3006" t="e">
        <f t="shared" si="3"/>
        <v>#REF!</v>
      </c>
      <c r="P30" s="2546">
        <v>0</v>
      </c>
      <c r="Q30" s="2546">
        <v>0</v>
      </c>
      <c r="R30" s="2546">
        <v>0</v>
      </c>
      <c r="S30" s="2546">
        <v>0</v>
      </c>
      <c r="T30" s="2545" t="e">
        <f t="shared" si="4"/>
        <v>#REF!</v>
      </c>
      <c r="U30" s="2546"/>
      <c r="V30" s="2546">
        <v>0</v>
      </c>
      <c r="W30" s="2546" t="e">
        <f t="shared" si="5"/>
        <v>#REF!</v>
      </c>
      <c r="X30" s="2546"/>
    </row>
    <row r="31" spans="1:24" s="2935" customFormat="1" ht="57.75" customHeight="1">
      <c r="A31" s="2545">
        <v>15</v>
      </c>
      <c r="B31" s="2545" t="s">
        <v>1728</v>
      </c>
      <c r="C31" s="2546" t="s">
        <v>1236</v>
      </c>
      <c r="D31" s="2546" t="str">
        <f>'[3]CNKT '!D32</f>
        <v>CNKT</v>
      </c>
      <c r="E31" s="2546"/>
      <c r="F31" s="2547">
        <v>0</v>
      </c>
      <c r="G31" s="2546">
        <f t="shared" si="6"/>
        <v>0</v>
      </c>
      <c r="H31" s="2546">
        <f>+VLOOKUP(C31,'Mủ CN (tam ung)'!C26:AK53,35,0)</f>
        <v>80</v>
      </c>
      <c r="I31" s="2546" t="e">
        <f>VLOOKUP(C31,VCKD!#REF!,9,0)</f>
        <v>#REF!</v>
      </c>
      <c r="J31" s="2688">
        <f t="shared" si="0"/>
        <v>34.743688872</v>
      </c>
      <c r="K31" s="2546" t="e">
        <f t="shared" si="1"/>
        <v>#REF!</v>
      </c>
      <c r="L31" s="2545" t="e">
        <f>+VLOOKUP(C31,#REF!,37,0)</f>
        <v>#REF!</v>
      </c>
      <c r="M31" s="3006" t="e">
        <f t="shared" si="2"/>
        <v>#REF!</v>
      </c>
      <c r="N31" s="3006">
        <f>+VLOOKUP(C31,'Đôi 1 tạm ứng'!C31:M75,11,0)</f>
        <v>134414.72</v>
      </c>
      <c r="O31" s="3006" t="e">
        <f t="shared" si="3"/>
        <v>#REF!</v>
      </c>
      <c r="P31" s="2546">
        <v>0</v>
      </c>
      <c r="Q31" s="2546">
        <v>0</v>
      </c>
      <c r="R31" s="2546">
        <v>0</v>
      </c>
      <c r="S31" s="2546">
        <v>0</v>
      </c>
      <c r="T31" s="2545" t="e">
        <f t="shared" si="4"/>
        <v>#REF!</v>
      </c>
      <c r="U31" s="2546"/>
      <c r="V31" s="2546">
        <v>0</v>
      </c>
      <c r="W31" s="2546" t="e">
        <f t="shared" si="5"/>
        <v>#REF!</v>
      </c>
      <c r="X31" s="2546"/>
    </row>
    <row r="32" spans="1:24" s="2935" customFormat="1" ht="57.75" customHeight="1">
      <c r="A32" s="2545">
        <v>16</v>
      </c>
      <c r="B32" s="2545">
        <f>[3]TONGHOPCONGDOI!B34</f>
        <v>0</v>
      </c>
      <c r="C32" s="2546" t="s">
        <v>1676</v>
      </c>
      <c r="D32" s="2546" t="str">
        <f>'[3]CNKT '!D33</f>
        <v>CNKT</v>
      </c>
      <c r="E32" s="2546"/>
      <c r="F32" s="2547">
        <v>0</v>
      </c>
      <c r="G32" s="2546">
        <f t="shared" si="6"/>
        <v>0</v>
      </c>
      <c r="H32" s="2546">
        <f>+VLOOKUP(C32,'Mủ CN (tam ung)'!C27:AK54,35,0)</f>
        <v>77</v>
      </c>
      <c r="I32" s="2546" t="e">
        <f>VLOOKUP(C32,VCKD!#REF!,9,0)</f>
        <v>#REF!</v>
      </c>
      <c r="J32" s="2688">
        <f t="shared" si="0"/>
        <v>33.4408005393</v>
      </c>
      <c r="K32" s="2546" t="e">
        <f t="shared" si="1"/>
        <v>#REF!</v>
      </c>
      <c r="L32" s="2545" t="e">
        <f>+VLOOKUP(C32,#REF!,37,0)</f>
        <v>#REF!</v>
      </c>
      <c r="M32" s="3006" t="e">
        <f t="shared" si="2"/>
        <v>#REF!</v>
      </c>
      <c r="N32" s="3006">
        <f>+VLOOKUP(C32,'Đôi 1 tạm ứng'!C32:M76,11,0)</f>
        <v>129374.16800000001</v>
      </c>
      <c r="O32" s="3006" t="e">
        <f t="shared" si="3"/>
        <v>#REF!</v>
      </c>
      <c r="P32" s="2546">
        <v>0</v>
      </c>
      <c r="Q32" s="2546">
        <v>0</v>
      </c>
      <c r="R32" s="2546">
        <v>0</v>
      </c>
      <c r="S32" s="2546">
        <v>0</v>
      </c>
      <c r="T32" s="2545" t="e">
        <f t="shared" si="4"/>
        <v>#REF!</v>
      </c>
      <c r="U32" s="2546"/>
      <c r="V32" s="2546">
        <v>0</v>
      </c>
      <c r="W32" s="2546" t="e">
        <f t="shared" si="5"/>
        <v>#REF!</v>
      </c>
      <c r="X32" s="2546"/>
    </row>
    <row r="33" spans="1:24" s="2935" customFormat="1" ht="57.75" customHeight="1">
      <c r="A33" s="2545">
        <v>17</v>
      </c>
      <c r="B33" s="2545">
        <f>[3]TONGHOPCONGDOI!B36</f>
        <v>0</v>
      </c>
      <c r="C33" s="2546" t="s">
        <v>1557</v>
      </c>
      <c r="D33" s="2546" t="str">
        <f>'[3]CNKT '!D35</f>
        <v>CNKT</v>
      </c>
      <c r="E33" s="2546"/>
      <c r="F33" s="2547">
        <v>0</v>
      </c>
      <c r="G33" s="2546">
        <f t="shared" si="6"/>
        <v>0</v>
      </c>
      <c r="H33" s="2546">
        <f>+VLOOKUP(C33,'Mủ CN (tam ung)'!C28:AK55,35,0)</f>
        <v>127</v>
      </c>
      <c r="I33" s="2546" t="e">
        <f>VLOOKUP(C33,VCKD!#REF!,9,0)</f>
        <v>#REF!</v>
      </c>
      <c r="J33" s="2688">
        <f t="shared" si="0"/>
        <v>55.155606084300004</v>
      </c>
      <c r="K33" s="2546" t="e">
        <f t="shared" si="1"/>
        <v>#REF!</v>
      </c>
      <c r="L33" s="2545" t="e">
        <f>+VLOOKUP(C33,#REF!,37,0)</f>
        <v>#REF!</v>
      </c>
      <c r="M33" s="3006" t="e">
        <f t="shared" si="2"/>
        <v>#REF!</v>
      </c>
      <c r="N33" s="3006">
        <f>+VLOOKUP(C33,'Đôi 1 tạm ứng'!C33:M77,11,0)</f>
        <v>213383.36800000002</v>
      </c>
      <c r="O33" s="3006" t="e">
        <f t="shared" si="3"/>
        <v>#REF!</v>
      </c>
      <c r="P33" s="2546">
        <v>0</v>
      </c>
      <c r="Q33" s="2546">
        <v>0</v>
      </c>
      <c r="R33" s="2546">
        <v>0</v>
      </c>
      <c r="S33" s="2546">
        <v>0</v>
      </c>
      <c r="T33" s="2545" t="e">
        <f t="shared" si="4"/>
        <v>#REF!</v>
      </c>
      <c r="U33" s="2546"/>
      <c r="V33" s="2546">
        <v>0</v>
      </c>
      <c r="W33" s="2546" t="e">
        <f t="shared" si="5"/>
        <v>#REF!</v>
      </c>
      <c r="X33" s="2546"/>
    </row>
    <row r="34" spans="1:24" s="2935" customFormat="1" ht="57.75" customHeight="1">
      <c r="A34" s="2545">
        <v>18</v>
      </c>
      <c r="B34" s="2545" t="s">
        <v>1738</v>
      </c>
      <c r="C34" s="2546" t="s">
        <v>1558</v>
      </c>
      <c r="D34" s="2546" t="str">
        <f>'[3]CNKT '!D37</f>
        <v>CNKT</v>
      </c>
      <c r="E34" s="2546"/>
      <c r="F34" s="2547">
        <v>0</v>
      </c>
      <c r="G34" s="2546">
        <f t="shared" si="6"/>
        <v>0</v>
      </c>
      <c r="H34" s="2546">
        <f>+VLOOKUP(C34,'Mủ CN (tam ung)'!C29:AK56,35,0)</f>
        <v>165</v>
      </c>
      <c r="I34" s="2546" t="e">
        <f>VLOOKUP(C34,VCKD!#REF!,9,0)</f>
        <v>#REF!</v>
      </c>
      <c r="J34" s="2688">
        <f t="shared" si="0"/>
        <v>71.658858298500007</v>
      </c>
      <c r="K34" s="2546" t="e">
        <f t="shared" si="1"/>
        <v>#REF!</v>
      </c>
      <c r="L34" s="2545" t="e">
        <f>+VLOOKUP(C34,#REF!,37,0)</f>
        <v>#REF!</v>
      </c>
      <c r="M34" s="3006" t="e">
        <f t="shared" si="2"/>
        <v>#REF!</v>
      </c>
      <c r="N34" s="3006">
        <f>+VLOOKUP(C34,'Đôi 1 tạm ứng'!C34:M78,11,0)</f>
        <v>277230.36</v>
      </c>
      <c r="O34" s="3006" t="e">
        <f t="shared" si="3"/>
        <v>#REF!</v>
      </c>
      <c r="P34" s="2546">
        <v>0</v>
      </c>
      <c r="Q34" s="2546">
        <v>0</v>
      </c>
      <c r="R34" s="2546">
        <v>0</v>
      </c>
      <c r="S34" s="2546">
        <v>0</v>
      </c>
      <c r="T34" s="2545" t="e">
        <f t="shared" si="4"/>
        <v>#REF!</v>
      </c>
      <c r="U34" s="2546"/>
      <c r="V34" s="2546">
        <v>0</v>
      </c>
      <c r="W34" s="2546" t="e">
        <f t="shared" si="5"/>
        <v>#REF!</v>
      </c>
      <c r="X34" s="2546"/>
    </row>
    <row r="35" spans="1:24" s="2935" customFormat="1" ht="57.75" customHeight="1">
      <c r="A35" s="2545">
        <v>19</v>
      </c>
      <c r="B35" s="2545">
        <f>[3]TONGHOPCONGDOI!B40</f>
        <v>0</v>
      </c>
      <c r="C35" s="2546" t="s">
        <v>1524</v>
      </c>
      <c r="D35" s="2546" t="str">
        <f>'[3]CNKT '!D38</f>
        <v>CNKT</v>
      </c>
      <c r="E35" s="2546"/>
      <c r="F35" s="2547">
        <v>0</v>
      </c>
      <c r="G35" s="2546">
        <f t="shared" si="6"/>
        <v>0</v>
      </c>
      <c r="H35" s="2546">
        <f>+VLOOKUP(C35,'Mủ CN (tam ung)'!C30:AK56,35,0)</f>
        <v>114</v>
      </c>
      <c r="I35" s="2546" t="e">
        <f>VLOOKUP(C35,VCKD!#REF!,9,0)</f>
        <v>#REF!</v>
      </c>
      <c r="J35" s="2688">
        <f t="shared" si="0"/>
        <v>49.509756642600003</v>
      </c>
      <c r="K35" s="2546" t="e">
        <f t="shared" si="1"/>
        <v>#REF!</v>
      </c>
      <c r="L35" s="2545" t="e">
        <f>+VLOOKUP(C35,#REF!,37,0)</f>
        <v>#REF!</v>
      </c>
      <c r="M35" s="3006" t="e">
        <f t="shared" si="2"/>
        <v>#REF!</v>
      </c>
      <c r="N35" s="3006">
        <f>+VLOOKUP(C35,'Đôi 1 tạm ứng'!C35:M79,11,0)</f>
        <v>191540.976</v>
      </c>
      <c r="O35" s="3006" t="e">
        <f t="shared" si="3"/>
        <v>#REF!</v>
      </c>
      <c r="P35" s="2546">
        <v>0</v>
      </c>
      <c r="Q35" s="2546">
        <v>0</v>
      </c>
      <c r="R35" s="2546">
        <v>0</v>
      </c>
      <c r="S35" s="2546">
        <v>0</v>
      </c>
      <c r="T35" s="2545" t="e">
        <f t="shared" si="4"/>
        <v>#REF!</v>
      </c>
      <c r="U35" s="2546"/>
      <c r="V35" s="2546">
        <v>0</v>
      </c>
      <c r="W35" s="2546" t="e">
        <f t="shared" si="5"/>
        <v>#REF!</v>
      </c>
      <c r="X35" s="2546"/>
    </row>
    <row r="36" spans="1:24" s="2935" customFormat="1" ht="57.75" customHeight="1">
      <c r="A36" s="2545">
        <v>20</v>
      </c>
      <c r="B36" s="2545">
        <f>[3]TONGHOPCONGDOI!B41</f>
        <v>0</v>
      </c>
      <c r="C36" s="2546" t="s">
        <v>289</v>
      </c>
      <c r="D36" s="2546" t="str">
        <f>'[3]CNKT '!D39</f>
        <v>CNKT</v>
      </c>
      <c r="E36" s="2546"/>
      <c r="F36" s="2547">
        <v>0</v>
      </c>
      <c r="G36" s="2546">
        <f t="shared" si="6"/>
        <v>0</v>
      </c>
      <c r="H36" s="2546">
        <f>+VLOOKUP(C36,'Mủ CN (tam ung)'!C31:AK57,35,0)</f>
        <v>140</v>
      </c>
      <c r="I36" s="2546" t="e">
        <f>VLOOKUP(C36,VCKD!#REF!,9,0)</f>
        <v>#REF!</v>
      </c>
      <c r="J36" s="2688">
        <f t="shared" si="0"/>
        <v>60.801455526000005</v>
      </c>
      <c r="K36" s="2546" t="e">
        <f t="shared" si="1"/>
        <v>#REF!</v>
      </c>
      <c r="L36" s="2545" t="e">
        <f>+VLOOKUP(C36,#REF!,37,0)</f>
        <v>#REF!</v>
      </c>
      <c r="M36" s="3006" t="e">
        <f t="shared" si="2"/>
        <v>#REF!</v>
      </c>
      <c r="N36" s="3006">
        <f>+VLOOKUP(C36,'Đôi 1 tạm ứng'!C36:M80,11,0)</f>
        <v>223657.28</v>
      </c>
      <c r="O36" s="3006" t="e">
        <f t="shared" si="3"/>
        <v>#REF!</v>
      </c>
      <c r="P36" s="2546">
        <v>0</v>
      </c>
      <c r="Q36" s="2546">
        <v>0</v>
      </c>
      <c r="R36" s="2546">
        <v>0</v>
      </c>
      <c r="S36" s="2546">
        <v>0</v>
      </c>
      <c r="T36" s="2545" t="e">
        <f t="shared" si="4"/>
        <v>#REF!</v>
      </c>
      <c r="U36" s="2546"/>
      <c r="V36" s="2546">
        <v>0</v>
      </c>
      <c r="W36" s="2546" t="e">
        <f t="shared" si="5"/>
        <v>#REF!</v>
      </c>
      <c r="X36" s="2546"/>
    </row>
    <row r="37" spans="1:24" s="2935" customFormat="1" ht="57.75" customHeight="1">
      <c r="A37" s="2545">
        <v>21</v>
      </c>
      <c r="B37" s="2545" t="s">
        <v>1745</v>
      </c>
      <c r="C37" s="2546" t="s">
        <v>1678</v>
      </c>
      <c r="D37" s="2546" t="str">
        <f>'[3]CNKT '!D40</f>
        <v>CNKT</v>
      </c>
      <c r="E37" s="2546"/>
      <c r="F37" s="2547">
        <v>0</v>
      </c>
      <c r="G37" s="2546">
        <f t="shared" si="6"/>
        <v>0</v>
      </c>
      <c r="H37" s="2546">
        <f>+VLOOKUP(C37,'Mủ CN (tam ung)'!C32:AK57,35,0)</f>
        <v>126</v>
      </c>
      <c r="I37" s="2546" t="e">
        <f>VLOOKUP(C37,VCKD!#REF!,9,0)</f>
        <v>#REF!</v>
      </c>
      <c r="J37" s="2688">
        <f t="shared" si="0"/>
        <v>54.721309973400004</v>
      </c>
      <c r="K37" s="2546" t="e">
        <f t="shared" si="1"/>
        <v>#REF!</v>
      </c>
      <c r="L37" s="2545" t="e">
        <f>+VLOOKUP(C37,#REF!,37,0)</f>
        <v>#REF!</v>
      </c>
      <c r="M37" s="3006" t="e">
        <f t="shared" si="2"/>
        <v>#REF!</v>
      </c>
      <c r="N37" s="3006">
        <f>+VLOOKUP(C37,'Đôi 1 tạm ứng'!C37:M81,11,0)</f>
        <v>211703.18400000004</v>
      </c>
      <c r="O37" s="3006" t="e">
        <f t="shared" si="3"/>
        <v>#REF!</v>
      </c>
      <c r="P37" s="2546">
        <v>0</v>
      </c>
      <c r="Q37" s="2546">
        <v>0</v>
      </c>
      <c r="R37" s="2546">
        <v>0</v>
      </c>
      <c r="S37" s="2546">
        <v>0</v>
      </c>
      <c r="T37" s="2545" t="e">
        <f t="shared" si="4"/>
        <v>#REF!</v>
      </c>
      <c r="U37" s="2546"/>
      <c r="V37" s="2546">
        <v>0</v>
      </c>
      <c r="W37" s="2546" t="e">
        <f t="shared" si="5"/>
        <v>#REF!</v>
      </c>
      <c r="X37" s="2546"/>
    </row>
    <row r="38" spans="1:24" s="2935" customFormat="1" ht="57.75" customHeight="1">
      <c r="A38" s="2545">
        <v>22</v>
      </c>
      <c r="B38" s="2545" t="s">
        <v>1744</v>
      </c>
      <c r="C38" s="2546" t="s">
        <v>1528</v>
      </c>
      <c r="D38" s="2546" t="str">
        <f>'[3]CNKT '!D41</f>
        <v>CNKT</v>
      </c>
      <c r="E38" s="2546"/>
      <c r="F38" s="2547">
        <v>0</v>
      </c>
      <c r="G38" s="2546">
        <f t="shared" si="6"/>
        <v>0</v>
      </c>
      <c r="H38" s="2546">
        <f>+VLOOKUP(C38,'Mủ CN (tam ung)'!C33:AK57,35,0)</f>
        <v>110</v>
      </c>
      <c r="I38" s="2546" t="e">
        <f>VLOOKUP(C38,VCKD!#REF!,9,0)</f>
        <v>#REF!</v>
      </c>
      <c r="J38" s="2688">
        <f t="shared" si="0"/>
        <v>47.772572199000003</v>
      </c>
      <c r="K38" s="2546" t="e">
        <f t="shared" si="1"/>
        <v>#REF!</v>
      </c>
      <c r="L38" s="2545" t="e">
        <f>+VLOOKUP(C38,#REF!,37,0)</f>
        <v>#REF!</v>
      </c>
      <c r="M38" s="3006" t="e">
        <f t="shared" si="2"/>
        <v>#REF!</v>
      </c>
      <c r="N38" s="3006">
        <f>+VLOOKUP(C38,'Đôi 1 tạm ứng'!C38:M82,11,0)</f>
        <v>184820.24</v>
      </c>
      <c r="O38" s="3006" t="e">
        <f t="shared" si="3"/>
        <v>#REF!</v>
      </c>
      <c r="P38" s="2546">
        <v>0</v>
      </c>
      <c r="Q38" s="2546">
        <v>0</v>
      </c>
      <c r="R38" s="2546">
        <v>0</v>
      </c>
      <c r="S38" s="2546">
        <v>0</v>
      </c>
      <c r="T38" s="2545" t="e">
        <f t="shared" si="4"/>
        <v>#REF!</v>
      </c>
      <c r="U38" s="2546"/>
      <c r="V38" s="2546">
        <v>0</v>
      </c>
      <c r="W38" s="2546" t="e">
        <f t="shared" si="5"/>
        <v>#REF!</v>
      </c>
      <c r="X38" s="2546"/>
    </row>
    <row r="39" spans="1:24" s="2935" customFormat="1" ht="57.75" customHeight="1">
      <c r="A39" s="2545">
        <v>23</v>
      </c>
      <c r="B39" s="2545" t="s">
        <v>1732</v>
      </c>
      <c r="C39" s="2546" t="s">
        <v>1679</v>
      </c>
      <c r="D39" s="2546" t="str">
        <f>'[3]CNKT '!D42</f>
        <v>CNKT</v>
      </c>
      <c r="E39" s="2546"/>
      <c r="F39" s="2547">
        <v>0</v>
      </c>
      <c r="G39" s="2546">
        <f t="shared" si="6"/>
        <v>0</v>
      </c>
      <c r="H39" s="2546">
        <f>+VLOOKUP(C39,'Mủ CN (tam ung)'!C34:AK57,35,0)</f>
        <v>91</v>
      </c>
      <c r="I39" s="2546" t="e">
        <f>VLOOKUP(C39,VCKD!#REF!,9,0)</f>
        <v>#REF!</v>
      </c>
      <c r="J39" s="2688">
        <f t="shared" si="0"/>
        <v>39.520946091900001</v>
      </c>
      <c r="K39" s="2546" t="e">
        <f t="shared" si="1"/>
        <v>#REF!</v>
      </c>
      <c r="L39" s="2545" t="e">
        <f>+VLOOKUP(C39,#REF!,37,0)</f>
        <v>#REF!</v>
      </c>
      <c r="M39" s="3006" t="e">
        <f t="shared" si="2"/>
        <v>#REF!</v>
      </c>
      <c r="N39" s="3006">
        <f>+VLOOKUP(C39,'Đôi 1 tạm ứng'!C39:M83,11,0)</f>
        <v>152896.74400000001</v>
      </c>
      <c r="O39" s="3006" t="e">
        <f t="shared" si="3"/>
        <v>#REF!</v>
      </c>
      <c r="P39" s="2546">
        <v>0</v>
      </c>
      <c r="Q39" s="2546">
        <v>0</v>
      </c>
      <c r="R39" s="2546">
        <v>0</v>
      </c>
      <c r="S39" s="2546">
        <v>0</v>
      </c>
      <c r="T39" s="2545" t="e">
        <f t="shared" si="4"/>
        <v>#REF!</v>
      </c>
      <c r="U39" s="2546"/>
      <c r="V39" s="2546">
        <v>0</v>
      </c>
      <c r="W39" s="2546" t="e">
        <f t="shared" si="5"/>
        <v>#REF!</v>
      </c>
      <c r="X39" s="2546"/>
    </row>
    <row r="40" spans="1:24" s="2935" customFormat="1" ht="57.75" customHeight="1">
      <c r="A40" s="2545">
        <v>24</v>
      </c>
      <c r="B40" s="2545" t="s">
        <v>1733</v>
      </c>
      <c r="C40" s="2546" t="s">
        <v>1529</v>
      </c>
      <c r="D40" s="2546" t="str">
        <f>'[3]CNKT '!D43</f>
        <v>CNKT</v>
      </c>
      <c r="E40" s="2546"/>
      <c r="F40" s="2547">
        <v>0</v>
      </c>
      <c r="G40" s="2546">
        <f t="shared" si="6"/>
        <v>0</v>
      </c>
      <c r="H40" s="2546">
        <f>+VLOOKUP(C40,'Mủ CN (tam ung)'!C35:AK57,35,0)</f>
        <v>103</v>
      </c>
      <c r="I40" s="2546" t="e">
        <f>VLOOKUP(C40,VCKD!#REF!,9,0)</f>
        <v>#REF!</v>
      </c>
      <c r="J40" s="2688">
        <f t="shared" si="0"/>
        <v>44.732499422700002</v>
      </c>
      <c r="K40" s="2546" t="e">
        <f t="shared" si="1"/>
        <v>#REF!</v>
      </c>
      <c r="L40" s="2545" t="e">
        <f>+VLOOKUP(C40,#REF!,37,0)</f>
        <v>#REF!</v>
      </c>
      <c r="M40" s="3006" t="e">
        <f t="shared" si="2"/>
        <v>#REF!</v>
      </c>
      <c r="N40" s="3006">
        <f>+VLOOKUP(C40,'Đôi 1 tạm ứng'!C40:M84,11,0)</f>
        <v>173058.95200000002</v>
      </c>
      <c r="O40" s="3006" t="e">
        <f t="shared" si="3"/>
        <v>#REF!</v>
      </c>
      <c r="P40" s="2546">
        <v>0</v>
      </c>
      <c r="Q40" s="2546">
        <v>0</v>
      </c>
      <c r="R40" s="2546">
        <v>0</v>
      </c>
      <c r="S40" s="2546">
        <v>0</v>
      </c>
      <c r="T40" s="2545" t="e">
        <f t="shared" si="4"/>
        <v>#REF!</v>
      </c>
      <c r="U40" s="2546"/>
      <c r="V40" s="2546">
        <v>0</v>
      </c>
      <c r="W40" s="2546" t="e">
        <f t="shared" si="5"/>
        <v>#REF!</v>
      </c>
      <c r="X40" s="2546"/>
    </row>
    <row r="41" spans="1:24" s="2935" customFormat="1" ht="57.75" customHeight="1">
      <c r="A41" s="2545">
        <v>25</v>
      </c>
      <c r="B41" s="2545" t="s">
        <v>1743</v>
      </c>
      <c r="C41" s="2546" t="s">
        <v>1487</v>
      </c>
      <c r="D41" s="2546" t="str">
        <f>'[3]CNKT '!D44</f>
        <v>CNKT</v>
      </c>
      <c r="E41" s="2546"/>
      <c r="F41" s="2547">
        <v>0</v>
      </c>
      <c r="G41" s="2546">
        <f t="shared" si="6"/>
        <v>0</v>
      </c>
      <c r="H41" s="2546">
        <f>+VLOOKUP(C41,'Mủ CN (tam ung)'!C36:AK57,35,0)</f>
        <v>55</v>
      </c>
      <c r="I41" s="2546" t="e">
        <f>VLOOKUP(C41,VCKD!#REF!,9,0)</f>
        <v>#REF!</v>
      </c>
      <c r="J41" s="2688">
        <f t="shared" si="0"/>
        <v>23.886286099500001</v>
      </c>
      <c r="K41" s="2546" t="e">
        <f t="shared" si="1"/>
        <v>#REF!</v>
      </c>
      <c r="L41" s="2545" t="e">
        <f>+VLOOKUP(C41,#REF!,37,0)</f>
        <v>#REF!</v>
      </c>
      <c r="M41" s="3006" t="e">
        <f t="shared" si="2"/>
        <v>#REF!</v>
      </c>
      <c r="N41" s="3006">
        <f>+VLOOKUP(C41,'Đôi 1 tạm ứng'!C41:M85,11,0)</f>
        <v>92410.12</v>
      </c>
      <c r="O41" s="3006" t="e">
        <f t="shared" si="3"/>
        <v>#REF!</v>
      </c>
      <c r="P41" s="2546">
        <v>0</v>
      </c>
      <c r="Q41" s="2546">
        <v>0</v>
      </c>
      <c r="R41" s="2546">
        <v>0</v>
      </c>
      <c r="S41" s="2546">
        <v>0</v>
      </c>
      <c r="T41" s="2545" t="e">
        <f t="shared" si="4"/>
        <v>#REF!</v>
      </c>
      <c r="U41" s="2546"/>
      <c r="V41" s="2546">
        <v>0</v>
      </c>
      <c r="W41" s="2546" t="e">
        <f t="shared" si="5"/>
        <v>#REF!</v>
      </c>
      <c r="X41" s="2546"/>
    </row>
    <row r="42" spans="1:24" s="2935" customFormat="1" ht="57.75" customHeight="1">
      <c r="A42" s="2545">
        <v>26</v>
      </c>
      <c r="B42" s="2545" t="s">
        <v>1742</v>
      </c>
      <c r="C42" s="2546" t="s">
        <v>1559</v>
      </c>
      <c r="D42" s="2546" t="str">
        <f>'[3]CNKT '!D45</f>
        <v>CNKT</v>
      </c>
      <c r="E42" s="2546"/>
      <c r="F42" s="2547">
        <v>0</v>
      </c>
      <c r="G42" s="2546">
        <f t="shared" si="6"/>
        <v>0</v>
      </c>
      <c r="H42" s="2546">
        <f>+VLOOKUP(C42,'Mủ CN (tam ung)'!C37:AK58,35,0)</f>
        <v>95</v>
      </c>
      <c r="I42" s="2546" t="e">
        <f>VLOOKUP(C42,VCKD!#REF!,9,0)</f>
        <v>#REF!</v>
      </c>
      <c r="J42" s="2688">
        <f t="shared" si="0"/>
        <v>41.258130535500001</v>
      </c>
      <c r="K42" s="2546" t="e">
        <f t="shared" si="1"/>
        <v>#REF!</v>
      </c>
      <c r="L42" s="2545" t="e">
        <f>+VLOOKUP(C42,#REF!,37,0)</f>
        <v>#REF!</v>
      </c>
      <c r="M42" s="3006" t="e">
        <f t="shared" si="2"/>
        <v>#REF!</v>
      </c>
      <c r="N42" s="3006">
        <f>+VLOOKUP(C42,'Đôi 1 tạm ứng'!C42:M86,11,0)</f>
        <v>159617.48000000001</v>
      </c>
      <c r="O42" s="3006" t="e">
        <f t="shared" si="3"/>
        <v>#REF!</v>
      </c>
      <c r="P42" s="2546">
        <v>0</v>
      </c>
      <c r="Q42" s="2546">
        <v>0</v>
      </c>
      <c r="R42" s="2546">
        <v>0</v>
      </c>
      <c r="S42" s="2546">
        <v>0</v>
      </c>
      <c r="T42" s="2545" t="e">
        <f t="shared" si="4"/>
        <v>#REF!</v>
      </c>
      <c r="U42" s="2546"/>
      <c r="V42" s="2546">
        <v>0</v>
      </c>
      <c r="W42" s="2546" t="e">
        <f t="shared" si="5"/>
        <v>#REF!</v>
      </c>
      <c r="X42" s="2546"/>
    </row>
    <row r="43" spans="1:24" s="2935" customFormat="1" ht="57.75" customHeight="1">
      <c r="A43" s="2545">
        <v>27</v>
      </c>
      <c r="B43" s="2545" t="s">
        <v>1734</v>
      </c>
      <c r="C43" s="2546" t="s">
        <v>1238</v>
      </c>
      <c r="D43" s="2546" t="str">
        <f>'[3]CNKT '!D46</f>
        <v>CNKT</v>
      </c>
      <c r="E43" s="2546"/>
      <c r="F43" s="2547">
        <v>0</v>
      </c>
      <c r="G43" s="2546">
        <f t="shared" si="6"/>
        <v>0</v>
      </c>
      <c r="H43" s="2546">
        <f>+VLOOKUP(C43,'Mủ CN (tam ung)'!C38:AK59,35,0)</f>
        <v>111</v>
      </c>
      <c r="I43" s="2546" t="e">
        <f>VLOOKUP(C43,VCKD!#REF!,9,0)</f>
        <v>#REF!</v>
      </c>
      <c r="J43" s="2688">
        <f t="shared" si="0"/>
        <v>48.206868309900003</v>
      </c>
      <c r="K43" s="2546" t="e">
        <f t="shared" si="1"/>
        <v>#REF!</v>
      </c>
      <c r="L43" s="2545" t="e">
        <f>+VLOOKUP(C43,#REF!,37,0)</f>
        <v>#REF!</v>
      </c>
      <c r="M43" s="3006" t="e">
        <f t="shared" si="2"/>
        <v>#REF!</v>
      </c>
      <c r="N43" s="3006">
        <f>+VLOOKUP(C43,'Đôi 1 tạm ứng'!C43:M87,11,0)</f>
        <v>186500.42400000003</v>
      </c>
      <c r="O43" s="3006" t="e">
        <f t="shared" si="3"/>
        <v>#REF!</v>
      </c>
      <c r="P43" s="2546">
        <v>0</v>
      </c>
      <c r="Q43" s="2546">
        <v>0</v>
      </c>
      <c r="R43" s="2546">
        <v>0</v>
      </c>
      <c r="S43" s="2546">
        <v>0</v>
      </c>
      <c r="T43" s="2545" t="e">
        <f t="shared" si="4"/>
        <v>#REF!</v>
      </c>
      <c r="U43" s="2546"/>
      <c r="V43" s="2546">
        <v>0</v>
      </c>
      <c r="W43" s="2546" t="e">
        <f t="shared" si="5"/>
        <v>#REF!</v>
      </c>
      <c r="X43" s="2546"/>
    </row>
    <row r="44" spans="1:24" s="2935" customFormat="1" ht="57.75" customHeight="1">
      <c r="A44" s="2545">
        <v>28</v>
      </c>
      <c r="B44" s="2545" t="s">
        <v>1735</v>
      </c>
      <c r="C44" s="2546" t="s">
        <v>1488</v>
      </c>
      <c r="D44" s="2546" t="str">
        <f>'[3]CNKT '!D47</f>
        <v>CNKT</v>
      </c>
      <c r="E44" s="2546"/>
      <c r="F44" s="2547">
        <v>0</v>
      </c>
      <c r="G44" s="2546">
        <f t="shared" si="6"/>
        <v>0</v>
      </c>
      <c r="H44" s="2546">
        <f>+VLOOKUP(C44,'Mủ CN (tam ung)'!C39:AK60,35,0)</f>
        <v>83</v>
      </c>
      <c r="I44" s="2546" t="e">
        <f>VLOOKUP(C44,VCKD!#REF!,9,0)</f>
        <v>#REF!</v>
      </c>
      <c r="J44" s="2688">
        <f t="shared" si="0"/>
        <v>36.0465772047</v>
      </c>
      <c r="K44" s="2546" t="e">
        <f t="shared" si="1"/>
        <v>#REF!</v>
      </c>
      <c r="L44" s="2545" t="e">
        <f>+VLOOKUP(C44,#REF!,37,0)</f>
        <v>#REF!</v>
      </c>
      <c r="M44" s="3006" t="e">
        <f t="shared" si="2"/>
        <v>#REF!</v>
      </c>
      <c r="N44" s="3006">
        <f>+VLOOKUP(C44,'Đôi 1 tạm ứng'!C44:M88,11,0)</f>
        <v>139455.27200000003</v>
      </c>
      <c r="O44" s="3006" t="e">
        <f t="shared" si="3"/>
        <v>#REF!</v>
      </c>
      <c r="P44" s="2546">
        <v>0</v>
      </c>
      <c r="Q44" s="2546">
        <v>0</v>
      </c>
      <c r="R44" s="2546">
        <v>0</v>
      </c>
      <c r="S44" s="2546">
        <v>0</v>
      </c>
      <c r="T44" s="2545" t="e">
        <f t="shared" si="4"/>
        <v>#REF!</v>
      </c>
      <c r="U44" s="2546"/>
      <c r="V44" s="2546">
        <v>0</v>
      </c>
      <c r="W44" s="2546" t="e">
        <f t="shared" si="5"/>
        <v>#REF!</v>
      </c>
      <c r="X44" s="2546"/>
    </row>
    <row r="45" spans="1:24" s="2935" customFormat="1" ht="57.75" customHeight="1">
      <c r="A45" s="2545">
        <v>29</v>
      </c>
      <c r="B45" s="2545" t="s">
        <v>1746</v>
      </c>
      <c r="C45" s="2546" t="s">
        <v>1680</v>
      </c>
      <c r="D45" s="2546" t="str">
        <f>'[3]CNKT '!D48</f>
        <v>CNKT</v>
      </c>
      <c r="E45" s="2546"/>
      <c r="F45" s="2547">
        <v>0</v>
      </c>
      <c r="G45" s="2546">
        <f t="shared" si="6"/>
        <v>0</v>
      </c>
      <c r="H45" s="2546">
        <f>+VLOOKUP(C45,'Mủ CN (tam ung)'!C40:AK61,35,0)</f>
        <v>163</v>
      </c>
      <c r="I45" s="2546" t="e">
        <f>VLOOKUP(C45,VCKD!#REF!,9,0)</f>
        <v>#REF!</v>
      </c>
      <c r="J45" s="2688">
        <f t="shared" si="0"/>
        <v>70.790266076700007</v>
      </c>
      <c r="K45" s="2546" t="e">
        <f t="shared" si="1"/>
        <v>#REF!</v>
      </c>
      <c r="L45" s="2545" t="e">
        <f>+VLOOKUP(C45,#REF!,37,0)</f>
        <v>#REF!</v>
      </c>
      <c r="M45" s="3006" t="e">
        <f t="shared" si="2"/>
        <v>#REF!</v>
      </c>
      <c r="N45" s="3006" t="e">
        <f>+VLOOKUP(C45,'Đôi 1 tạm ứng'!C45:M89,11,0)</f>
        <v>#N/A</v>
      </c>
      <c r="O45" s="3006" t="e">
        <f t="shared" si="3"/>
        <v>#REF!</v>
      </c>
      <c r="P45" s="2546">
        <v>0</v>
      </c>
      <c r="Q45" s="2546">
        <v>0</v>
      </c>
      <c r="R45" s="2546">
        <v>0</v>
      </c>
      <c r="S45" s="2546">
        <v>0</v>
      </c>
      <c r="T45" s="2545" t="e">
        <f t="shared" si="4"/>
        <v>#REF!</v>
      </c>
      <c r="U45" s="2546"/>
      <c r="V45" s="2546">
        <v>0</v>
      </c>
      <c r="W45" s="2546" t="e">
        <f t="shared" si="5"/>
        <v>#REF!</v>
      </c>
      <c r="X45" s="2546"/>
    </row>
    <row r="46" spans="1:24" s="2935" customFormat="1" ht="57.75" customHeight="1">
      <c r="A46" s="2545">
        <v>30</v>
      </c>
      <c r="B46" s="2545" t="s">
        <v>1751</v>
      </c>
      <c r="C46" s="2546" t="s">
        <v>1081</v>
      </c>
      <c r="D46" s="2546" t="str">
        <f>'[3]CNKT '!D51</f>
        <v>CNKT</v>
      </c>
      <c r="E46" s="2546"/>
      <c r="F46" s="2547">
        <v>0</v>
      </c>
      <c r="G46" s="2546">
        <f t="shared" si="6"/>
        <v>0</v>
      </c>
      <c r="H46" s="2546">
        <f>+VLOOKUP(C46,'Mủ CN (tam ung)'!C42:AK64,35,0)</f>
        <v>97</v>
      </c>
      <c r="I46" s="2546" t="e">
        <f>VLOOKUP(C46,VCKD!#REF!,9,0)</f>
        <v>#REF!</v>
      </c>
      <c r="J46" s="2688">
        <f t="shared" si="0"/>
        <v>42.126722757300001</v>
      </c>
      <c r="K46" s="2546" t="e">
        <f t="shared" si="1"/>
        <v>#REF!</v>
      </c>
      <c r="L46" s="2545" t="e">
        <f>+VLOOKUP(C46,#REF!,37,0)</f>
        <v>#REF!</v>
      </c>
      <c r="M46" s="3006" t="e">
        <f t="shared" si="2"/>
        <v>#REF!</v>
      </c>
      <c r="N46" s="3006">
        <f>+VLOOKUP(C46,'Đôi 1 tạm ứng'!C46:M90,11,0)</f>
        <v>162977.84800000003</v>
      </c>
      <c r="O46" s="3006" t="e">
        <f t="shared" si="3"/>
        <v>#REF!</v>
      </c>
      <c r="P46" s="2546">
        <v>0</v>
      </c>
      <c r="Q46" s="2546">
        <v>0</v>
      </c>
      <c r="R46" s="2546">
        <v>0</v>
      </c>
      <c r="S46" s="2546">
        <v>0</v>
      </c>
      <c r="T46" s="2545" t="e">
        <f t="shared" si="4"/>
        <v>#REF!</v>
      </c>
      <c r="U46" s="2546"/>
      <c r="V46" s="2546">
        <v>0</v>
      </c>
      <c r="W46" s="2546" t="e">
        <f t="shared" si="5"/>
        <v>#REF!</v>
      </c>
      <c r="X46" s="2546"/>
    </row>
    <row r="47" spans="1:24" s="2935" customFormat="1" ht="57.75" customHeight="1">
      <c r="A47" s="2545">
        <v>31</v>
      </c>
      <c r="B47" s="2545">
        <f>[3]TONGHOPCONGDOI!B54</f>
        <v>0</v>
      </c>
      <c r="C47" s="2546" t="s">
        <v>1682</v>
      </c>
      <c r="D47" s="2546" t="str">
        <f>'[3]CNKT '!D52</f>
        <v>CNKT</v>
      </c>
      <c r="E47" s="2546"/>
      <c r="F47" s="2547">
        <v>0</v>
      </c>
      <c r="G47" s="2546">
        <f t="shared" si="6"/>
        <v>0</v>
      </c>
      <c r="H47" s="2546">
        <f>+VLOOKUP(C47,'Mủ CN (tam ung)'!C43:AK65,35,0)</f>
        <v>110</v>
      </c>
      <c r="I47" s="2546" t="e">
        <f>VLOOKUP(C47,VCKD!#REF!,9,0)</f>
        <v>#REF!</v>
      </c>
      <c r="J47" s="2688">
        <f t="shared" si="0"/>
        <v>47.772572199000003</v>
      </c>
      <c r="K47" s="2546" t="e">
        <f t="shared" si="1"/>
        <v>#REF!</v>
      </c>
      <c r="L47" s="2545" t="e">
        <f>+VLOOKUP(C47,#REF!,37,0)</f>
        <v>#REF!</v>
      </c>
      <c r="M47" s="3006" t="e">
        <f t="shared" si="2"/>
        <v>#REF!</v>
      </c>
      <c r="N47" s="3006">
        <f>+VLOOKUP(C47,'Đôi 1 tạm ứng'!C47:M91,11,0)</f>
        <v>184820.24</v>
      </c>
      <c r="O47" s="3006" t="e">
        <f t="shared" si="3"/>
        <v>#REF!</v>
      </c>
      <c r="P47" s="2546">
        <v>0</v>
      </c>
      <c r="Q47" s="2546">
        <v>0</v>
      </c>
      <c r="R47" s="2546">
        <v>0</v>
      </c>
      <c r="S47" s="2546">
        <v>0</v>
      </c>
      <c r="T47" s="2545" t="e">
        <f t="shared" si="4"/>
        <v>#REF!</v>
      </c>
      <c r="U47" s="2546"/>
      <c r="V47" s="2546">
        <v>0</v>
      </c>
      <c r="W47" s="2546" t="e">
        <f t="shared" si="5"/>
        <v>#REF!</v>
      </c>
      <c r="X47" s="2546"/>
    </row>
    <row r="48" spans="1:24" s="2935" customFormat="1" ht="57.75" customHeight="1">
      <c r="A48" s="2545">
        <v>32</v>
      </c>
      <c r="B48" s="2545" t="s">
        <v>1752</v>
      </c>
      <c r="C48" s="2546" t="s">
        <v>1530</v>
      </c>
      <c r="D48" s="2546" t="str">
        <f>'[3]CNKT '!D53</f>
        <v>CNKT</v>
      </c>
      <c r="E48" s="2546"/>
      <c r="F48" s="2547">
        <v>0</v>
      </c>
      <c r="G48" s="2546">
        <f t="shared" si="6"/>
        <v>0</v>
      </c>
      <c r="H48" s="2546">
        <f>+VLOOKUP(C48,'Mủ CN (tam ung)'!C44:AK66,35,0)</f>
        <v>96</v>
      </c>
      <c r="I48" s="2546" t="e">
        <f>VLOOKUP(C48,VCKD!#REF!,9,0)</f>
        <v>#REF!</v>
      </c>
      <c r="J48" s="2688">
        <f t="shared" si="0"/>
        <v>41.692426646400001</v>
      </c>
      <c r="K48" s="2546" t="e">
        <f t="shared" si="1"/>
        <v>#REF!</v>
      </c>
      <c r="L48" s="2545" t="e">
        <f>+VLOOKUP(C48,#REF!,37,0)</f>
        <v>#REF!</v>
      </c>
      <c r="M48" s="3006" t="e">
        <f t="shared" si="2"/>
        <v>#REF!</v>
      </c>
      <c r="N48" s="3006">
        <f>+VLOOKUP(C48,'Đôi 1 tạm ứng'!C48:M92,11,0)</f>
        <v>161297.66400000002</v>
      </c>
      <c r="O48" s="3006" t="e">
        <f t="shared" si="3"/>
        <v>#REF!</v>
      </c>
      <c r="P48" s="2546">
        <v>0</v>
      </c>
      <c r="Q48" s="2546">
        <v>0</v>
      </c>
      <c r="R48" s="2546">
        <v>0</v>
      </c>
      <c r="S48" s="2546">
        <v>0</v>
      </c>
      <c r="T48" s="2545" t="e">
        <f t="shared" si="4"/>
        <v>#REF!</v>
      </c>
      <c r="U48" s="2546"/>
      <c r="V48" s="2546">
        <v>0</v>
      </c>
      <c r="W48" s="2546" t="e">
        <f t="shared" si="5"/>
        <v>#REF!</v>
      </c>
      <c r="X48" s="2546"/>
    </row>
    <row r="49" spans="1:24" s="2935" customFormat="1" ht="57.75" customHeight="1">
      <c r="A49" s="2545">
        <v>33</v>
      </c>
      <c r="B49" s="2545" t="s">
        <v>1753</v>
      </c>
      <c r="C49" s="2546" t="s">
        <v>1243</v>
      </c>
      <c r="D49" s="2546" t="str">
        <f>'[3]CNKT '!D54</f>
        <v>CNKT</v>
      </c>
      <c r="E49" s="2546"/>
      <c r="F49" s="2547">
        <v>0</v>
      </c>
      <c r="G49" s="2546">
        <f t="shared" si="6"/>
        <v>0</v>
      </c>
      <c r="H49" s="2546">
        <f>+VLOOKUP(C49,'Mủ CN (tam ung)'!C45:AK67,35,0)</f>
        <v>65</v>
      </c>
      <c r="I49" s="2546" t="e">
        <f>VLOOKUP(C49,VCKD!#REF!,9,0)</f>
        <v>#REF!</v>
      </c>
      <c r="J49" s="2688">
        <f t="shared" si="0"/>
        <v>28.229247208500002</v>
      </c>
      <c r="K49" s="2546" t="e">
        <f t="shared" si="1"/>
        <v>#REF!</v>
      </c>
      <c r="L49" s="2545" t="e">
        <f>+VLOOKUP(C49,#REF!,37,0)</f>
        <v>#REF!</v>
      </c>
      <c r="M49" s="3006" t="e">
        <f t="shared" si="2"/>
        <v>#REF!</v>
      </c>
      <c r="N49" s="3006">
        <f>+VLOOKUP(C49,'Đôi 1 tạm ứng'!C49:M93,11,0)</f>
        <v>109211.96</v>
      </c>
      <c r="O49" s="3006" t="e">
        <f t="shared" si="3"/>
        <v>#REF!</v>
      </c>
      <c r="P49" s="2546">
        <v>0</v>
      </c>
      <c r="Q49" s="2546">
        <v>0</v>
      </c>
      <c r="R49" s="2546">
        <v>0</v>
      </c>
      <c r="S49" s="2546">
        <v>0</v>
      </c>
      <c r="T49" s="2545" t="e">
        <f t="shared" si="4"/>
        <v>#REF!</v>
      </c>
      <c r="U49" s="2546"/>
      <c r="V49" s="2546">
        <v>0</v>
      </c>
      <c r="W49" s="2546" t="e">
        <f t="shared" si="5"/>
        <v>#REF!</v>
      </c>
      <c r="X49" s="2546"/>
    </row>
    <row r="50" spans="1:24" s="2935" customFormat="1" ht="57.75" customHeight="1">
      <c r="A50" s="2545">
        <v>34</v>
      </c>
      <c r="B50" s="2545" t="s">
        <v>1749</v>
      </c>
      <c r="C50" s="2546" t="s">
        <v>1179</v>
      </c>
      <c r="D50" s="2546" t="str">
        <f>'[3]CNKT '!D56</f>
        <v>CNKT</v>
      </c>
      <c r="E50" s="2546"/>
      <c r="F50" s="2547">
        <v>0</v>
      </c>
      <c r="G50" s="2546">
        <f t="shared" si="6"/>
        <v>0</v>
      </c>
      <c r="H50" s="2546">
        <f>+VLOOKUP(C50,'Mủ CN (tam ung)'!C46:AK68,35,0)</f>
        <v>321</v>
      </c>
      <c r="I50" s="2546" t="e">
        <f>VLOOKUP(C50,VCKD!#REF!,9,0)</f>
        <v>#REF!</v>
      </c>
      <c r="J50" s="2688">
        <f t="shared" si="0"/>
        <v>139.40905159890002</v>
      </c>
      <c r="K50" s="2546" t="e">
        <f t="shared" si="1"/>
        <v>#REF!</v>
      </c>
      <c r="L50" s="2545" t="e">
        <f>+VLOOKUP(C50,#REF!,37,0)</f>
        <v>#REF!</v>
      </c>
      <c r="M50" s="3006" t="e">
        <f t="shared" si="2"/>
        <v>#REF!</v>
      </c>
      <c r="N50" s="3006">
        <f>+VLOOKUP(C50,'Đôi 1 tạm ứng'!C50:M94,11,0)</f>
        <v>539339.06400000001</v>
      </c>
      <c r="O50" s="3006" t="e">
        <f t="shared" si="3"/>
        <v>#REF!</v>
      </c>
      <c r="P50" s="2546">
        <v>0</v>
      </c>
      <c r="Q50" s="2546">
        <v>0</v>
      </c>
      <c r="R50" s="2546">
        <v>0</v>
      </c>
      <c r="S50" s="2546">
        <v>0</v>
      </c>
      <c r="T50" s="2545" t="e">
        <f t="shared" si="4"/>
        <v>#REF!</v>
      </c>
      <c r="U50" s="2546"/>
      <c r="V50" s="2546">
        <v>0</v>
      </c>
      <c r="W50" s="2546" t="e">
        <f t="shared" si="5"/>
        <v>#REF!</v>
      </c>
      <c r="X50" s="2546"/>
    </row>
    <row r="51" spans="1:24" s="2935" customFormat="1" ht="57.75" customHeight="1">
      <c r="A51" s="2545">
        <v>35</v>
      </c>
      <c r="B51" s="2545" t="s">
        <v>1736</v>
      </c>
      <c r="C51" s="2546" t="s">
        <v>1560</v>
      </c>
      <c r="D51" s="2546" t="str">
        <f>'[3]CNKT '!D57</f>
        <v>CNKT</v>
      </c>
      <c r="E51" s="2546"/>
      <c r="F51" s="2547">
        <v>0</v>
      </c>
      <c r="G51" s="2546">
        <f t="shared" si="6"/>
        <v>0</v>
      </c>
      <c r="H51" s="2546">
        <f>+VLOOKUP(C51,'Mủ CN (tam ung)'!C47:AK68,35,0)</f>
        <v>319</v>
      </c>
      <c r="I51" s="2546" t="e">
        <f>VLOOKUP(C51,VCKD!#REF!,9,0)</f>
        <v>#REF!</v>
      </c>
      <c r="J51" s="2688">
        <f t="shared" si="0"/>
        <v>138.54045937710001</v>
      </c>
      <c r="K51" s="2546" t="e">
        <f t="shared" si="1"/>
        <v>#REF!</v>
      </c>
      <c r="L51" s="2545" t="e">
        <f>+VLOOKUP(C51,#REF!,37,0)</f>
        <v>#REF!</v>
      </c>
      <c r="M51" s="3006" t="e">
        <f t="shared" si="2"/>
        <v>#REF!</v>
      </c>
      <c r="N51" s="3006">
        <f>+VLOOKUP(C51,'Đôi 1 tạm ứng'!C51:M95,11,0)</f>
        <v>535978.696</v>
      </c>
      <c r="O51" s="3006" t="e">
        <f t="shared" si="3"/>
        <v>#REF!</v>
      </c>
      <c r="P51" s="2546">
        <v>0</v>
      </c>
      <c r="Q51" s="2546">
        <v>0</v>
      </c>
      <c r="R51" s="2546">
        <v>0</v>
      </c>
      <c r="S51" s="2546">
        <v>0</v>
      </c>
      <c r="T51" s="2545" t="e">
        <f t="shared" si="4"/>
        <v>#REF!</v>
      </c>
      <c r="U51" s="2546"/>
      <c r="V51" s="2546">
        <v>0</v>
      </c>
      <c r="W51" s="2546" t="e">
        <f t="shared" si="5"/>
        <v>#REF!</v>
      </c>
      <c r="X51" s="2546"/>
    </row>
    <row r="52" spans="1:24" s="2935" customFormat="1" ht="57.75" customHeight="1">
      <c r="A52" s="2545">
        <v>36</v>
      </c>
      <c r="B52" s="2545" t="s">
        <v>1750</v>
      </c>
      <c r="C52" s="2546" t="s">
        <v>1561</v>
      </c>
      <c r="D52" s="2546" t="str">
        <f>'[3]CNKT '!D58</f>
        <v>CNKT</v>
      </c>
      <c r="E52" s="2546"/>
      <c r="F52" s="2547">
        <v>0</v>
      </c>
      <c r="G52" s="2546">
        <f t="shared" si="6"/>
        <v>0</v>
      </c>
      <c r="H52" s="2546">
        <v>320</v>
      </c>
      <c r="I52" s="2546" t="e">
        <f>VLOOKUP(C52,VCKD!#REF!,9,0)</f>
        <v>#REF!</v>
      </c>
      <c r="J52" s="2688">
        <f t="shared" si="0"/>
        <v>138.974755488</v>
      </c>
      <c r="K52" s="2546" t="e">
        <f t="shared" si="1"/>
        <v>#REF!</v>
      </c>
      <c r="L52" s="2545" t="e">
        <f>+VLOOKUP(C52,#REF!,37,0)</f>
        <v>#REF!</v>
      </c>
      <c r="M52" s="3006" t="e">
        <f t="shared" si="2"/>
        <v>#REF!</v>
      </c>
      <c r="N52" s="3006">
        <f>+VLOOKUP(C52,'Đôi 1 tạm ứng'!C52:M96,11,0)</f>
        <v>535978.696</v>
      </c>
      <c r="O52" s="3006" t="e">
        <f t="shared" si="3"/>
        <v>#REF!</v>
      </c>
      <c r="P52" s="2546">
        <v>0</v>
      </c>
      <c r="Q52" s="2546">
        <v>0</v>
      </c>
      <c r="R52" s="2546">
        <v>0</v>
      </c>
      <c r="S52" s="2546">
        <v>0</v>
      </c>
      <c r="T52" s="2545" t="e">
        <f t="shared" si="4"/>
        <v>#REF!</v>
      </c>
      <c r="U52" s="2546"/>
      <c r="V52" s="2546">
        <v>0</v>
      </c>
      <c r="W52" s="2546" t="e">
        <f t="shared" si="5"/>
        <v>#REF!</v>
      </c>
      <c r="X52" s="2546"/>
    </row>
    <row r="53" spans="1:24" s="2935" customFormat="1" ht="57.75" customHeight="1">
      <c r="A53" s="2545">
        <v>37</v>
      </c>
      <c r="B53" s="2545">
        <f>[3]TONGHOPCONGDOI!B62</f>
        <v>0</v>
      </c>
      <c r="C53" s="2546" t="s">
        <v>1683</v>
      </c>
      <c r="D53" s="2546" t="str">
        <f>'[3]CNKT '!D59</f>
        <v>CNKT</v>
      </c>
      <c r="E53" s="2546"/>
      <c r="F53" s="2547">
        <v>0</v>
      </c>
      <c r="G53" s="2546">
        <f t="shared" si="6"/>
        <v>0</v>
      </c>
      <c r="H53" s="2546">
        <f>+VLOOKUP(C53,'Mủ CN (tam ung)'!C49:AK70,35,0)</f>
        <v>197</v>
      </c>
      <c r="I53" s="2546" t="e">
        <f>VLOOKUP(C53,VCKD!#REF!,9,0)</f>
        <v>#REF!</v>
      </c>
      <c r="J53" s="2688">
        <f t="shared" si="0"/>
        <v>85.55633384730001</v>
      </c>
      <c r="K53" s="2546" t="e">
        <f t="shared" si="1"/>
        <v>#REF!</v>
      </c>
      <c r="L53" s="2545" t="e">
        <f>+VLOOKUP(C53,#REF!,37,0)</f>
        <v>#REF!</v>
      </c>
      <c r="M53" s="3006" t="e">
        <f t="shared" si="2"/>
        <v>#REF!</v>
      </c>
      <c r="N53" s="3006">
        <f>+VLOOKUP(C53,'Đôi 1 tạm ứng'!C53:M97,11,0)</f>
        <v>314717.74400000006</v>
      </c>
      <c r="O53" s="3006" t="e">
        <f t="shared" si="3"/>
        <v>#REF!</v>
      </c>
      <c r="P53" s="2546">
        <v>0</v>
      </c>
      <c r="Q53" s="2546">
        <v>0</v>
      </c>
      <c r="R53" s="2546">
        <v>0</v>
      </c>
      <c r="S53" s="2546">
        <v>0</v>
      </c>
      <c r="T53" s="2545" t="e">
        <f t="shared" si="4"/>
        <v>#REF!</v>
      </c>
      <c r="U53" s="2546"/>
      <c r="V53" s="2546">
        <v>0</v>
      </c>
      <c r="W53" s="2546" t="e">
        <f t="shared" si="5"/>
        <v>#REF!</v>
      </c>
      <c r="X53" s="2546"/>
    </row>
    <row r="54" spans="1:24" s="2935" customFormat="1" ht="57.75" customHeight="1">
      <c r="A54" s="2545">
        <v>38</v>
      </c>
      <c r="B54" s="2545" t="s">
        <v>1756</v>
      </c>
      <c r="C54" s="2546" t="s">
        <v>1307</v>
      </c>
      <c r="D54" s="2546" t="str">
        <f>'[3]CNKT '!D60</f>
        <v>CNKT</v>
      </c>
      <c r="E54" s="2546"/>
      <c r="F54" s="2547">
        <v>0</v>
      </c>
      <c r="G54" s="2546">
        <f t="shared" si="6"/>
        <v>0</v>
      </c>
      <c r="H54" s="2546">
        <f>+VLOOKUP(C54,'Mủ CN (tam ung)'!C50:AK71,35,0)</f>
        <v>320</v>
      </c>
      <c r="I54" s="2546" t="e">
        <f>VLOOKUP(C54,VCKD!#REF!,9,0)</f>
        <v>#REF!</v>
      </c>
      <c r="J54" s="2688">
        <f t="shared" si="0"/>
        <v>138.974755488</v>
      </c>
      <c r="K54" s="2546" t="e">
        <f t="shared" si="1"/>
        <v>#REF!</v>
      </c>
      <c r="L54" s="2545" t="e">
        <f>+VLOOKUP(C54,#REF!,37,0)</f>
        <v>#REF!</v>
      </c>
      <c r="M54" s="3006" t="e">
        <f t="shared" si="2"/>
        <v>#REF!</v>
      </c>
      <c r="N54" s="3006">
        <f>+VLOOKUP(C54,'Đôi 1 tạm ứng'!C54:M98,11,0)</f>
        <v>537658.88</v>
      </c>
      <c r="O54" s="3006" t="e">
        <f t="shared" si="3"/>
        <v>#REF!</v>
      </c>
      <c r="P54" s="2546">
        <v>0</v>
      </c>
      <c r="Q54" s="2546">
        <v>0</v>
      </c>
      <c r="R54" s="2546">
        <v>0</v>
      </c>
      <c r="S54" s="2546">
        <v>0</v>
      </c>
      <c r="T54" s="2545" t="e">
        <f t="shared" si="4"/>
        <v>#REF!</v>
      </c>
      <c r="U54" s="2546"/>
      <c r="V54" s="2546">
        <v>0</v>
      </c>
      <c r="W54" s="2546" t="e">
        <f t="shared" si="5"/>
        <v>#REF!</v>
      </c>
      <c r="X54" s="2546"/>
    </row>
    <row r="55" spans="1:24" s="2935" customFormat="1" ht="57.75" customHeight="1">
      <c r="A55" s="2545">
        <v>39</v>
      </c>
      <c r="B55" s="2545" t="s">
        <v>1755</v>
      </c>
      <c r="C55" s="2546" t="s">
        <v>1177</v>
      </c>
      <c r="D55" s="2546" t="str">
        <f>'[3]CNKT '!D61</f>
        <v>CNKT</v>
      </c>
      <c r="E55" s="2546"/>
      <c r="F55" s="2547">
        <v>0</v>
      </c>
      <c r="G55" s="2546">
        <f t="shared" si="6"/>
        <v>0</v>
      </c>
      <c r="H55" s="2546">
        <f>+VLOOKUP(C55,'Mủ CN (tam ung)'!C51:AK72,35,0)</f>
        <v>91</v>
      </c>
      <c r="I55" s="2546" t="e">
        <f>VLOOKUP(C55,VCKD!#REF!,9,0)</f>
        <v>#REF!</v>
      </c>
      <c r="J55" s="2688">
        <f t="shared" si="0"/>
        <v>39.520946091900001</v>
      </c>
      <c r="K55" s="2546" t="e">
        <f t="shared" si="1"/>
        <v>#REF!</v>
      </c>
      <c r="L55" s="2545" t="e">
        <f>+VLOOKUP(C55,#REF!,37,0)</f>
        <v>#REF!</v>
      </c>
      <c r="M55" s="3006" t="e">
        <f t="shared" si="2"/>
        <v>#REF!</v>
      </c>
      <c r="N55" s="3006">
        <f>+VLOOKUP(C55,'Đôi 1 tạm ứng'!C55:M99,11,0)</f>
        <v>145377.23199999999</v>
      </c>
      <c r="O55" s="3006" t="e">
        <f t="shared" si="3"/>
        <v>#REF!</v>
      </c>
      <c r="P55" s="2546">
        <v>0</v>
      </c>
      <c r="Q55" s="2546">
        <v>0</v>
      </c>
      <c r="R55" s="2546">
        <v>0</v>
      </c>
      <c r="S55" s="2546">
        <v>0</v>
      </c>
      <c r="T55" s="2545" t="e">
        <f t="shared" si="4"/>
        <v>#REF!</v>
      </c>
      <c r="U55" s="2546"/>
      <c r="V55" s="2546">
        <v>0</v>
      </c>
      <c r="W55" s="2546" t="e">
        <f t="shared" si="5"/>
        <v>#REF!</v>
      </c>
      <c r="X55" s="2546"/>
    </row>
    <row r="56" spans="1:24" s="2935" customFormat="1" ht="57.75" customHeight="1">
      <c r="A56" s="2545">
        <v>40</v>
      </c>
      <c r="B56" s="2545">
        <f>[3]TONGHOPCONGDOI!B65</f>
        <v>0</v>
      </c>
      <c r="C56" s="2546" t="s">
        <v>1272</v>
      </c>
      <c r="D56" s="2546" t="str">
        <f>'[3]CNKT '!D62</f>
        <v>CNKT</v>
      </c>
      <c r="E56" s="2546"/>
      <c r="F56" s="2547">
        <v>0</v>
      </c>
      <c r="G56" s="2546">
        <f t="shared" si="6"/>
        <v>0</v>
      </c>
      <c r="H56" s="2546">
        <f>+VLOOKUP(C56,'Mủ CN (tam ung)'!C52:AK73,35,0)</f>
        <v>299</v>
      </c>
      <c r="I56" s="2546" t="e">
        <f>VLOOKUP(C56,VCKD!#REF!,9,0)</f>
        <v>#REF!</v>
      </c>
      <c r="J56" s="2688">
        <f t="shared" si="0"/>
        <v>129.8545371591</v>
      </c>
      <c r="K56" s="2546" t="e">
        <f t="shared" si="1"/>
        <v>#REF!</v>
      </c>
      <c r="L56" s="2545" t="e">
        <f>+VLOOKUP(C56,#REF!,37,0)</f>
        <v>#REF!</v>
      </c>
      <c r="M56" s="3006" t="e">
        <f t="shared" si="2"/>
        <v>#REF!</v>
      </c>
      <c r="N56" s="3006">
        <f>+VLOOKUP(C56,'Đôi 1 tạm ứng'!C56:M100,11,0)</f>
        <v>477668.04800000007</v>
      </c>
      <c r="O56" s="3006" t="e">
        <f t="shared" si="3"/>
        <v>#REF!</v>
      </c>
      <c r="P56" s="2546">
        <v>0</v>
      </c>
      <c r="Q56" s="2546">
        <v>0</v>
      </c>
      <c r="R56" s="2546">
        <v>0</v>
      </c>
      <c r="S56" s="2546">
        <v>0</v>
      </c>
      <c r="T56" s="2545" t="e">
        <f t="shared" si="4"/>
        <v>#REF!</v>
      </c>
      <c r="U56" s="2546"/>
      <c r="V56" s="2546">
        <v>0</v>
      </c>
      <c r="W56" s="2546" t="e">
        <f t="shared" si="5"/>
        <v>#REF!</v>
      </c>
      <c r="X56" s="2546"/>
    </row>
    <row r="57" spans="1:24" s="2935" customFormat="1" ht="57.75" customHeight="1">
      <c r="A57" s="2545">
        <v>41</v>
      </c>
      <c r="B57" s="2545">
        <f>[3]TONGHOPCONGDOI!B67</f>
        <v>0</v>
      </c>
      <c r="C57" s="2546" t="s">
        <v>1563</v>
      </c>
      <c r="D57" s="2546" t="str">
        <f>'[3]CNKT '!D64</f>
        <v>CNKT</v>
      </c>
      <c r="E57" s="2546"/>
      <c r="F57" s="2547">
        <v>0</v>
      </c>
      <c r="G57" s="2546">
        <f t="shared" si="6"/>
        <v>0</v>
      </c>
      <c r="H57" s="2546">
        <f>+VLOOKUP(C57,'Mủ CN (tam ung)'!C53:AK75,35,0)</f>
        <v>134</v>
      </c>
      <c r="I57" s="2546" t="e">
        <f>VLOOKUP(C57,VCKD!#REF!,9,0)</f>
        <v>#REF!</v>
      </c>
      <c r="J57" s="2688">
        <f t="shared" si="0"/>
        <v>58.195678860600005</v>
      </c>
      <c r="K57" s="2546" t="e">
        <f t="shared" si="1"/>
        <v>#REF!</v>
      </c>
      <c r="L57" s="2545" t="e">
        <f>+VLOOKUP(C57,#REF!,37,0)</f>
        <v>#REF!</v>
      </c>
      <c r="M57" s="3006" t="e">
        <f t="shared" si="2"/>
        <v>#REF!</v>
      </c>
      <c r="N57" s="3006">
        <f>+VLOOKUP(C57,'Đôi 1 tạm ứng'!C57:M101,11,0)</f>
        <v>214071.96800000002</v>
      </c>
      <c r="O57" s="3006" t="e">
        <f t="shared" si="3"/>
        <v>#REF!</v>
      </c>
      <c r="P57" s="2546">
        <v>0</v>
      </c>
      <c r="Q57" s="2546">
        <v>0</v>
      </c>
      <c r="R57" s="2546">
        <v>0</v>
      </c>
      <c r="S57" s="2546">
        <v>0</v>
      </c>
      <c r="T57" s="2545" t="e">
        <f t="shared" si="4"/>
        <v>#REF!</v>
      </c>
      <c r="U57" s="2546"/>
      <c r="V57" s="2546">
        <v>0</v>
      </c>
      <c r="W57" s="2546" t="e">
        <f t="shared" si="5"/>
        <v>#REF!</v>
      </c>
      <c r="X57" s="2546"/>
    </row>
    <row r="58" spans="1:24" s="2935" customFormat="1" ht="57.75" customHeight="1">
      <c r="A58" s="2545">
        <v>42</v>
      </c>
      <c r="B58" s="2545" t="s">
        <v>1754</v>
      </c>
      <c r="C58" s="2546" t="s">
        <v>1564</v>
      </c>
      <c r="D58" s="2546" t="str">
        <f>'[3]CNKT '!D66</f>
        <v>CNKT</v>
      </c>
      <c r="E58" s="2546"/>
      <c r="F58" s="2547">
        <v>0</v>
      </c>
      <c r="G58" s="2546">
        <f t="shared" si="6"/>
        <v>0</v>
      </c>
      <c r="H58" s="2546">
        <f>+VLOOKUP(C58,'Mủ CN (tam ung)'!C54:AK77,35,0)</f>
        <v>206</v>
      </c>
      <c r="I58" s="2546" t="e">
        <f>VLOOKUP(C58,VCKD!#REF!,9,0)</f>
        <v>#REF!</v>
      </c>
      <c r="J58" s="2688">
        <f t="shared" si="0"/>
        <v>89.464998845400004</v>
      </c>
      <c r="K58" s="2546" t="e">
        <f t="shared" si="1"/>
        <v>#REF!</v>
      </c>
      <c r="L58" s="2545" t="e">
        <f>+VLOOKUP(C58,#REF!,37,0)</f>
        <v>#REF!</v>
      </c>
      <c r="M58" s="3006" t="e">
        <f t="shared" si="2"/>
        <v>#REF!</v>
      </c>
      <c r="N58" s="3006">
        <f>+VLOOKUP(C58,'Đôi 1 tạm ứng'!C58:M102,11,0)</f>
        <v>329095.71200000006</v>
      </c>
      <c r="O58" s="3006" t="e">
        <f t="shared" si="3"/>
        <v>#REF!</v>
      </c>
      <c r="P58" s="2546">
        <v>0</v>
      </c>
      <c r="Q58" s="2546">
        <v>0</v>
      </c>
      <c r="R58" s="2546">
        <v>0</v>
      </c>
      <c r="S58" s="2546">
        <v>0</v>
      </c>
      <c r="T58" s="2545" t="e">
        <f t="shared" si="4"/>
        <v>#REF!</v>
      </c>
      <c r="U58" s="2546"/>
      <c r="V58" s="2546">
        <v>0</v>
      </c>
      <c r="W58" s="2546" t="e">
        <f t="shared" si="5"/>
        <v>#REF!</v>
      </c>
      <c r="X58" s="2546"/>
    </row>
    <row r="59" spans="1:24" s="2935" customFormat="1" ht="57.75" customHeight="1">
      <c r="A59" s="2545">
        <v>43</v>
      </c>
      <c r="B59" s="2545" t="s">
        <v>1737</v>
      </c>
      <c r="C59" s="2546" t="s">
        <v>1566</v>
      </c>
      <c r="D59" s="2546" t="str">
        <f>'[3]CNKT '!D68</f>
        <v>CNKT</v>
      </c>
      <c r="E59" s="2546"/>
      <c r="F59" s="2547">
        <v>0</v>
      </c>
      <c r="G59" s="2546">
        <f t="shared" si="6"/>
        <v>0</v>
      </c>
      <c r="H59" s="2546">
        <f>+VLOOKUP(C59,'Mủ CN (tam ung)'!C55:AK79,35,0)</f>
        <v>65</v>
      </c>
      <c r="I59" s="2546" t="e">
        <f>VLOOKUP(C59,VCKD!#REF!,9,0)</f>
        <v>#REF!</v>
      </c>
      <c r="J59" s="2688">
        <f t="shared" si="0"/>
        <v>28.229247208500002</v>
      </c>
      <c r="K59" s="2546" t="e">
        <f t="shared" si="1"/>
        <v>#REF!</v>
      </c>
      <c r="L59" s="2545" t="e">
        <f>+VLOOKUP(C59,#REF!,37,0)</f>
        <v>#REF!</v>
      </c>
      <c r="M59" s="3006" t="e">
        <f t="shared" si="2"/>
        <v>#REF!</v>
      </c>
      <c r="N59" s="3006">
        <f>+VLOOKUP(C59,'Đôi 1 tạm ứng'!C59:M103,11,0)</f>
        <v>109211.96</v>
      </c>
      <c r="O59" s="3006" t="e">
        <f t="shared" si="3"/>
        <v>#REF!</v>
      </c>
      <c r="P59" s="2546">
        <v>0</v>
      </c>
      <c r="Q59" s="2546">
        <v>0</v>
      </c>
      <c r="R59" s="2546">
        <v>0</v>
      </c>
      <c r="S59" s="2546">
        <v>0</v>
      </c>
      <c r="T59" s="2545" t="e">
        <f t="shared" si="4"/>
        <v>#REF!</v>
      </c>
      <c r="U59" s="2546"/>
      <c r="V59" s="2546">
        <v>0</v>
      </c>
      <c r="W59" s="2546" t="e">
        <f t="shared" si="5"/>
        <v>#REF!</v>
      </c>
      <c r="X59" s="2546"/>
    </row>
    <row r="60" spans="1:24" s="2935" customFormat="1" ht="57.75" customHeight="1">
      <c r="A60" s="2545">
        <v>44</v>
      </c>
      <c r="B60" s="2545">
        <f>[3]TONGHOPCONGDOI!B72</f>
        <v>0</v>
      </c>
      <c r="C60" s="2546" t="s">
        <v>1686</v>
      </c>
      <c r="D60" s="2546" t="str">
        <f>'[3]CNKT '!D69</f>
        <v>CNKT</v>
      </c>
      <c r="E60" s="2546"/>
      <c r="F60" s="2547">
        <v>0</v>
      </c>
      <c r="G60" s="2546">
        <f t="shared" si="6"/>
        <v>0</v>
      </c>
      <c r="H60" s="2546">
        <f>+VLOOKUP(C60,'Mủ CN (tam ung)'!C56:AK80,35,0)</f>
        <v>184</v>
      </c>
      <c r="I60" s="2546" t="e">
        <f>VLOOKUP(C60,VCKD!#REF!,9,0)</f>
        <v>#REF!</v>
      </c>
      <c r="J60" s="2688">
        <f t="shared" si="0"/>
        <v>79.910484405600002</v>
      </c>
      <c r="K60" s="2546" t="e">
        <f t="shared" si="1"/>
        <v>#REF!</v>
      </c>
      <c r="L60" s="2545" t="e">
        <f>+VLOOKUP(C60,#REF!,37,0)</f>
        <v>#REF!</v>
      </c>
      <c r="M60" s="3006" t="e">
        <f t="shared" si="2"/>
        <v>#REF!</v>
      </c>
      <c r="N60" s="3006">
        <f>+VLOOKUP(C60,'Đôi 1 tạm ứng'!C60:M104,11,0)</f>
        <v>309153.85600000003</v>
      </c>
      <c r="O60" s="3006" t="e">
        <f t="shared" si="3"/>
        <v>#REF!</v>
      </c>
      <c r="P60" s="2546">
        <v>0</v>
      </c>
      <c r="Q60" s="2546">
        <v>0</v>
      </c>
      <c r="R60" s="2546">
        <v>0</v>
      </c>
      <c r="S60" s="2546">
        <v>0</v>
      </c>
      <c r="T60" s="2545" t="e">
        <f t="shared" si="4"/>
        <v>#REF!</v>
      </c>
      <c r="U60" s="2546"/>
      <c r="V60" s="2546">
        <v>0</v>
      </c>
      <c r="W60" s="2546" t="e">
        <f t="shared" si="5"/>
        <v>#REF!</v>
      </c>
      <c r="X60" s="2546"/>
    </row>
    <row r="61" spans="1:24" s="2935" customFormat="1" ht="57.75" customHeight="1">
      <c r="A61" s="2545">
        <v>45</v>
      </c>
      <c r="B61" s="2545"/>
      <c r="C61" s="2546" t="s">
        <v>1687</v>
      </c>
      <c r="D61" s="2546" t="str">
        <f>'[3]CNKT '!D72</f>
        <v>CNKT</v>
      </c>
      <c r="E61" s="2546"/>
      <c r="F61" s="2547">
        <v>0</v>
      </c>
      <c r="G61" s="2546">
        <f t="shared" si="6"/>
        <v>0</v>
      </c>
      <c r="H61" s="2546">
        <f>+VLOOKUP(C61,'Mủ CN (tam ung)'!C57:AK83,35,0)</f>
        <v>50</v>
      </c>
      <c r="I61" s="2546" t="e">
        <f>VLOOKUP(C61,VCKD!#REF!,9,0)</f>
        <v>#REF!</v>
      </c>
      <c r="J61" s="2688">
        <f t="shared" si="0"/>
        <v>21.714805545000001</v>
      </c>
      <c r="K61" s="2546" t="e">
        <f t="shared" si="1"/>
        <v>#REF!</v>
      </c>
      <c r="L61" s="2545" t="e">
        <f>+VLOOKUP(C61,#REF!,37,0)</f>
        <v>#REF!</v>
      </c>
      <c r="M61" s="3006" t="e">
        <f t="shared" si="2"/>
        <v>#REF!</v>
      </c>
      <c r="N61" s="3006">
        <f>+VLOOKUP(C61,'Đôi 1 tạm ứng'!C61:M105,11,0)</f>
        <v>84009.2</v>
      </c>
      <c r="O61" s="3006" t="e">
        <f t="shared" si="3"/>
        <v>#REF!</v>
      </c>
      <c r="P61" s="2546">
        <v>0</v>
      </c>
      <c r="Q61" s="2546">
        <v>0</v>
      </c>
      <c r="R61" s="2546">
        <v>0</v>
      </c>
      <c r="S61" s="2546">
        <v>0</v>
      </c>
      <c r="T61" s="2545" t="e">
        <f t="shared" si="4"/>
        <v>#REF!</v>
      </c>
      <c r="U61" s="2546"/>
      <c r="V61" s="2546">
        <v>0</v>
      </c>
      <c r="W61" s="2546" t="e">
        <f t="shared" si="5"/>
        <v>#REF!</v>
      </c>
      <c r="X61" s="2546"/>
    </row>
    <row r="62" spans="1:24" s="2935" customFormat="1" ht="57.75" customHeight="1">
      <c r="A62" s="3973" t="s">
        <v>61</v>
      </c>
      <c r="B62" s="3974"/>
      <c r="C62" s="3974"/>
      <c r="D62" s="3975"/>
      <c r="E62" s="2931"/>
      <c r="F62" s="2550">
        <f>SUM(F17:F61)</f>
        <v>0</v>
      </c>
      <c r="G62" s="2550">
        <f>SUM(G17:G61)</f>
        <v>0</v>
      </c>
      <c r="H62" s="2550">
        <f>SUM(H17:H61)</f>
        <v>5805</v>
      </c>
      <c r="I62" s="2550"/>
      <c r="J62" s="3013">
        <f>SUM(J17:J61)</f>
        <v>2521.0889237745</v>
      </c>
      <c r="K62" s="2550"/>
      <c r="L62" s="2550"/>
      <c r="M62" s="2550" t="e">
        <f t="shared" ref="M62:W62" si="7">SUM(M17:M61)</f>
        <v>#REF!</v>
      </c>
      <c r="N62" s="2550" t="e">
        <f t="shared" si="7"/>
        <v>#N/A</v>
      </c>
      <c r="O62" s="2550" t="e">
        <f t="shared" si="7"/>
        <v>#REF!</v>
      </c>
      <c r="P62" s="2550">
        <f t="shared" si="7"/>
        <v>0</v>
      </c>
      <c r="Q62" s="2550">
        <f t="shared" si="7"/>
        <v>0</v>
      </c>
      <c r="R62" s="2550">
        <f t="shared" si="7"/>
        <v>0</v>
      </c>
      <c r="S62" s="2550">
        <f t="shared" si="7"/>
        <v>0</v>
      </c>
      <c r="T62" s="2550" t="e">
        <f t="shared" si="7"/>
        <v>#REF!</v>
      </c>
      <c r="U62" s="2550">
        <f t="shared" si="7"/>
        <v>0</v>
      </c>
      <c r="V62" s="2550">
        <f t="shared" si="7"/>
        <v>0</v>
      </c>
      <c r="W62" s="2550" t="e">
        <f t="shared" si="7"/>
        <v>#REF!</v>
      </c>
      <c r="X62" s="2552"/>
    </row>
    <row r="63" spans="1:24" ht="42" customHeight="1">
      <c r="A63" s="3976" t="s">
        <v>1958</v>
      </c>
      <c r="B63" s="3976"/>
      <c r="C63" s="3976"/>
      <c r="D63" s="3976"/>
      <c r="E63" s="3976"/>
      <c r="F63" s="3976"/>
      <c r="G63" s="3976"/>
      <c r="H63" s="3976"/>
      <c r="I63" s="3976"/>
      <c r="J63" s="3976"/>
      <c r="K63" s="3976"/>
      <c r="L63" s="3976"/>
      <c r="M63" s="3976"/>
      <c r="N63" s="3976"/>
      <c r="O63" s="3976"/>
      <c r="P63" s="3976"/>
      <c r="Q63" s="3976"/>
      <c r="R63" s="3976"/>
      <c r="S63" s="3976"/>
      <c r="T63" s="3976"/>
      <c r="U63" s="3976"/>
      <c r="V63" s="3976"/>
      <c r="W63" s="3976"/>
      <c r="X63" s="3976"/>
    </row>
    <row r="64" spans="1:24" ht="25.5">
      <c r="A64" s="2553"/>
      <c r="B64" s="2553"/>
      <c r="C64" s="2553"/>
      <c r="D64" s="2553"/>
      <c r="E64" s="2553"/>
      <c r="F64" s="2553"/>
      <c r="G64" s="2553"/>
      <c r="H64" s="2553"/>
      <c r="I64" s="2553"/>
      <c r="J64" s="2553"/>
      <c r="K64" s="2553"/>
      <c r="L64" s="2553"/>
      <c r="M64" s="2553"/>
      <c r="N64" s="2553"/>
      <c r="O64" s="2553"/>
      <c r="P64" s="2553"/>
      <c r="Q64" s="2553"/>
      <c r="R64" s="2553"/>
      <c r="S64" s="2553"/>
      <c r="T64" s="2553"/>
      <c r="U64" s="2553"/>
      <c r="V64" s="2553"/>
      <c r="W64" s="2553"/>
      <c r="X64" s="2553"/>
    </row>
    <row r="65" spans="1:24" ht="26.25">
      <c r="A65" s="2554"/>
      <c r="B65" s="2555"/>
      <c r="C65" s="2556"/>
      <c r="D65" s="2557"/>
      <c r="E65" s="2557"/>
      <c r="F65" s="2558"/>
      <c r="G65" s="2559"/>
      <c r="H65" s="2559"/>
      <c r="I65" s="2559"/>
      <c r="J65" s="2560"/>
      <c r="K65" s="2560"/>
      <c r="L65" s="2561"/>
      <c r="M65" s="2562"/>
      <c r="N65" s="2562"/>
      <c r="O65" s="2562"/>
      <c r="P65" s="2563"/>
      <c r="Q65" s="2563"/>
      <c r="R65" s="2563"/>
      <c r="S65" s="2559"/>
      <c r="T65" s="3977" t="s">
        <v>1936</v>
      </c>
      <c r="U65" s="3977"/>
      <c r="V65" s="3977"/>
      <c r="W65" s="3977"/>
      <c r="X65" s="3977"/>
    </row>
    <row r="66" spans="1:24" ht="12" customHeight="1">
      <c r="D66" s="2564"/>
      <c r="E66" s="2564"/>
      <c r="F66" s="2565"/>
      <c r="P66" s="2566"/>
      <c r="Q66" s="2566"/>
      <c r="R66" s="2566"/>
      <c r="U66" s="2567"/>
      <c r="V66" s="2567"/>
      <c r="W66" s="2567"/>
    </row>
    <row r="67" spans="1:24" ht="7.5" customHeight="1">
      <c r="D67" s="2564"/>
      <c r="E67" s="2564"/>
      <c r="F67" s="2565"/>
      <c r="P67" s="2566"/>
      <c r="Q67" s="2566"/>
      <c r="R67" s="2566"/>
      <c r="U67" s="2567"/>
      <c r="V67" s="2567"/>
      <c r="W67" s="2567"/>
    </row>
    <row r="68" spans="1:24" s="2568" customFormat="1" ht="22.5">
      <c r="A68" s="3962" t="s">
        <v>502</v>
      </c>
      <c r="B68" s="3962"/>
      <c r="C68" s="3962"/>
      <c r="D68" s="3962"/>
      <c r="E68" s="3962"/>
      <c r="F68" s="3962"/>
      <c r="G68" s="2925"/>
      <c r="H68" s="3962" t="s">
        <v>1598</v>
      </c>
      <c r="I68" s="3962"/>
      <c r="J68" s="3962"/>
      <c r="K68" s="3962"/>
      <c r="L68" s="3962"/>
      <c r="M68" s="3962" t="s">
        <v>513</v>
      </c>
      <c r="N68" s="3962"/>
      <c r="O68" s="3962"/>
      <c r="P68" s="2528" t="s">
        <v>513</v>
      </c>
      <c r="Q68" s="2528"/>
      <c r="R68" s="2528"/>
      <c r="S68" s="2528"/>
      <c r="T68" s="3962" t="s">
        <v>1599</v>
      </c>
      <c r="U68" s="3962"/>
      <c r="V68" s="3962"/>
      <c r="W68" s="3962"/>
      <c r="X68" s="3962"/>
    </row>
    <row r="69" spans="1:24" s="2568" customFormat="1" ht="22.5">
      <c r="A69" s="2529"/>
      <c r="C69" s="2925"/>
      <c r="D69" s="2925"/>
      <c r="E69" s="2925"/>
      <c r="F69" s="2925"/>
      <c r="G69" s="2925"/>
      <c r="H69" s="2925"/>
      <c r="I69" s="2925"/>
      <c r="J69" s="2569"/>
      <c r="K69" s="2569"/>
      <c r="L69" s="2925"/>
      <c r="M69" s="2528"/>
      <c r="N69" s="2528"/>
      <c r="O69" s="2528"/>
      <c r="Q69" s="2528"/>
      <c r="R69" s="2528"/>
      <c r="S69" s="2570"/>
      <c r="T69" s="2925"/>
      <c r="U69" s="2925"/>
      <c r="V69" s="2925"/>
      <c r="W69" s="2925"/>
    </row>
    <row r="70" spans="1:24" s="2568" customFormat="1" ht="22.5">
      <c r="A70" s="2529"/>
      <c r="C70" s="2925"/>
      <c r="D70" s="2925"/>
      <c r="E70" s="2925"/>
      <c r="F70" s="2925"/>
      <c r="G70" s="2925"/>
      <c r="H70" s="2925"/>
      <c r="I70" s="2925"/>
      <c r="J70" s="2569"/>
      <c r="K70" s="2569"/>
      <c r="L70" s="2925"/>
      <c r="M70" s="2528"/>
      <c r="N70" s="2528"/>
      <c r="O70" s="2528"/>
      <c r="Q70" s="2528"/>
      <c r="R70" s="2528"/>
      <c r="S70" s="2570"/>
      <c r="T70" s="2925"/>
      <c r="U70" s="2925"/>
      <c r="V70" s="2925"/>
      <c r="W70" s="2925"/>
    </row>
    <row r="71" spans="1:24" s="2568" customFormat="1" ht="22.5">
      <c r="A71" s="2529"/>
      <c r="C71" s="2925"/>
      <c r="D71" s="2925"/>
      <c r="E71" s="2925"/>
      <c r="F71" s="2925"/>
      <c r="G71" s="2925"/>
      <c r="H71" s="2925"/>
      <c r="I71" s="2925"/>
      <c r="J71" s="2569"/>
      <c r="K71" s="2569"/>
      <c r="L71" s="2925"/>
      <c r="M71" s="2528"/>
      <c r="N71" s="2528"/>
      <c r="O71" s="2528"/>
      <c r="Q71" s="2528"/>
      <c r="R71" s="2528"/>
      <c r="S71" s="2570"/>
      <c r="T71" s="2925"/>
      <c r="U71" s="2925"/>
      <c r="V71" s="2925"/>
      <c r="W71" s="2925"/>
    </row>
    <row r="72" spans="1:24" s="2568" customFormat="1" ht="22.5">
      <c r="A72" s="2529"/>
      <c r="C72" s="2925"/>
      <c r="D72" s="2925"/>
      <c r="E72" s="2925"/>
      <c r="F72" s="2925"/>
      <c r="G72" s="2925"/>
      <c r="H72" s="2925"/>
      <c r="I72" s="2925"/>
      <c r="J72" s="2569"/>
      <c r="K72" s="2569"/>
      <c r="L72" s="2925"/>
      <c r="M72" s="2571"/>
      <c r="N72" s="2571"/>
      <c r="O72" s="2571"/>
      <c r="Q72" s="2528"/>
      <c r="R72" s="2528"/>
      <c r="S72" s="2528"/>
      <c r="T72" s="2925"/>
      <c r="U72" s="2925"/>
      <c r="V72" s="2925"/>
      <c r="W72" s="2925"/>
    </row>
    <row r="73" spans="1:24" s="2568" customFormat="1" ht="22.5">
      <c r="A73" s="2529"/>
      <c r="C73" s="2925"/>
      <c r="D73" s="2925"/>
      <c r="E73" s="2925"/>
      <c r="F73" s="2933"/>
      <c r="G73" s="2925"/>
      <c r="H73" s="2925"/>
      <c r="I73" s="2925"/>
      <c r="J73" s="2569"/>
      <c r="K73" s="2569"/>
      <c r="L73" s="2925"/>
      <c r="M73" s="2528"/>
      <c r="N73" s="2528"/>
      <c r="O73" s="2528"/>
      <c r="Q73" s="2528"/>
      <c r="R73" s="2528"/>
      <c r="S73" s="2570"/>
      <c r="T73" s="2925"/>
      <c r="U73" s="2925"/>
      <c r="V73" s="2925"/>
      <c r="W73" s="2925"/>
    </row>
    <row r="74" spans="1:24" s="2568" customFormat="1" ht="22.5">
      <c r="A74" s="2529"/>
      <c r="C74" s="2925"/>
      <c r="D74" s="2933"/>
      <c r="E74" s="2933"/>
      <c r="F74" s="2935"/>
      <c r="G74" s="2925"/>
      <c r="H74" s="2925"/>
      <c r="I74" s="2925"/>
      <c r="J74" s="2569"/>
      <c r="K74" s="2569"/>
      <c r="L74" s="2925"/>
      <c r="M74" s="2528"/>
      <c r="N74" s="2528"/>
      <c r="O74" s="2528"/>
      <c r="Q74" s="2528"/>
      <c r="R74" s="2528"/>
      <c r="S74" s="2570"/>
      <c r="T74" s="2925"/>
      <c r="U74" s="2925"/>
      <c r="V74" s="2925"/>
      <c r="W74" s="2925"/>
    </row>
    <row r="75" spans="1:24" s="2568" customFormat="1" ht="22.5">
      <c r="A75" s="2529"/>
      <c r="C75" s="2925"/>
      <c r="D75" s="2925"/>
      <c r="E75" s="2925"/>
      <c r="F75" s="2925"/>
      <c r="J75" s="2528"/>
      <c r="K75" s="2528"/>
      <c r="L75" s="2528"/>
      <c r="M75" s="2528"/>
      <c r="N75" s="2528"/>
      <c r="O75" s="2528"/>
      <c r="P75" s="3962"/>
      <c r="Q75" s="3962"/>
      <c r="R75" s="3962"/>
      <c r="S75" s="3962"/>
      <c r="W75" s="2925"/>
      <c r="X75" s="2528"/>
    </row>
    <row r="76" spans="1:24" s="2568" customFormat="1" ht="22.5">
      <c r="A76" s="3991"/>
      <c r="B76" s="3991"/>
      <c r="C76" s="3991"/>
      <c r="D76" s="3991"/>
      <c r="E76" s="3991"/>
      <c r="F76" s="3991"/>
      <c r="G76" s="2925"/>
      <c r="H76" s="3962"/>
      <c r="I76" s="3962"/>
      <c r="J76" s="3962"/>
      <c r="K76" s="3962"/>
      <c r="L76" s="3962"/>
      <c r="M76" s="3962"/>
      <c r="N76" s="3962"/>
      <c r="O76" s="3962"/>
      <c r="P76" s="3962"/>
      <c r="Q76" s="3962"/>
      <c r="R76" s="3962"/>
      <c r="S76" s="3962"/>
      <c r="T76" s="3978"/>
      <c r="U76" s="3978"/>
      <c r="V76" s="3978"/>
      <c r="W76" s="3978"/>
      <c r="X76" s="3978"/>
    </row>
    <row r="77" spans="1:24" s="2568" customFormat="1">
      <c r="A77" s="2529"/>
      <c r="C77" s="2925"/>
      <c r="D77" s="2933"/>
      <c r="E77" s="2933"/>
      <c r="F77" s="2571"/>
      <c r="G77" s="2938"/>
      <c r="H77" s="2938"/>
      <c r="I77" s="2938"/>
      <c r="J77" s="2569"/>
      <c r="K77" s="2569"/>
      <c r="L77" s="2925"/>
      <c r="M77" s="2571"/>
      <c r="N77" s="2571"/>
      <c r="O77" s="2571"/>
      <c r="Q77" s="2528"/>
      <c r="R77" s="2528"/>
      <c r="S77" s="2519"/>
      <c r="T77" s="2571"/>
      <c r="U77" s="2528"/>
      <c r="V77" s="2528"/>
      <c r="W77" s="2528"/>
    </row>
    <row r="78" spans="1:24">
      <c r="B78" s="2519"/>
      <c r="C78" s="2519"/>
      <c r="F78" s="2566"/>
      <c r="G78" s="2566"/>
      <c r="H78" s="2566"/>
      <c r="I78" s="2566"/>
      <c r="J78" s="2574"/>
      <c r="K78" s="2574"/>
      <c r="L78" s="2574"/>
      <c r="M78" s="2566"/>
      <c r="N78" s="2566"/>
      <c r="O78" s="2566"/>
    </row>
    <row r="79" spans="1:24">
      <c r="B79" s="2519"/>
      <c r="C79" s="2519"/>
      <c r="F79" s="2566"/>
      <c r="G79" s="2575"/>
      <c r="H79" s="2575"/>
      <c r="I79" s="2575"/>
      <c r="J79" s="2574"/>
      <c r="K79" s="2574"/>
      <c r="L79" s="2574"/>
      <c r="M79" s="2576"/>
      <c r="N79" s="2576"/>
      <c r="O79" s="2576"/>
      <c r="P79" s="3986"/>
      <c r="Q79" s="3986"/>
      <c r="R79" s="2937"/>
      <c r="S79" s="2577"/>
      <c r="T79" s="2577"/>
    </row>
    <row r="80" spans="1:24">
      <c r="B80" s="2519"/>
      <c r="C80" s="2519"/>
      <c r="F80" s="2566"/>
      <c r="G80" s="2575"/>
      <c r="H80" s="2575"/>
      <c r="I80" s="2575"/>
      <c r="J80" s="2574"/>
      <c r="K80" s="2574"/>
      <c r="L80" s="2574"/>
      <c r="M80" s="2576"/>
      <c r="N80" s="2576"/>
      <c r="O80" s="2576"/>
      <c r="P80" s="2937"/>
      <c r="Q80" s="2937"/>
      <c r="R80" s="2937"/>
      <c r="S80" s="2577"/>
      <c r="T80" s="2577"/>
    </row>
    <row r="81" spans="1:20">
      <c r="B81" s="2519"/>
      <c r="C81" s="2519"/>
      <c r="F81" s="2566"/>
      <c r="G81" s="2575"/>
      <c r="H81" s="2575"/>
      <c r="I81" s="2575"/>
      <c r="J81" s="2574"/>
      <c r="K81" s="2574"/>
      <c r="L81" s="2574"/>
      <c r="M81" s="2576"/>
      <c r="N81" s="2576"/>
      <c r="O81" s="2576"/>
      <c r="P81" s="2937"/>
      <c r="Q81" s="2937"/>
      <c r="R81" s="2937"/>
      <c r="S81" s="2577"/>
      <c r="T81" s="2577"/>
    </row>
    <row r="82" spans="1:20">
      <c r="B82" s="2519"/>
      <c r="C82" s="2519"/>
      <c r="F82" s="2566"/>
      <c r="G82" s="2575"/>
      <c r="H82" s="2575"/>
      <c r="I82" s="2575"/>
      <c r="J82" s="2574"/>
      <c r="K82" s="2574"/>
      <c r="L82" s="2574"/>
      <c r="M82" s="3007"/>
      <c r="N82" s="3007"/>
      <c r="O82" s="3007"/>
      <c r="P82" s="2937"/>
      <c r="Q82" s="2937"/>
      <c r="R82" s="2937"/>
      <c r="S82" s="2577"/>
      <c r="T82" s="2577"/>
    </row>
    <row r="83" spans="1:20">
      <c r="B83" s="2519"/>
      <c r="C83" s="2519"/>
      <c r="F83" s="2566"/>
      <c r="G83" s="2575"/>
      <c r="H83" s="2575"/>
      <c r="I83" s="2575"/>
      <c r="J83" s="2574"/>
      <c r="K83" s="2574"/>
      <c r="L83" s="2574"/>
      <c r="M83" s="2576"/>
      <c r="N83" s="2576"/>
      <c r="O83" s="2576"/>
      <c r="P83" s="2937"/>
      <c r="Q83" s="2937"/>
      <c r="R83" s="2937"/>
      <c r="S83" s="2577"/>
      <c r="T83" s="2577"/>
    </row>
    <row r="84" spans="1:20">
      <c r="B84" s="2519"/>
      <c r="C84" s="2519"/>
      <c r="F84" s="2566"/>
      <c r="G84" s="2575"/>
      <c r="H84" s="2575"/>
      <c r="I84" s="2575"/>
      <c r="J84" s="2574"/>
      <c r="K84" s="2574"/>
      <c r="L84" s="2574"/>
      <c r="M84" s="2576"/>
      <c r="N84" s="2576"/>
      <c r="O84" s="2576"/>
      <c r="P84" s="2937"/>
      <c r="Q84" s="2937"/>
      <c r="R84" s="2937"/>
      <c r="S84" s="2577"/>
      <c r="T84" s="2577"/>
    </row>
    <row r="85" spans="1:20">
      <c r="B85" s="2519"/>
      <c r="C85" s="2519"/>
      <c r="F85" s="2566"/>
      <c r="G85" s="2575"/>
      <c r="H85" s="2575"/>
      <c r="I85" s="2575"/>
      <c r="J85" s="2574"/>
      <c r="K85" s="2574"/>
      <c r="L85" s="2574"/>
      <c r="M85" s="2576"/>
      <c r="N85" s="2576"/>
      <c r="O85" s="2576"/>
      <c r="P85" s="2937"/>
      <c r="Q85" s="2937"/>
      <c r="R85" s="2937"/>
      <c r="S85" s="2577"/>
      <c r="T85" s="2577"/>
    </row>
    <row r="86" spans="1:20">
      <c r="B86" s="2519"/>
      <c r="C86" s="2519"/>
      <c r="F86" s="2566"/>
      <c r="G86" s="2575"/>
      <c r="H86" s="2575"/>
      <c r="I86" s="2575"/>
      <c r="J86" s="2574"/>
      <c r="K86" s="2574"/>
      <c r="L86" s="2574"/>
      <c r="M86" s="2576"/>
      <c r="N86" s="2576"/>
      <c r="O86" s="2576"/>
      <c r="P86" s="2937"/>
      <c r="Q86" s="2937"/>
      <c r="R86" s="2937"/>
      <c r="S86" s="2577"/>
      <c r="T86" s="2577"/>
    </row>
    <row r="87" spans="1:20">
      <c r="B87" s="2519"/>
      <c r="C87" s="2519"/>
      <c r="F87" s="2566"/>
      <c r="G87" s="2575"/>
      <c r="H87" s="2575"/>
      <c r="I87" s="2575"/>
      <c r="J87" s="2574"/>
      <c r="K87" s="2574"/>
      <c r="L87" s="2574"/>
      <c r="M87" s="2576"/>
      <c r="N87" s="2576"/>
      <c r="O87" s="2576"/>
      <c r="P87" s="2937"/>
      <c r="Q87" s="2937"/>
      <c r="R87" s="2937"/>
      <c r="S87" s="2577"/>
      <c r="T87" s="2577"/>
    </row>
    <row r="88" spans="1:20">
      <c r="B88" s="2519"/>
      <c r="C88" s="2519"/>
      <c r="F88" s="2566"/>
      <c r="G88" s="2575"/>
      <c r="H88" s="2575"/>
      <c r="I88" s="2575"/>
      <c r="J88" s="3007"/>
      <c r="K88" s="2574"/>
      <c r="L88" s="2574"/>
      <c r="M88" s="2576"/>
      <c r="N88" s="2576"/>
      <c r="O88" s="2576"/>
      <c r="P88" s="2937"/>
      <c r="Q88" s="2937"/>
      <c r="R88" s="2937"/>
      <c r="S88" s="2577"/>
      <c r="T88" s="2577"/>
    </row>
    <row r="89" spans="1:20">
      <c r="B89" s="2519"/>
      <c r="C89" s="2519"/>
      <c r="F89" s="2566"/>
      <c r="G89" s="2575"/>
      <c r="H89" s="2575"/>
      <c r="I89" s="2575"/>
      <c r="J89" s="2574"/>
      <c r="K89" s="2574"/>
      <c r="L89" s="2574"/>
      <c r="M89" s="2576"/>
      <c r="N89" s="2576"/>
      <c r="O89" s="2576"/>
      <c r="P89" s="2937"/>
      <c r="Q89" s="2937"/>
      <c r="R89" s="2937"/>
      <c r="S89" s="2577"/>
      <c r="T89" s="2577"/>
    </row>
    <row r="90" spans="1:20">
      <c r="B90" s="2519"/>
      <c r="C90" s="2519"/>
      <c r="F90" s="2566"/>
      <c r="G90" s="2575"/>
      <c r="H90" s="2575"/>
      <c r="I90" s="2575"/>
      <c r="J90" s="2574"/>
      <c r="K90" s="2574"/>
      <c r="L90" s="2574"/>
      <c r="M90" s="2576"/>
      <c r="N90" s="2576"/>
      <c r="O90" s="2576"/>
      <c r="P90" s="2937"/>
      <c r="Q90" s="2937"/>
      <c r="R90" s="2937"/>
      <c r="S90" s="2577"/>
      <c r="T90" s="2577"/>
    </row>
    <row r="91" spans="1:20">
      <c r="B91" s="2519"/>
      <c r="C91" s="2519"/>
      <c r="F91" s="2566"/>
      <c r="G91" s="2575"/>
      <c r="H91" s="2575"/>
      <c r="I91" s="2575"/>
      <c r="J91" s="2574"/>
      <c r="K91" s="2574"/>
      <c r="L91" s="2574"/>
      <c r="M91" s="2576"/>
      <c r="N91" s="2576"/>
      <c r="O91" s="2576"/>
      <c r="P91" s="2937"/>
      <c r="Q91" s="2937"/>
      <c r="R91" s="2937"/>
      <c r="S91" s="2577"/>
      <c r="T91" s="2577"/>
    </row>
    <row r="92" spans="1:20">
      <c r="B92" s="2519"/>
      <c r="C92" s="2519"/>
      <c r="F92" s="2566"/>
      <c r="G92" s="2575"/>
      <c r="H92" s="2575"/>
      <c r="I92" s="2575"/>
      <c r="J92" s="2574"/>
      <c r="K92" s="2574"/>
      <c r="L92" s="2574"/>
      <c r="M92" s="2576"/>
      <c r="N92" s="2576"/>
      <c r="O92" s="2576"/>
      <c r="P92" s="2937"/>
      <c r="Q92" s="2937"/>
      <c r="R92" s="2937"/>
      <c r="S92" s="2577"/>
      <c r="T92" s="2577"/>
    </row>
    <row r="93" spans="1:20">
      <c r="A93" s="2519"/>
      <c r="B93" s="2519"/>
      <c r="C93" s="2519"/>
      <c r="F93" s="2566"/>
      <c r="G93" s="2575"/>
      <c r="H93" s="2575"/>
      <c r="I93" s="2575"/>
      <c r="J93" s="2574"/>
      <c r="K93" s="2574"/>
      <c r="L93" s="2574"/>
      <c r="M93" s="2576"/>
      <c r="N93" s="2576"/>
      <c r="O93" s="2576"/>
      <c r="P93" s="2937"/>
      <c r="Q93" s="2937"/>
      <c r="R93" s="2937"/>
      <c r="S93" s="2577"/>
      <c r="T93" s="2577"/>
    </row>
    <row r="94" spans="1:20">
      <c r="A94" s="2519"/>
      <c r="B94" s="2519"/>
      <c r="C94" s="2519"/>
      <c r="F94" s="2566"/>
      <c r="G94" s="2575"/>
      <c r="H94" s="2575"/>
      <c r="I94" s="2575"/>
      <c r="J94" s="2574"/>
      <c r="K94" s="2574"/>
      <c r="L94" s="2574"/>
      <c r="M94" s="2576"/>
      <c r="N94" s="2576"/>
      <c r="O94" s="2576"/>
      <c r="P94" s="2937"/>
      <c r="Q94" s="2937"/>
      <c r="R94" s="2937"/>
      <c r="S94" s="2577"/>
      <c r="T94" s="2577"/>
    </row>
    <row r="95" spans="1:20">
      <c r="A95" s="2519"/>
      <c r="B95" s="2519"/>
      <c r="C95" s="2519"/>
      <c r="F95" s="2566"/>
      <c r="G95" s="2575"/>
      <c r="H95" s="2575"/>
      <c r="I95" s="2575"/>
      <c r="J95" s="2574"/>
      <c r="K95" s="2574"/>
      <c r="L95" s="2574"/>
      <c r="M95" s="2576"/>
      <c r="N95" s="2576"/>
      <c r="O95" s="2576"/>
      <c r="P95" s="2937"/>
      <c r="Q95" s="2937"/>
      <c r="R95" s="2937"/>
      <c r="S95" s="2577"/>
      <c r="T95" s="2577"/>
    </row>
    <row r="96" spans="1:20">
      <c r="A96" s="2519"/>
      <c r="B96" s="2519"/>
      <c r="C96" s="2519"/>
      <c r="F96" s="2566"/>
      <c r="G96" s="2575"/>
      <c r="H96" s="2575"/>
      <c r="I96" s="2575"/>
      <c r="J96" s="2574"/>
      <c r="K96" s="2574"/>
      <c r="L96" s="2574"/>
      <c r="M96" s="2576"/>
      <c r="N96" s="2576"/>
      <c r="O96" s="2576"/>
      <c r="P96" s="2937"/>
      <c r="Q96" s="2937"/>
      <c r="R96" s="2937"/>
      <c r="S96" s="2577"/>
      <c r="T96" s="2577"/>
    </row>
    <row r="97" spans="1:20">
      <c r="A97" s="2519"/>
      <c r="B97" s="2519"/>
      <c r="C97" s="2519"/>
      <c r="F97" s="2566"/>
      <c r="G97" s="2575"/>
      <c r="H97" s="2575"/>
      <c r="I97" s="2575"/>
      <c r="J97" s="2574"/>
      <c r="K97" s="2574"/>
      <c r="L97" s="2574"/>
      <c r="M97" s="2576"/>
      <c r="N97" s="2576"/>
      <c r="O97" s="2576"/>
      <c r="P97" s="2937"/>
      <c r="Q97" s="2937"/>
      <c r="R97" s="2937"/>
      <c r="S97" s="2577"/>
      <c r="T97" s="2577"/>
    </row>
    <row r="98" spans="1:20">
      <c r="A98" s="2519"/>
      <c r="B98" s="2519"/>
      <c r="C98" s="2519"/>
      <c r="F98" s="2566"/>
      <c r="G98" s="2575"/>
      <c r="H98" s="2575"/>
      <c r="I98" s="2575"/>
      <c r="J98" s="2574"/>
      <c r="K98" s="2574"/>
      <c r="L98" s="2574"/>
      <c r="M98" s="2576"/>
      <c r="N98" s="2576"/>
      <c r="O98" s="2576"/>
      <c r="P98" s="2937"/>
      <c r="Q98" s="2937"/>
      <c r="R98" s="2937"/>
      <c r="S98" s="2577"/>
      <c r="T98" s="2577"/>
    </row>
    <row r="99" spans="1:20">
      <c r="A99" s="2519"/>
      <c r="B99" s="2519"/>
      <c r="C99" s="2519"/>
      <c r="F99" s="2566"/>
      <c r="G99" s="2575"/>
      <c r="H99" s="2575"/>
      <c r="I99" s="2575"/>
      <c r="J99" s="2574"/>
      <c r="K99" s="2574"/>
      <c r="L99" s="2574"/>
      <c r="M99" s="2576"/>
      <c r="N99" s="2576"/>
      <c r="O99" s="2576"/>
      <c r="P99" s="2937"/>
      <c r="Q99" s="2937"/>
      <c r="R99" s="2937"/>
      <c r="S99" s="2577"/>
      <c r="T99" s="2577"/>
    </row>
    <row r="100" spans="1:20">
      <c r="A100" s="2519"/>
      <c r="B100" s="2519"/>
      <c r="C100" s="2519"/>
      <c r="F100" s="2566"/>
      <c r="G100" s="2575"/>
      <c r="H100" s="2575"/>
      <c r="I100" s="2575"/>
      <c r="J100" s="2574"/>
      <c r="K100" s="2574"/>
      <c r="L100" s="2574"/>
      <c r="M100" s="2576"/>
      <c r="N100" s="2576"/>
      <c r="O100" s="2576"/>
      <c r="P100" s="2937"/>
      <c r="Q100" s="2937"/>
      <c r="R100" s="2937"/>
      <c r="S100" s="2577"/>
      <c r="T100" s="2577"/>
    </row>
    <row r="101" spans="1:20">
      <c r="A101" s="2519"/>
      <c r="B101" s="2519"/>
      <c r="C101" s="2519"/>
      <c r="F101" s="2566"/>
      <c r="G101" s="2575"/>
      <c r="H101" s="2575"/>
      <c r="I101" s="2575"/>
      <c r="J101" s="2574"/>
      <c r="K101" s="2574"/>
      <c r="L101" s="2574"/>
      <c r="M101" s="2576"/>
      <c r="N101" s="2576"/>
      <c r="O101" s="2576"/>
      <c r="P101" s="2937"/>
      <c r="Q101" s="2937"/>
      <c r="R101" s="2937"/>
      <c r="S101" s="2577"/>
      <c r="T101" s="2577"/>
    </row>
    <row r="102" spans="1:20">
      <c r="A102" s="2519"/>
      <c r="B102" s="2519"/>
      <c r="C102" s="2519"/>
      <c r="F102" s="2566"/>
      <c r="G102" s="2575"/>
      <c r="H102" s="2575"/>
      <c r="I102" s="2575"/>
      <c r="J102" s="2574"/>
      <c r="K102" s="2574"/>
      <c r="L102" s="2574"/>
      <c r="M102" s="2576"/>
      <c r="N102" s="2576"/>
      <c r="O102" s="2576"/>
      <c r="P102" s="2937"/>
      <c r="Q102" s="2937"/>
      <c r="R102" s="2937"/>
      <c r="S102" s="2577"/>
      <c r="T102" s="2577"/>
    </row>
    <row r="103" spans="1:20">
      <c r="A103" s="2519"/>
      <c r="B103" s="2519"/>
      <c r="C103" s="2519"/>
      <c r="F103" s="2566"/>
      <c r="G103" s="2575"/>
      <c r="H103" s="2575"/>
      <c r="I103" s="2575"/>
      <c r="J103" s="2574"/>
      <c r="K103" s="2574"/>
      <c r="L103" s="2574"/>
      <c r="M103" s="2576"/>
      <c r="N103" s="2576"/>
      <c r="O103" s="2576"/>
      <c r="P103" s="2937"/>
      <c r="Q103" s="2937"/>
      <c r="R103" s="2937"/>
      <c r="S103" s="2577"/>
      <c r="T103" s="2577"/>
    </row>
    <row r="104" spans="1:20">
      <c r="A104" s="2519"/>
      <c r="B104" s="2519"/>
      <c r="C104" s="2519"/>
      <c r="F104" s="2566"/>
      <c r="G104" s="2575"/>
      <c r="H104" s="2575"/>
      <c r="I104" s="2575"/>
      <c r="J104" s="2574"/>
      <c r="K104" s="2574"/>
      <c r="L104" s="2574"/>
      <c r="M104" s="2576"/>
      <c r="N104" s="2576"/>
      <c r="O104" s="2576"/>
      <c r="P104" s="2937"/>
      <c r="Q104" s="2937"/>
      <c r="R104" s="2937"/>
      <c r="S104" s="2577"/>
      <c r="T104" s="2577"/>
    </row>
    <row r="105" spans="1:20">
      <c r="A105" s="2519"/>
      <c r="B105" s="2519"/>
      <c r="C105" s="2519"/>
      <c r="F105" s="2566"/>
      <c r="G105" s="2575"/>
      <c r="H105" s="2575"/>
      <c r="I105" s="2575"/>
      <c r="J105" s="2574"/>
      <c r="K105" s="2574"/>
      <c r="L105" s="2574"/>
      <c r="M105" s="2576"/>
      <c r="N105" s="2576"/>
      <c r="O105" s="2576"/>
      <c r="P105" s="2937"/>
      <c r="Q105" s="2937"/>
      <c r="R105" s="2937"/>
      <c r="S105" s="2577"/>
      <c r="T105" s="2577"/>
    </row>
    <row r="106" spans="1:20">
      <c r="A106" s="2519"/>
      <c r="B106" s="2519"/>
      <c r="C106" s="2519"/>
      <c r="F106" s="2566"/>
      <c r="G106" s="2575"/>
      <c r="H106" s="2575"/>
      <c r="I106" s="2575"/>
      <c r="J106" s="2574"/>
      <c r="K106" s="2574"/>
      <c r="L106" s="2574"/>
      <c r="M106" s="2576"/>
      <c r="N106" s="2576"/>
      <c r="O106" s="2576"/>
      <c r="P106" s="2937"/>
      <c r="Q106" s="2937"/>
      <c r="R106" s="2937"/>
      <c r="S106" s="2577"/>
      <c r="T106" s="2577"/>
    </row>
    <row r="107" spans="1:20">
      <c r="A107" s="2519"/>
      <c r="B107" s="2519"/>
      <c r="C107" s="2519"/>
      <c r="F107" s="2566"/>
      <c r="G107" s="2575"/>
      <c r="H107" s="2575"/>
      <c r="I107" s="2575"/>
      <c r="J107" s="2574"/>
      <c r="K107" s="2574"/>
      <c r="L107" s="2574"/>
      <c r="M107" s="2576"/>
      <c r="N107" s="2576"/>
      <c r="O107" s="2576"/>
      <c r="P107" s="2937"/>
      <c r="Q107" s="2937"/>
      <c r="R107" s="2937"/>
      <c r="S107" s="2577"/>
      <c r="T107" s="2577"/>
    </row>
    <row r="108" spans="1:20">
      <c r="A108" s="2519"/>
      <c r="B108" s="2519"/>
      <c r="C108" s="2519"/>
      <c r="F108" s="2566"/>
      <c r="G108" s="2575"/>
      <c r="H108" s="2575"/>
      <c r="I108" s="2575"/>
      <c r="J108" s="2574"/>
      <c r="K108" s="2574"/>
      <c r="L108" s="2574"/>
      <c r="M108" s="2576"/>
      <c r="N108" s="2576"/>
      <c r="O108" s="2576"/>
      <c r="P108" s="2937"/>
      <c r="Q108" s="2937"/>
      <c r="R108" s="2937"/>
      <c r="S108" s="2577"/>
      <c r="T108" s="2577"/>
    </row>
    <row r="109" spans="1:20">
      <c r="A109" s="2519"/>
      <c r="B109" s="2519"/>
      <c r="C109" s="2519"/>
      <c r="F109" s="2566"/>
      <c r="G109" s="2575"/>
      <c r="H109" s="2575"/>
      <c r="I109" s="2575"/>
      <c r="J109" s="2574"/>
      <c r="K109" s="2574"/>
      <c r="L109" s="2574"/>
      <c r="M109" s="2576"/>
      <c r="N109" s="2576"/>
      <c r="O109" s="2576"/>
      <c r="P109" s="2937"/>
      <c r="Q109" s="2937"/>
      <c r="R109" s="2937"/>
      <c r="S109" s="2577"/>
      <c r="T109" s="2577"/>
    </row>
    <row r="110" spans="1:20">
      <c r="A110" s="2519"/>
      <c r="B110" s="2519"/>
      <c r="C110" s="2519"/>
      <c r="F110" s="2566"/>
      <c r="G110" s="2575"/>
      <c r="H110" s="2575"/>
      <c r="I110" s="2575"/>
      <c r="J110" s="2574"/>
      <c r="K110" s="2574"/>
      <c r="L110" s="2574"/>
      <c r="M110" s="2576"/>
      <c r="N110" s="2576"/>
      <c r="O110" s="2576"/>
      <c r="P110" s="2937"/>
      <c r="Q110" s="2937"/>
      <c r="R110" s="2937"/>
      <c r="S110" s="2577"/>
      <c r="T110" s="2577"/>
    </row>
    <row r="111" spans="1:20">
      <c r="A111" s="2519"/>
      <c r="B111" s="2519"/>
      <c r="C111" s="2519"/>
      <c r="F111" s="2566"/>
      <c r="G111" s="2575"/>
      <c r="H111" s="2575"/>
      <c r="I111" s="2575"/>
      <c r="J111" s="2574"/>
      <c r="K111" s="2574"/>
      <c r="L111" s="2574"/>
      <c r="M111" s="2576"/>
      <c r="N111" s="2576"/>
      <c r="O111" s="2576"/>
      <c r="P111" s="2937"/>
      <c r="Q111" s="2937"/>
      <c r="R111" s="2937"/>
      <c r="S111" s="2577"/>
      <c r="T111" s="2577"/>
    </row>
    <row r="112" spans="1:20">
      <c r="A112" s="2519"/>
      <c r="B112" s="2519"/>
      <c r="C112" s="2519"/>
      <c r="F112" s="2566"/>
      <c r="J112" s="2574"/>
      <c r="K112" s="2574"/>
      <c r="L112" s="2574"/>
      <c r="M112" s="2519"/>
      <c r="N112" s="2519"/>
      <c r="O112" s="2519"/>
      <c r="S112" s="2579"/>
    </row>
    <row r="113" spans="1:23">
      <c r="A113" s="2519"/>
      <c r="B113" s="2519"/>
      <c r="C113" s="2566"/>
      <c r="F113" s="2580"/>
      <c r="J113" s="2574"/>
      <c r="K113" s="2574"/>
      <c r="L113" s="2574"/>
      <c r="M113" s="2519"/>
      <c r="N113" s="2519"/>
      <c r="O113" s="2519"/>
      <c r="P113" s="2577"/>
      <c r="Q113" s="2577"/>
      <c r="R113" s="2577"/>
      <c r="U113" s="2577"/>
      <c r="V113" s="2577"/>
      <c r="W113" s="2577"/>
    </row>
    <row r="114" spans="1:23">
      <c r="A114" s="2519"/>
      <c r="B114" s="2519"/>
      <c r="C114" s="2519"/>
      <c r="D114" s="2566"/>
      <c r="E114" s="2566"/>
      <c r="F114" s="2566"/>
      <c r="L114" s="2934"/>
      <c r="M114" s="2519"/>
      <c r="N114" s="2519"/>
      <c r="O114" s="2519"/>
      <c r="U114" s="2577"/>
      <c r="V114" s="2577"/>
      <c r="W114" s="2577"/>
    </row>
    <row r="115" spans="1:23">
      <c r="A115" s="2519"/>
      <c r="B115" s="2519"/>
      <c r="C115" s="2566" t="e">
        <f>#REF!+#REF!+#REF!+#REF!</f>
        <v>#REF!</v>
      </c>
      <c r="D115" s="2581"/>
      <c r="E115" s="2581"/>
      <c r="F115" s="3989" t="s">
        <v>1600</v>
      </c>
      <c r="G115" s="2566">
        <f>SUMIF(L17:L62,"A",J17:J62)</f>
        <v>0</v>
      </c>
      <c r="H115" s="2566"/>
      <c r="I115" s="2566"/>
      <c r="J115" s="2574">
        <f>G115*2500</f>
        <v>0</v>
      </c>
      <c r="K115" s="2574"/>
      <c r="L115" s="2574"/>
      <c r="M115" s="2575"/>
      <c r="N115" s="2575"/>
      <c r="O115" s="2575"/>
      <c r="Q115" s="2519">
        <f>7.2+0.6+21+5+70</f>
        <v>103.8</v>
      </c>
    </row>
    <row r="116" spans="1:23">
      <c r="A116" s="2519"/>
      <c r="B116" s="2519"/>
      <c r="C116" s="2519"/>
      <c r="F116" s="3989"/>
      <c r="G116" s="2566">
        <f>SUMIF(L17:L62,"B",J17:J62)</f>
        <v>0</v>
      </c>
      <c r="H116" s="2566"/>
      <c r="I116" s="2566"/>
      <c r="J116" s="2574">
        <f>G116*2400</f>
        <v>0</v>
      </c>
      <c r="K116" s="2574"/>
      <c r="L116" s="2574"/>
      <c r="M116" s="2566"/>
      <c r="N116" s="2566"/>
      <c r="O116" s="2566"/>
    </row>
    <row r="117" spans="1:23">
      <c r="A117" s="2519"/>
      <c r="B117" s="2519"/>
      <c r="C117" s="2519"/>
      <c r="F117" s="3989"/>
      <c r="G117" s="2566">
        <f>SUMIF(L17:L62,"C",J17:J62)</f>
        <v>0</v>
      </c>
      <c r="H117" s="2566"/>
      <c r="I117" s="2566"/>
      <c r="J117" s="2574">
        <f>G117*2300</f>
        <v>0</v>
      </c>
      <c r="K117" s="2574"/>
      <c r="L117" s="2574"/>
      <c r="M117" s="2519"/>
      <c r="N117" s="2519"/>
      <c r="O117" s="2519"/>
      <c r="P117" s="2576"/>
      <c r="Q117" s="2576"/>
      <c r="R117" s="2576"/>
      <c r="S117" s="2576"/>
      <c r="W117" s="2566"/>
    </row>
    <row r="118" spans="1:23">
      <c r="A118" s="2519"/>
      <c r="B118" s="2519"/>
      <c r="C118" s="2519"/>
      <c r="F118" s="3989"/>
      <c r="G118" s="2566">
        <f>SUMIF(L17:L62,"D",J17:J62)</f>
        <v>0</v>
      </c>
      <c r="H118" s="2566"/>
      <c r="I118" s="2566"/>
      <c r="J118" s="2574">
        <f>G118*2200</f>
        <v>0</v>
      </c>
      <c r="K118" s="2574"/>
      <c r="L118" s="2574"/>
      <c r="M118" s="2519"/>
      <c r="N118" s="2519"/>
      <c r="O118" s="2519"/>
      <c r="P118" s="2937"/>
      <c r="Q118" s="2937"/>
      <c r="R118" s="2937"/>
      <c r="S118" s="2937"/>
      <c r="W118" s="2566"/>
    </row>
    <row r="119" spans="1:23">
      <c r="A119" s="2519"/>
      <c r="B119" s="2519"/>
      <c r="C119" s="2519"/>
      <c r="F119" s="2566"/>
      <c r="G119" s="2566"/>
      <c r="H119" s="2566"/>
      <c r="I119" s="2566"/>
      <c r="J119" s="2574"/>
      <c r="K119" s="2574"/>
      <c r="L119" s="2574"/>
      <c r="M119" s="2519"/>
      <c r="N119" s="2519"/>
      <c r="O119" s="2519"/>
      <c r="P119" s="2937"/>
      <c r="Q119" s="2937"/>
      <c r="R119" s="2937"/>
      <c r="S119" s="2937"/>
      <c r="W119" s="2566"/>
    </row>
    <row r="120" spans="1:23">
      <c r="A120" s="2519"/>
      <c r="B120" s="2519"/>
      <c r="C120" s="2519"/>
      <c r="F120" s="2566"/>
      <c r="G120" s="2566"/>
      <c r="H120" s="2566"/>
      <c r="I120" s="2566"/>
      <c r="J120" s="2574"/>
      <c r="K120" s="2574"/>
      <c r="L120" s="2574"/>
      <c r="M120" s="2519"/>
      <c r="N120" s="2519"/>
      <c r="O120" s="2519"/>
      <c r="P120" s="2937"/>
      <c r="Q120" s="2937"/>
      <c r="R120" s="2937"/>
      <c r="S120" s="2937"/>
      <c r="W120" s="2566"/>
    </row>
    <row r="121" spans="1:23">
      <c r="A121" s="2519"/>
      <c r="B121" s="2519"/>
      <c r="C121" s="2519"/>
      <c r="F121" s="2566"/>
      <c r="G121" s="2566"/>
      <c r="H121" s="2566"/>
      <c r="I121" s="2566"/>
      <c r="J121" s="2574"/>
      <c r="K121" s="2574"/>
      <c r="L121" s="2574"/>
      <c r="M121" s="2519"/>
      <c r="N121" s="2519"/>
      <c r="O121" s="2519"/>
      <c r="P121" s="2937"/>
      <c r="Q121" s="2937"/>
      <c r="R121" s="2937"/>
      <c r="S121" s="2937"/>
      <c r="W121" s="2566"/>
    </row>
    <row r="122" spans="1:23">
      <c r="A122" s="2519"/>
      <c r="B122" s="2519"/>
      <c r="C122" s="2519"/>
      <c r="F122" s="2566"/>
      <c r="G122" s="2566"/>
      <c r="H122" s="2566"/>
      <c r="I122" s="2566"/>
      <c r="J122" s="2574"/>
      <c r="K122" s="2574"/>
      <c r="L122" s="2574"/>
      <c r="M122" s="2519"/>
      <c r="N122" s="2519"/>
      <c r="O122" s="2519"/>
      <c r="P122" s="2937"/>
      <c r="Q122" s="2937"/>
      <c r="R122" s="2937"/>
      <c r="S122" s="2937"/>
      <c r="W122" s="2566"/>
    </row>
    <row r="123" spans="1:23">
      <c r="A123" s="2519"/>
      <c r="B123" s="2519"/>
      <c r="C123" s="2519"/>
      <c r="F123" s="2566"/>
      <c r="G123" s="2566"/>
      <c r="H123" s="2566"/>
      <c r="I123" s="2566"/>
      <c r="J123" s="2574"/>
      <c r="K123" s="2574"/>
      <c r="L123" s="2574"/>
      <c r="M123" s="2519"/>
      <c r="N123" s="2519"/>
      <c r="O123" s="2519"/>
      <c r="P123" s="2937"/>
      <c r="Q123" s="2937"/>
      <c r="R123" s="2937"/>
      <c r="S123" s="2937"/>
      <c r="W123" s="2566"/>
    </row>
    <row r="124" spans="1:23">
      <c r="A124" s="2519"/>
      <c r="B124" s="2519"/>
      <c r="C124" s="2519"/>
      <c r="F124" s="2566"/>
      <c r="G124" s="2566"/>
      <c r="H124" s="2566"/>
      <c r="I124" s="2566"/>
      <c r="J124" s="2574"/>
      <c r="K124" s="2574"/>
      <c r="L124" s="2574"/>
      <c r="M124" s="2519"/>
      <c r="N124" s="2519"/>
      <c r="O124" s="2519"/>
      <c r="P124" s="2937"/>
      <c r="Q124" s="2937"/>
      <c r="R124" s="2937"/>
      <c r="S124" s="2937"/>
      <c r="W124" s="2566"/>
    </row>
    <row r="125" spans="1:23">
      <c r="B125" s="2519"/>
      <c r="C125" s="2519"/>
      <c r="F125" s="2519"/>
      <c r="G125" s="2519">
        <f>SUM(G115:G123)</f>
        <v>0</v>
      </c>
      <c r="J125" s="2574">
        <f>SUM(J115:J123)</f>
        <v>0</v>
      </c>
      <c r="K125" s="2574"/>
      <c r="L125" s="2574"/>
      <c r="M125" s="2519"/>
      <c r="N125" s="2519"/>
      <c r="O125" s="2519"/>
      <c r="P125" s="3961" t="e">
        <f>J125+J135+G140</f>
        <v>#REF!</v>
      </c>
      <c r="Q125" s="3961"/>
      <c r="R125" s="2934"/>
      <c r="S125" s="2519" t="e">
        <f>P125-#REF!</f>
        <v>#REF!</v>
      </c>
    </row>
    <row r="126" spans="1:23">
      <c r="B126" s="2519"/>
      <c r="C126" s="2519"/>
      <c r="F126" s="2519"/>
      <c r="J126" s="2936"/>
      <c r="K126" s="2936"/>
      <c r="L126" s="2936"/>
      <c r="M126" s="2519"/>
      <c r="N126" s="2519"/>
      <c r="O126" s="2519"/>
      <c r="Q126" s="2577"/>
      <c r="R126" s="2577"/>
      <c r="S126" s="2577"/>
    </row>
    <row r="127" spans="1:23">
      <c r="B127" s="2519"/>
      <c r="C127" s="2519"/>
      <c r="F127" s="2566"/>
      <c r="G127" s="2519">
        <v>5422</v>
      </c>
      <c r="J127" s="2574">
        <f>G127*30000</f>
        <v>162660000</v>
      </c>
      <c r="K127" s="2574"/>
      <c r="L127" s="2574"/>
      <c r="M127" s="2519"/>
      <c r="N127" s="2519"/>
      <c r="O127" s="2519"/>
    </row>
    <row r="128" spans="1:23">
      <c r="B128" s="2519"/>
      <c r="C128" s="2519"/>
      <c r="F128" s="2566"/>
      <c r="G128" s="2519">
        <v>20</v>
      </c>
      <c r="J128" s="2574">
        <f>G128*60000</f>
        <v>1200000</v>
      </c>
      <c r="K128" s="2574"/>
      <c r="L128" s="2574"/>
      <c r="M128" s="2519"/>
      <c r="N128" s="2519"/>
      <c r="O128" s="2519"/>
    </row>
    <row r="129" spans="1:23">
      <c r="B129" s="2519"/>
      <c r="C129" s="2519"/>
      <c r="F129" s="2566"/>
      <c r="G129" s="2519">
        <v>230</v>
      </c>
      <c r="J129" s="2574">
        <f>G129*80000</f>
        <v>18400000</v>
      </c>
      <c r="K129" s="2574"/>
      <c r="L129" s="2574"/>
      <c r="M129" s="2519"/>
      <c r="N129" s="2519"/>
      <c r="O129" s="2519"/>
    </row>
    <row r="130" spans="1:23">
      <c r="A130" s="2519"/>
      <c r="G130" s="2519">
        <v>998</v>
      </c>
      <c r="J130" s="2574">
        <f>G130*50000</f>
        <v>49900000</v>
      </c>
      <c r="K130" s="2574"/>
      <c r="L130" s="2574"/>
      <c r="W130" s="2577"/>
    </row>
    <row r="131" spans="1:23">
      <c r="A131" s="2519"/>
      <c r="G131" s="2519">
        <v>2</v>
      </c>
      <c r="J131" s="2574">
        <f>G131*80000</f>
        <v>160000</v>
      </c>
      <c r="K131" s="2574"/>
      <c r="L131" s="2574"/>
      <c r="W131" s="2577"/>
    </row>
    <row r="132" spans="1:23">
      <c r="A132" s="2519"/>
      <c r="G132" s="2519">
        <v>89</v>
      </c>
      <c r="J132" s="2574">
        <f>G132*100000</f>
        <v>8900000</v>
      </c>
      <c r="K132" s="2574"/>
      <c r="L132" s="2574"/>
      <c r="W132" s="2934"/>
    </row>
    <row r="133" spans="1:23">
      <c r="A133" s="2519"/>
      <c r="G133" s="2519">
        <v>301.56000000000006</v>
      </c>
      <c r="J133" s="2574">
        <f>G133*25000</f>
        <v>7539000.0000000019</v>
      </c>
      <c r="K133" s="2574"/>
      <c r="L133" s="2574"/>
      <c r="W133" s="2934"/>
    </row>
    <row r="134" spans="1:23">
      <c r="A134" s="2519"/>
      <c r="G134" s="2519">
        <v>2965</v>
      </c>
      <c r="J134" s="2574">
        <f>G134*20000</f>
        <v>59300000</v>
      </c>
      <c r="K134" s="2574"/>
      <c r="L134" s="2574"/>
      <c r="W134" s="2934"/>
    </row>
    <row r="135" spans="1:23">
      <c r="A135" s="2519"/>
      <c r="B135" s="2926"/>
      <c r="G135" s="2519">
        <f>SUM(G127:G134)</f>
        <v>10027.560000000001</v>
      </c>
      <c r="J135" s="3990">
        <f>SUM(J127:J134)</f>
        <v>308059000</v>
      </c>
      <c r="K135" s="3990"/>
      <c r="L135" s="3990"/>
      <c r="S135" s="2934"/>
      <c r="T135" s="2577"/>
    </row>
    <row r="136" spans="1:23">
      <c r="A136" s="2519"/>
      <c r="B136" s="2584"/>
      <c r="G136" s="2566" t="e">
        <f>#REF!+#REF!+#REF!+F62</f>
        <v>#REF!</v>
      </c>
      <c r="H136" s="2566"/>
      <c r="I136" s="2566"/>
      <c r="J136" s="2574" t="e">
        <f>G136*25000</f>
        <v>#REF!</v>
      </c>
      <c r="K136" s="2574"/>
      <c r="L136" s="2574"/>
    </row>
    <row r="137" spans="1:23">
      <c r="A137" s="2519"/>
      <c r="B137" s="2584"/>
      <c r="F137" s="2577" t="s">
        <v>1601</v>
      </c>
      <c r="G137" s="2519" t="e">
        <f>#REF!+#REF!</f>
        <v>#REF!</v>
      </c>
      <c r="J137" s="2574" t="e">
        <f>#REF!+#REF!</f>
        <v>#REF!</v>
      </c>
      <c r="K137" s="2574"/>
      <c r="L137" s="2585"/>
    </row>
    <row r="138" spans="1:23">
      <c r="A138" s="2519"/>
      <c r="B138" s="2584"/>
      <c r="G138" s="2519" t="e">
        <f>#REF!</f>
        <v>#REF!</v>
      </c>
      <c r="J138" s="2574" t="e">
        <f>#REF!</f>
        <v>#REF!</v>
      </c>
      <c r="K138" s="2574"/>
      <c r="L138" s="2585"/>
    </row>
    <row r="139" spans="1:23">
      <c r="A139" s="2519"/>
      <c r="G139" s="2519" t="e">
        <f>#REF!+#REF!+#REF!+#REF!</f>
        <v>#REF!</v>
      </c>
      <c r="J139" s="2574" t="e">
        <f>#REF!+#REF!+#REF!+#REF!</f>
        <v>#REF!</v>
      </c>
      <c r="K139" s="2574"/>
      <c r="L139" s="2585"/>
    </row>
    <row r="140" spans="1:23">
      <c r="A140" s="2519"/>
      <c r="G140" s="3990" t="e">
        <f>SUM(J136:L139)</f>
        <v>#REF!</v>
      </c>
      <c r="H140" s="3990"/>
      <c r="I140" s="3990"/>
      <c r="J140" s="3990"/>
      <c r="K140" s="2936"/>
      <c r="L140" s="2585"/>
      <c r="M140" s="2523" t="e">
        <f>G140-#REF!</f>
        <v>#REF!</v>
      </c>
    </row>
    <row r="142" spans="1:23">
      <c r="A142" s="2519"/>
      <c r="J142" s="3979" t="e">
        <f>+#REF!+#REF!+#REF!+#REF!+1000000</f>
        <v>#REF!</v>
      </c>
      <c r="K142" s="3979"/>
      <c r="L142" s="3979"/>
    </row>
    <row r="144" spans="1:23">
      <c r="A144" s="2519"/>
      <c r="G144" s="2566"/>
      <c r="H144" s="2566"/>
      <c r="I144" s="2566"/>
      <c r="J144" s="2574"/>
      <c r="K144" s="2574"/>
    </row>
    <row r="145" spans="1:19">
      <c r="A145" s="2519"/>
      <c r="P145" s="2566"/>
    </row>
    <row r="149" spans="1:19">
      <c r="A149" s="2519"/>
      <c r="G149" s="2566">
        <v>2551.8899999999994</v>
      </c>
      <c r="H149" s="2566"/>
      <c r="I149" s="2566"/>
    </row>
    <row r="150" spans="1:19">
      <c r="A150" s="2519"/>
      <c r="B150" s="2519"/>
      <c r="C150" s="2519"/>
      <c r="F150" s="2519"/>
      <c r="G150" s="2566" t="e">
        <f>+G136-G149</f>
        <v>#REF!</v>
      </c>
      <c r="H150" s="2566"/>
      <c r="I150" s="2566"/>
    </row>
    <row r="156" spans="1:19">
      <c r="A156" s="2519"/>
      <c r="B156" s="2519"/>
      <c r="C156" s="2519"/>
      <c r="F156" s="2519"/>
      <c r="L156" s="2522">
        <v>1678</v>
      </c>
      <c r="M156" s="2523">
        <v>1573</v>
      </c>
      <c r="P156" s="2519">
        <v>1187</v>
      </c>
      <c r="Q156" s="2519">
        <v>1183</v>
      </c>
      <c r="S156" s="2519">
        <f>SUM(L156:Q156)</f>
        <v>5621</v>
      </c>
    </row>
    <row r="157" spans="1:19">
      <c r="A157" s="2519"/>
      <c r="B157" s="2519"/>
      <c r="C157" s="2519"/>
      <c r="F157" s="2519"/>
      <c r="L157" s="2522">
        <v>257</v>
      </c>
      <c r="M157" s="2523">
        <v>244</v>
      </c>
      <c r="P157" s="2519">
        <v>183</v>
      </c>
      <c r="Q157" s="2519">
        <v>182</v>
      </c>
      <c r="S157" s="2519">
        <f>SUM(L157:Q157)</f>
        <v>866</v>
      </c>
    </row>
    <row r="158" spans="1:19">
      <c r="A158" s="2519"/>
      <c r="B158" s="2519"/>
      <c r="C158" s="2519"/>
      <c r="F158" s="2519"/>
      <c r="L158" s="2522">
        <v>1935</v>
      </c>
      <c r="M158" s="2523">
        <v>1817</v>
      </c>
      <c r="P158" s="2519">
        <v>1370</v>
      </c>
      <c r="Q158" s="2519">
        <v>1365</v>
      </c>
      <c r="S158" s="2519">
        <f>SUM(L158:Q158)</f>
        <v>6487</v>
      </c>
    </row>
  </sheetData>
  <autoFilter ref="A16:AF63"/>
  <mergeCells count="40">
    <mergeCell ref="P14:S15"/>
    <mergeCell ref="H14:O15"/>
    <mergeCell ref="A9:X9"/>
    <mergeCell ref="A2:X2"/>
    <mergeCell ref="A3:X3"/>
    <mergeCell ref="A4:X4"/>
    <mergeCell ref="A6:J6"/>
    <mergeCell ref="A7:J7"/>
    <mergeCell ref="F115:F118"/>
    <mergeCell ref="P125:Q125"/>
    <mergeCell ref="A10:X10"/>
    <mergeCell ref="C12:F12"/>
    <mergeCell ref="A13:A16"/>
    <mergeCell ref="B13:B16"/>
    <mergeCell ref="C13:C16"/>
    <mergeCell ref="D13:D16"/>
    <mergeCell ref="E13:E16"/>
    <mergeCell ref="F13:S13"/>
    <mergeCell ref="T13:T16"/>
    <mergeCell ref="U13:U16"/>
    <mergeCell ref="V13:V16"/>
    <mergeCell ref="W13:W16"/>
    <mergeCell ref="X13:X16"/>
    <mergeCell ref="F14:G15"/>
    <mergeCell ref="J135:L135"/>
    <mergeCell ref="G140:J140"/>
    <mergeCell ref="J142:L142"/>
    <mergeCell ref="P79:Q79"/>
    <mergeCell ref="A62:D62"/>
    <mergeCell ref="A63:X63"/>
    <mergeCell ref="T65:X65"/>
    <mergeCell ref="A68:F68"/>
    <mergeCell ref="H68:L68"/>
    <mergeCell ref="T68:X68"/>
    <mergeCell ref="P75:S75"/>
    <mergeCell ref="A76:F76"/>
    <mergeCell ref="H76:L76"/>
    <mergeCell ref="M76:S76"/>
    <mergeCell ref="T76:X76"/>
    <mergeCell ref="M68:O68"/>
  </mergeCells>
  <printOptions horizontalCentered="1"/>
  <pageMargins left="0.19685039370078741" right="0.19685039370078741" top="0.43307086614173229" bottom="0.19685039370078741" header="0.31496062992125984" footer="0.31496062992125984"/>
  <pageSetup paperSize="9" scale="4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58"/>
  <sheetViews>
    <sheetView topLeftCell="A41" workbookViewId="0">
      <selection activeCell="M62" sqref="M62"/>
    </sheetView>
  </sheetViews>
  <sheetFormatPr defaultColWidth="9.42578125" defaultRowHeight="23.25"/>
  <cols>
    <col min="1" max="1" width="6.140625" style="2516" customWidth="1"/>
    <col min="2" max="2" width="19.140625" style="3200" hidden="1" customWidth="1"/>
    <col min="3" max="3" width="28.42578125" style="2518" customWidth="1"/>
    <col min="4" max="4" width="15.5703125" style="2519" customWidth="1"/>
    <col min="5" max="5" width="38.7109375" style="2519" customWidth="1"/>
    <col min="6" max="6" width="20.140625" style="2520" customWidth="1"/>
    <col min="7" max="7" width="20.140625" style="2519" customWidth="1"/>
    <col min="8" max="8" width="14.85546875" style="2519" customWidth="1"/>
    <col min="9" max="9" width="14.85546875" style="2519" hidden="1" customWidth="1"/>
    <col min="10" max="10" width="18" style="2521" customWidth="1"/>
    <col min="11" max="11" width="15" style="2521" hidden="1" customWidth="1"/>
    <col min="12" max="12" width="12.42578125" style="2522" customWidth="1"/>
    <col min="13" max="13" width="26.140625" style="2523" customWidth="1"/>
    <col min="14" max="14" width="11.85546875" style="2519" customWidth="1"/>
    <col min="15" max="15" width="14.5703125" style="2519" customWidth="1"/>
    <col min="16" max="16" width="12.42578125" style="2519" customWidth="1"/>
    <col min="17" max="17" width="19.5703125" style="2519" customWidth="1"/>
    <col min="18" max="18" width="23.42578125" style="2519" customWidth="1"/>
    <col min="19" max="19" width="16.7109375" style="2519" hidden="1" customWidth="1"/>
    <col min="20" max="20" width="20.85546875" style="2519" customWidth="1"/>
    <col min="21" max="21" width="24.28515625" style="2519" customWidth="1"/>
    <col min="22" max="22" width="17.5703125" style="2519" customWidth="1"/>
    <col min="23" max="23" width="22.7109375" style="2519" bestFit="1" customWidth="1"/>
    <col min="24" max="24" width="9.5703125" style="2519" bestFit="1" customWidth="1"/>
    <col min="25" max="25" width="24.140625" style="2519" customWidth="1"/>
    <col min="26" max="26" width="9.42578125" style="2519"/>
    <col min="27" max="27" width="18.85546875" style="2519" bestFit="1" customWidth="1"/>
    <col min="28" max="29" width="9.42578125" style="2519"/>
    <col min="30" max="30" width="9.5703125" style="2519" bestFit="1" customWidth="1"/>
    <col min="31" max="16384" width="9.42578125" style="2519"/>
  </cols>
  <sheetData>
    <row r="2" spans="1:23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</row>
    <row r="3" spans="1:23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</row>
    <row r="4" spans="1:23" ht="21" customHeight="1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</row>
    <row r="5" spans="1:23">
      <c r="A5" s="3199"/>
      <c r="B5" s="3199"/>
      <c r="C5" s="3199"/>
      <c r="D5" s="3199"/>
      <c r="E5" s="3199"/>
      <c r="F5" s="3199"/>
      <c r="G5" s="3199"/>
      <c r="H5" s="3199"/>
      <c r="I5" s="3199"/>
      <c r="J5" s="3199"/>
      <c r="K5" s="3199"/>
      <c r="L5" s="3199"/>
      <c r="M5" s="3199"/>
      <c r="N5" s="3199"/>
      <c r="O5" s="3199"/>
      <c r="P5" s="3199"/>
      <c r="Q5" s="3199"/>
      <c r="R5" s="3199"/>
      <c r="S5" s="3199"/>
      <c r="T5" s="3199"/>
      <c r="U5" s="3199"/>
      <c r="V5" s="3199"/>
    </row>
    <row r="6" spans="1:23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3194"/>
      <c r="L6" s="2525"/>
      <c r="M6" s="2525"/>
      <c r="N6" s="2525"/>
      <c r="O6" s="2525"/>
      <c r="P6" s="2525"/>
      <c r="Q6" s="2526"/>
      <c r="R6" s="2526"/>
      <c r="S6" s="2526"/>
      <c r="T6" s="2526"/>
      <c r="U6" s="2526"/>
    </row>
    <row r="7" spans="1:23">
      <c r="A7" s="3962" t="s">
        <v>1894</v>
      </c>
      <c r="B7" s="3962"/>
      <c r="C7" s="3962"/>
      <c r="D7" s="3962"/>
      <c r="E7" s="3962"/>
      <c r="F7" s="3962"/>
      <c r="G7" s="3962"/>
      <c r="H7" s="3962"/>
      <c r="I7" s="3962"/>
      <c r="J7" s="3962"/>
      <c r="K7" s="3194"/>
      <c r="L7" s="2525"/>
      <c r="M7" s="2525"/>
      <c r="N7" s="2525"/>
      <c r="O7" s="2525"/>
      <c r="P7" s="2525"/>
      <c r="Q7" s="2526"/>
      <c r="R7" s="2526"/>
      <c r="S7" s="2526"/>
      <c r="T7" s="2526"/>
      <c r="U7" s="2526"/>
    </row>
    <row r="8" spans="1:23">
      <c r="A8" s="3194"/>
      <c r="B8" s="3194"/>
      <c r="C8" s="3194"/>
      <c r="D8" s="3194"/>
      <c r="E8" s="3194"/>
      <c r="F8" s="3194"/>
      <c r="G8" s="3194"/>
      <c r="H8" s="3194"/>
      <c r="I8" s="3194"/>
      <c r="J8" s="3194"/>
      <c r="K8" s="3194"/>
      <c r="L8" s="2525"/>
      <c r="M8" s="2525"/>
      <c r="N8" s="2525"/>
      <c r="O8" s="2525"/>
      <c r="P8" s="2525"/>
      <c r="Q8" s="2526"/>
      <c r="R8" s="2526"/>
      <c r="S8" s="2526"/>
      <c r="T8" s="2526"/>
      <c r="U8" s="2526"/>
    </row>
    <row r="9" spans="1:23" s="2528" customFormat="1" ht="27.75" customHeight="1">
      <c r="A9" s="3963" t="s">
        <v>1944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</row>
    <row r="10" spans="1:23" s="2528" customFormat="1" ht="22.5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</row>
    <row r="11" spans="1:23" s="2528" customFormat="1">
      <c r="A11" s="2529"/>
      <c r="B11" s="3194"/>
      <c r="C11" s="2577"/>
      <c r="D11" s="3028">
        <v>688.6</v>
      </c>
      <c r="E11" s="2577"/>
      <c r="F11" s="2577"/>
      <c r="G11" s="2530"/>
      <c r="H11" s="2530"/>
      <c r="I11" s="2530"/>
      <c r="J11" s="2531"/>
      <c r="K11" s="2531"/>
      <c r="L11" s="3194"/>
      <c r="M11" s="3194"/>
      <c r="N11" s="3194"/>
      <c r="O11" s="3194"/>
      <c r="P11" s="3194"/>
      <c r="Q11" s="3194"/>
      <c r="R11" s="3194"/>
      <c r="S11" s="3194"/>
      <c r="T11" s="3194"/>
      <c r="U11" s="3194"/>
      <c r="W11" s="2528">
        <f>'[3]Bảng CC vn'!AK10</f>
        <v>25</v>
      </c>
    </row>
    <row r="12" spans="1:23" ht="31.5" customHeight="1">
      <c r="A12" s="2532"/>
      <c r="B12" s="2932"/>
      <c r="C12" s="4480"/>
      <c r="D12" s="4480"/>
      <c r="E12" s="4480"/>
      <c r="F12" s="4480"/>
      <c r="G12" s="2534"/>
      <c r="H12" s="2534"/>
      <c r="I12" s="2534"/>
      <c r="J12" s="2535"/>
      <c r="K12" s="2535"/>
      <c r="L12" s="2536"/>
      <c r="M12" s="2537"/>
      <c r="N12" s="2538"/>
      <c r="O12" s="2538"/>
      <c r="P12" s="2538"/>
      <c r="Q12" s="2538"/>
      <c r="R12" s="2538"/>
      <c r="S12" s="2538"/>
      <c r="T12" s="2538"/>
      <c r="U12" s="2538"/>
      <c r="V12" s="2539" t="s">
        <v>1590</v>
      </c>
    </row>
    <row r="13" spans="1:23" s="3194" customFormat="1" ht="35.25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8" t="s">
        <v>1650</v>
      </c>
      <c r="S13" s="3968" t="s">
        <v>1585</v>
      </c>
      <c r="T13" s="3951" t="s">
        <v>1653</v>
      </c>
      <c r="U13" s="3968" t="s">
        <v>1570</v>
      </c>
      <c r="V13" s="3950" t="s">
        <v>92</v>
      </c>
    </row>
    <row r="14" spans="1:23" s="3194" customFormat="1" ht="69" customHeight="1">
      <c r="A14" s="3965"/>
      <c r="B14" s="3965"/>
      <c r="C14" s="3966"/>
      <c r="D14" s="3965"/>
      <c r="E14" s="3950"/>
      <c r="F14" s="3980" t="s">
        <v>1660</v>
      </c>
      <c r="G14" s="3981"/>
      <c r="H14" s="3984" t="s">
        <v>183</v>
      </c>
      <c r="I14" s="3953"/>
      <c r="J14" s="3953"/>
      <c r="K14" s="3953"/>
      <c r="L14" s="3953"/>
      <c r="M14" s="3954"/>
      <c r="N14" s="3984" t="s">
        <v>1945</v>
      </c>
      <c r="O14" s="3953"/>
      <c r="P14" s="3953"/>
      <c r="Q14" s="3954"/>
      <c r="R14" s="3968"/>
      <c r="S14" s="3968"/>
      <c r="T14" s="3972"/>
      <c r="U14" s="3968"/>
      <c r="V14" s="3950"/>
    </row>
    <row r="15" spans="1:23" s="3194" customFormat="1" ht="3.75" customHeight="1">
      <c r="A15" s="3965"/>
      <c r="B15" s="3965"/>
      <c r="C15" s="3966"/>
      <c r="D15" s="3965"/>
      <c r="E15" s="3950"/>
      <c r="F15" s="3982"/>
      <c r="G15" s="3983"/>
      <c r="H15" s="3985"/>
      <c r="I15" s="3955"/>
      <c r="J15" s="3955"/>
      <c r="K15" s="3955"/>
      <c r="L15" s="3955"/>
      <c r="M15" s="3956"/>
      <c r="N15" s="3985"/>
      <c r="O15" s="3955"/>
      <c r="P15" s="3955"/>
      <c r="Q15" s="3956"/>
      <c r="R15" s="3968"/>
      <c r="S15" s="3968"/>
      <c r="T15" s="3972"/>
      <c r="U15" s="3968"/>
      <c r="V15" s="3950"/>
    </row>
    <row r="16" spans="1:23" s="3201" customFormat="1" ht="123" customHeight="1">
      <c r="A16" s="3965"/>
      <c r="B16" s="3965"/>
      <c r="C16" s="3966"/>
      <c r="D16" s="3965"/>
      <c r="E16" s="3950"/>
      <c r="F16" s="2540" t="s">
        <v>1593</v>
      </c>
      <c r="G16" s="3195" t="s">
        <v>14</v>
      </c>
      <c r="H16" s="3195" t="s">
        <v>1594</v>
      </c>
      <c r="I16" s="3195" t="s">
        <v>1645</v>
      </c>
      <c r="J16" s="3207" t="s">
        <v>1946</v>
      </c>
      <c r="K16" s="3207" t="s">
        <v>1891</v>
      </c>
      <c r="L16" s="3196" t="s">
        <v>1595</v>
      </c>
      <c r="M16" s="3196" t="s">
        <v>1084</v>
      </c>
      <c r="N16" s="3196" t="s">
        <v>1596</v>
      </c>
      <c r="O16" s="3196" t="s">
        <v>1651</v>
      </c>
      <c r="P16" s="3196" t="s">
        <v>1652</v>
      </c>
      <c r="Q16" s="3196" t="s">
        <v>1254</v>
      </c>
      <c r="R16" s="3968"/>
      <c r="S16" s="3968"/>
      <c r="T16" s="3952"/>
      <c r="U16" s="3968"/>
      <c r="V16" s="3950"/>
    </row>
    <row r="17" spans="1:22" s="3201" customFormat="1" ht="57.75" customHeight="1">
      <c r="A17" s="2545">
        <v>1</v>
      </c>
      <c r="B17" s="2773" t="s">
        <v>1726</v>
      </c>
      <c r="C17" s="2546" t="s">
        <v>1551</v>
      </c>
      <c r="D17" s="2546" t="str">
        <f>'[3]CNKT '!D16</f>
        <v>CNKT</v>
      </c>
      <c r="E17" s="2546"/>
      <c r="F17" s="2547">
        <v>0</v>
      </c>
      <c r="G17" s="2546">
        <f>+F17</f>
        <v>0</v>
      </c>
      <c r="H17" s="2546">
        <v>51</v>
      </c>
      <c r="I17" s="2546">
        <v>0</v>
      </c>
      <c r="J17" s="2688">
        <v>20.400000000000002</v>
      </c>
      <c r="K17" s="2546">
        <v>0</v>
      </c>
      <c r="L17" s="2545" t="s">
        <v>141</v>
      </c>
      <c r="M17" s="3006">
        <v>85689.384000000005</v>
      </c>
      <c r="N17" s="2546">
        <v>0</v>
      </c>
      <c r="O17" s="2546">
        <v>0</v>
      </c>
      <c r="P17" s="2546">
        <v>0</v>
      </c>
      <c r="Q17" s="2546">
        <v>0</v>
      </c>
      <c r="R17" s="2545">
        <f>+G17+M17+Q17</f>
        <v>85689.384000000005</v>
      </c>
      <c r="S17" s="2546"/>
      <c r="T17" s="2546">
        <v>0</v>
      </c>
      <c r="U17" s="2546">
        <f>+R17-T17</f>
        <v>85689.384000000005</v>
      </c>
      <c r="V17" s="2546"/>
    </row>
    <row r="18" spans="1:22" s="3201" customFormat="1" ht="57.75" customHeight="1">
      <c r="A18" s="2545">
        <v>2</v>
      </c>
      <c r="B18" s="2545">
        <f>[3]TONGHOPCONGDOI!B12</f>
        <v>0</v>
      </c>
      <c r="C18" s="2546" t="s">
        <v>1670</v>
      </c>
      <c r="D18" s="2546" t="str">
        <f>'[3]CNKT '!D17</f>
        <v>CNKT</v>
      </c>
      <c r="E18" s="2546"/>
      <c r="F18" s="2547">
        <v>0</v>
      </c>
      <c r="G18" s="2546">
        <f>+F18</f>
        <v>0</v>
      </c>
      <c r="H18" s="2546">
        <v>103</v>
      </c>
      <c r="I18" s="2546">
        <v>0</v>
      </c>
      <c r="J18" s="2688">
        <v>41.2</v>
      </c>
      <c r="K18" s="2546">
        <v>0</v>
      </c>
      <c r="L18" s="2545" t="s">
        <v>138</v>
      </c>
      <c r="M18" s="3006">
        <v>164547.85600000003</v>
      </c>
      <c r="N18" s="2546">
        <v>0</v>
      </c>
      <c r="O18" s="2546">
        <v>0</v>
      </c>
      <c r="P18" s="2546">
        <v>0</v>
      </c>
      <c r="Q18" s="2546">
        <v>0</v>
      </c>
      <c r="R18" s="2545">
        <f t="shared" ref="R18:R61" si="0">+G18+M18+Q18</f>
        <v>164547.85600000003</v>
      </c>
      <c r="S18" s="2546"/>
      <c r="T18" s="2546">
        <v>0</v>
      </c>
      <c r="U18" s="2546">
        <f t="shared" ref="U18:U61" si="1">+R18-T18</f>
        <v>164547.85600000003</v>
      </c>
      <c r="V18" s="2546"/>
    </row>
    <row r="19" spans="1:22" s="3201" customFormat="1" ht="57.75" customHeight="1">
      <c r="A19" s="2545">
        <v>3</v>
      </c>
      <c r="B19" s="2545" t="s">
        <v>1741</v>
      </c>
      <c r="C19" s="2546" t="s">
        <v>1924</v>
      </c>
      <c r="D19" s="2546" t="str">
        <f>'[3]CNKT '!D18</f>
        <v>CNKT</v>
      </c>
      <c r="E19" s="2546"/>
      <c r="F19" s="2547">
        <v>0</v>
      </c>
      <c r="G19" s="2546">
        <f t="shared" ref="G19:G61" si="2">+F19</f>
        <v>0</v>
      </c>
      <c r="H19" s="2546">
        <v>52</v>
      </c>
      <c r="I19" s="2546">
        <v>0</v>
      </c>
      <c r="J19" s="2688">
        <v>20.8</v>
      </c>
      <c r="K19" s="2546">
        <v>0</v>
      </c>
      <c r="L19" s="2545" t="s">
        <v>138</v>
      </c>
      <c r="M19" s="3006">
        <v>83072.703999999998</v>
      </c>
      <c r="N19" s="2546">
        <v>0</v>
      </c>
      <c r="O19" s="2546">
        <v>0</v>
      </c>
      <c r="P19" s="2546">
        <v>0</v>
      </c>
      <c r="Q19" s="2546">
        <v>0</v>
      </c>
      <c r="R19" s="2545">
        <f t="shared" si="0"/>
        <v>83072.703999999998</v>
      </c>
      <c r="S19" s="2546"/>
      <c r="T19" s="2546">
        <v>0</v>
      </c>
      <c r="U19" s="2546">
        <f t="shared" si="1"/>
        <v>83072.703999999998</v>
      </c>
      <c r="V19" s="2546"/>
    </row>
    <row r="20" spans="1:22" s="3201" customFormat="1" ht="57.75" customHeight="1">
      <c r="A20" s="2545">
        <v>4</v>
      </c>
      <c r="B20" s="2545"/>
      <c r="C20" s="2546" t="s">
        <v>1552</v>
      </c>
      <c r="D20" s="2546" t="str">
        <f>'[3]CNKT '!D19</f>
        <v>CNKT</v>
      </c>
      <c r="E20" s="2546"/>
      <c r="F20" s="2547">
        <v>0</v>
      </c>
      <c r="G20" s="2546">
        <f t="shared" si="2"/>
        <v>0</v>
      </c>
      <c r="H20" s="2546">
        <v>48</v>
      </c>
      <c r="I20" s="2546">
        <v>0</v>
      </c>
      <c r="J20" s="2688">
        <v>19.200000000000003</v>
      </c>
      <c r="K20" s="2546">
        <v>0</v>
      </c>
      <c r="L20" s="2545" t="s">
        <v>141</v>
      </c>
      <c r="M20" s="3006">
        <v>80648.832000000009</v>
      </c>
      <c r="N20" s="2546">
        <v>0</v>
      </c>
      <c r="O20" s="2546">
        <v>0</v>
      </c>
      <c r="P20" s="2546">
        <v>0</v>
      </c>
      <c r="Q20" s="2546">
        <v>0</v>
      </c>
      <c r="R20" s="2545">
        <f t="shared" si="0"/>
        <v>80648.832000000009</v>
      </c>
      <c r="S20" s="2546"/>
      <c r="T20" s="2546">
        <v>0</v>
      </c>
      <c r="U20" s="2546">
        <f t="shared" si="1"/>
        <v>80648.832000000009</v>
      </c>
      <c r="V20" s="2546"/>
    </row>
    <row r="21" spans="1:22" s="3201" customFormat="1" ht="57.75" customHeight="1">
      <c r="A21" s="2545">
        <v>5</v>
      </c>
      <c r="B21" s="2545" t="s">
        <v>1731</v>
      </c>
      <c r="C21" s="2546" t="s">
        <v>1671</v>
      </c>
      <c r="D21" s="2546" t="str">
        <f>'[3]CNKT '!D20</f>
        <v>CNKT</v>
      </c>
      <c r="E21" s="2546"/>
      <c r="F21" s="2547">
        <v>0</v>
      </c>
      <c r="G21" s="2546">
        <f t="shared" si="2"/>
        <v>0</v>
      </c>
      <c r="H21" s="2546">
        <v>127</v>
      </c>
      <c r="I21" s="2546">
        <v>0</v>
      </c>
      <c r="J21" s="2688">
        <v>50.800000000000004</v>
      </c>
      <c r="K21" s="2546">
        <v>0</v>
      </c>
      <c r="L21" s="2545" t="s">
        <v>141</v>
      </c>
      <c r="M21" s="3006">
        <v>213383.36800000002</v>
      </c>
      <c r="N21" s="2546">
        <v>0</v>
      </c>
      <c r="O21" s="2546">
        <v>0</v>
      </c>
      <c r="P21" s="2546">
        <v>0</v>
      </c>
      <c r="Q21" s="2546">
        <v>0</v>
      </c>
      <c r="R21" s="2545">
        <f t="shared" si="0"/>
        <v>213383.36800000002</v>
      </c>
      <c r="S21" s="2546"/>
      <c r="T21" s="2546">
        <v>0</v>
      </c>
      <c r="U21" s="2546">
        <f t="shared" si="1"/>
        <v>213383.36800000002</v>
      </c>
      <c r="V21" s="2546"/>
    </row>
    <row r="22" spans="1:22" s="3201" customFormat="1" ht="57.75" customHeight="1">
      <c r="A22" s="2545">
        <v>6</v>
      </c>
      <c r="B22" s="2545" t="s">
        <v>1739</v>
      </c>
      <c r="C22" s="2546" t="s">
        <v>1261</v>
      </c>
      <c r="D22" s="2546" t="str">
        <f>'[3]CNKT '!D21</f>
        <v>CNKT</v>
      </c>
      <c r="E22" s="2546"/>
      <c r="F22" s="2547">
        <v>0</v>
      </c>
      <c r="G22" s="2546">
        <f t="shared" si="2"/>
        <v>0</v>
      </c>
      <c r="H22" s="2546">
        <v>96</v>
      </c>
      <c r="I22" s="2546">
        <v>0</v>
      </c>
      <c r="J22" s="2688">
        <v>38.400000000000006</v>
      </c>
      <c r="K22" s="2546">
        <v>0</v>
      </c>
      <c r="L22" s="2545" t="s">
        <v>141</v>
      </c>
      <c r="M22" s="3006">
        <v>161297.66400000002</v>
      </c>
      <c r="N22" s="2546">
        <v>0</v>
      </c>
      <c r="O22" s="2546">
        <v>0</v>
      </c>
      <c r="P22" s="2546">
        <v>0</v>
      </c>
      <c r="Q22" s="2546">
        <v>0</v>
      </c>
      <c r="R22" s="2545">
        <f t="shared" si="0"/>
        <v>161297.66400000002</v>
      </c>
      <c r="S22" s="2546"/>
      <c r="T22" s="2546">
        <v>0</v>
      </c>
      <c r="U22" s="2546">
        <f t="shared" si="1"/>
        <v>161297.66400000002</v>
      </c>
      <c r="V22" s="2546"/>
    </row>
    <row r="23" spans="1:22" s="3201" customFormat="1" ht="57.75" customHeight="1">
      <c r="A23" s="2545">
        <v>7</v>
      </c>
      <c r="B23" s="2545">
        <f>[3]TONGHOPCONGDOI!B18</f>
        <v>0</v>
      </c>
      <c r="C23" s="2546" t="s">
        <v>1926</v>
      </c>
      <c r="D23" s="2546" t="str">
        <f>'[3]CNKT '!D22</f>
        <v>CNKT</v>
      </c>
      <c r="E23" s="2546"/>
      <c r="F23" s="2547">
        <v>0</v>
      </c>
      <c r="G23" s="2546">
        <f t="shared" si="2"/>
        <v>0</v>
      </c>
      <c r="H23" s="2546">
        <v>167</v>
      </c>
      <c r="I23" s="2546">
        <v>0</v>
      </c>
      <c r="J23" s="2688">
        <v>66.8</v>
      </c>
      <c r="K23" s="2546">
        <v>0</v>
      </c>
      <c r="L23" s="2545" t="s">
        <v>141</v>
      </c>
      <c r="M23" s="3006">
        <v>280590.728</v>
      </c>
      <c r="N23" s="2546">
        <v>0</v>
      </c>
      <c r="O23" s="2546">
        <v>0</v>
      </c>
      <c r="P23" s="2546">
        <v>0</v>
      </c>
      <c r="Q23" s="2546">
        <v>0</v>
      </c>
      <c r="R23" s="2545">
        <f t="shared" si="0"/>
        <v>280590.728</v>
      </c>
      <c r="S23" s="2546"/>
      <c r="T23" s="2546">
        <v>0</v>
      </c>
      <c r="U23" s="2546">
        <f t="shared" si="1"/>
        <v>280590.728</v>
      </c>
      <c r="V23" s="2546"/>
    </row>
    <row r="24" spans="1:22" s="3201" customFormat="1" ht="57.75" customHeight="1">
      <c r="A24" s="2545">
        <v>8</v>
      </c>
      <c r="B24" s="2545" t="s">
        <v>1740</v>
      </c>
      <c r="C24" s="2546" t="s">
        <v>1553</v>
      </c>
      <c r="D24" s="2546" t="str">
        <f>'[3]CNKT '!D23</f>
        <v>CNKT</v>
      </c>
      <c r="E24" s="2546"/>
      <c r="F24" s="2547">
        <v>0</v>
      </c>
      <c r="G24" s="2546">
        <f t="shared" si="2"/>
        <v>0</v>
      </c>
      <c r="H24" s="2546">
        <v>57</v>
      </c>
      <c r="I24" s="2546">
        <v>0</v>
      </c>
      <c r="J24" s="2688">
        <v>22.8</v>
      </c>
      <c r="K24" s="2546">
        <v>0</v>
      </c>
      <c r="L24" s="2545" t="s">
        <v>141</v>
      </c>
      <c r="M24" s="3006">
        <v>95770.487999999998</v>
      </c>
      <c r="N24" s="2546">
        <v>0</v>
      </c>
      <c r="O24" s="2546">
        <v>0</v>
      </c>
      <c r="P24" s="2546">
        <v>0</v>
      </c>
      <c r="Q24" s="2546">
        <v>0</v>
      </c>
      <c r="R24" s="2545">
        <f t="shared" si="0"/>
        <v>95770.487999999998</v>
      </c>
      <c r="S24" s="2546"/>
      <c r="T24" s="2546">
        <v>0</v>
      </c>
      <c r="U24" s="2546">
        <f t="shared" si="1"/>
        <v>95770.487999999998</v>
      </c>
      <c r="V24" s="2546"/>
    </row>
    <row r="25" spans="1:22" s="3201" customFormat="1" ht="57.75" customHeight="1">
      <c r="A25" s="2545">
        <v>9</v>
      </c>
      <c r="B25" s="2545" t="s">
        <v>1747</v>
      </c>
      <c r="C25" s="2546" t="s">
        <v>1525</v>
      </c>
      <c r="D25" s="2546" t="str">
        <f>'[3]CNKT '!D25</f>
        <v>CNKT</v>
      </c>
      <c r="E25" s="2546"/>
      <c r="F25" s="2547">
        <v>0</v>
      </c>
      <c r="G25" s="2546">
        <f t="shared" si="2"/>
        <v>0</v>
      </c>
      <c r="H25" s="2546">
        <v>114</v>
      </c>
      <c r="I25" s="2546">
        <v>0</v>
      </c>
      <c r="J25" s="2688">
        <v>45.6</v>
      </c>
      <c r="K25" s="2546">
        <v>0</v>
      </c>
      <c r="L25" s="2545" t="s">
        <v>141</v>
      </c>
      <c r="M25" s="3006">
        <v>191540.976</v>
      </c>
      <c r="N25" s="2546">
        <v>0</v>
      </c>
      <c r="O25" s="2546">
        <v>0</v>
      </c>
      <c r="P25" s="2546">
        <v>0</v>
      </c>
      <c r="Q25" s="2546">
        <v>0</v>
      </c>
      <c r="R25" s="2545">
        <f t="shared" si="0"/>
        <v>191540.976</v>
      </c>
      <c r="S25" s="2546"/>
      <c r="T25" s="2546">
        <v>0</v>
      </c>
      <c r="U25" s="2546">
        <f t="shared" si="1"/>
        <v>191540.976</v>
      </c>
      <c r="V25" s="2546"/>
    </row>
    <row r="26" spans="1:22" s="3201" customFormat="1" ht="57.75" customHeight="1">
      <c r="A26" s="2545">
        <v>10</v>
      </c>
      <c r="B26" s="2545" t="s">
        <v>1748</v>
      </c>
      <c r="C26" s="2546" t="s">
        <v>1554</v>
      </c>
      <c r="D26" s="2546" t="str">
        <f>'[3]CNKT '!D26</f>
        <v>CNKT</v>
      </c>
      <c r="E26" s="2546"/>
      <c r="F26" s="2547">
        <v>0</v>
      </c>
      <c r="G26" s="2546">
        <f t="shared" si="2"/>
        <v>0</v>
      </c>
      <c r="H26" s="2546">
        <v>55</v>
      </c>
      <c r="I26" s="2546">
        <v>0</v>
      </c>
      <c r="J26" s="2688">
        <v>22</v>
      </c>
      <c r="K26" s="2546">
        <v>0</v>
      </c>
      <c r="L26" s="2545" t="s">
        <v>141</v>
      </c>
      <c r="M26" s="3006">
        <v>92410.12</v>
      </c>
      <c r="N26" s="2546">
        <v>0</v>
      </c>
      <c r="O26" s="2546">
        <v>0</v>
      </c>
      <c r="P26" s="2546">
        <v>0</v>
      </c>
      <c r="Q26" s="2546">
        <v>0</v>
      </c>
      <c r="R26" s="2545">
        <f t="shared" si="0"/>
        <v>92410.12</v>
      </c>
      <c r="S26" s="2546"/>
      <c r="T26" s="2546">
        <v>0</v>
      </c>
      <c r="U26" s="2546">
        <f t="shared" si="1"/>
        <v>92410.12</v>
      </c>
      <c r="V26" s="2546"/>
    </row>
    <row r="27" spans="1:22" s="3201" customFormat="1" ht="57.75" customHeight="1">
      <c r="A27" s="2545">
        <v>11</v>
      </c>
      <c r="B27" s="2545">
        <f>[3]TONGHOPCONGDOI!B26</f>
        <v>0</v>
      </c>
      <c r="C27" s="2546" t="s">
        <v>1674</v>
      </c>
      <c r="D27" s="2546" t="str">
        <f>'[3]CNKT '!D27</f>
        <v>CNKT</v>
      </c>
      <c r="E27" s="2546"/>
      <c r="F27" s="2547">
        <v>0</v>
      </c>
      <c r="G27" s="2546">
        <f t="shared" si="2"/>
        <v>0</v>
      </c>
      <c r="H27" s="2546">
        <v>85</v>
      </c>
      <c r="I27" s="2546">
        <v>0</v>
      </c>
      <c r="J27" s="2688">
        <v>34</v>
      </c>
      <c r="K27" s="2546">
        <v>0</v>
      </c>
      <c r="L27" s="2545" t="s">
        <v>141</v>
      </c>
      <c r="M27" s="3006">
        <v>142815.64000000001</v>
      </c>
      <c r="N27" s="2546">
        <v>0</v>
      </c>
      <c r="O27" s="2546">
        <v>0</v>
      </c>
      <c r="P27" s="2546">
        <v>0</v>
      </c>
      <c r="Q27" s="2546">
        <v>0</v>
      </c>
      <c r="R27" s="2545">
        <f t="shared" si="0"/>
        <v>142815.64000000001</v>
      </c>
      <c r="S27" s="2546"/>
      <c r="T27" s="2546">
        <v>0</v>
      </c>
      <c r="U27" s="2546">
        <f t="shared" si="1"/>
        <v>142815.64000000001</v>
      </c>
      <c r="V27" s="2546"/>
    </row>
    <row r="28" spans="1:22" s="3201" customFormat="1" ht="57.75" customHeight="1">
      <c r="A28" s="2545">
        <v>12</v>
      </c>
      <c r="B28" s="2545" t="s">
        <v>1729</v>
      </c>
      <c r="C28" s="2546" t="s">
        <v>1555</v>
      </c>
      <c r="D28" s="2546" t="str">
        <f>'[3]CNKT '!D28</f>
        <v>CNKT</v>
      </c>
      <c r="E28" s="2546"/>
      <c r="F28" s="2547">
        <v>0</v>
      </c>
      <c r="G28" s="2546">
        <f t="shared" si="2"/>
        <v>0</v>
      </c>
      <c r="H28" s="2546">
        <v>163</v>
      </c>
      <c r="I28" s="2546">
        <v>0</v>
      </c>
      <c r="J28" s="2688">
        <v>65.2</v>
      </c>
      <c r="K28" s="2546">
        <v>0</v>
      </c>
      <c r="L28" s="2545" t="s">
        <v>141</v>
      </c>
      <c r="M28" s="3006">
        <v>273869.99200000003</v>
      </c>
      <c r="N28" s="2546">
        <v>0</v>
      </c>
      <c r="O28" s="2546">
        <v>0</v>
      </c>
      <c r="P28" s="2546">
        <v>0</v>
      </c>
      <c r="Q28" s="2546">
        <v>0</v>
      </c>
      <c r="R28" s="2545">
        <f t="shared" si="0"/>
        <v>273869.99200000003</v>
      </c>
      <c r="S28" s="2546"/>
      <c r="T28" s="2546">
        <v>0</v>
      </c>
      <c r="U28" s="2546">
        <f t="shared" si="1"/>
        <v>273869.99200000003</v>
      </c>
      <c r="V28" s="2546"/>
    </row>
    <row r="29" spans="1:22" s="3201" customFormat="1" ht="57.75" customHeight="1">
      <c r="A29" s="2545">
        <v>13</v>
      </c>
      <c r="B29" s="2545" t="s">
        <v>1730</v>
      </c>
      <c r="C29" s="2546" t="s">
        <v>552</v>
      </c>
      <c r="D29" s="2546" t="str">
        <f>'[3]CNKT '!D29</f>
        <v>CNKT</v>
      </c>
      <c r="E29" s="2546"/>
      <c r="F29" s="2547">
        <v>0</v>
      </c>
      <c r="G29" s="2546">
        <f t="shared" si="2"/>
        <v>0</v>
      </c>
      <c r="H29" s="2546">
        <v>94</v>
      </c>
      <c r="I29" s="2546">
        <v>0</v>
      </c>
      <c r="J29" s="2688">
        <v>37.6</v>
      </c>
      <c r="K29" s="2546">
        <v>0</v>
      </c>
      <c r="L29" s="2545" t="s">
        <v>141</v>
      </c>
      <c r="M29" s="3006">
        <v>157937.296</v>
      </c>
      <c r="N29" s="2546">
        <v>0</v>
      </c>
      <c r="O29" s="2546">
        <v>0</v>
      </c>
      <c r="P29" s="2546">
        <v>0</v>
      </c>
      <c r="Q29" s="2546">
        <v>0</v>
      </c>
      <c r="R29" s="2545">
        <f t="shared" si="0"/>
        <v>157937.296</v>
      </c>
      <c r="S29" s="2546"/>
      <c r="T29" s="2546">
        <v>0</v>
      </c>
      <c r="U29" s="2546">
        <f t="shared" si="1"/>
        <v>157937.296</v>
      </c>
      <c r="V29" s="2546"/>
    </row>
    <row r="30" spans="1:22" s="3201" customFormat="1" ht="57.75" customHeight="1">
      <c r="A30" s="2545">
        <v>14</v>
      </c>
      <c r="B30" s="2545" t="s">
        <v>1727</v>
      </c>
      <c r="C30" s="2546" t="s">
        <v>1526</v>
      </c>
      <c r="D30" s="2546" t="str">
        <f>'[3]CNKT '!D31</f>
        <v>CNKT</v>
      </c>
      <c r="E30" s="2546"/>
      <c r="F30" s="2547">
        <v>0</v>
      </c>
      <c r="G30" s="2546">
        <f t="shared" si="2"/>
        <v>0</v>
      </c>
      <c r="H30" s="2546">
        <v>79</v>
      </c>
      <c r="I30" s="2546">
        <v>0</v>
      </c>
      <c r="J30" s="2688">
        <v>31.6</v>
      </c>
      <c r="K30" s="2546">
        <v>0</v>
      </c>
      <c r="L30" s="2545" t="s">
        <v>141</v>
      </c>
      <c r="M30" s="3006">
        <v>132734.53599999999</v>
      </c>
      <c r="N30" s="2546">
        <v>0</v>
      </c>
      <c r="O30" s="2546">
        <v>0</v>
      </c>
      <c r="P30" s="2546">
        <v>0</v>
      </c>
      <c r="Q30" s="2546">
        <v>0</v>
      </c>
      <c r="R30" s="2545">
        <f t="shared" si="0"/>
        <v>132734.53599999999</v>
      </c>
      <c r="S30" s="2546"/>
      <c r="T30" s="2546">
        <v>0</v>
      </c>
      <c r="U30" s="2546">
        <f t="shared" si="1"/>
        <v>132734.53599999999</v>
      </c>
      <c r="V30" s="2546"/>
    </row>
    <row r="31" spans="1:22" s="3201" customFormat="1" ht="57.75" customHeight="1">
      <c r="A31" s="2545">
        <v>15</v>
      </c>
      <c r="B31" s="2545" t="s">
        <v>1728</v>
      </c>
      <c r="C31" s="2546" t="s">
        <v>1236</v>
      </c>
      <c r="D31" s="2546" t="str">
        <f>'[3]CNKT '!D32</f>
        <v>CNKT</v>
      </c>
      <c r="E31" s="2546"/>
      <c r="F31" s="2547">
        <v>0</v>
      </c>
      <c r="G31" s="2546">
        <f t="shared" si="2"/>
        <v>0</v>
      </c>
      <c r="H31" s="2546">
        <v>80</v>
      </c>
      <c r="I31" s="2546">
        <v>0</v>
      </c>
      <c r="J31" s="2688">
        <v>32</v>
      </c>
      <c r="K31" s="2546">
        <v>0</v>
      </c>
      <c r="L31" s="2545" t="s">
        <v>141</v>
      </c>
      <c r="M31" s="3006">
        <v>134414.72</v>
      </c>
      <c r="N31" s="2546">
        <v>0</v>
      </c>
      <c r="O31" s="2546">
        <v>0</v>
      </c>
      <c r="P31" s="2546">
        <v>0</v>
      </c>
      <c r="Q31" s="2546">
        <v>0</v>
      </c>
      <c r="R31" s="2545">
        <f t="shared" si="0"/>
        <v>134414.72</v>
      </c>
      <c r="S31" s="2546"/>
      <c r="T31" s="2546">
        <v>0</v>
      </c>
      <c r="U31" s="2546">
        <f t="shared" si="1"/>
        <v>134414.72</v>
      </c>
      <c r="V31" s="2546"/>
    </row>
    <row r="32" spans="1:22" s="3201" customFormat="1" ht="57.75" customHeight="1">
      <c r="A32" s="2545">
        <v>16</v>
      </c>
      <c r="B32" s="2545">
        <f>[3]TONGHOPCONGDOI!B34</f>
        <v>0</v>
      </c>
      <c r="C32" s="2546" t="s">
        <v>1676</v>
      </c>
      <c r="D32" s="2546" t="str">
        <f>'[3]CNKT '!D33</f>
        <v>CNKT</v>
      </c>
      <c r="E32" s="2546"/>
      <c r="F32" s="2547">
        <v>0</v>
      </c>
      <c r="G32" s="2546">
        <f t="shared" si="2"/>
        <v>0</v>
      </c>
      <c r="H32" s="2546">
        <v>77</v>
      </c>
      <c r="I32" s="2546">
        <v>0</v>
      </c>
      <c r="J32" s="2688">
        <v>30.8</v>
      </c>
      <c r="K32" s="2546">
        <v>0</v>
      </c>
      <c r="L32" s="2545" t="s">
        <v>141</v>
      </c>
      <c r="M32" s="3006">
        <v>129374.16800000001</v>
      </c>
      <c r="N32" s="2546">
        <v>0</v>
      </c>
      <c r="O32" s="2546">
        <v>0</v>
      </c>
      <c r="P32" s="2546">
        <v>0</v>
      </c>
      <c r="Q32" s="2546">
        <v>0</v>
      </c>
      <c r="R32" s="2545">
        <f t="shared" si="0"/>
        <v>129374.16800000001</v>
      </c>
      <c r="S32" s="2546"/>
      <c r="T32" s="2546">
        <v>0</v>
      </c>
      <c r="U32" s="2546">
        <f t="shared" si="1"/>
        <v>129374.16800000001</v>
      </c>
      <c r="V32" s="2546"/>
    </row>
    <row r="33" spans="1:22" s="3201" customFormat="1" ht="57.75" customHeight="1">
      <c r="A33" s="2545">
        <v>17</v>
      </c>
      <c r="B33" s="2545">
        <f>[3]TONGHOPCONGDOI!B36</f>
        <v>0</v>
      </c>
      <c r="C33" s="2546" t="s">
        <v>1557</v>
      </c>
      <c r="D33" s="2546" t="str">
        <f>'[3]CNKT '!D35</f>
        <v>CNKT</v>
      </c>
      <c r="E33" s="2546"/>
      <c r="F33" s="2547">
        <v>0</v>
      </c>
      <c r="G33" s="2546">
        <f t="shared" si="2"/>
        <v>0</v>
      </c>
      <c r="H33" s="2546">
        <v>127</v>
      </c>
      <c r="I33" s="2546">
        <v>0</v>
      </c>
      <c r="J33" s="2688">
        <v>50.800000000000004</v>
      </c>
      <c r="K33" s="2546">
        <v>0</v>
      </c>
      <c r="L33" s="2545" t="s">
        <v>141</v>
      </c>
      <c r="M33" s="3006">
        <v>213383.36800000002</v>
      </c>
      <c r="N33" s="2546">
        <v>0</v>
      </c>
      <c r="O33" s="2546">
        <v>0</v>
      </c>
      <c r="P33" s="2546">
        <v>0</v>
      </c>
      <c r="Q33" s="2546">
        <v>0</v>
      </c>
      <c r="R33" s="2545">
        <f t="shared" si="0"/>
        <v>213383.36800000002</v>
      </c>
      <c r="S33" s="2546"/>
      <c r="T33" s="2546">
        <v>0</v>
      </c>
      <c r="U33" s="2546">
        <f t="shared" si="1"/>
        <v>213383.36800000002</v>
      </c>
      <c r="V33" s="2546"/>
    </row>
    <row r="34" spans="1:22" s="3201" customFormat="1" ht="57.75" customHeight="1">
      <c r="A34" s="2545">
        <v>18</v>
      </c>
      <c r="B34" s="2545" t="s">
        <v>1738</v>
      </c>
      <c r="C34" s="2546" t="s">
        <v>1558</v>
      </c>
      <c r="D34" s="2546" t="str">
        <f>'[3]CNKT '!D37</f>
        <v>CNKT</v>
      </c>
      <c r="E34" s="2546"/>
      <c r="F34" s="2547">
        <v>0</v>
      </c>
      <c r="G34" s="2546">
        <f t="shared" si="2"/>
        <v>0</v>
      </c>
      <c r="H34" s="2546">
        <v>165</v>
      </c>
      <c r="I34" s="2546">
        <v>0</v>
      </c>
      <c r="J34" s="2688">
        <v>66</v>
      </c>
      <c r="K34" s="2546">
        <v>0</v>
      </c>
      <c r="L34" s="2545" t="s">
        <v>141</v>
      </c>
      <c r="M34" s="3006">
        <v>277230.36</v>
      </c>
      <c r="N34" s="2546">
        <v>0</v>
      </c>
      <c r="O34" s="2546">
        <v>0</v>
      </c>
      <c r="P34" s="2546">
        <v>0</v>
      </c>
      <c r="Q34" s="2546">
        <v>0</v>
      </c>
      <c r="R34" s="2545">
        <f t="shared" si="0"/>
        <v>277230.36</v>
      </c>
      <c r="S34" s="2546"/>
      <c r="T34" s="2546">
        <v>0</v>
      </c>
      <c r="U34" s="2546">
        <f t="shared" si="1"/>
        <v>277230.36</v>
      </c>
      <c r="V34" s="2546"/>
    </row>
    <row r="35" spans="1:22" s="3201" customFormat="1" ht="57.75" customHeight="1">
      <c r="A35" s="2545">
        <v>19</v>
      </c>
      <c r="B35" s="2545">
        <f>[3]TONGHOPCONGDOI!B40</f>
        <v>0</v>
      </c>
      <c r="C35" s="2546" t="s">
        <v>1524</v>
      </c>
      <c r="D35" s="2546" t="str">
        <f>'[3]CNKT '!D38</f>
        <v>CNKT</v>
      </c>
      <c r="E35" s="2546"/>
      <c r="F35" s="2547">
        <v>0</v>
      </c>
      <c r="G35" s="2546">
        <f t="shared" si="2"/>
        <v>0</v>
      </c>
      <c r="H35" s="2546">
        <v>114</v>
      </c>
      <c r="I35" s="2546">
        <v>0</v>
      </c>
      <c r="J35" s="2688">
        <v>45.6</v>
      </c>
      <c r="K35" s="2546">
        <v>0</v>
      </c>
      <c r="L35" s="2545" t="s">
        <v>141</v>
      </c>
      <c r="M35" s="3006">
        <v>191540.976</v>
      </c>
      <c r="N35" s="2546">
        <v>0</v>
      </c>
      <c r="O35" s="2546">
        <v>0</v>
      </c>
      <c r="P35" s="2546">
        <v>0</v>
      </c>
      <c r="Q35" s="2546">
        <v>0</v>
      </c>
      <c r="R35" s="2545">
        <f t="shared" si="0"/>
        <v>191540.976</v>
      </c>
      <c r="S35" s="2546"/>
      <c r="T35" s="2546">
        <v>0</v>
      </c>
      <c r="U35" s="2546">
        <f t="shared" si="1"/>
        <v>191540.976</v>
      </c>
      <c r="V35" s="2546"/>
    </row>
    <row r="36" spans="1:22" s="3201" customFormat="1" ht="57.75" customHeight="1">
      <c r="A36" s="2545">
        <v>20</v>
      </c>
      <c r="B36" s="2545">
        <f>[3]TONGHOPCONGDOI!B41</f>
        <v>0</v>
      </c>
      <c r="C36" s="2546" t="s">
        <v>289</v>
      </c>
      <c r="D36" s="2546" t="str">
        <f>'[3]CNKT '!D39</f>
        <v>CNKT</v>
      </c>
      <c r="E36" s="2546"/>
      <c r="F36" s="2547">
        <v>0</v>
      </c>
      <c r="G36" s="2546">
        <f t="shared" si="2"/>
        <v>0</v>
      </c>
      <c r="H36" s="2546">
        <v>140</v>
      </c>
      <c r="I36" s="2546">
        <v>0</v>
      </c>
      <c r="J36" s="2688">
        <v>56</v>
      </c>
      <c r="K36" s="2546">
        <v>0</v>
      </c>
      <c r="L36" s="2545" t="s">
        <v>138</v>
      </c>
      <c r="M36" s="3006">
        <v>223657.28</v>
      </c>
      <c r="N36" s="2546">
        <v>0</v>
      </c>
      <c r="O36" s="2546">
        <v>0</v>
      </c>
      <c r="P36" s="2546">
        <v>0</v>
      </c>
      <c r="Q36" s="2546">
        <v>0</v>
      </c>
      <c r="R36" s="2545">
        <f t="shared" si="0"/>
        <v>223657.28</v>
      </c>
      <c r="S36" s="2546"/>
      <c r="T36" s="2546">
        <v>0</v>
      </c>
      <c r="U36" s="2546">
        <f t="shared" si="1"/>
        <v>223657.28</v>
      </c>
      <c r="V36" s="2546"/>
    </row>
    <row r="37" spans="1:22" s="3201" customFormat="1" ht="57.75" customHeight="1">
      <c r="A37" s="2545">
        <v>21</v>
      </c>
      <c r="B37" s="2545" t="s">
        <v>1745</v>
      </c>
      <c r="C37" s="2546" t="s">
        <v>1678</v>
      </c>
      <c r="D37" s="2546" t="str">
        <f>'[3]CNKT '!D40</f>
        <v>CNKT</v>
      </c>
      <c r="E37" s="2546"/>
      <c r="F37" s="2547">
        <v>0</v>
      </c>
      <c r="G37" s="2546">
        <f t="shared" si="2"/>
        <v>0</v>
      </c>
      <c r="H37" s="2546">
        <v>126</v>
      </c>
      <c r="I37" s="2546">
        <v>0</v>
      </c>
      <c r="J37" s="2688">
        <v>50.400000000000006</v>
      </c>
      <c r="K37" s="2546">
        <v>0</v>
      </c>
      <c r="L37" s="2545" t="s">
        <v>141</v>
      </c>
      <c r="M37" s="3006">
        <v>211703.18400000004</v>
      </c>
      <c r="N37" s="2546">
        <v>0</v>
      </c>
      <c r="O37" s="2546">
        <v>0</v>
      </c>
      <c r="P37" s="2546">
        <v>0</v>
      </c>
      <c r="Q37" s="2546">
        <v>0</v>
      </c>
      <c r="R37" s="2545">
        <f t="shared" si="0"/>
        <v>211703.18400000004</v>
      </c>
      <c r="S37" s="2546"/>
      <c r="T37" s="2546">
        <v>0</v>
      </c>
      <c r="U37" s="2546">
        <f t="shared" si="1"/>
        <v>211703.18400000004</v>
      </c>
      <c r="V37" s="2546"/>
    </row>
    <row r="38" spans="1:22" s="3201" customFormat="1" ht="57.75" customHeight="1">
      <c r="A38" s="2545">
        <v>22</v>
      </c>
      <c r="B38" s="2545" t="s">
        <v>1744</v>
      </c>
      <c r="C38" s="2546" t="s">
        <v>1528</v>
      </c>
      <c r="D38" s="2546" t="str">
        <f>'[3]CNKT '!D41</f>
        <v>CNKT</v>
      </c>
      <c r="E38" s="2546"/>
      <c r="F38" s="2547">
        <v>0</v>
      </c>
      <c r="G38" s="2546">
        <f t="shared" si="2"/>
        <v>0</v>
      </c>
      <c r="H38" s="2546">
        <v>110</v>
      </c>
      <c r="I38" s="2546">
        <v>0</v>
      </c>
      <c r="J38" s="2688">
        <v>44</v>
      </c>
      <c r="K38" s="2546">
        <v>0</v>
      </c>
      <c r="L38" s="2545" t="s">
        <v>141</v>
      </c>
      <c r="M38" s="3006">
        <v>184820.24</v>
      </c>
      <c r="N38" s="2546">
        <v>0</v>
      </c>
      <c r="O38" s="2546">
        <v>0</v>
      </c>
      <c r="P38" s="2546">
        <v>0</v>
      </c>
      <c r="Q38" s="2546">
        <v>0</v>
      </c>
      <c r="R38" s="2545">
        <f t="shared" si="0"/>
        <v>184820.24</v>
      </c>
      <c r="S38" s="2546"/>
      <c r="T38" s="2546">
        <v>0</v>
      </c>
      <c r="U38" s="2546">
        <f t="shared" si="1"/>
        <v>184820.24</v>
      </c>
      <c r="V38" s="2546"/>
    </row>
    <row r="39" spans="1:22" s="3201" customFormat="1" ht="57.75" customHeight="1">
      <c r="A39" s="2545">
        <v>23</v>
      </c>
      <c r="B39" s="2545" t="s">
        <v>1732</v>
      </c>
      <c r="C39" s="2546" t="s">
        <v>1679</v>
      </c>
      <c r="D39" s="2546" t="str">
        <f>'[3]CNKT '!D42</f>
        <v>CNKT</v>
      </c>
      <c r="E39" s="2546"/>
      <c r="F39" s="2547">
        <v>0</v>
      </c>
      <c r="G39" s="2546">
        <f t="shared" si="2"/>
        <v>0</v>
      </c>
      <c r="H39" s="2546">
        <v>91</v>
      </c>
      <c r="I39" s="2546">
        <v>0</v>
      </c>
      <c r="J39" s="2688">
        <v>36.4</v>
      </c>
      <c r="K39" s="2546">
        <v>0</v>
      </c>
      <c r="L39" s="2545" t="s">
        <v>141</v>
      </c>
      <c r="M39" s="3006">
        <v>152896.74400000001</v>
      </c>
      <c r="N39" s="2546">
        <v>0</v>
      </c>
      <c r="O39" s="2546">
        <v>0</v>
      </c>
      <c r="P39" s="2546">
        <v>0</v>
      </c>
      <c r="Q39" s="2546">
        <v>0</v>
      </c>
      <c r="R39" s="2545">
        <f t="shared" si="0"/>
        <v>152896.74400000001</v>
      </c>
      <c r="S39" s="2546"/>
      <c r="T39" s="2546">
        <v>0</v>
      </c>
      <c r="U39" s="2546">
        <f t="shared" si="1"/>
        <v>152896.74400000001</v>
      </c>
      <c r="V39" s="2546"/>
    </row>
    <row r="40" spans="1:22" s="3201" customFormat="1" ht="57.75" customHeight="1">
      <c r="A40" s="2545">
        <v>24</v>
      </c>
      <c r="B40" s="2545" t="s">
        <v>1733</v>
      </c>
      <c r="C40" s="2546" t="s">
        <v>1529</v>
      </c>
      <c r="D40" s="2546" t="str">
        <f>'[3]CNKT '!D43</f>
        <v>CNKT</v>
      </c>
      <c r="E40" s="2546"/>
      <c r="F40" s="2547">
        <v>0</v>
      </c>
      <c r="G40" s="2546">
        <f t="shared" si="2"/>
        <v>0</v>
      </c>
      <c r="H40" s="2546">
        <v>103</v>
      </c>
      <c r="I40" s="2546">
        <v>0</v>
      </c>
      <c r="J40" s="2688">
        <v>41.2</v>
      </c>
      <c r="K40" s="2546">
        <v>0</v>
      </c>
      <c r="L40" s="2545" t="s">
        <v>141</v>
      </c>
      <c r="M40" s="3006">
        <v>173058.95200000002</v>
      </c>
      <c r="N40" s="2546">
        <v>0</v>
      </c>
      <c r="O40" s="2546">
        <v>0</v>
      </c>
      <c r="P40" s="2546">
        <v>0</v>
      </c>
      <c r="Q40" s="2546">
        <v>0</v>
      </c>
      <c r="R40" s="2545">
        <f t="shared" si="0"/>
        <v>173058.95200000002</v>
      </c>
      <c r="S40" s="2546"/>
      <c r="T40" s="2546">
        <v>0</v>
      </c>
      <c r="U40" s="2546">
        <f t="shared" si="1"/>
        <v>173058.95200000002</v>
      </c>
      <c r="V40" s="2546"/>
    </row>
    <row r="41" spans="1:22" s="3201" customFormat="1" ht="57.75" customHeight="1">
      <c r="A41" s="2545">
        <v>25</v>
      </c>
      <c r="B41" s="2545" t="s">
        <v>1743</v>
      </c>
      <c r="C41" s="2546" t="s">
        <v>1487</v>
      </c>
      <c r="D41" s="2546" t="str">
        <f>'[3]CNKT '!D44</f>
        <v>CNKT</v>
      </c>
      <c r="E41" s="2546"/>
      <c r="F41" s="2547">
        <v>0</v>
      </c>
      <c r="G41" s="2546">
        <f t="shared" si="2"/>
        <v>0</v>
      </c>
      <c r="H41" s="2546">
        <v>55</v>
      </c>
      <c r="I41" s="2546">
        <v>0</v>
      </c>
      <c r="J41" s="2688">
        <v>22</v>
      </c>
      <c r="K41" s="2546">
        <v>0</v>
      </c>
      <c r="L41" s="2545" t="s">
        <v>141</v>
      </c>
      <c r="M41" s="3006">
        <v>92410.12</v>
      </c>
      <c r="N41" s="2546">
        <v>0</v>
      </c>
      <c r="O41" s="2546">
        <v>0</v>
      </c>
      <c r="P41" s="2546">
        <v>0</v>
      </c>
      <c r="Q41" s="2546">
        <v>0</v>
      </c>
      <c r="R41" s="2545">
        <f t="shared" si="0"/>
        <v>92410.12</v>
      </c>
      <c r="S41" s="2546"/>
      <c r="T41" s="2546">
        <v>0</v>
      </c>
      <c r="U41" s="2546">
        <f t="shared" si="1"/>
        <v>92410.12</v>
      </c>
      <c r="V41" s="2546"/>
    </row>
    <row r="42" spans="1:22" s="3201" customFormat="1" ht="57.75" customHeight="1">
      <c r="A42" s="2545">
        <v>26</v>
      </c>
      <c r="B42" s="2545" t="s">
        <v>1742</v>
      </c>
      <c r="C42" s="2546" t="s">
        <v>1559</v>
      </c>
      <c r="D42" s="2546" t="str">
        <f>'[3]CNKT '!D45</f>
        <v>CNKT</v>
      </c>
      <c r="E42" s="2546"/>
      <c r="F42" s="2547">
        <v>0</v>
      </c>
      <c r="G42" s="2546">
        <f t="shared" si="2"/>
        <v>0</v>
      </c>
      <c r="H42" s="2546">
        <v>95</v>
      </c>
      <c r="I42" s="2546">
        <v>0</v>
      </c>
      <c r="J42" s="2688">
        <v>38</v>
      </c>
      <c r="K42" s="2546">
        <v>0</v>
      </c>
      <c r="L42" s="2545" t="s">
        <v>141</v>
      </c>
      <c r="M42" s="3006">
        <v>159617.48000000001</v>
      </c>
      <c r="N42" s="2546">
        <v>0</v>
      </c>
      <c r="O42" s="2546">
        <v>0</v>
      </c>
      <c r="P42" s="2546">
        <v>0</v>
      </c>
      <c r="Q42" s="2546">
        <v>0</v>
      </c>
      <c r="R42" s="2545">
        <f t="shared" si="0"/>
        <v>159617.48000000001</v>
      </c>
      <c r="S42" s="2546"/>
      <c r="T42" s="2546">
        <v>0</v>
      </c>
      <c r="U42" s="2546">
        <f t="shared" si="1"/>
        <v>159617.48000000001</v>
      </c>
      <c r="V42" s="2546"/>
    </row>
    <row r="43" spans="1:22" s="3201" customFormat="1" ht="57.75" customHeight="1">
      <c r="A43" s="2545">
        <v>27</v>
      </c>
      <c r="B43" s="2545" t="s">
        <v>1734</v>
      </c>
      <c r="C43" s="2546" t="s">
        <v>1238</v>
      </c>
      <c r="D43" s="2546" t="str">
        <f>'[3]CNKT '!D46</f>
        <v>CNKT</v>
      </c>
      <c r="E43" s="2546"/>
      <c r="F43" s="2547">
        <v>0</v>
      </c>
      <c r="G43" s="2546">
        <f t="shared" si="2"/>
        <v>0</v>
      </c>
      <c r="H43" s="2546">
        <v>111</v>
      </c>
      <c r="I43" s="2546">
        <v>0</v>
      </c>
      <c r="J43" s="2688">
        <v>44.400000000000006</v>
      </c>
      <c r="K43" s="2546">
        <v>0</v>
      </c>
      <c r="L43" s="2545" t="s">
        <v>141</v>
      </c>
      <c r="M43" s="3006">
        <v>186500.42400000003</v>
      </c>
      <c r="N43" s="2546">
        <v>0</v>
      </c>
      <c r="O43" s="2546">
        <v>0</v>
      </c>
      <c r="P43" s="2546">
        <v>0</v>
      </c>
      <c r="Q43" s="2546">
        <v>0</v>
      </c>
      <c r="R43" s="2545">
        <f t="shared" si="0"/>
        <v>186500.42400000003</v>
      </c>
      <c r="S43" s="2546"/>
      <c r="T43" s="2546">
        <v>0</v>
      </c>
      <c r="U43" s="2546">
        <f t="shared" si="1"/>
        <v>186500.42400000003</v>
      </c>
      <c r="V43" s="2546"/>
    </row>
    <row r="44" spans="1:22" s="3201" customFormat="1" ht="57.75" customHeight="1">
      <c r="A44" s="2545">
        <v>28</v>
      </c>
      <c r="B44" s="2545" t="s">
        <v>1735</v>
      </c>
      <c r="C44" s="2546" t="s">
        <v>1488</v>
      </c>
      <c r="D44" s="2546" t="str">
        <f>'[3]CNKT '!D47</f>
        <v>CNKT</v>
      </c>
      <c r="E44" s="2546"/>
      <c r="F44" s="2547">
        <v>0</v>
      </c>
      <c r="G44" s="2546">
        <f t="shared" si="2"/>
        <v>0</v>
      </c>
      <c r="H44" s="2546">
        <v>83</v>
      </c>
      <c r="I44" s="2546">
        <v>0</v>
      </c>
      <c r="J44" s="2688">
        <v>33.200000000000003</v>
      </c>
      <c r="K44" s="2546">
        <v>0</v>
      </c>
      <c r="L44" s="2545" t="s">
        <v>141</v>
      </c>
      <c r="M44" s="3006">
        <v>139455.27200000003</v>
      </c>
      <c r="N44" s="2546">
        <v>0</v>
      </c>
      <c r="O44" s="2546">
        <v>0</v>
      </c>
      <c r="P44" s="2546">
        <v>0</v>
      </c>
      <c r="Q44" s="2546">
        <v>0</v>
      </c>
      <c r="R44" s="2545">
        <f t="shared" si="0"/>
        <v>139455.27200000003</v>
      </c>
      <c r="S44" s="2546"/>
      <c r="T44" s="2546">
        <v>0</v>
      </c>
      <c r="U44" s="2546">
        <f t="shared" si="1"/>
        <v>139455.27200000003</v>
      </c>
      <c r="V44" s="2546"/>
    </row>
    <row r="45" spans="1:22" s="3201" customFormat="1" ht="57.75" customHeight="1">
      <c r="A45" s="2545">
        <v>29</v>
      </c>
      <c r="B45" s="2545" t="s">
        <v>1746</v>
      </c>
      <c r="C45" s="3217" t="s">
        <v>1927</v>
      </c>
      <c r="D45" s="2546" t="str">
        <f>'[3]CNKT '!D48</f>
        <v>CNKT</v>
      </c>
      <c r="E45" s="2546"/>
      <c r="F45" s="2547">
        <v>0</v>
      </c>
      <c r="G45" s="2546">
        <f t="shared" si="2"/>
        <v>0</v>
      </c>
      <c r="H45" s="2546">
        <v>163</v>
      </c>
      <c r="I45" s="2546">
        <v>0</v>
      </c>
      <c r="J45" s="2688">
        <v>65.2</v>
      </c>
      <c r="K45" s="2546">
        <v>0</v>
      </c>
      <c r="L45" s="2545" t="s">
        <v>141</v>
      </c>
      <c r="M45" s="3006">
        <v>273869.99200000003</v>
      </c>
      <c r="N45" s="2546">
        <v>0</v>
      </c>
      <c r="O45" s="2546">
        <v>0</v>
      </c>
      <c r="P45" s="2546">
        <v>0</v>
      </c>
      <c r="Q45" s="2546">
        <v>0</v>
      </c>
      <c r="R45" s="2545">
        <f t="shared" si="0"/>
        <v>273869.99200000003</v>
      </c>
      <c r="S45" s="2546"/>
      <c r="T45" s="2546">
        <v>0</v>
      </c>
      <c r="U45" s="2546">
        <f t="shared" si="1"/>
        <v>273869.99200000003</v>
      </c>
      <c r="V45" s="2546"/>
    </row>
    <row r="46" spans="1:22" s="3201" customFormat="1" ht="57.75" customHeight="1">
      <c r="A46" s="2545">
        <v>30</v>
      </c>
      <c r="B46" s="2545" t="s">
        <v>1751</v>
      </c>
      <c r="C46" s="2546" t="s">
        <v>1081</v>
      </c>
      <c r="D46" s="2546" t="str">
        <f>'[3]CNKT '!D51</f>
        <v>CNKT</v>
      </c>
      <c r="E46" s="2546"/>
      <c r="F46" s="2547">
        <v>0</v>
      </c>
      <c r="G46" s="2546">
        <f t="shared" si="2"/>
        <v>0</v>
      </c>
      <c r="H46" s="2546">
        <v>97</v>
      </c>
      <c r="I46" s="2546">
        <v>0</v>
      </c>
      <c r="J46" s="2688">
        <v>38.800000000000004</v>
      </c>
      <c r="K46" s="2546">
        <v>0</v>
      </c>
      <c r="L46" s="2545" t="s">
        <v>141</v>
      </c>
      <c r="M46" s="3006">
        <v>162977.84800000003</v>
      </c>
      <c r="N46" s="2546">
        <v>0</v>
      </c>
      <c r="O46" s="2546">
        <v>0</v>
      </c>
      <c r="P46" s="2546">
        <v>0</v>
      </c>
      <c r="Q46" s="2546">
        <v>0</v>
      </c>
      <c r="R46" s="2545">
        <f t="shared" si="0"/>
        <v>162977.84800000003</v>
      </c>
      <c r="S46" s="2546"/>
      <c r="T46" s="2546">
        <v>0</v>
      </c>
      <c r="U46" s="2546">
        <f t="shared" si="1"/>
        <v>162977.84800000003</v>
      </c>
      <c r="V46" s="2546"/>
    </row>
    <row r="47" spans="1:22" s="3201" customFormat="1" ht="57.75" customHeight="1">
      <c r="A47" s="2545">
        <v>31</v>
      </c>
      <c r="B47" s="2545">
        <f>[3]TONGHOPCONGDOI!B54</f>
        <v>0</v>
      </c>
      <c r="C47" s="2546" t="s">
        <v>1682</v>
      </c>
      <c r="D47" s="2546" t="str">
        <f>'[3]CNKT '!D52</f>
        <v>CNKT</v>
      </c>
      <c r="E47" s="2546"/>
      <c r="F47" s="2547">
        <v>0</v>
      </c>
      <c r="G47" s="2546">
        <f t="shared" si="2"/>
        <v>0</v>
      </c>
      <c r="H47" s="2546">
        <v>110</v>
      </c>
      <c r="I47" s="2546">
        <v>0</v>
      </c>
      <c r="J47" s="2688">
        <v>44</v>
      </c>
      <c r="K47" s="2546">
        <v>0</v>
      </c>
      <c r="L47" s="2545" t="s">
        <v>141</v>
      </c>
      <c r="M47" s="3006">
        <v>184820.24</v>
      </c>
      <c r="N47" s="2546">
        <v>0</v>
      </c>
      <c r="O47" s="2546">
        <v>0</v>
      </c>
      <c r="P47" s="2546">
        <v>0</v>
      </c>
      <c r="Q47" s="2546">
        <v>0</v>
      </c>
      <c r="R47" s="2545">
        <f t="shared" si="0"/>
        <v>184820.24</v>
      </c>
      <c r="S47" s="2546"/>
      <c r="T47" s="2546">
        <v>0</v>
      </c>
      <c r="U47" s="2546">
        <f t="shared" si="1"/>
        <v>184820.24</v>
      </c>
      <c r="V47" s="2546"/>
    </row>
    <row r="48" spans="1:22" s="3201" customFormat="1" ht="57.75" customHeight="1">
      <c r="A48" s="2545">
        <v>32</v>
      </c>
      <c r="B48" s="2545" t="s">
        <v>1752</v>
      </c>
      <c r="C48" s="2546" t="s">
        <v>1530</v>
      </c>
      <c r="D48" s="2546" t="str">
        <f>'[3]CNKT '!D53</f>
        <v>CNKT</v>
      </c>
      <c r="E48" s="2546"/>
      <c r="F48" s="2547">
        <v>0</v>
      </c>
      <c r="G48" s="2546">
        <f t="shared" si="2"/>
        <v>0</v>
      </c>
      <c r="H48" s="2546">
        <v>96</v>
      </c>
      <c r="I48" s="2546">
        <v>0</v>
      </c>
      <c r="J48" s="2688">
        <v>38.400000000000006</v>
      </c>
      <c r="K48" s="2546">
        <v>0</v>
      </c>
      <c r="L48" s="2545" t="s">
        <v>141</v>
      </c>
      <c r="M48" s="3006">
        <v>161297.66400000002</v>
      </c>
      <c r="N48" s="2546">
        <v>0</v>
      </c>
      <c r="O48" s="2546">
        <v>0</v>
      </c>
      <c r="P48" s="2546">
        <v>0</v>
      </c>
      <c r="Q48" s="2546">
        <v>0</v>
      </c>
      <c r="R48" s="2545">
        <f t="shared" si="0"/>
        <v>161297.66400000002</v>
      </c>
      <c r="S48" s="2546"/>
      <c r="T48" s="2546">
        <v>0</v>
      </c>
      <c r="U48" s="2546">
        <f t="shared" si="1"/>
        <v>161297.66400000002</v>
      </c>
      <c r="V48" s="2546"/>
    </row>
    <row r="49" spans="1:23" s="3201" customFormat="1" ht="57.75" customHeight="1">
      <c r="A49" s="2545">
        <v>33</v>
      </c>
      <c r="B49" s="2545" t="s">
        <v>1753</v>
      </c>
      <c r="C49" s="2546" t="s">
        <v>1243</v>
      </c>
      <c r="D49" s="2546" t="str">
        <f>'[3]CNKT '!D54</f>
        <v>CNKT</v>
      </c>
      <c r="E49" s="2546"/>
      <c r="F49" s="2547">
        <v>0</v>
      </c>
      <c r="G49" s="2546">
        <f t="shared" si="2"/>
        <v>0</v>
      </c>
      <c r="H49" s="2546">
        <v>65</v>
      </c>
      <c r="I49" s="2546">
        <v>0</v>
      </c>
      <c r="J49" s="2688">
        <v>26</v>
      </c>
      <c r="K49" s="2546">
        <v>0</v>
      </c>
      <c r="L49" s="2545" t="s">
        <v>141</v>
      </c>
      <c r="M49" s="3006">
        <v>109211.96</v>
      </c>
      <c r="N49" s="2546">
        <v>0</v>
      </c>
      <c r="O49" s="2546">
        <v>0</v>
      </c>
      <c r="P49" s="2546">
        <v>0</v>
      </c>
      <c r="Q49" s="2546">
        <v>0</v>
      </c>
      <c r="R49" s="2545">
        <f t="shared" si="0"/>
        <v>109211.96</v>
      </c>
      <c r="S49" s="2546"/>
      <c r="T49" s="2546">
        <v>0</v>
      </c>
      <c r="U49" s="2546">
        <f t="shared" si="1"/>
        <v>109211.96</v>
      </c>
      <c r="V49" s="2546"/>
    </row>
    <row r="50" spans="1:23" s="3201" customFormat="1" ht="57.75" customHeight="1">
      <c r="A50" s="2545">
        <v>34</v>
      </c>
      <c r="B50" s="2545" t="s">
        <v>1749</v>
      </c>
      <c r="C50" s="2546" t="s">
        <v>1179</v>
      </c>
      <c r="D50" s="2546" t="str">
        <f>'[3]CNKT '!D56</f>
        <v>CNKT</v>
      </c>
      <c r="E50" s="2546"/>
      <c r="F50" s="2547">
        <v>0</v>
      </c>
      <c r="G50" s="2546">
        <f t="shared" si="2"/>
        <v>0</v>
      </c>
      <c r="H50" s="2546">
        <v>321</v>
      </c>
      <c r="I50" s="2546">
        <v>0</v>
      </c>
      <c r="J50" s="2688">
        <v>128.4</v>
      </c>
      <c r="K50" s="2546">
        <v>0</v>
      </c>
      <c r="L50" s="2545" t="s">
        <v>141</v>
      </c>
      <c r="M50" s="3006">
        <v>539339.06400000001</v>
      </c>
      <c r="N50" s="2546">
        <v>0</v>
      </c>
      <c r="O50" s="2546">
        <v>0</v>
      </c>
      <c r="P50" s="2546">
        <v>0</v>
      </c>
      <c r="Q50" s="2546">
        <v>0</v>
      </c>
      <c r="R50" s="2545">
        <f t="shared" si="0"/>
        <v>539339.06400000001</v>
      </c>
      <c r="S50" s="2546"/>
      <c r="T50" s="2546">
        <v>0</v>
      </c>
      <c r="U50" s="2546">
        <f t="shared" si="1"/>
        <v>539339.06400000001</v>
      </c>
      <c r="V50" s="2546"/>
    </row>
    <row r="51" spans="1:23" s="3201" customFormat="1" ht="57.75" customHeight="1">
      <c r="A51" s="2545">
        <v>35</v>
      </c>
      <c r="B51" s="2545" t="s">
        <v>1736</v>
      </c>
      <c r="C51" s="2546" t="s">
        <v>1560</v>
      </c>
      <c r="D51" s="2546" t="str">
        <f>'[3]CNKT '!D57</f>
        <v>CNKT</v>
      </c>
      <c r="E51" s="2546"/>
      <c r="F51" s="2547">
        <v>0</v>
      </c>
      <c r="G51" s="2546">
        <f t="shared" si="2"/>
        <v>0</v>
      </c>
      <c r="H51" s="2546">
        <v>319</v>
      </c>
      <c r="I51" s="2546">
        <v>0</v>
      </c>
      <c r="J51" s="2688">
        <v>127.60000000000001</v>
      </c>
      <c r="K51" s="2546">
        <v>0</v>
      </c>
      <c r="L51" s="2545" t="s">
        <v>141</v>
      </c>
      <c r="M51" s="3006">
        <v>535978.696</v>
      </c>
      <c r="N51" s="2546">
        <v>0</v>
      </c>
      <c r="O51" s="2546">
        <v>0</v>
      </c>
      <c r="P51" s="2546">
        <v>0</v>
      </c>
      <c r="Q51" s="2546">
        <v>0</v>
      </c>
      <c r="R51" s="2545">
        <f t="shared" si="0"/>
        <v>535978.696</v>
      </c>
      <c r="S51" s="2546"/>
      <c r="T51" s="2546">
        <v>0</v>
      </c>
      <c r="U51" s="2546">
        <f t="shared" si="1"/>
        <v>535978.696</v>
      </c>
      <c r="V51" s="2546"/>
    </row>
    <row r="52" spans="1:23" s="3201" customFormat="1" ht="57.75" customHeight="1">
      <c r="A52" s="2545">
        <v>36</v>
      </c>
      <c r="B52" s="2545" t="s">
        <v>1750</v>
      </c>
      <c r="C52" s="2546" t="s">
        <v>1561</v>
      </c>
      <c r="D52" s="2546" t="str">
        <f>'[3]CNKT '!D58</f>
        <v>CNKT</v>
      </c>
      <c r="E52" s="2546"/>
      <c r="F52" s="2547">
        <v>0</v>
      </c>
      <c r="G52" s="2546">
        <f t="shared" si="2"/>
        <v>0</v>
      </c>
      <c r="H52" s="2546">
        <v>319</v>
      </c>
      <c r="I52" s="2546">
        <v>0</v>
      </c>
      <c r="J52" s="2688">
        <v>127.60000000000001</v>
      </c>
      <c r="K52" s="2546">
        <v>0</v>
      </c>
      <c r="L52" s="2545" t="s">
        <v>141</v>
      </c>
      <c r="M52" s="3006">
        <v>535978.696</v>
      </c>
      <c r="N52" s="2546">
        <v>0</v>
      </c>
      <c r="O52" s="2546">
        <v>0</v>
      </c>
      <c r="P52" s="2546">
        <v>0</v>
      </c>
      <c r="Q52" s="2546">
        <v>0</v>
      </c>
      <c r="R52" s="2545">
        <f t="shared" si="0"/>
        <v>535978.696</v>
      </c>
      <c r="S52" s="2546"/>
      <c r="T52" s="2546">
        <v>0</v>
      </c>
      <c r="U52" s="2546">
        <f t="shared" si="1"/>
        <v>535978.696</v>
      </c>
      <c r="V52" s="2546"/>
    </row>
    <row r="53" spans="1:23" s="3201" customFormat="1" ht="57.75" customHeight="1">
      <c r="A53" s="2545">
        <v>37</v>
      </c>
      <c r="B53" s="2545">
        <f>[3]TONGHOPCONGDOI!B62</f>
        <v>0</v>
      </c>
      <c r="C53" s="2546" t="s">
        <v>1683</v>
      </c>
      <c r="D53" s="2546" t="str">
        <f>'[3]CNKT '!D59</f>
        <v>CNKT</v>
      </c>
      <c r="E53" s="2546"/>
      <c r="F53" s="2547">
        <v>0</v>
      </c>
      <c r="G53" s="2546">
        <f t="shared" si="2"/>
        <v>0</v>
      </c>
      <c r="H53" s="2546">
        <v>197</v>
      </c>
      <c r="I53" s="2546">
        <v>0</v>
      </c>
      <c r="J53" s="2688">
        <v>78.800000000000011</v>
      </c>
      <c r="K53" s="2546">
        <v>0</v>
      </c>
      <c r="L53" s="2545" t="s">
        <v>138</v>
      </c>
      <c r="M53" s="3006">
        <v>314717.74400000006</v>
      </c>
      <c r="N53" s="2546">
        <v>0</v>
      </c>
      <c r="O53" s="2546">
        <v>0</v>
      </c>
      <c r="P53" s="2546">
        <v>0</v>
      </c>
      <c r="Q53" s="2546">
        <v>0</v>
      </c>
      <c r="R53" s="2545">
        <f t="shared" si="0"/>
        <v>314717.74400000006</v>
      </c>
      <c r="S53" s="2546"/>
      <c r="T53" s="2546">
        <v>0</v>
      </c>
      <c r="U53" s="2546">
        <f t="shared" si="1"/>
        <v>314717.74400000006</v>
      </c>
      <c r="V53" s="2546"/>
    </row>
    <row r="54" spans="1:23" s="3201" customFormat="1" ht="57.75" customHeight="1">
      <c r="A54" s="2545">
        <v>38</v>
      </c>
      <c r="B54" s="2545" t="s">
        <v>1756</v>
      </c>
      <c r="C54" s="2546" t="s">
        <v>1307</v>
      </c>
      <c r="D54" s="2546" t="str">
        <f>'[3]CNKT '!D60</f>
        <v>CNKT</v>
      </c>
      <c r="E54" s="2546"/>
      <c r="F54" s="2547">
        <v>0</v>
      </c>
      <c r="G54" s="2546">
        <f t="shared" si="2"/>
        <v>0</v>
      </c>
      <c r="H54" s="2546">
        <v>320</v>
      </c>
      <c r="I54" s="2546">
        <v>0</v>
      </c>
      <c r="J54" s="2688">
        <v>128</v>
      </c>
      <c r="K54" s="2546">
        <v>0</v>
      </c>
      <c r="L54" s="2545" t="s">
        <v>141</v>
      </c>
      <c r="M54" s="3006">
        <v>537658.88</v>
      </c>
      <c r="N54" s="2546">
        <v>0</v>
      </c>
      <c r="O54" s="2546">
        <v>0</v>
      </c>
      <c r="P54" s="2546">
        <v>0</v>
      </c>
      <c r="Q54" s="2546">
        <v>0</v>
      </c>
      <c r="R54" s="2545">
        <f t="shared" si="0"/>
        <v>537658.88</v>
      </c>
      <c r="S54" s="2546"/>
      <c r="T54" s="2546">
        <v>0</v>
      </c>
      <c r="U54" s="2546">
        <f t="shared" si="1"/>
        <v>537658.88</v>
      </c>
      <c r="V54" s="2546"/>
    </row>
    <row r="55" spans="1:23" s="3201" customFormat="1" ht="57.75" customHeight="1">
      <c r="A55" s="2545">
        <v>39</v>
      </c>
      <c r="B55" s="2545" t="s">
        <v>1755</v>
      </c>
      <c r="C55" s="2546" t="s">
        <v>1177</v>
      </c>
      <c r="D55" s="2546" t="str">
        <f>'[3]CNKT '!D61</f>
        <v>CNKT</v>
      </c>
      <c r="E55" s="2546"/>
      <c r="F55" s="2547">
        <v>0</v>
      </c>
      <c r="G55" s="2546">
        <f t="shared" si="2"/>
        <v>0</v>
      </c>
      <c r="H55" s="2546">
        <v>91</v>
      </c>
      <c r="I55" s="2546">
        <v>0</v>
      </c>
      <c r="J55" s="2688">
        <v>36.4</v>
      </c>
      <c r="K55" s="2546">
        <v>0</v>
      </c>
      <c r="L55" s="2545" t="s">
        <v>138</v>
      </c>
      <c r="M55" s="3006">
        <v>145377.23199999999</v>
      </c>
      <c r="N55" s="2546">
        <v>0</v>
      </c>
      <c r="O55" s="2546">
        <v>0</v>
      </c>
      <c r="P55" s="2546">
        <v>0</v>
      </c>
      <c r="Q55" s="2546">
        <v>0</v>
      </c>
      <c r="R55" s="2545">
        <f t="shared" si="0"/>
        <v>145377.23199999999</v>
      </c>
      <c r="S55" s="2546"/>
      <c r="T55" s="2546">
        <v>0</v>
      </c>
      <c r="U55" s="2546">
        <f t="shared" si="1"/>
        <v>145377.23199999999</v>
      </c>
      <c r="V55" s="2546"/>
    </row>
    <row r="56" spans="1:23" s="3201" customFormat="1" ht="57.75" customHeight="1">
      <c r="A56" s="2545">
        <v>40</v>
      </c>
      <c r="B56" s="2545">
        <f>[3]TONGHOPCONGDOI!B65</f>
        <v>0</v>
      </c>
      <c r="C56" s="2546" t="s">
        <v>1272</v>
      </c>
      <c r="D56" s="2546" t="str">
        <f>'[3]CNKT '!D62</f>
        <v>CNKT</v>
      </c>
      <c r="E56" s="2546"/>
      <c r="F56" s="2547">
        <v>0</v>
      </c>
      <c r="G56" s="2546">
        <f t="shared" si="2"/>
        <v>0</v>
      </c>
      <c r="H56" s="2546">
        <v>299</v>
      </c>
      <c r="I56" s="2546">
        <v>0</v>
      </c>
      <c r="J56" s="2688">
        <v>119.60000000000001</v>
      </c>
      <c r="K56" s="2546">
        <v>0</v>
      </c>
      <c r="L56" s="2545" t="s">
        <v>138</v>
      </c>
      <c r="M56" s="3006">
        <v>477668.04800000007</v>
      </c>
      <c r="N56" s="2546">
        <v>0</v>
      </c>
      <c r="O56" s="2546">
        <v>0</v>
      </c>
      <c r="P56" s="2546">
        <v>0</v>
      </c>
      <c r="Q56" s="2546">
        <v>0</v>
      </c>
      <c r="R56" s="2545">
        <f t="shared" si="0"/>
        <v>477668.04800000007</v>
      </c>
      <c r="S56" s="2546"/>
      <c r="T56" s="2546">
        <v>0</v>
      </c>
      <c r="U56" s="2546">
        <f t="shared" si="1"/>
        <v>477668.04800000007</v>
      </c>
      <c r="V56" s="2546"/>
    </row>
    <row r="57" spans="1:23" s="3201" customFormat="1" ht="57.75" customHeight="1">
      <c r="A57" s="2545">
        <v>41</v>
      </c>
      <c r="B57" s="2545">
        <f>[3]TONGHOPCONGDOI!B67</f>
        <v>0</v>
      </c>
      <c r="C57" s="2546" t="s">
        <v>1563</v>
      </c>
      <c r="D57" s="2546" t="str">
        <f>'[3]CNKT '!D64</f>
        <v>CNKT</v>
      </c>
      <c r="E57" s="2546"/>
      <c r="F57" s="2547">
        <v>0</v>
      </c>
      <c r="G57" s="2546">
        <f t="shared" si="2"/>
        <v>0</v>
      </c>
      <c r="H57" s="2546">
        <v>134</v>
      </c>
      <c r="I57" s="2546">
        <v>0</v>
      </c>
      <c r="J57" s="2688">
        <v>53.6</v>
      </c>
      <c r="K57" s="2546">
        <v>0</v>
      </c>
      <c r="L57" s="2545" t="s">
        <v>138</v>
      </c>
      <c r="M57" s="3006">
        <v>214071.96800000002</v>
      </c>
      <c r="N57" s="2546">
        <v>0</v>
      </c>
      <c r="O57" s="2546">
        <v>0</v>
      </c>
      <c r="P57" s="2546">
        <v>0</v>
      </c>
      <c r="Q57" s="2546">
        <v>0</v>
      </c>
      <c r="R57" s="2545">
        <f t="shared" si="0"/>
        <v>214071.96800000002</v>
      </c>
      <c r="S57" s="2546"/>
      <c r="T57" s="2546">
        <v>0</v>
      </c>
      <c r="U57" s="2546">
        <f t="shared" si="1"/>
        <v>214071.96800000002</v>
      </c>
      <c r="V57" s="2546"/>
    </row>
    <row r="58" spans="1:23" s="3201" customFormat="1" ht="57.75" customHeight="1">
      <c r="A58" s="2545">
        <v>42</v>
      </c>
      <c r="B58" s="2545" t="s">
        <v>1754</v>
      </c>
      <c r="C58" s="2546" t="s">
        <v>1564</v>
      </c>
      <c r="D58" s="2546" t="str">
        <f>'[3]CNKT '!D66</f>
        <v>CNKT</v>
      </c>
      <c r="E58" s="2546"/>
      <c r="F58" s="2547">
        <v>0</v>
      </c>
      <c r="G58" s="2546">
        <f t="shared" si="2"/>
        <v>0</v>
      </c>
      <c r="H58" s="2546">
        <v>206</v>
      </c>
      <c r="I58" s="2546">
        <v>0</v>
      </c>
      <c r="J58" s="2688">
        <v>82.4</v>
      </c>
      <c r="K58" s="2546">
        <v>0</v>
      </c>
      <c r="L58" s="2545" t="s">
        <v>138</v>
      </c>
      <c r="M58" s="3006">
        <v>329095.71200000006</v>
      </c>
      <c r="N58" s="2546">
        <v>0</v>
      </c>
      <c r="O58" s="2546">
        <v>0</v>
      </c>
      <c r="P58" s="2546">
        <v>0</v>
      </c>
      <c r="Q58" s="2546">
        <v>0</v>
      </c>
      <c r="R58" s="2545">
        <f t="shared" si="0"/>
        <v>329095.71200000006</v>
      </c>
      <c r="S58" s="2546"/>
      <c r="T58" s="2546">
        <v>0</v>
      </c>
      <c r="U58" s="2546">
        <f t="shared" si="1"/>
        <v>329095.71200000006</v>
      </c>
      <c r="V58" s="2546"/>
    </row>
    <row r="59" spans="1:23" s="3201" customFormat="1" ht="57.75" customHeight="1">
      <c r="A59" s="2545">
        <v>43</v>
      </c>
      <c r="B59" s="2545" t="s">
        <v>1737</v>
      </c>
      <c r="C59" s="2546" t="s">
        <v>1566</v>
      </c>
      <c r="D59" s="2546" t="str">
        <f>'[3]CNKT '!D68</f>
        <v>CNKT</v>
      </c>
      <c r="E59" s="2546"/>
      <c r="F59" s="2547">
        <v>0</v>
      </c>
      <c r="G59" s="2546">
        <f t="shared" si="2"/>
        <v>0</v>
      </c>
      <c r="H59" s="2546">
        <v>65</v>
      </c>
      <c r="I59" s="2546">
        <v>0</v>
      </c>
      <c r="J59" s="2688">
        <v>26</v>
      </c>
      <c r="K59" s="2546">
        <v>0</v>
      </c>
      <c r="L59" s="2545" t="s">
        <v>141</v>
      </c>
      <c r="M59" s="3006">
        <v>109211.96</v>
      </c>
      <c r="N59" s="2546">
        <v>0</v>
      </c>
      <c r="O59" s="2546">
        <v>0</v>
      </c>
      <c r="P59" s="2546">
        <v>0</v>
      </c>
      <c r="Q59" s="2546">
        <v>0</v>
      </c>
      <c r="R59" s="2545">
        <f t="shared" si="0"/>
        <v>109211.96</v>
      </c>
      <c r="S59" s="2546"/>
      <c r="T59" s="2546">
        <v>0</v>
      </c>
      <c r="U59" s="2546">
        <f t="shared" si="1"/>
        <v>109211.96</v>
      </c>
      <c r="V59" s="2546"/>
    </row>
    <row r="60" spans="1:23" s="3201" customFormat="1" ht="57.75" customHeight="1">
      <c r="A60" s="2545">
        <v>44</v>
      </c>
      <c r="B60" s="2545">
        <f>[3]TONGHOPCONGDOI!B72</f>
        <v>0</v>
      </c>
      <c r="C60" s="2546" t="s">
        <v>1686</v>
      </c>
      <c r="D60" s="2546" t="str">
        <f>'[3]CNKT '!D69</f>
        <v>CNKT</v>
      </c>
      <c r="E60" s="2546"/>
      <c r="F60" s="2547">
        <v>0</v>
      </c>
      <c r="G60" s="2546">
        <f t="shared" si="2"/>
        <v>0</v>
      </c>
      <c r="H60" s="2546">
        <v>184</v>
      </c>
      <c r="I60" s="2546">
        <v>0</v>
      </c>
      <c r="J60" s="2688">
        <v>73.600000000000009</v>
      </c>
      <c r="K60" s="2546">
        <v>0</v>
      </c>
      <c r="L60" s="2545" t="s">
        <v>141</v>
      </c>
      <c r="M60" s="3006">
        <v>309153.85600000003</v>
      </c>
      <c r="N60" s="2546">
        <v>0</v>
      </c>
      <c r="O60" s="2546">
        <v>0</v>
      </c>
      <c r="P60" s="2546">
        <v>0</v>
      </c>
      <c r="Q60" s="2546">
        <v>0</v>
      </c>
      <c r="R60" s="2545">
        <f t="shared" si="0"/>
        <v>309153.85600000003</v>
      </c>
      <c r="S60" s="2546"/>
      <c r="T60" s="2546">
        <v>0</v>
      </c>
      <c r="U60" s="2546">
        <f t="shared" si="1"/>
        <v>309153.85600000003</v>
      </c>
      <c r="V60" s="2546"/>
    </row>
    <row r="61" spans="1:23" s="3201" customFormat="1" ht="57.75" customHeight="1">
      <c r="A61" s="2545">
        <v>45</v>
      </c>
      <c r="B61" s="2545"/>
      <c r="C61" s="2546" t="s">
        <v>1687</v>
      </c>
      <c r="D61" s="2546" t="str">
        <f>'[3]CNKT '!D72</f>
        <v>CNKT</v>
      </c>
      <c r="E61" s="2546"/>
      <c r="F61" s="2547">
        <v>0</v>
      </c>
      <c r="G61" s="2546">
        <f t="shared" si="2"/>
        <v>0</v>
      </c>
      <c r="H61" s="2546">
        <v>50</v>
      </c>
      <c r="I61" s="2546">
        <v>0</v>
      </c>
      <c r="J61" s="2688">
        <v>20</v>
      </c>
      <c r="K61" s="2546">
        <v>0</v>
      </c>
      <c r="L61" s="2545" t="s">
        <v>141</v>
      </c>
      <c r="M61" s="3006">
        <v>84009.2</v>
      </c>
      <c r="N61" s="2546">
        <v>0</v>
      </c>
      <c r="O61" s="2546">
        <v>0</v>
      </c>
      <c r="P61" s="2546">
        <v>0</v>
      </c>
      <c r="Q61" s="2546">
        <v>0</v>
      </c>
      <c r="R61" s="2545">
        <f t="shared" si="0"/>
        <v>84009.2</v>
      </c>
      <c r="S61" s="2546"/>
      <c r="T61" s="2546">
        <v>0</v>
      </c>
      <c r="U61" s="2546">
        <f t="shared" si="1"/>
        <v>84009.2</v>
      </c>
      <c r="V61" s="2546"/>
    </row>
    <row r="62" spans="1:23" s="3201" customFormat="1" ht="57.75" customHeight="1">
      <c r="A62" s="3973" t="s">
        <v>61</v>
      </c>
      <c r="B62" s="3974"/>
      <c r="C62" s="3974"/>
      <c r="D62" s="3975"/>
      <c r="E62" s="3202"/>
      <c r="F62" s="2550">
        <f>SUM(F17:F61)</f>
        <v>0</v>
      </c>
      <c r="G62" s="2550">
        <f>SUM(G17:G61)</f>
        <v>0</v>
      </c>
      <c r="H62" s="2550">
        <f>SUM(H17:H61)</f>
        <v>5804</v>
      </c>
      <c r="I62" s="2550"/>
      <c r="J62" s="3013">
        <f>SUM(J17:J61)</f>
        <v>2321.6</v>
      </c>
      <c r="K62" s="2550"/>
      <c r="L62" s="2550"/>
      <c r="M62" s="3103">
        <f t="shared" ref="M62:U62" si="3">SUM(M17:M61)</f>
        <v>9650811.6319999993</v>
      </c>
      <c r="N62" s="2550">
        <f t="shared" si="3"/>
        <v>0</v>
      </c>
      <c r="O62" s="2550">
        <f t="shared" si="3"/>
        <v>0</v>
      </c>
      <c r="P62" s="2550">
        <f t="shared" si="3"/>
        <v>0</v>
      </c>
      <c r="Q62" s="2550">
        <f t="shared" si="3"/>
        <v>0</v>
      </c>
      <c r="R62" s="2550">
        <f t="shared" si="3"/>
        <v>9650811.6319999993</v>
      </c>
      <c r="S62" s="2550">
        <f t="shared" si="3"/>
        <v>0</v>
      </c>
      <c r="T62" s="2550">
        <f t="shared" si="3"/>
        <v>0</v>
      </c>
      <c r="U62" s="2550">
        <f t="shared" si="3"/>
        <v>9650811.6319999993</v>
      </c>
      <c r="V62" s="2552"/>
      <c r="W62" s="3201">
        <f>+[10]VCKD!Y17</f>
        <v>370987812.36108685</v>
      </c>
    </row>
    <row r="63" spans="1:23" ht="42" customHeight="1">
      <c r="A63" s="3976" t="s">
        <v>1947</v>
      </c>
      <c r="B63" s="3976"/>
      <c r="C63" s="3976"/>
      <c r="D63" s="3976"/>
      <c r="E63" s="3976"/>
      <c r="F63" s="3976"/>
      <c r="G63" s="3976"/>
      <c r="H63" s="3976"/>
      <c r="I63" s="3976"/>
      <c r="J63" s="3976"/>
      <c r="K63" s="3976"/>
      <c r="L63" s="3976"/>
      <c r="M63" s="3976"/>
      <c r="N63" s="3976"/>
      <c r="O63" s="3976"/>
      <c r="P63" s="3976"/>
      <c r="Q63" s="3976"/>
      <c r="R63" s="3976"/>
      <c r="S63" s="3976"/>
      <c r="T63" s="3976"/>
      <c r="U63" s="3976"/>
      <c r="V63" s="3976"/>
    </row>
    <row r="64" spans="1:23" ht="25.5">
      <c r="A64" s="2553"/>
      <c r="B64" s="2553"/>
      <c r="C64" s="2553"/>
      <c r="D64" s="2553"/>
      <c r="E64" s="2553"/>
      <c r="F64" s="2553"/>
      <c r="G64" s="2553"/>
      <c r="H64" s="2553"/>
      <c r="I64" s="2553"/>
      <c r="J64" s="2553"/>
      <c r="K64" s="2553"/>
      <c r="L64" s="2553"/>
      <c r="M64" s="2553"/>
      <c r="N64" s="2553"/>
      <c r="O64" s="2553"/>
      <c r="P64" s="2553"/>
      <c r="Q64" s="2553"/>
      <c r="R64" s="2553"/>
      <c r="S64" s="2553"/>
      <c r="T64" s="2553"/>
      <c r="U64" s="2553"/>
      <c r="V64" s="2553"/>
    </row>
    <row r="65" spans="1:22" ht="26.25">
      <c r="A65" s="2554"/>
      <c r="B65" s="2555"/>
      <c r="C65" s="2556"/>
      <c r="D65" s="2557"/>
      <c r="E65" s="2557"/>
      <c r="F65" s="2558"/>
      <c r="G65" s="2559"/>
      <c r="H65" s="2559"/>
      <c r="I65" s="2559"/>
      <c r="J65" s="2560"/>
      <c r="K65" s="2560"/>
      <c r="L65" s="2561"/>
      <c r="M65" s="2562"/>
      <c r="N65" s="2563"/>
      <c r="O65" s="2563"/>
      <c r="P65" s="2563"/>
      <c r="Q65" s="2559"/>
      <c r="R65" s="3977" t="s">
        <v>1890</v>
      </c>
      <c r="S65" s="3977"/>
      <c r="T65" s="3977"/>
      <c r="U65" s="3977"/>
      <c r="V65" s="3977"/>
    </row>
    <row r="66" spans="1:22" ht="12" customHeight="1">
      <c r="D66" s="2564"/>
      <c r="E66" s="2564"/>
      <c r="F66" s="2565"/>
      <c r="N66" s="2566"/>
      <c r="O66" s="2566"/>
      <c r="P66" s="2566"/>
      <c r="S66" s="2567"/>
      <c r="T66" s="2567"/>
      <c r="U66" s="2567"/>
    </row>
    <row r="67" spans="1:22" ht="7.5" customHeight="1">
      <c r="D67" s="2564"/>
      <c r="E67" s="2564"/>
      <c r="F67" s="2565"/>
      <c r="N67" s="2566"/>
      <c r="O67" s="2566"/>
      <c r="P67" s="2566"/>
      <c r="S67" s="2567"/>
      <c r="T67" s="2567"/>
      <c r="U67" s="2567"/>
    </row>
    <row r="68" spans="1:22" s="2568" customFormat="1" ht="22.5">
      <c r="A68" s="3962" t="s">
        <v>502</v>
      </c>
      <c r="B68" s="3962"/>
      <c r="C68" s="3962"/>
      <c r="D68" s="3962"/>
      <c r="E68" s="3962"/>
      <c r="F68" s="3962"/>
      <c r="G68" s="3194"/>
      <c r="H68" s="3962" t="s">
        <v>1598</v>
      </c>
      <c r="I68" s="3962"/>
      <c r="J68" s="3962"/>
      <c r="K68" s="3962"/>
      <c r="L68" s="3962"/>
      <c r="M68" s="2528"/>
      <c r="N68" s="2528" t="s">
        <v>513</v>
      </c>
      <c r="O68" s="2528"/>
      <c r="P68" s="2528"/>
      <c r="Q68" s="2528"/>
      <c r="R68" s="3962" t="s">
        <v>1599</v>
      </c>
      <c r="S68" s="3962"/>
      <c r="T68" s="3962"/>
      <c r="U68" s="3962"/>
      <c r="V68" s="3962"/>
    </row>
    <row r="69" spans="1:22" s="2568" customFormat="1" ht="22.5">
      <c r="A69" s="2529"/>
      <c r="C69" s="3194"/>
      <c r="D69" s="3194"/>
      <c r="E69" s="3194"/>
      <c r="F69" s="3194"/>
      <c r="G69" s="3194"/>
      <c r="H69" s="3194"/>
      <c r="I69" s="3194"/>
      <c r="J69" s="2569"/>
      <c r="K69" s="2569"/>
      <c r="L69" s="3194"/>
      <c r="M69" s="2528"/>
      <c r="O69" s="2528"/>
      <c r="P69" s="2528"/>
      <c r="Q69" s="2570"/>
      <c r="R69" s="3194"/>
      <c r="S69" s="3194"/>
      <c r="T69" s="3194"/>
      <c r="U69" s="3194"/>
    </row>
    <row r="70" spans="1:22" s="2568" customFormat="1" ht="22.5">
      <c r="A70" s="2529"/>
      <c r="C70" s="3194"/>
      <c r="D70" s="3194"/>
      <c r="E70" s="3194"/>
      <c r="F70" s="3194"/>
      <c r="G70" s="3194"/>
      <c r="H70" s="3194"/>
      <c r="I70" s="3194"/>
      <c r="J70" s="2569"/>
      <c r="K70" s="2569"/>
      <c r="L70" s="3194"/>
      <c r="M70" s="2528"/>
      <c r="O70" s="2528"/>
      <c r="P70" s="2528"/>
      <c r="Q70" s="2570"/>
      <c r="R70" s="3194"/>
      <c r="S70" s="3194"/>
      <c r="T70" s="3194"/>
      <c r="U70" s="3194"/>
    </row>
    <row r="71" spans="1:22" s="2568" customFormat="1" ht="22.5">
      <c r="A71" s="2529"/>
      <c r="C71" s="3194"/>
      <c r="D71" s="3194"/>
      <c r="E71" s="3194"/>
      <c r="F71" s="3194"/>
      <c r="G71" s="3194"/>
      <c r="H71" s="3194"/>
      <c r="I71" s="3194"/>
      <c r="J71" s="2569"/>
      <c r="K71" s="2569"/>
      <c r="L71" s="3194"/>
      <c r="M71" s="2528"/>
      <c r="O71" s="2528"/>
      <c r="P71" s="2528"/>
      <c r="Q71" s="2570"/>
      <c r="R71" s="3194"/>
      <c r="S71" s="3194"/>
      <c r="T71" s="3194"/>
      <c r="U71" s="3194"/>
    </row>
    <row r="72" spans="1:22" s="2568" customFormat="1" ht="22.5">
      <c r="A72" s="2529"/>
      <c r="C72" s="3194"/>
      <c r="D72" s="3194"/>
      <c r="E72" s="3194"/>
      <c r="F72" s="3194"/>
      <c r="G72" s="3194"/>
      <c r="H72" s="3194"/>
      <c r="I72" s="3194"/>
      <c r="J72" s="2569"/>
      <c r="K72" s="2569"/>
      <c r="L72" s="3194"/>
      <c r="M72" s="2571"/>
      <c r="O72" s="2528"/>
      <c r="P72" s="2528"/>
      <c r="Q72" s="2528"/>
      <c r="R72" s="3194"/>
      <c r="S72" s="3194"/>
      <c r="T72" s="3194"/>
      <c r="U72" s="3194"/>
    </row>
    <row r="73" spans="1:22" s="2568" customFormat="1" ht="22.5">
      <c r="A73" s="2529"/>
      <c r="C73" s="3194"/>
      <c r="D73" s="3194"/>
      <c r="E73" s="3194"/>
      <c r="F73" s="3203"/>
      <c r="G73" s="3194"/>
      <c r="H73" s="3194"/>
      <c r="I73" s="3194"/>
      <c r="J73" s="2569"/>
      <c r="K73" s="2569"/>
      <c r="L73" s="3194"/>
      <c r="M73" s="2528"/>
      <c r="O73" s="2528"/>
      <c r="P73" s="2528"/>
      <c r="Q73" s="2570"/>
      <c r="R73" s="3194"/>
      <c r="S73" s="3194"/>
      <c r="T73" s="3194"/>
      <c r="U73" s="3194"/>
    </row>
    <row r="74" spans="1:22" s="2568" customFormat="1" ht="22.5">
      <c r="A74" s="2529"/>
      <c r="C74" s="3194"/>
      <c r="D74" s="3203"/>
      <c r="E74" s="3203"/>
      <c r="F74" s="3201"/>
      <c r="G74" s="3194"/>
      <c r="H74" s="3194"/>
      <c r="I74" s="3194"/>
      <c r="J74" s="2569"/>
      <c r="K74" s="2569"/>
      <c r="L74" s="3194"/>
      <c r="M74" s="2528"/>
      <c r="O74" s="2528"/>
      <c r="P74" s="2528"/>
      <c r="Q74" s="2570"/>
      <c r="R74" s="3194"/>
      <c r="S74" s="3194"/>
      <c r="T74" s="3194"/>
      <c r="U74" s="3194"/>
    </row>
    <row r="75" spans="1:22" s="2568" customFormat="1" ht="22.5">
      <c r="A75" s="2529"/>
      <c r="C75" s="3194"/>
      <c r="D75" s="3194"/>
      <c r="E75" s="3194"/>
      <c r="F75" s="3194"/>
      <c r="J75" s="2528"/>
      <c r="K75" s="2528"/>
      <c r="L75" s="2528"/>
      <c r="M75" s="2528"/>
      <c r="N75" s="3962"/>
      <c r="O75" s="3962"/>
      <c r="P75" s="3962"/>
      <c r="Q75" s="3962"/>
      <c r="U75" s="3194"/>
      <c r="V75" s="2528"/>
    </row>
    <row r="76" spans="1:22" s="2568" customFormat="1" ht="22.5">
      <c r="A76" s="3991" t="s">
        <v>1901</v>
      </c>
      <c r="B76" s="3991"/>
      <c r="C76" s="3991"/>
      <c r="D76" s="3991"/>
      <c r="E76" s="3991"/>
      <c r="F76" s="3991"/>
      <c r="G76" s="3194"/>
      <c r="H76" s="3962" t="s">
        <v>1853</v>
      </c>
      <c r="I76" s="3962"/>
      <c r="J76" s="3962"/>
      <c r="K76" s="3962"/>
      <c r="L76" s="3962"/>
      <c r="M76" s="3962"/>
      <c r="N76" s="3962"/>
      <c r="O76" s="3962"/>
      <c r="P76" s="3962"/>
      <c r="Q76" s="3962"/>
      <c r="R76" s="3978" t="s">
        <v>533</v>
      </c>
      <c r="S76" s="3978"/>
      <c r="T76" s="3978"/>
      <c r="U76" s="3978"/>
      <c r="V76" s="3978"/>
    </row>
    <row r="77" spans="1:22" s="2568" customFormat="1">
      <c r="A77" s="2529"/>
      <c r="C77" s="3194"/>
      <c r="D77" s="3203"/>
      <c r="E77" s="3203"/>
      <c r="F77" s="2571"/>
      <c r="G77" s="3208"/>
      <c r="H77" s="3208"/>
      <c r="I77" s="3208"/>
      <c r="J77" s="2569"/>
      <c r="K77" s="2569"/>
      <c r="L77" s="3194"/>
      <c r="M77" s="2571"/>
      <c r="O77" s="2528"/>
      <c r="P77" s="2528"/>
      <c r="Q77" s="2519"/>
      <c r="R77" s="2571"/>
      <c r="S77" s="2528"/>
      <c r="T77" s="2528"/>
      <c r="U77" s="2528"/>
    </row>
    <row r="78" spans="1:22">
      <c r="B78" s="2519"/>
      <c r="C78" s="2519"/>
      <c r="F78" s="2566"/>
      <c r="G78" s="2566"/>
      <c r="H78" s="2566"/>
      <c r="I78" s="2566"/>
      <c r="J78" s="2574"/>
      <c r="K78" s="2574"/>
      <c r="L78" s="2574"/>
      <c r="M78" s="2566"/>
    </row>
    <row r="79" spans="1:22">
      <c r="B79" s="2519"/>
      <c r="C79" s="2519"/>
      <c r="F79" s="2566"/>
      <c r="G79" s="2575"/>
      <c r="H79" s="2575"/>
      <c r="I79" s="2575"/>
      <c r="J79" s="2574"/>
      <c r="K79" s="2574"/>
      <c r="L79" s="2574"/>
      <c r="M79" s="2576"/>
      <c r="N79" s="3986"/>
      <c r="O79" s="3986"/>
      <c r="P79" s="3204"/>
      <c r="Q79" s="2577"/>
      <c r="R79" s="2577"/>
    </row>
    <row r="80" spans="1:22">
      <c r="B80" s="2519"/>
      <c r="C80" s="2519"/>
      <c r="F80" s="2566"/>
      <c r="G80" s="2575"/>
      <c r="H80" s="2575"/>
      <c r="I80" s="2575"/>
      <c r="J80" s="2574"/>
      <c r="K80" s="2574"/>
      <c r="L80" s="2574"/>
      <c r="M80" s="2576"/>
      <c r="N80" s="3204"/>
      <c r="O80" s="3204"/>
      <c r="P80" s="3204"/>
      <c r="Q80" s="2577"/>
      <c r="R80" s="2577"/>
    </row>
    <row r="81" spans="1:18">
      <c r="B81" s="2519"/>
      <c r="C81" s="2519"/>
      <c r="F81" s="2566"/>
      <c r="G81" s="2575"/>
      <c r="H81" s="2575"/>
      <c r="I81" s="2575"/>
      <c r="J81" s="2574"/>
      <c r="K81" s="2574"/>
      <c r="L81" s="2574"/>
      <c r="M81" s="2576"/>
      <c r="N81" s="3204"/>
      <c r="O81" s="3204"/>
      <c r="P81" s="3204"/>
      <c r="Q81" s="2577"/>
      <c r="R81" s="2577"/>
    </row>
    <row r="82" spans="1:18">
      <c r="B82" s="2519"/>
      <c r="C82" s="2519"/>
      <c r="F82" s="2566"/>
      <c r="G82" s="2575"/>
      <c r="H82" s="2575"/>
      <c r="I82" s="2575"/>
      <c r="J82" s="2574"/>
      <c r="K82" s="2574"/>
      <c r="L82" s="2574"/>
      <c r="M82" s="2576"/>
      <c r="N82" s="3204"/>
      <c r="O82" s="3204"/>
      <c r="P82" s="3204"/>
      <c r="Q82" s="2577"/>
      <c r="R82" s="2577"/>
    </row>
    <row r="83" spans="1:18">
      <c r="B83" s="2519"/>
      <c r="C83" s="2519"/>
      <c r="F83" s="2566"/>
      <c r="G83" s="2575"/>
      <c r="H83" s="2575"/>
      <c r="I83" s="2575"/>
      <c r="J83" s="2574"/>
      <c r="K83" s="2574"/>
      <c r="L83" s="2574"/>
      <c r="M83" s="2576"/>
      <c r="N83" s="3204"/>
      <c r="O83" s="3204"/>
      <c r="P83" s="3204"/>
      <c r="Q83" s="2577"/>
      <c r="R83" s="2577"/>
    </row>
    <row r="84" spans="1:18">
      <c r="B84" s="2519"/>
      <c r="C84" s="2519"/>
      <c r="F84" s="2566"/>
      <c r="G84" s="2575"/>
      <c r="H84" s="2575"/>
      <c r="I84" s="2575"/>
      <c r="J84" s="2574"/>
      <c r="K84" s="2574"/>
      <c r="L84" s="2574"/>
      <c r="M84" s="2576"/>
      <c r="N84" s="3204"/>
      <c r="O84" s="3204"/>
      <c r="P84" s="3204"/>
      <c r="Q84" s="2577"/>
      <c r="R84" s="2577"/>
    </row>
    <row r="85" spans="1:18">
      <c r="B85" s="2519"/>
      <c r="C85" s="2519"/>
      <c r="F85" s="2566"/>
      <c r="G85" s="2575"/>
      <c r="H85" s="2575"/>
      <c r="I85" s="2575"/>
      <c r="J85" s="2574"/>
      <c r="K85" s="2574"/>
      <c r="L85" s="2574"/>
      <c r="M85" s="2576"/>
      <c r="N85" s="3204"/>
      <c r="O85" s="3204"/>
      <c r="P85" s="3204"/>
      <c r="Q85" s="2577"/>
      <c r="R85" s="2577"/>
    </row>
    <row r="86" spans="1:18">
      <c r="B86" s="2519"/>
      <c r="C86" s="2519"/>
      <c r="F86" s="2566"/>
      <c r="G86" s="2575"/>
      <c r="H86" s="2575"/>
      <c r="I86" s="2575"/>
      <c r="J86" s="2574"/>
      <c r="K86" s="2574"/>
      <c r="L86" s="2574"/>
      <c r="M86" s="2576"/>
      <c r="N86" s="3204"/>
      <c r="O86" s="3204"/>
      <c r="P86" s="3204"/>
      <c r="Q86" s="2577"/>
      <c r="R86" s="2577"/>
    </row>
    <row r="87" spans="1:18">
      <c r="B87" s="2519"/>
      <c r="C87" s="2519"/>
      <c r="F87" s="2566"/>
      <c r="G87" s="2575"/>
      <c r="H87" s="2575"/>
      <c r="I87" s="2575"/>
      <c r="J87" s="2574"/>
      <c r="K87" s="2574"/>
      <c r="L87" s="2574"/>
      <c r="M87" s="2576"/>
      <c r="N87" s="3204"/>
      <c r="O87" s="3204"/>
      <c r="P87" s="3204"/>
      <c r="Q87" s="2577"/>
      <c r="R87" s="2577"/>
    </row>
    <row r="88" spans="1:18">
      <c r="B88" s="2519"/>
      <c r="C88" s="2519"/>
      <c r="F88" s="2566"/>
      <c r="G88" s="2575"/>
      <c r="H88" s="2575"/>
      <c r="I88" s="2575"/>
      <c r="J88" s="3007"/>
      <c r="K88" s="2574"/>
      <c r="L88" s="2574"/>
      <c r="M88" s="2576"/>
      <c r="N88" s="3204"/>
      <c r="O88" s="3204"/>
      <c r="P88" s="3204"/>
      <c r="Q88" s="2577"/>
      <c r="R88" s="2577"/>
    </row>
    <row r="89" spans="1:18">
      <c r="B89" s="2519"/>
      <c r="C89" s="2519"/>
      <c r="F89" s="2566"/>
      <c r="G89" s="2575"/>
      <c r="H89" s="2575"/>
      <c r="I89" s="2575"/>
      <c r="J89" s="2574"/>
      <c r="K89" s="2574"/>
      <c r="L89" s="2574"/>
      <c r="M89" s="2576"/>
      <c r="N89" s="3204"/>
      <c r="O89" s="3204"/>
      <c r="P89" s="3204"/>
      <c r="Q89" s="2577"/>
      <c r="R89" s="2577"/>
    </row>
    <row r="90" spans="1:18">
      <c r="B90" s="2519"/>
      <c r="C90" s="2519"/>
      <c r="F90" s="2566"/>
      <c r="G90" s="2575"/>
      <c r="H90" s="2575"/>
      <c r="I90" s="2575"/>
      <c r="J90" s="2574"/>
      <c r="K90" s="2574"/>
      <c r="L90" s="2574"/>
      <c r="M90" s="2576"/>
      <c r="N90" s="3204"/>
      <c r="O90" s="3204"/>
      <c r="P90" s="3204"/>
      <c r="Q90" s="2577"/>
      <c r="R90" s="2577"/>
    </row>
    <row r="91" spans="1:18">
      <c r="B91" s="2519"/>
      <c r="C91" s="2519"/>
      <c r="F91" s="2566"/>
      <c r="G91" s="2575"/>
      <c r="H91" s="2575"/>
      <c r="I91" s="2575"/>
      <c r="J91" s="2574"/>
      <c r="K91" s="2574"/>
      <c r="L91" s="2574"/>
      <c r="M91" s="2576">
        <f>+M62+'[10]Đội 2 (tu)'!M98+'[10]Đội 3 (2)'!K43</f>
        <v>23770058.840000004</v>
      </c>
      <c r="N91" s="3204"/>
      <c r="O91" s="3204"/>
      <c r="P91" s="3204"/>
      <c r="Q91" s="2577"/>
      <c r="R91" s="2577"/>
    </row>
    <row r="92" spans="1:18">
      <c r="B92" s="2519"/>
      <c r="C92" s="2519"/>
      <c r="F92" s="2566"/>
      <c r="G92" s="2575"/>
      <c r="H92" s="2575"/>
      <c r="I92" s="2575"/>
      <c r="J92" s="2574"/>
      <c r="K92" s="2574"/>
      <c r="L92" s="2574"/>
      <c r="M92" s="2576"/>
      <c r="N92" s="3204"/>
      <c r="O92" s="3204"/>
      <c r="P92" s="3204"/>
      <c r="Q92" s="2577"/>
      <c r="R92" s="2577"/>
    </row>
    <row r="93" spans="1:18">
      <c r="A93" s="2519"/>
      <c r="B93" s="2519"/>
      <c r="C93" s="2519"/>
      <c r="F93" s="2566"/>
      <c r="G93" s="2575"/>
      <c r="H93" s="2575"/>
      <c r="I93" s="2575"/>
      <c r="J93" s="2574"/>
      <c r="K93" s="2574"/>
      <c r="L93" s="2574"/>
      <c r="M93" s="2576"/>
      <c r="N93" s="3204"/>
      <c r="O93" s="3204"/>
      <c r="P93" s="3204"/>
      <c r="Q93" s="2577"/>
      <c r="R93" s="2577"/>
    </row>
    <row r="94" spans="1:18">
      <c r="A94" s="2519"/>
      <c r="B94" s="2519"/>
      <c r="C94" s="2519"/>
      <c r="F94" s="2566"/>
      <c r="G94" s="2575"/>
      <c r="H94" s="2575"/>
      <c r="I94" s="2575"/>
      <c r="J94" s="2574"/>
      <c r="K94" s="2574"/>
      <c r="L94" s="2574"/>
      <c r="M94" s="2576"/>
      <c r="N94" s="3204"/>
      <c r="O94" s="3204"/>
      <c r="P94" s="3204"/>
      <c r="Q94" s="2577"/>
      <c r="R94" s="2577"/>
    </row>
    <row r="95" spans="1:18">
      <c r="A95" s="2519"/>
      <c r="B95" s="2519"/>
      <c r="C95" s="2519"/>
      <c r="F95" s="2566"/>
      <c r="G95" s="2575"/>
      <c r="H95" s="2575"/>
      <c r="I95" s="2575"/>
      <c r="J95" s="2574"/>
      <c r="K95" s="2574"/>
      <c r="L95" s="2574"/>
      <c r="M95" s="2576"/>
      <c r="N95" s="3204"/>
      <c r="O95" s="3204"/>
      <c r="P95" s="3204"/>
      <c r="Q95" s="2577"/>
      <c r="R95" s="2577"/>
    </row>
    <row r="96" spans="1:18">
      <c r="A96" s="2519"/>
      <c r="B96" s="2519"/>
      <c r="C96" s="2519"/>
      <c r="F96" s="2566"/>
      <c r="G96" s="2575"/>
      <c r="H96" s="2575"/>
      <c r="I96" s="2575"/>
      <c r="J96" s="2574"/>
      <c r="K96" s="2574"/>
      <c r="L96" s="2574"/>
      <c r="M96" s="2576"/>
      <c r="N96" s="3204"/>
      <c r="O96" s="3204"/>
      <c r="P96" s="3204"/>
      <c r="Q96" s="2577"/>
      <c r="R96" s="2577"/>
    </row>
    <row r="97" spans="1:18">
      <c r="A97" s="2519"/>
      <c r="B97" s="2519"/>
      <c r="C97" s="2519"/>
      <c r="F97" s="2566"/>
      <c r="G97" s="2575"/>
      <c r="H97" s="2575"/>
      <c r="I97" s="2575"/>
      <c r="J97" s="2574"/>
      <c r="K97" s="2574"/>
      <c r="L97" s="2574"/>
      <c r="M97" s="2576"/>
      <c r="N97" s="3204"/>
      <c r="O97" s="3204"/>
      <c r="P97" s="3204"/>
      <c r="Q97" s="2577"/>
      <c r="R97" s="2577"/>
    </row>
    <row r="98" spans="1:18">
      <c r="A98" s="2519"/>
      <c r="B98" s="2519"/>
      <c r="C98" s="2519"/>
      <c r="F98" s="2566"/>
      <c r="G98" s="2575"/>
      <c r="H98" s="2575"/>
      <c r="I98" s="2575"/>
      <c r="J98" s="2574"/>
      <c r="K98" s="2574"/>
      <c r="L98" s="2574"/>
      <c r="M98" s="2576"/>
      <c r="N98" s="3204"/>
      <c r="O98" s="3204"/>
      <c r="P98" s="3204"/>
      <c r="Q98" s="2577"/>
      <c r="R98" s="2577"/>
    </row>
    <row r="99" spans="1:18">
      <c r="A99" s="2519"/>
      <c r="B99" s="2519"/>
      <c r="C99" s="2519"/>
      <c r="F99" s="2566"/>
      <c r="G99" s="2575"/>
      <c r="H99" s="2575"/>
      <c r="I99" s="2575"/>
      <c r="J99" s="2574"/>
      <c r="K99" s="2574"/>
      <c r="L99" s="2574"/>
      <c r="M99" s="2576"/>
      <c r="N99" s="3204"/>
      <c r="O99" s="3204"/>
      <c r="P99" s="3204"/>
      <c r="Q99" s="2577"/>
      <c r="R99" s="2577"/>
    </row>
    <row r="100" spans="1:18">
      <c r="A100" s="2519"/>
      <c r="B100" s="2519"/>
      <c r="C100" s="2519"/>
      <c r="F100" s="2566"/>
      <c r="G100" s="2575"/>
      <c r="H100" s="2575"/>
      <c r="I100" s="2575"/>
      <c r="J100" s="2574"/>
      <c r="K100" s="2574"/>
      <c r="L100" s="2574"/>
      <c r="M100" s="2576"/>
      <c r="N100" s="3204"/>
      <c r="O100" s="3204"/>
      <c r="P100" s="3204"/>
      <c r="Q100" s="2577"/>
      <c r="R100" s="2577"/>
    </row>
    <row r="101" spans="1:18">
      <c r="A101" s="2519"/>
      <c r="B101" s="2519"/>
      <c r="C101" s="2519"/>
      <c r="F101" s="2566"/>
      <c r="G101" s="2575"/>
      <c r="H101" s="2575"/>
      <c r="I101" s="2575"/>
      <c r="J101" s="2574"/>
      <c r="K101" s="2574"/>
      <c r="L101" s="2574"/>
      <c r="M101" s="2576"/>
      <c r="N101" s="3204"/>
      <c r="O101" s="3204"/>
      <c r="P101" s="3204"/>
      <c r="Q101" s="2577"/>
      <c r="R101" s="2577"/>
    </row>
    <row r="102" spans="1:18">
      <c r="A102" s="2519"/>
      <c r="B102" s="2519"/>
      <c r="C102" s="2519"/>
      <c r="F102" s="2566"/>
      <c r="G102" s="2575"/>
      <c r="H102" s="2575"/>
      <c r="I102" s="2575"/>
      <c r="J102" s="2574"/>
      <c r="K102" s="2574"/>
      <c r="L102" s="2574"/>
      <c r="M102" s="2576"/>
      <c r="N102" s="3204"/>
      <c r="O102" s="3204"/>
      <c r="P102" s="3204"/>
      <c r="Q102" s="2577"/>
      <c r="R102" s="2577"/>
    </row>
    <row r="103" spans="1:18">
      <c r="A103" s="2519"/>
      <c r="B103" s="2519"/>
      <c r="C103" s="2519"/>
      <c r="F103" s="2566"/>
      <c r="G103" s="2575"/>
      <c r="H103" s="2575"/>
      <c r="I103" s="2575"/>
      <c r="J103" s="2574"/>
      <c r="K103" s="2574"/>
      <c r="L103" s="2574"/>
      <c r="M103" s="2576"/>
      <c r="N103" s="3204"/>
      <c r="O103" s="3204"/>
      <c r="P103" s="3204"/>
      <c r="Q103" s="2577"/>
      <c r="R103" s="2577"/>
    </row>
    <row r="104" spans="1:18">
      <c r="A104" s="2519"/>
      <c r="B104" s="2519"/>
      <c r="C104" s="2519"/>
      <c r="F104" s="2566"/>
      <c r="G104" s="2575"/>
      <c r="H104" s="2575"/>
      <c r="I104" s="2575"/>
      <c r="J104" s="2574"/>
      <c r="K104" s="2574"/>
      <c r="L104" s="2574"/>
      <c r="M104" s="2576"/>
      <c r="N104" s="3204"/>
      <c r="O104" s="3204"/>
      <c r="P104" s="3204"/>
      <c r="Q104" s="2577"/>
      <c r="R104" s="2577"/>
    </row>
    <row r="105" spans="1:18">
      <c r="A105" s="2519"/>
      <c r="B105" s="2519"/>
      <c r="C105" s="2519"/>
      <c r="F105" s="2566"/>
      <c r="G105" s="2575"/>
      <c r="H105" s="2575"/>
      <c r="I105" s="2575"/>
      <c r="J105" s="2574"/>
      <c r="K105" s="2574"/>
      <c r="L105" s="2574"/>
      <c r="M105" s="2576"/>
      <c r="N105" s="3204"/>
      <c r="O105" s="3204"/>
      <c r="P105" s="3204"/>
      <c r="Q105" s="2577"/>
      <c r="R105" s="2577"/>
    </row>
    <row r="106" spans="1:18">
      <c r="A106" s="2519"/>
      <c r="B106" s="2519"/>
      <c r="C106" s="2519"/>
      <c r="F106" s="2566"/>
      <c r="G106" s="2575"/>
      <c r="H106" s="2575"/>
      <c r="I106" s="2575"/>
      <c r="J106" s="2574"/>
      <c r="K106" s="2574"/>
      <c r="L106" s="2574"/>
      <c r="M106" s="2576"/>
      <c r="N106" s="3204"/>
      <c r="O106" s="3204"/>
      <c r="P106" s="3204"/>
      <c r="Q106" s="2577"/>
      <c r="R106" s="2577"/>
    </row>
    <row r="107" spans="1:18">
      <c r="A107" s="2519"/>
      <c r="B107" s="2519"/>
      <c r="C107" s="2519"/>
      <c r="F107" s="2566"/>
      <c r="G107" s="2575"/>
      <c r="H107" s="2575"/>
      <c r="I107" s="2575"/>
      <c r="J107" s="2574"/>
      <c r="K107" s="2574"/>
      <c r="L107" s="2574"/>
      <c r="M107" s="2576"/>
      <c r="N107" s="3204"/>
      <c r="O107" s="3204"/>
      <c r="P107" s="3204"/>
      <c r="Q107" s="2577"/>
      <c r="R107" s="2577"/>
    </row>
    <row r="108" spans="1:18">
      <c r="A108" s="2519"/>
      <c r="B108" s="2519"/>
      <c r="C108" s="2519"/>
      <c r="F108" s="2566"/>
      <c r="G108" s="2575"/>
      <c r="H108" s="2575"/>
      <c r="I108" s="2575"/>
      <c r="J108" s="2574"/>
      <c r="K108" s="2574"/>
      <c r="L108" s="2574"/>
      <c r="M108" s="2576"/>
      <c r="N108" s="3204"/>
      <c r="O108" s="3204"/>
      <c r="P108" s="3204"/>
      <c r="Q108" s="2577"/>
      <c r="R108" s="2577"/>
    </row>
    <row r="109" spans="1:18">
      <c r="A109" s="2519"/>
      <c r="B109" s="2519"/>
      <c r="C109" s="2519"/>
      <c r="F109" s="2566"/>
      <c r="G109" s="2575"/>
      <c r="H109" s="2575"/>
      <c r="I109" s="2575"/>
      <c r="J109" s="2574"/>
      <c r="K109" s="2574"/>
      <c r="L109" s="2574"/>
      <c r="M109" s="2576"/>
      <c r="N109" s="3204"/>
      <c r="O109" s="3204"/>
      <c r="P109" s="3204"/>
      <c r="Q109" s="2577"/>
      <c r="R109" s="2577"/>
    </row>
    <row r="110" spans="1:18">
      <c r="A110" s="2519"/>
      <c r="B110" s="2519"/>
      <c r="C110" s="2519"/>
      <c r="F110" s="2566"/>
      <c r="G110" s="2575"/>
      <c r="H110" s="2575"/>
      <c r="I110" s="2575"/>
      <c r="J110" s="2574"/>
      <c r="K110" s="2574"/>
      <c r="L110" s="2574"/>
      <c r="M110" s="2576"/>
      <c r="N110" s="3204"/>
      <c r="O110" s="3204"/>
      <c r="P110" s="3204"/>
      <c r="Q110" s="2577"/>
      <c r="R110" s="2577"/>
    </row>
    <row r="111" spans="1:18">
      <c r="A111" s="2519"/>
      <c r="B111" s="2519"/>
      <c r="C111" s="2519"/>
      <c r="F111" s="2566"/>
      <c r="G111" s="2575"/>
      <c r="H111" s="2575"/>
      <c r="I111" s="2575"/>
      <c r="J111" s="2574"/>
      <c r="K111" s="2574"/>
      <c r="L111" s="2574"/>
      <c r="M111" s="2576"/>
      <c r="N111" s="3204"/>
      <c r="O111" s="3204"/>
      <c r="P111" s="3204"/>
      <c r="Q111" s="2577"/>
      <c r="R111" s="2577"/>
    </row>
    <row r="112" spans="1:18">
      <c r="A112" s="2519"/>
      <c r="B112" s="2519"/>
      <c r="C112" s="2519"/>
      <c r="F112" s="2566"/>
      <c r="J112" s="2574"/>
      <c r="K112" s="2574"/>
      <c r="L112" s="2574"/>
      <c r="M112" s="2519"/>
      <c r="Q112" s="2579"/>
    </row>
    <row r="113" spans="1:21">
      <c r="A113" s="2519"/>
      <c r="B113" s="2519"/>
      <c r="C113" s="2566"/>
      <c r="F113" s="2580"/>
      <c r="J113" s="2574"/>
      <c r="K113" s="2574"/>
      <c r="L113" s="2574"/>
      <c r="M113" s="2519"/>
      <c r="N113" s="2577"/>
      <c r="O113" s="2577"/>
      <c r="P113" s="2577"/>
      <c r="S113" s="2577"/>
      <c r="T113" s="2577"/>
      <c r="U113" s="2577"/>
    </row>
    <row r="114" spans="1:21">
      <c r="A114" s="2519"/>
      <c r="B114" s="2519"/>
      <c r="C114" s="2519"/>
      <c r="D114" s="2566"/>
      <c r="E114" s="2566"/>
      <c r="F114" s="2566"/>
      <c r="L114" s="3200"/>
      <c r="M114" s="2519"/>
      <c r="S114" s="2577"/>
      <c r="T114" s="2577"/>
      <c r="U114" s="2577"/>
    </row>
    <row r="115" spans="1:21">
      <c r="A115" s="2519"/>
      <c r="B115" s="2519"/>
      <c r="C115" s="2566" t="e">
        <f>#REF!+#REF!+#REF!+#REF!</f>
        <v>#REF!</v>
      </c>
      <c r="D115" s="2581"/>
      <c r="E115" s="2581"/>
      <c r="F115" s="3989" t="s">
        <v>1600</v>
      </c>
      <c r="G115" s="2566">
        <f>SUMIF(L17:L62,"A",J17:J62)</f>
        <v>1832.8</v>
      </c>
      <c r="H115" s="2566"/>
      <c r="I115" s="2566"/>
      <c r="J115" s="2574">
        <f>G115*2500</f>
        <v>4582000</v>
      </c>
      <c r="K115" s="2574"/>
      <c r="L115" s="2574"/>
      <c r="M115" s="2575"/>
      <c r="O115" s="2519">
        <f>7.2+0.6+21+5+70</f>
        <v>103.8</v>
      </c>
    </row>
    <row r="116" spans="1:21">
      <c r="A116" s="2519"/>
      <c r="B116" s="2519"/>
      <c r="C116" s="2519"/>
      <c r="F116" s="3989"/>
      <c r="G116" s="2566">
        <f>SUMIF(L17:L62,"B",J17:J62)</f>
        <v>488.80000000000007</v>
      </c>
      <c r="H116" s="2566"/>
      <c r="I116" s="2566"/>
      <c r="J116" s="2574">
        <f>G116*2400</f>
        <v>1173120.0000000002</v>
      </c>
      <c r="K116" s="2574"/>
      <c r="L116" s="2574"/>
      <c r="M116" s="2566"/>
    </row>
    <row r="117" spans="1:21">
      <c r="A117" s="2519"/>
      <c r="B117" s="2519"/>
      <c r="C117" s="2519"/>
      <c r="F117" s="3989"/>
      <c r="G117" s="2566">
        <f>SUMIF(L17:L62,"C",J17:J62)</f>
        <v>0</v>
      </c>
      <c r="H117" s="2566"/>
      <c r="I117" s="2566"/>
      <c r="J117" s="2574">
        <f>G117*2300</f>
        <v>0</v>
      </c>
      <c r="K117" s="2574"/>
      <c r="L117" s="2574"/>
      <c r="M117" s="2519"/>
      <c r="N117" s="2576"/>
      <c r="O117" s="2576"/>
      <c r="P117" s="2576"/>
      <c r="Q117" s="2576"/>
      <c r="U117" s="2566"/>
    </row>
    <row r="118" spans="1:21">
      <c r="A118" s="2519"/>
      <c r="B118" s="2519"/>
      <c r="C118" s="2519"/>
      <c r="F118" s="3989"/>
      <c r="G118" s="2566">
        <f>SUMIF(L17:L62,"D",J17:J62)</f>
        <v>0</v>
      </c>
      <c r="H118" s="2566"/>
      <c r="I118" s="2566"/>
      <c r="J118" s="2574">
        <f>G118*2200</f>
        <v>0</v>
      </c>
      <c r="K118" s="2574"/>
      <c r="L118" s="2574"/>
      <c r="M118" s="2519"/>
      <c r="N118" s="3204"/>
      <c r="O118" s="3204"/>
      <c r="P118" s="3204"/>
      <c r="Q118" s="3204"/>
      <c r="U118" s="2566"/>
    </row>
    <row r="119" spans="1:21">
      <c r="A119" s="2519"/>
      <c r="B119" s="2519"/>
      <c r="C119" s="2519"/>
      <c r="F119" s="2566"/>
      <c r="G119" s="2566"/>
      <c r="H119" s="2566"/>
      <c r="I119" s="2566"/>
      <c r="J119" s="2574"/>
      <c r="K119" s="2574"/>
      <c r="L119" s="2574"/>
      <c r="M119" s="2519"/>
      <c r="N119" s="3204"/>
      <c r="O119" s="3204"/>
      <c r="P119" s="3204"/>
      <c r="Q119" s="3204"/>
      <c r="U119" s="2566"/>
    </row>
    <row r="120" spans="1:21">
      <c r="A120" s="2519"/>
      <c r="B120" s="2519"/>
      <c r="C120" s="2519"/>
      <c r="F120" s="2566"/>
      <c r="G120" s="2566"/>
      <c r="H120" s="2566"/>
      <c r="I120" s="2566"/>
      <c r="J120" s="2574"/>
      <c r="K120" s="2574"/>
      <c r="L120" s="2574"/>
      <c r="M120" s="2519"/>
      <c r="N120" s="3204"/>
      <c r="O120" s="3204"/>
      <c r="P120" s="3204"/>
      <c r="Q120" s="3204"/>
      <c r="U120" s="2566"/>
    </row>
    <row r="121" spans="1:21">
      <c r="A121" s="2519"/>
      <c r="B121" s="2519"/>
      <c r="C121" s="2519"/>
      <c r="F121" s="2566"/>
      <c r="G121" s="2566"/>
      <c r="H121" s="2566"/>
      <c r="I121" s="2566"/>
      <c r="J121" s="2574"/>
      <c r="K121" s="2574"/>
      <c r="L121" s="2574"/>
      <c r="M121" s="2519"/>
      <c r="N121" s="3204"/>
      <c r="O121" s="3204"/>
      <c r="P121" s="3204"/>
      <c r="Q121" s="3204"/>
      <c r="U121" s="2566"/>
    </row>
    <row r="122" spans="1:21">
      <c r="A122" s="2519"/>
      <c r="B122" s="2519"/>
      <c r="C122" s="2519"/>
      <c r="F122" s="2566"/>
      <c r="G122" s="2566"/>
      <c r="H122" s="2566"/>
      <c r="I122" s="2566"/>
      <c r="J122" s="2574"/>
      <c r="K122" s="2574"/>
      <c r="L122" s="2574"/>
      <c r="M122" s="2519"/>
      <c r="N122" s="3204"/>
      <c r="O122" s="3204"/>
      <c r="P122" s="3204"/>
      <c r="Q122" s="3204"/>
      <c r="U122" s="2566"/>
    </row>
    <row r="123" spans="1:21">
      <c r="A123" s="2519"/>
      <c r="B123" s="2519"/>
      <c r="C123" s="2519"/>
      <c r="F123" s="2566"/>
      <c r="G123" s="2566"/>
      <c r="H123" s="2566"/>
      <c r="I123" s="2566"/>
      <c r="J123" s="2574"/>
      <c r="K123" s="2574"/>
      <c r="L123" s="2574"/>
      <c r="M123" s="2519"/>
      <c r="N123" s="3204"/>
      <c r="O123" s="3204"/>
      <c r="P123" s="3204"/>
      <c r="Q123" s="3204"/>
      <c r="U123" s="2566"/>
    </row>
    <row r="124" spans="1:21">
      <c r="A124" s="2519"/>
      <c r="B124" s="2519"/>
      <c r="C124" s="2519"/>
      <c r="F124" s="2566"/>
      <c r="G124" s="2566"/>
      <c r="H124" s="2566"/>
      <c r="I124" s="2566"/>
      <c r="J124" s="2574"/>
      <c r="K124" s="2574"/>
      <c r="L124" s="2574"/>
      <c r="M124" s="2519"/>
      <c r="N124" s="3204"/>
      <c r="O124" s="3204"/>
      <c r="P124" s="3204"/>
      <c r="Q124" s="3204"/>
      <c r="U124" s="2566"/>
    </row>
    <row r="125" spans="1:21">
      <c r="B125" s="2519"/>
      <c r="C125" s="2519"/>
      <c r="F125" s="2519"/>
      <c r="G125" s="2519">
        <f>SUM(G115:G123)</f>
        <v>2321.6</v>
      </c>
      <c r="J125" s="2574">
        <f>SUM(J115:J123)</f>
        <v>5755120</v>
      </c>
      <c r="K125" s="2574"/>
      <c r="L125" s="2574"/>
      <c r="M125" s="2519"/>
      <c r="N125" s="3961" t="e">
        <f>J125+J135+G140</f>
        <v>#REF!</v>
      </c>
      <c r="O125" s="3961"/>
      <c r="P125" s="3200"/>
      <c r="Q125" s="2519" t="e">
        <f>N125-#REF!</f>
        <v>#REF!</v>
      </c>
    </row>
    <row r="126" spans="1:21">
      <c r="B126" s="2519"/>
      <c r="C126" s="2519"/>
      <c r="F126" s="2519"/>
      <c r="J126" s="3205"/>
      <c r="K126" s="3205"/>
      <c r="L126" s="3205"/>
      <c r="M126" s="2519"/>
      <c r="O126" s="2577"/>
      <c r="P126" s="2577"/>
      <c r="Q126" s="2577"/>
    </row>
    <row r="127" spans="1:21">
      <c r="B127" s="2519"/>
      <c r="C127" s="2519"/>
      <c r="F127" s="2566"/>
      <c r="G127" s="2519">
        <v>5422</v>
      </c>
      <c r="J127" s="2574">
        <f>G127*30000</f>
        <v>162660000</v>
      </c>
      <c r="K127" s="2574"/>
      <c r="L127" s="2574"/>
      <c r="M127" s="2519"/>
    </row>
    <row r="128" spans="1:21">
      <c r="B128" s="2519"/>
      <c r="C128" s="2519"/>
      <c r="F128" s="2566"/>
      <c r="G128" s="2519">
        <v>20</v>
      </c>
      <c r="J128" s="2574">
        <f>G128*60000</f>
        <v>1200000</v>
      </c>
      <c r="K128" s="2574"/>
      <c r="L128" s="2574"/>
      <c r="M128" s="2519"/>
    </row>
    <row r="129" spans="1:21">
      <c r="B129" s="2519"/>
      <c r="C129" s="2519"/>
      <c r="F129" s="2566"/>
      <c r="G129" s="2519">
        <v>230</v>
      </c>
      <c r="J129" s="2574">
        <f>G129*80000</f>
        <v>18400000</v>
      </c>
      <c r="K129" s="2574"/>
      <c r="L129" s="2574"/>
      <c r="M129" s="2519"/>
    </row>
    <row r="130" spans="1:21">
      <c r="A130" s="2519"/>
      <c r="G130" s="2519">
        <v>998</v>
      </c>
      <c r="J130" s="2574">
        <f>G130*50000</f>
        <v>49900000</v>
      </c>
      <c r="K130" s="2574"/>
      <c r="L130" s="2574"/>
      <c r="U130" s="2577"/>
    </row>
    <row r="131" spans="1:21">
      <c r="A131" s="2519"/>
      <c r="G131" s="2519">
        <v>2</v>
      </c>
      <c r="J131" s="2574">
        <f>G131*80000</f>
        <v>160000</v>
      </c>
      <c r="K131" s="2574"/>
      <c r="L131" s="2574"/>
      <c r="U131" s="2577"/>
    </row>
    <row r="132" spans="1:21">
      <c r="A132" s="2519"/>
      <c r="G132" s="2519">
        <v>89</v>
      </c>
      <c r="J132" s="2574">
        <f>G132*100000</f>
        <v>8900000</v>
      </c>
      <c r="K132" s="2574"/>
      <c r="L132" s="2574"/>
      <c r="U132" s="3200"/>
    </row>
    <row r="133" spans="1:21">
      <c r="A133" s="2519"/>
      <c r="G133" s="2519">
        <v>301.56000000000006</v>
      </c>
      <c r="J133" s="2574">
        <f>G133*25000</f>
        <v>7539000.0000000019</v>
      </c>
      <c r="K133" s="2574"/>
      <c r="L133" s="2574"/>
      <c r="U133" s="3200"/>
    </row>
    <row r="134" spans="1:21">
      <c r="A134" s="2519"/>
      <c r="G134" s="2519">
        <v>2965</v>
      </c>
      <c r="J134" s="2574">
        <f>G134*20000</f>
        <v>59300000</v>
      </c>
      <c r="K134" s="2574"/>
      <c r="L134" s="2574"/>
      <c r="U134" s="3200"/>
    </row>
    <row r="135" spans="1:21">
      <c r="A135" s="2519"/>
      <c r="B135" s="2926"/>
      <c r="G135" s="2519">
        <f>SUM(G127:G134)</f>
        <v>10027.560000000001</v>
      </c>
      <c r="J135" s="3990">
        <f>SUM(J127:J134)</f>
        <v>308059000</v>
      </c>
      <c r="K135" s="3990"/>
      <c r="L135" s="3990"/>
      <c r="Q135" s="3200"/>
      <c r="R135" s="2577"/>
    </row>
    <row r="136" spans="1:21">
      <c r="A136" s="2519"/>
      <c r="B136" s="2584"/>
      <c r="G136" s="2566" t="e">
        <f>#REF!+#REF!+#REF!+F62</f>
        <v>#REF!</v>
      </c>
      <c r="H136" s="2566"/>
      <c r="I136" s="2566"/>
      <c r="J136" s="2574" t="e">
        <f>G136*25000</f>
        <v>#REF!</v>
      </c>
      <c r="K136" s="2574"/>
      <c r="L136" s="2574"/>
    </row>
    <row r="137" spans="1:21">
      <c r="A137" s="2519"/>
      <c r="B137" s="2584"/>
      <c r="F137" s="2577" t="s">
        <v>1601</v>
      </c>
      <c r="G137" s="2519" t="e">
        <f>#REF!+#REF!</f>
        <v>#REF!</v>
      </c>
      <c r="J137" s="2574" t="e">
        <f>#REF!+#REF!</f>
        <v>#REF!</v>
      </c>
      <c r="K137" s="2574"/>
      <c r="L137" s="2585"/>
    </row>
    <row r="138" spans="1:21">
      <c r="A138" s="2519"/>
      <c r="B138" s="2584"/>
      <c r="G138" s="2519" t="e">
        <f>#REF!</f>
        <v>#REF!</v>
      </c>
      <c r="J138" s="2574" t="e">
        <f>#REF!</f>
        <v>#REF!</v>
      </c>
      <c r="K138" s="2574"/>
      <c r="L138" s="2585"/>
    </row>
    <row r="139" spans="1:21">
      <c r="A139" s="2519"/>
      <c r="G139" s="2519" t="e">
        <f>#REF!+#REF!+#REF!+#REF!</f>
        <v>#REF!</v>
      </c>
      <c r="J139" s="2574" t="e">
        <f>#REF!+#REF!+#REF!+#REF!</f>
        <v>#REF!</v>
      </c>
      <c r="K139" s="2574"/>
      <c r="L139" s="2585"/>
    </row>
    <row r="140" spans="1:21">
      <c r="A140" s="2519"/>
      <c r="G140" s="3990" t="e">
        <f>SUM(J136:L139)</f>
        <v>#REF!</v>
      </c>
      <c r="H140" s="3990"/>
      <c r="I140" s="3990"/>
      <c r="J140" s="3990"/>
      <c r="K140" s="3205"/>
      <c r="L140" s="2585"/>
      <c r="M140" s="2523" t="e">
        <f>G140-#REF!</f>
        <v>#REF!</v>
      </c>
    </row>
    <row r="142" spans="1:21">
      <c r="A142" s="2519"/>
      <c r="J142" s="3979" t="e">
        <f>+#REF!+#REF!+#REF!+#REF!+1000000</f>
        <v>#REF!</v>
      </c>
      <c r="K142" s="3979"/>
      <c r="L142" s="3979"/>
    </row>
    <row r="144" spans="1:21">
      <c r="A144" s="2519"/>
      <c r="G144" s="2566"/>
      <c r="H144" s="2566"/>
      <c r="I144" s="2566"/>
      <c r="J144" s="2574"/>
      <c r="K144" s="2574"/>
    </row>
    <row r="145" spans="1:17">
      <c r="A145" s="2519"/>
      <c r="N145" s="2566"/>
    </row>
    <row r="149" spans="1:17">
      <c r="A149" s="2519"/>
      <c r="G149" s="2566">
        <v>2551.8899999999994</v>
      </c>
      <c r="H149" s="2566"/>
      <c r="I149" s="2566"/>
    </row>
    <row r="150" spans="1:17">
      <c r="A150" s="2519"/>
      <c r="B150" s="2519"/>
      <c r="C150" s="2519"/>
      <c r="F150" s="2519"/>
      <c r="G150" s="2566" t="e">
        <f>+G136-G149</f>
        <v>#REF!</v>
      </c>
      <c r="H150" s="2566"/>
      <c r="I150" s="2566"/>
    </row>
    <row r="156" spans="1:17">
      <c r="A156" s="2519"/>
      <c r="B156" s="2519"/>
      <c r="C156" s="2519"/>
      <c r="F156" s="2519"/>
      <c r="L156" s="2522">
        <v>1678</v>
      </c>
      <c r="M156" s="2523">
        <v>1573</v>
      </c>
      <c r="N156" s="2519">
        <v>1187</v>
      </c>
      <c r="O156" s="2519">
        <v>1183</v>
      </c>
      <c r="Q156" s="2519">
        <f>SUM(L156:O156)</f>
        <v>5621</v>
      </c>
    </row>
    <row r="157" spans="1:17">
      <c r="A157" s="2519"/>
      <c r="B157" s="2519"/>
      <c r="C157" s="2519"/>
      <c r="F157" s="2519"/>
      <c r="L157" s="2522">
        <v>257</v>
      </c>
      <c r="M157" s="2523">
        <v>244</v>
      </c>
      <c r="N157" s="2519">
        <v>183</v>
      </c>
      <c r="O157" s="2519">
        <v>182</v>
      </c>
      <c r="Q157" s="2519">
        <f>SUM(L157:O157)</f>
        <v>866</v>
      </c>
    </row>
    <row r="158" spans="1:17">
      <c r="A158" s="2519"/>
      <c r="B158" s="2519"/>
      <c r="C158" s="2519"/>
      <c r="F158" s="2519"/>
      <c r="L158" s="2522">
        <v>1935</v>
      </c>
      <c r="M158" s="2523">
        <v>1817</v>
      </c>
      <c r="N158" s="2519">
        <v>1370</v>
      </c>
      <c r="O158" s="2519">
        <v>1365</v>
      </c>
      <c r="Q158" s="2519">
        <f>SUM(L158:O158)</f>
        <v>6487</v>
      </c>
    </row>
  </sheetData>
  <mergeCells count="39">
    <mergeCell ref="A9:V9"/>
    <mergeCell ref="A2:V2"/>
    <mergeCell ref="A3:V3"/>
    <mergeCell ref="A4:V4"/>
    <mergeCell ref="A6:J6"/>
    <mergeCell ref="A7:J7"/>
    <mergeCell ref="A10:V10"/>
    <mergeCell ref="C12:F12"/>
    <mergeCell ref="A13:A16"/>
    <mergeCell ref="B13:B16"/>
    <mergeCell ref="C13:C16"/>
    <mergeCell ref="D13:D16"/>
    <mergeCell ref="E13:E16"/>
    <mergeCell ref="F13:Q13"/>
    <mergeCell ref="R13:R16"/>
    <mergeCell ref="S13:S16"/>
    <mergeCell ref="T13:T16"/>
    <mergeCell ref="U13:U16"/>
    <mergeCell ref="V13:V16"/>
    <mergeCell ref="F14:G15"/>
    <mergeCell ref="H14:M15"/>
    <mergeCell ref="N14:Q15"/>
    <mergeCell ref="N79:O79"/>
    <mergeCell ref="A62:D62"/>
    <mergeCell ref="A63:V63"/>
    <mergeCell ref="R65:V65"/>
    <mergeCell ref="A68:F68"/>
    <mergeCell ref="H68:L68"/>
    <mergeCell ref="R68:V68"/>
    <mergeCell ref="N75:Q75"/>
    <mergeCell ref="A76:F76"/>
    <mergeCell ref="H76:L76"/>
    <mergeCell ref="M76:Q76"/>
    <mergeCell ref="R76:V76"/>
    <mergeCell ref="F115:F118"/>
    <mergeCell ref="N125:O125"/>
    <mergeCell ref="J135:L135"/>
    <mergeCell ref="G140:J140"/>
    <mergeCell ref="J142:L14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A194"/>
  <sheetViews>
    <sheetView topLeftCell="A96" zoomScale="57" zoomScaleNormal="57" workbookViewId="0">
      <selection activeCell="M104" sqref="M104:S104"/>
    </sheetView>
  </sheetViews>
  <sheetFormatPr defaultColWidth="9.42578125" defaultRowHeight="23.25"/>
  <cols>
    <col min="1" max="1" width="10.140625" style="2516" customWidth="1"/>
    <col min="2" max="2" width="18.7109375" style="2934" hidden="1" customWidth="1"/>
    <col min="3" max="3" width="25.5703125" style="2518" customWidth="1"/>
    <col min="4" max="4" width="14.140625" style="2519" customWidth="1"/>
    <col min="5" max="5" width="21.7109375" style="2519" customWidth="1"/>
    <col min="6" max="6" width="16" style="2520" hidden="1" customWidth="1"/>
    <col min="7" max="7" width="19.5703125" style="2519" hidden="1" customWidth="1"/>
    <col min="8" max="8" width="14.85546875" style="2519" customWidth="1"/>
    <col min="9" max="9" width="14.5703125" style="2519" hidden="1" customWidth="1"/>
    <col min="10" max="10" width="18.42578125" style="2521" customWidth="1"/>
    <col min="11" max="11" width="14" style="2521" hidden="1" customWidth="1"/>
    <col min="12" max="12" width="12.42578125" style="2522" customWidth="1"/>
    <col min="13" max="15" width="24.7109375" style="2523" customWidth="1"/>
    <col min="16" max="16" width="11.85546875" style="2519" hidden="1" customWidth="1"/>
    <col min="17" max="17" width="14.5703125" style="2519" hidden="1" customWidth="1"/>
    <col min="18" max="18" width="16.42578125" style="2519" hidden="1" customWidth="1"/>
    <col min="19" max="19" width="23.5703125" style="2519" hidden="1" customWidth="1"/>
    <col min="20" max="20" width="21.140625" style="2519" customWidth="1"/>
    <col min="21" max="21" width="16.7109375" style="2519" hidden="1" customWidth="1"/>
    <col min="22" max="22" width="13.42578125" style="2519" customWidth="1"/>
    <col min="23" max="23" width="21" style="2519" customWidth="1"/>
    <col min="24" max="24" width="14.28515625" style="2519" customWidth="1"/>
    <col min="25" max="25" width="22.7109375" style="2519" bestFit="1" customWidth="1"/>
    <col min="26" max="26" width="9.5703125" style="2519" bestFit="1" customWidth="1"/>
    <col min="27" max="27" width="21.5703125" style="2519" bestFit="1" customWidth="1"/>
    <col min="28" max="28" width="16.7109375" style="2519" customWidth="1"/>
    <col min="29" max="31" width="9.42578125" style="2519"/>
    <col min="32" max="32" width="9.5703125" style="2519" bestFit="1" customWidth="1"/>
    <col min="33" max="16384" width="9.42578125" style="2519"/>
  </cols>
  <sheetData>
    <row r="2" spans="1:27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  <c r="X2" s="3958"/>
    </row>
    <row r="3" spans="1:27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  <c r="X3" s="3958"/>
    </row>
    <row r="4" spans="1:27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  <c r="X4" s="3960"/>
    </row>
    <row r="5" spans="1:27">
      <c r="A5" s="2930"/>
      <c r="B5" s="2930"/>
      <c r="C5" s="2930"/>
      <c r="D5" s="2930"/>
      <c r="E5" s="2930"/>
      <c r="F5" s="2930"/>
      <c r="G5" s="2930"/>
      <c r="H5" s="2930"/>
      <c r="I5" s="2930"/>
      <c r="J5" s="2930"/>
      <c r="K5" s="2930"/>
      <c r="L5" s="2930"/>
      <c r="M5" s="2930"/>
      <c r="N5" s="3199"/>
      <c r="O5" s="3199"/>
      <c r="P5" s="2930"/>
      <c r="Q5" s="2930"/>
      <c r="R5" s="2930"/>
      <c r="S5" s="2930"/>
      <c r="T5" s="2930"/>
      <c r="U5" s="2930"/>
      <c r="V5" s="2930"/>
      <c r="W5" s="2930"/>
      <c r="X5" s="2930"/>
    </row>
    <row r="6" spans="1:27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2925"/>
      <c r="L6" s="2525"/>
      <c r="M6" s="2525"/>
      <c r="N6" s="2525"/>
      <c r="O6" s="2525"/>
      <c r="P6" s="2525"/>
      <c r="Q6" s="2525"/>
      <c r="R6" s="2525"/>
      <c r="S6" s="2526"/>
      <c r="T6" s="2526"/>
      <c r="U6" s="2526"/>
      <c r="V6" s="2526"/>
      <c r="W6" s="2526"/>
    </row>
    <row r="7" spans="1:27" ht="42.75" customHeight="1">
      <c r="A7" s="3962" t="s">
        <v>1661</v>
      </c>
      <c r="B7" s="3962"/>
      <c r="C7" s="3962"/>
      <c r="D7" s="3962"/>
      <c r="E7" s="3962"/>
      <c r="F7" s="3962"/>
      <c r="G7" s="3962"/>
      <c r="H7" s="3962"/>
      <c r="I7" s="3962"/>
      <c r="J7" s="3962"/>
      <c r="K7" s="2925"/>
      <c r="L7" s="2525"/>
      <c r="M7" s="2525"/>
      <c r="N7" s="2525"/>
      <c r="O7" s="2525"/>
      <c r="P7" s="2525"/>
      <c r="Q7" s="2525"/>
      <c r="R7" s="2525"/>
      <c r="S7" s="2526"/>
      <c r="T7" s="2526"/>
      <c r="U7" s="2526"/>
      <c r="V7" s="2526"/>
      <c r="W7" s="2526"/>
    </row>
    <row r="8" spans="1:27" ht="26.25" customHeight="1">
      <c r="A8" s="2925"/>
      <c r="B8" s="2925"/>
      <c r="C8" s="2925"/>
      <c r="D8" s="2925"/>
      <c r="E8" s="2925"/>
      <c r="F8" s="2925"/>
      <c r="G8" s="2925"/>
      <c r="H8" s="2925"/>
      <c r="I8" s="2925"/>
      <c r="J8" s="2925"/>
      <c r="K8" s="2925"/>
      <c r="L8" s="2525"/>
      <c r="M8" s="2525"/>
      <c r="N8" s="2525"/>
      <c r="O8" s="2525"/>
      <c r="P8" s="2525"/>
      <c r="Q8" s="2525"/>
      <c r="R8" s="2525"/>
      <c r="S8" s="2526"/>
      <c r="T8" s="2526"/>
      <c r="U8" s="2526"/>
      <c r="V8" s="2526"/>
      <c r="W8" s="2526"/>
    </row>
    <row r="9" spans="1:27" s="2528" customFormat="1" ht="44.25" customHeight="1">
      <c r="A9" s="3963" t="s">
        <v>1955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  <c r="X9" s="3963"/>
    </row>
    <row r="10" spans="1:27" s="2528" customFormat="1" ht="15.75" customHeight="1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  <c r="X10" s="3962"/>
    </row>
    <row r="11" spans="1:27" s="2528" customFormat="1" ht="34.5" customHeight="1">
      <c r="A11" s="2529"/>
      <c r="B11" s="2925"/>
      <c r="C11" s="2577"/>
      <c r="D11" s="3007">
        <v>680.72</v>
      </c>
      <c r="E11" s="2577"/>
      <c r="F11" s="2577"/>
      <c r="G11" s="2530"/>
      <c r="H11" s="2530"/>
      <c r="I11" s="2530"/>
      <c r="J11" s="2531"/>
      <c r="K11" s="2531"/>
      <c r="L11" s="2925"/>
      <c r="M11" s="2925"/>
      <c r="N11" s="3194"/>
      <c r="O11" s="3194"/>
      <c r="P11" s="2925"/>
      <c r="Q11" s="2925"/>
      <c r="R11" s="2925"/>
      <c r="S11" s="2925"/>
      <c r="T11" s="2925"/>
      <c r="U11" s="2925"/>
      <c r="V11" s="2925"/>
      <c r="W11" s="2925"/>
      <c r="Y11" s="2528">
        <f>'[3]Bảng CC vn'!AK10</f>
        <v>25</v>
      </c>
    </row>
    <row r="12" spans="1:27" ht="27.75" customHeight="1">
      <c r="A12" s="2532"/>
      <c r="B12" s="2932"/>
      <c r="C12" s="4480" t="s">
        <v>1589</v>
      </c>
      <c r="D12" s="4480"/>
      <c r="E12" s="4480"/>
      <c r="F12" s="4480"/>
      <c r="G12" s="2534"/>
      <c r="H12" s="2534"/>
      <c r="I12" s="2534"/>
      <c r="J12" s="2535"/>
      <c r="K12" s="2535"/>
      <c r="L12" s="2536"/>
      <c r="M12" s="2537"/>
      <c r="N12" s="2537"/>
      <c r="O12" s="2537"/>
      <c r="P12" s="2538"/>
      <c r="Q12" s="2538"/>
      <c r="R12" s="2538"/>
      <c r="S12" s="2538"/>
      <c r="T12" s="2538"/>
      <c r="U12" s="2538"/>
      <c r="V12" s="2538"/>
      <c r="W12" s="3969" t="s">
        <v>1590</v>
      </c>
      <c r="X12" s="3969"/>
    </row>
    <row r="13" spans="1:27" s="2925" customFormat="1" ht="66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7"/>
      <c r="T13" s="3968" t="s">
        <v>1658</v>
      </c>
      <c r="U13" s="3968" t="s">
        <v>1585</v>
      </c>
      <c r="V13" s="3951" t="s">
        <v>1603</v>
      </c>
      <c r="W13" s="3968" t="s">
        <v>1570</v>
      </c>
      <c r="X13" s="3950" t="s">
        <v>92</v>
      </c>
    </row>
    <row r="14" spans="1:27" s="2925" customFormat="1" ht="74.25" customHeight="1">
      <c r="A14" s="3965"/>
      <c r="B14" s="3965"/>
      <c r="C14" s="3966"/>
      <c r="D14" s="3965"/>
      <c r="E14" s="3950"/>
      <c r="F14" s="3994" t="s">
        <v>1659</v>
      </c>
      <c r="G14" s="3995"/>
      <c r="H14" s="4481" t="s">
        <v>183</v>
      </c>
      <c r="I14" s="3998"/>
      <c r="J14" s="3998"/>
      <c r="K14" s="3998"/>
      <c r="L14" s="3998"/>
      <c r="M14" s="3998"/>
      <c r="N14" s="3998"/>
      <c r="O14" s="3999"/>
      <c r="P14" s="3968" t="s">
        <v>1900</v>
      </c>
      <c r="Q14" s="3968"/>
      <c r="R14" s="3968"/>
      <c r="S14" s="3968"/>
      <c r="T14" s="3968"/>
      <c r="U14" s="3968"/>
      <c r="V14" s="3972"/>
      <c r="W14" s="3968"/>
      <c r="X14" s="3950"/>
    </row>
    <row r="15" spans="1:27" s="2935" customFormat="1" ht="140.25" customHeight="1">
      <c r="A15" s="3965"/>
      <c r="B15" s="3965"/>
      <c r="C15" s="3966"/>
      <c r="D15" s="3965"/>
      <c r="E15" s="3950"/>
      <c r="F15" s="2540" t="s">
        <v>1593</v>
      </c>
      <c r="G15" s="2927" t="s">
        <v>14</v>
      </c>
      <c r="H15" s="2927" t="s">
        <v>1594</v>
      </c>
      <c r="I15" s="2927" t="s">
        <v>1646</v>
      </c>
      <c r="J15" s="2542" t="s">
        <v>1898</v>
      </c>
      <c r="K15" s="2542" t="s">
        <v>1891</v>
      </c>
      <c r="L15" s="2928" t="s">
        <v>1595</v>
      </c>
      <c r="M15" s="2928" t="s">
        <v>1084</v>
      </c>
      <c r="N15" s="3196" t="s">
        <v>1943</v>
      </c>
      <c r="O15" s="3196" t="s">
        <v>1956</v>
      </c>
      <c r="P15" s="2928" t="s">
        <v>1596</v>
      </c>
      <c r="Q15" s="2928" t="s">
        <v>1651</v>
      </c>
      <c r="R15" s="2928" t="s">
        <v>1656</v>
      </c>
      <c r="S15" s="2928" t="s">
        <v>1254</v>
      </c>
      <c r="T15" s="3968"/>
      <c r="U15" s="3968"/>
      <c r="V15" s="3952"/>
      <c r="W15" s="3968"/>
      <c r="X15" s="3950"/>
      <c r="Y15" s="2935" t="s">
        <v>819</v>
      </c>
      <c r="AA15" s="3192">
        <f>+'Đội 1 (Truy lãnh)'!Z14</f>
        <v>0.43429611090000003</v>
      </c>
    </row>
    <row r="16" spans="1:27" s="2935" customFormat="1" ht="47.25" customHeight="1">
      <c r="A16" s="2545">
        <v>1</v>
      </c>
      <c r="B16" s="2545" t="s">
        <v>1757</v>
      </c>
      <c r="C16" s="2546" t="s">
        <v>1489</v>
      </c>
      <c r="D16" s="2546" t="str">
        <f>'[3]CNKT '!D16</f>
        <v>CNKT</v>
      </c>
      <c r="E16" s="2546"/>
      <c r="F16" s="2547">
        <v>0</v>
      </c>
      <c r="G16" s="2546">
        <v>0</v>
      </c>
      <c r="H16" s="2546">
        <f>+VLOOKUP(C16,'Mủ CN (tam ung)'!C59:AK118,35,0)</f>
        <v>94</v>
      </c>
      <c r="I16" s="2546" t="e">
        <f>+VLOOKUP(C16,VCKD!#REF!,9,0)</f>
        <v>#REF!</v>
      </c>
      <c r="J16" s="3016">
        <f>+H16*$AA$15</f>
        <v>40.823834424600001</v>
      </c>
      <c r="K16" s="2546" t="e">
        <f>+I16*0.5</f>
        <v>#REF!</v>
      </c>
      <c r="L16" s="2545" t="e">
        <f>+VLOOKUP(C16,#REF!,37,0)</f>
        <v>#REF!</v>
      </c>
      <c r="M16" s="3006" t="e">
        <f>J16*IF(L16="A",(6.1*$D$11),IF(L16="B",(5.8*$D$11),IF(L16="C",(5.5*$D$11),IF(L16="D",(5.2*$D$11)))))</f>
        <v>#REF!</v>
      </c>
      <c r="N16" s="3006">
        <f>+VLOOKUP(C16,'Đội 2 tu'!C16:M97,11,0)</f>
        <v>157937.296</v>
      </c>
      <c r="O16" s="3006" t="e">
        <f>+M16-N16</f>
        <v>#REF!</v>
      </c>
      <c r="P16" s="2688">
        <v>0</v>
      </c>
      <c r="Q16" s="2688">
        <v>0</v>
      </c>
      <c r="R16" s="2689">
        <v>0</v>
      </c>
      <c r="S16" s="2546">
        <v>0</v>
      </c>
      <c r="T16" s="2546" t="e">
        <f>+O16</f>
        <v>#REF!</v>
      </c>
      <c r="U16" s="2546"/>
      <c r="V16" s="2546"/>
      <c r="W16" s="2546" t="e">
        <f>+T16</f>
        <v>#REF!</v>
      </c>
      <c r="X16" s="2546"/>
      <c r="AA16" s="2935" t="s">
        <v>1489</v>
      </c>
    </row>
    <row r="17" spans="1:27" s="2935" customFormat="1" ht="47.25" customHeight="1">
      <c r="A17" s="2545">
        <v>2</v>
      </c>
      <c r="B17" s="2545" t="s">
        <v>1758</v>
      </c>
      <c r="C17" s="2546" t="s">
        <v>1532</v>
      </c>
      <c r="D17" s="2546" t="str">
        <f>'[3]CNKT '!D17</f>
        <v>CNKT</v>
      </c>
      <c r="E17" s="2546"/>
      <c r="F17" s="2547">
        <v>0</v>
      </c>
      <c r="G17" s="2546">
        <v>0</v>
      </c>
      <c r="H17" s="2546">
        <f>+VLOOKUP(C17,'Mủ CN (tam ung)'!C60:AK119,35,0)</f>
        <v>94</v>
      </c>
      <c r="I17" s="2546" t="e">
        <f>+VLOOKUP(C17,VCKD!#REF!,9,0)</f>
        <v>#REF!</v>
      </c>
      <c r="J17" s="3016">
        <f t="shared" ref="J17:J80" si="0">+H17*$AA$15</f>
        <v>40.823834424600001</v>
      </c>
      <c r="K17" s="2546" t="e">
        <f t="shared" ref="K17:K78" si="1">+I17*0.5</f>
        <v>#REF!</v>
      </c>
      <c r="L17" s="2545" t="e">
        <f>+VLOOKUP(C17,#REF!,37,0)</f>
        <v>#REF!</v>
      </c>
      <c r="M17" s="3006" t="e">
        <f t="shared" ref="M17:M78" si="2">J17*IF(L17="A",(6.1*$D$11),IF(L17="B",(5.8*$D$11),IF(L17="C",(5.5*$D$11),IF(L17="D",(5.2*$D$11)))))</f>
        <v>#REF!</v>
      </c>
      <c r="N17" s="3006">
        <f>+VLOOKUP(C17,'Đội 2 tu'!C17:M98,11,0)</f>
        <v>157937.296</v>
      </c>
      <c r="O17" s="3006" t="e">
        <f t="shared" ref="O17:O80" si="3">+M17-N17</f>
        <v>#REF!</v>
      </c>
      <c r="P17" s="2688">
        <v>0</v>
      </c>
      <c r="Q17" s="2688">
        <v>0</v>
      </c>
      <c r="R17" s="2689">
        <v>0</v>
      </c>
      <c r="S17" s="2546">
        <v>0</v>
      </c>
      <c r="T17" s="2546" t="e">
        <f t="shared" ref="T17:T80" si="4">+O17</f>
        <v>#REF!</v>
      </c>
      <c r="U17" s="2546"/>
      <c r="V17" s="2546"/>
      <c r="W17" s="2546" t="e">
        <f t="shared" ref="W17:W78" si="5">+T17</f>
        <v>#REF!</v>
      </c>
      <c r="X17" s="2546"/>
      <c r="AA17" s="2935" t="s">
        <v>1614</v>
      </c>
    </row>
    <row r="18" spans="1:27" s="2935" customFormat="1" ht="47.25" customHeight="1">
      <c r="A18" s="2545">
        <v>3</v>
      </c>
      <c r="B18" s="2545">
        <f>[3]TONGHOPCONGDOI!B13</f>
        <v>0</v>
      </c>
      <c r="C18" s="2546" t="s">
        <v>1691</v>
      </c>
      <c r="D18" s="2546" t="str">
        <f>'[3]CNKT '!D18</f>
        <v>CNKT</v>
      </c>
      <c r="E18" s="2546"/>
      <c r="F18" s="2547">
        <v>0</v>
      </c>
      <c r="G18" s="2546">
        <v>0</v>
      </c>
      <c r="H18" s="2546">
        <f>+VLOOKUP(C18,'Mủ CN (tam ung)'!C61:AK120,35,0)</f>
        <v>94</v>
      </c>
      <c r="I18" s="2546" t="e">
        <f>+VLOOKUP(C18,VCKD!#REF!,9,0)</f>
        <v>#REF!</v>
      </c>
      <c r="J18" s="3016">
        <f t="shared" si="0"/>
        <v>40.823834424600001</v>
      </c>
      <c r="K18" s="2546" t="e">
        <f t="shared" si="1"/>
        <v>#REF!</v>
      </c>
      <c r="L18" s="2545" t="e">
        <f>+VLOOKUP(C18,#REF!,37,0)</f>
        <v>#REF!</v>
      </c>
      <c r="M18" s="3006" t="e">
        <f t="shared" si="2"/>
        <v>#REF!</v>
      </c>
      <c r="N18" s="3006">
        <f>+VLOOKUP(C18,'Đội 2 tu'!C18:M99,11,0)</f>
        <v>157937.296</v>
      </c>
      <c r="O18" s="3006" t="e">
        <f t="shared" si="3"/>
        <v>#REF!</v>
      </c>
      <c r="P18" s="2688">
        <v>0</v>
      </c>
      <c r="Q18" s="2688">
        <v>0</v>
      </c>
      <c r="R18" s="2689">
        <v>0</v>
      </c>
      <c r="S18" s="2546">
        <v>0</v>
      </c>
      <c r="T18" s="2546" t="e">
        <f t="shared" si="4"/>
        <v>#REF!</v>
      </c>
      <c r="U18" s="2546"/>
      <c r="V18" s="2546"/>
      <c r="W18" s="2546" t="e">
        <f t="shared" si="5"/>
        <v>#REF!</v>
      </c>
      <c r="X18" s="2546"/>
      <c r="AA18" s="2935" t="s">
        <v>1183</v>
      </c>
    </row>
    <row r="19" spans="1:27" s="2935" customFormat="1" ht="47.25" customHeight="1">
      <c r="A19" s="2545">
        <v>4</v>
      </c>
      <c r="B19" s="2545">
        <v>0</v>
      </c>
      <c r="C19" s="2546" t="s">
        <v>1692</v>
      </c>
      <c r="D19" s="2546" t="str">
        <f>'[3]CNKT '!D19</f>
        <v>CNKT</v>
      </c>
      <c r="E19" s="2546"/>
      <c r="F19" s="2547">
        <v>0</v>
      </c>
      <c r="G19" s="2546">
        <v>0</v>
      </c>
      <c r="H19" s="2546">
        <f>+VLOOKUP(C19,'Mủ CN (tam ung)'!C62:AK121,35,0)</f>
        <v>90</v>
      </c>
      <c r="I19" s="2546" t="e">
        <f>+VLOOKUP(C19,VCKD!#REF!,9,0)</f>
        <v>#REF!</v>
      </c>
      <c r="J19" s="3016">
        <f t="shared" si="0"/>
        <v>39.086649981000001</v>
      </c>
      <c r="K19" s="2546" t="e">
        <f t="shared" si="1"/>
        <v>#REF!</v>
      </c>
      <c r="L19" s="2545" t="e">
        <f>+VLOOKUP(C19,#REF!,37,0)</f>
        <v>#REF!</v>
      </c>
      <c r="M19" s="3006" t="e">
        <f t="shared" si="2"/>
        <v>#REF!</v>
      </c>
      <c r="N19" s="3006">
        <f>+VLOOKUP(C19,'Đội 2 tu'!C19:M100,11,0)</f>
        <v>143779.68</v>
      </c>
      <c r="O19" s="3006" t="e">
        <f t="shared" si="3"/>
        <v>#REF!</v>
      </c>
      <c r="P19" s="2688">
        <v>0</v>
      </c>
      <c r="Q19" s="2688">
        <v>0</v>
      </c>
      <c r="R19" s="2689">
        <v>0</v>
      </c>
      <c r="S19" s="2546">
        <v>0</v>
      </c>
      <c r="T19" s="2546" t="e">
        <f t="shared" si="4"/>
        <v>#REF!</v>
      </c>
      <c r="U19" s="2546"/>
      <c r="V19" s="2546"/>
      <c r="W19" s="2546" t="e">
        <f t="shared" si="5"/>
        <v>#REF!</v>
      </c>
      <c r="X19" s="2546"/>
      <c r="AA19" s="2935" t="s">
        <v>1184</v>
      </c>
    </row>
    <row r="20" spans="1:27" s="2935" customFormat="1" ht="47.25" customHeight="1">
      <c r="A20" s="2545">
        <v>5</v>
      </c>
      <c r="B20" s="2545">
        <f>[3]TONGHOPCONGDOI!B16</f>
        <v>0</v>
      </c>
      <c r="C20" s="2546" t="s">
        <v>1693</v>
      </c>
      <c r="D20" s="2546" t="str">
        <f>'[3]CNKT '!D20</f>
        <v>CNKT</v>
      </c>
      <c r="E20" s="2546"/>
      <c r="F20" s="2547">
        <v>0</v>
      </c>
      <c r="G20" s="2546">
        <v>0</v>
      </c>
      <c r="H20" s="2546">
        <f>+VLOOKUP(C20,'Mủ CN (tam ung)'!C63:AK122,35,0)</f>
        <v>93</v>
      </c>
      <c r="I20" s="2546" t="e">
        <f>+VLOOKUP(C20,VCKD!#REF!,9,0)</f>
        <v>#REF!</v>
      </c>
      <c r="J20" s="3016">
        <f t="shared" si="0"/>
        <v>40.389538313700001</v>
      </c>
      <c r="K20" s="2546" t="e">
        <f t="shared" si="1"/>
        <v>#REF!</v>
      </c>
      <c r="L20" s="2545" t="e">
        <f>+VLOOKUP(C20,#REF!,37,0)</f>
        <v>#REF!</v>
      </c>
      <c r="M20" s="3006" t="e">
        <f t="shared" si="2"/>
        <v>#REF!</v>
      </c>
      <c r="N20" s="3006">
        <f>+VLOOKUP(C20,'Đội 2 tu'!C20:M101,11,0)</f>
        <v>156257.11200000002</v>
      </c>
      <c r="O20" s="3006" t="e">
        <f t="shared" si="3"/>
        <v>#REF!</v>
      </c>
      <c r="P20" s="2688">
        <v>0</v>
      </c>
      <c r="Q20" s="2688">
        <v>0</v>
      </c>
      <c r="R20" s="2689">
        <v>0</v>
      </c>
      <c r="S20" s="2546">
        <v>0</v>
      </c>
      <c r="T20" s="2546" t="e">
        <f t="shared" si="4"/>
        <v>#REF!</v>
      </c>
      <c r="U20" s="2546"/>
      <c r="V20" s="2546"/>
      <c r="W20" s="2546" t="e">
        <f t="shared" si="5"/>
        <v>#REF!</v>
      </c>
      <c r="X20" s="2546"/>
      <c r="AA20" s="2935" t="s">
        <v>1615</v>
      </c>
    </row>
    <row r="21" spans="1:27" s="2935" customFormat="1" ht="47.25" customHeight="1">
      <c r="A21" s="2545">
        <v>6</v>
      </c>
      <c r="B21" s="2545" t="s">
        <v>1760</v>
      </c>
      <c r="C21" s="2546" t="s">
        <v>281</v>
      </c>
      <c r="D21" s="2546" t="str">
        <f>'[3]CNKT '!D21</f>
        <v>CNKT</v>
      </c>
      <c r="E21" s="2546"/>
      <c r="F21" s="2547">
        <v>0</v>
      </c>
      <c r="G21" s="2546">
        <v>0</v>
      </c>
      <c r="H21" s="2546">
        <f>+VLOOKUP(C21,'Mủ CN (tam ung)'!C64:AK123,35,0)</f>
        <v>110</v>
      </c>
      <c r="I21" s="2546" t="e">
        <f>+VLOOKUP(C21,VCKD!#REF!,9,0)</f>
        <v>#REF!</v>
      </c>
      <c r="J21" s="3016">
        <f t="shared" si="0"/>
        <v>47.772572199000003</v>
      </c>
      <c r="K21" s="2546" t="e">
        <f t="shared" si="1"/>
        <v>#REF!</v>
      </c>
      <c r="L21" s="2545" t="e">
        <f>+VLOOKUP(C21,#REF!,37,0)</f>
        <v>#REF!</v>
      </c>
      <c r="M21" s="3006" t="e">
        <f t="shared" si="2"/>
        <v>#REF!</v>
      </c>
      <c r="N21" s="3006">
        <f>+VLOOKUP(C21,'Đội 2 tu'!C21:M102,11,0)</f>
        <v>175730.72</v>
      </c>
      <c r="O21" s="3006" t="e">
        <f t="shared" si="3"/>
        <v>#REF!</v>
      </c>
      <c r="P21" s="2688">
        <v>0</v>
      </c>
      <c r="Q21" s="2688">
        <v>0</v>
      </c>
      <c r="R21" s="2689">
        <v>0</v>
      </c>
      <c r="S21" s="2546">
        <v>0</v>
      </c>
      <c r="T21" s="2546" t="e">
        <f t="shared" si="4"/>
        <v>#REF!</v>
      </c>
      <c r="U21" s="2546"/>
      <c r="V21" s="2546"/>
      <c r="W21" s="2546" t="e">
        <f t="shared" si="5"/>
        <v>#REF!</v>
      </c>
      <c r="X21" s="2546"/>
      <c r="AA21" s="2935" t="s">
        <v>1490</v>
      </c>
    </row>
    <row r="22" spans="1:27" s="2935" customFormat="1" ht="47.25" customHeight="1">
      <c r="A22" s="2545">
        <v>7</v>
      </c>
      <c r="B22" s="2545" t="s">
        <v>1759</v>
      </c>
      <c r="C22" s="2546" t="s">
        <v>1183</v>
      </c>
      <c r="D22" s="2546" t="str">
        <f>'[3]CNKT '!D22</f>
        <v>CNKT</v>
      </c>
      <c r="E22" s="2546"/>
      <c r="F22" s="2547">
        <v>0</v>
      </c>
      <c r="G22" s="2546">
        <v>0</v>
      </c>
      <c r="H22" s="2546">
        <f>+VLOOKUP(C22,'Mủ CN (tam ung)'!C65:AK124,35,0)</f>
        <v>90</v>
      </c>
      <c r="I22" s="2546" t="e">
        <f>+VLOOKUP(C22,VCKD!#REF!,9,0)</f>
        <v>#REF!</v>
      </c>
      <c r="J22" s="3016">
        <f t="shared" si="0"/>
        <v>39.086649981000001</v>
      </c>
      <c r="K22" s="2546" t="e">
        <f t="shared" si="1"/>
        <v>#REF!</v>
      </c>
      <c r="L22" s="2545" t="e">
        <f>+VLOOKUP(C22,#REF!,37,0)</f>
        <v>#REF!</v>
      </c>
      <c r="M22" s="3006" t="e">
        <f t="shared" si="2"/>
        <v>#REF!</v>
      </c>
      <c r="N22" s="3006">
        <f>+VLOOKUP(C22,'Đội 2 tu'!C22:M103,11,0)</f>
        <v>151216.56</v>
      </c>
      <c r="O22" s="3006" t="e">
        <f t="shared" si="3"/>
        <v>#REF!</v>
      </c>
      <c r="P22" s="2688">
        <v>0</v>
      </c>
      <c r="Q22" s="2688">
        <v>0</v>
      </c>
      <c r="R22" s="2689">
        <v>0</v>
      </c>
      <c r="S22" s="2546">
        <v>0</v>
      </c>
      <c r="T22" s="2546" t="e">
        <f t="shared" si="4"/>
        <v>#REF!</v>
      </c>
      <c r="U22" s="2546"/>
      <c r="V22" s="2546"/>
      <c r="W22" s="2546" t="e">
        <f t="shared" si="5"/>
        <v>#REF!</v>
      </c>
      <c r="X22" s="2546"/>
      <c r="AA22" s="2935" t="s">
        <v>1491</v>
      </c>
    </row>
    <row r="23" spans="1:27" s="2935" customFormat="1" ht="47.25" customHeight="1">
      <c r="A23" s="2545">
        <v>8</v>
      </c>
      <c r="B23" s="2545" t="s">
        <v>1761</v>
      </c>
      <c r="C23" s="2546" t="s">
        <v>1184</v>
      </c>
      <c r="D23" s="2546" t="str">
        <f>'[3]CNKT '!D23</f>
        <v>CNKT</v>
      </c>
      <c r="E23" s="2546"/>
      <c r="F23" s="2547">
        <v>0</v>
      </c>
      <c r="G23" s="2546">
        <v>0</v>
      </c>
      <c r="H23" s="2546">
        <f>+VLOOKUP(C23,'Mủ CN (tam ung)'!C66:AK125,35,0)</f>
        <v>90</v>
      </c>
      <c r="I23" s="2546" t="e">
        <f>+VLOOKUP(C23,VCKD!#REF!,9,0)</f>
        <v>#REF!</v>
      </c>
      <c r="J23" s="3016">
        <f t="shared" si="0"/>
        <v>39.086649981000001</v>
      </c>
      <c r="K23" s="2546" t="e">
        <f t="shared" si="1"/>
        <v>#REF!</v>
      </c>
      <c r="L23" s="2545" t="e">
        <f>+VLOOKUP(C23,#REF!,37,0)</f>
        <v>#REF!</v>
      </c>
      <c r="M23" s="3006" t="e">
        <f t="shared" si="2"/>
        <v>#REF!</v>
      </c>
      <c r="N23" s="3006">
        <f>+VLOOKUP(C23,'Đội 2 tu'!C23:M104,11,0)</f>
        <v>151216.56</v>
      </c>
      <c r="O23" s="3006" t="e">
        <f t="shared" si="3"/>
        <v>#REF!</v>
      </c>
      <c r="P23" s="2688">
        <v>0</v>
      </c>
      <c r="Q23" s="2688">
        <v>0</v>
      </c>
      <c r="R23" s="2689">
        <v>0</v>
      </c>
      <c r="S23" s="2546">
        <v>0</v>
      </c>
      <c r="T23" s="2546" t="e">
        <f t="shared" si="4"/>
        <v>#REF!</v>
      </c>
      <c r="U23" s="2546"/>
      <c r="V23" s="2546"/>
      <c r="W23" s="2546" t="e">
        <f t="shared" si="5"/>
        <v>#REF!</v>
      </c>
      <c r="X23" s="2546"/>
      <c r="AA23" s="2935" t="s">
        <v>1492</v>
      </c>
    </row>
    <row r="24" spans="1:27" s="2935" customFormat="1" ht="47.25" customHeight="1">
      <c r="A24" s="2545">
        <v>9</v>
      </c>
      <c r="B24" s="2545" t="s">
        <v>1762</v>
      </c>
      <c r="C24" s="2546" t="s">
        <v>1615</v>
      </c>
      <c r="D24" s="2546" t="str">
        <f>'[3]CNKT '!D24</f>
        <v>CNKT</v>
      </c>
      <c r="E24" s="2546"/>
      <c r="F24" s="2547">
        <v>0</v>
      </c>
      <c r="G24" s="2546">
        <v>0</v>
      </c>
      <c r="H24" s="2546">
        <f>+VLOOKUP(C24,'Mủ CN (tam ung)'!C67:AK126,35,0)</f>
        <v>114</v>
      </c>
      <c r="I24" s="2546" t="e">
        <f>+VLOOKUP(C24,VCKD!#REF!,9,0)</f>
        <v>#REF!</v>
      </c>
      <c r="J24" s="3016">
        <f t="shared" si="0"/>
        <v>49.509756642600003</v>
      </c>
      <c r="K24" s="2546" t="e">
        <f t="shared" si="1"/>
        <v>#REF!</v>
      </c>
      <c r="L24" s="2545" t="e">
        <f>+VLOOKUP(C24,#REF!,37,0)</f>
        <v>#REF!</v>
      </c>
      <c r="M24" s="3006" t="e">
        <f t="shared" si="2"/>
        <v>#REF!</v>
      </c>
      <c r="N24" s="3006">
        <f>+VLOOKUP(C24,'Đội 2 tu'!C24:M105,11,0)</f>
        <v>191540.976</v>
      </c>
      <c r="O24" s="3006" t="e">
        <f t="shared" si="3"/>
        <v>#REF!</v>
      </c>
      <c r="P24" s="2688">
        <v>0</v>
      </c>
      <c r="Q24" s="2688">
        <v>0</v>
      </c>
      <c r="R24" s="2689">
        <v>0</v>
      </c>
      <c r="S24" s="2546">
        <v>0</v>
      </c>
      <c r="T24" s="2546" t="e">
        <f t="shared" si="4"/>
        <v>#REF!</v>
      </c>
      <c r="U24" s="2546"/>
      <c r="V24" s="2546"/>
      <c r="W24" s="2546" t="e">
        <f t="shared" si="5"/>
        <v>#REF!</v>
      </c>
      <c r="X24" s="2546"/>
      <c r="AA24" s="2935" t="s">
        <v>1493</v>
      </c>
    </row>
    <row r="25" spans="1:27" s="2935" customFormat="1" ht="47.25" customHeight="1">
      <c r="A25" s="2545">
        <v>10</v>
      </c>
      <c r="B25" s="2545" t="s">
        <v>1763</v>
      </c>
      <c r="C25" s="2546" t="s">
        <v>1490</v>
      </c>
      <c r="D25" s="2546" t="str">
        <f>'[3]CNKT '!D25</f>
        <v>CNKT</v>
      </c>
      <c r="E25" s="2546"/>
      <c r="F25" s="2547">
        <v>0</v>
      </c>
      <c r="G25" s="2546">
        <v>0</v>
      </c>
      <c r="H25" s="2546">
        <f>+VLOOKUP(C25,'Mủ CN (tam ung)'!C68:AK127,35,0)</f>
        <v>114</v>
      </c>
      <c r="I25" s="2546" t="e">
        <f>+VLOOKUP(C25,VCKD!#REF!,9,0)</f>
        <v>#REF!</v>
      </c>
      <c r="J25" s="3016">
        <f t="shared" si="0"/>
        <v>49.509756642600003</v>
      </c>
      <c r="K25" s="2546" t="e">
        <f t="shared" si="1"/>
        <v>#REF!</v>
      </c>
      <c r="L25" s="2545" t="e">
        <f>+VLOOKUP(C25,#REF!,37,0)</f>
        <v>#REF!</v>
      </c>
      <c r="M25" s="3006" t="e">
        <f t="shared" si="2"/>
        <v>#REF!</v>
      </c>
      <c r="N25" s="3006">
        <f>+VLOOKUP(C25,'Đội 2 tu'!C25:M106,11,0)</f>
        <v>191540.976</v>
      </c>
      <c r="O25" s="3006" t="e">
        <f t="shared" si="3"/>
        <v>#REF!</v>
      </c>
      <c r="P25" s="2688">
        <v>0</v>
      </c>
      <c r="Q25" s="2688">
        <v>0</v>
      </c>
      <c r="R25" s="2689">
        <v>0</v>
      </c>
      <c r="S25" s="2546">
        <v>0</v>
      </c>
      <c r="T25" s="2546" t="e">
        <f t="shared" si="4"/>
        <v>#REF!</v>
      </c>
      <c r="U25" s="2546"/>
      <c r="V25" s="2546"/>
      <c r="W25" s="2546" t="e">
        <f t="shared" si="5"/>
        <v>#REF!</v>
      </c>
      <c r="X25" s="2546"/>
      <c r="AA25" s="2935" t="s">
        <v>1616</v>
      </c>
    </row>
    <row r="26" spans="1:27" s="2935" customFormat="1" ht="47.25" customHeight="1">
      <c r="A26" s="2545">
        <v>11</v>
      </c>
      <c r="B26" s="2545" t="s">
        <v>1764</v>
      </c>
      <c r="C26" s="2546" t="s">
        <v>1694</v>
      </c>
      <c r="D26" s="2546" t="str">
        <f>'[3]CNKT '!D28</f>
        <v>CNKT</v>
      </c>
      <c r="E26" s="2546"/>
      <c r="F26" s="2547">
        <v>0</v>
      </c>
      <c r="G26" s="2546">
        <v>0</v>
      </c>
      <c r="H26" s="2546">
        <f>+VLOOKUP(C26,'Mủ CN (tam ung)'!C69:AK130,35,0)</f>
        <v>77</v>
      </c>
      <c r="I26" s="2546" t="e">
        <f>+VLOOKUP(C26,VCKD!#REF!,9,0)</f>
        <v>#REF!</v>
      </c>
      <c r="J26" s="3016">
        <f t="shared" si="0"/>
        <v>33.4408005393</v>
      </c>
      <c r="K26" s="2546" t="e">
        <f t="shared" si="1"/>
        <v>#REF!</v>
      </c>
      <c r="L26" s="2545" t="e">
        <f>+VLOOKUP(C26,#REF!,37,0)</f>
        <v>#REF!</v>
      </c>
      <c r="M26" s="3006" t="e">
        <f t="shared" si="2"/>
        <v>#REF!</v>
      </c>
      <c r="N26" s="3006">
        <f>+VLOOKUP(C26,'Đội 2 tu'!C26:M107,11,0)</f>
        <v>129374.16800000001</v>
      </c>
      <c r="O26" s="3006" t="e">
        <f t="shared" si="3"/>
        <v>#REF!</v>
      </c>
      <c r="P26" s="2688">
        <v>0</v>
      </c>
      <c r="Q26" s="2688">
        <v>0</v>
      </c>
      <c r="R26" s="2689">
        <v>0</v>
      </c>
      <c r="S26" s="2546">
        <v>0</v>
      </c>
      <c r="T26" s="2546" t="e">
        <f t="shared" si="4"/>
        <v>#REF!</v>
      </c>
      <c r="U26" s="2546"/>
      <c r="V26" s="2546"/>
      <c r="W26" s="2546" t="e">
        <f t="shared" si="5"/>
        <v>#REF!</v>
      </c>
      <c r="X26" s="2546"/>
      <c r="AA26" s="2935" t="s">
        <v>1617</v>
      </c>
    </row>
    <row r="27" spans="1:27" s="2935" customFormat="1" ht="47.25" customHeight="1">
      <c r="A27" s="2545">
        <v>12</v>
      </c>
      <c r="B27" s="2545" t="s">
        <v>1765</v>
      </c>
      <c r="C27" s="2546" t="s">
        <v>1616</v>
      </c>
      <c r="D27" s="2546" t="str">
        <f>'[3]CNKT '!D29</f>
        <v>CNKT</v>
      </c>
      <c r="E27" s="2546"/>
      <c r="F27" s="2547">
        <v>0</v>
      </c>
      <c r="G27" s="2546">
        <v>0</v>
      </c>
      <c r="H27" s="2546">
        <f>+VLOOKUP(C27,'Mủ CN (tam ung)'!C70:AK131,35,0)</f>
        <v>78</v>
      </c>
      <c r="I27" s="2546" t="e">
        <f>+VLOOKUP(C27,VCKD!#REF!,9,0)</f>
        <v>#REF!</v>
      </c>
      <c r="J27" s="3016">
        <f t="shared" si="0"/>
        <v>33.8750966502</v>
      </c>
      <c r="K27" s="2546" t="e">
        <f t="shared" si="1"/>
        <v>#REF!</v>
      </c>
      <c r="L27" s="2545" t="e">
        <f>+VLOOKUP(C27,#REF!,37,0)</f>
        <v>#REF!</v>
      </c>
      <c r="M27" s="3006" t="e">
        <f t="shared" si="2"/>
        <v>#REF!</v>
      </c>
      <c r="N27" s="3006">
        <f>+VLOOKUP(C27,'Đội 2 tu'!C27:M108,11,0)</f>
        <v>131054.35200000001</v>
      </c>
      <c r="O27" s="3006" t="e">
        <f t="shared" si="3"/>
        <v>#REF!</v>
      </c>
      <c r="P27" s="2688">
        <v>0</v>
      </c>
      <c r="Q27" s="2688">
        <v>0</v>
      </c>
      <c r="R27" s="2689">
        <v>0</v>
      </c>
      <c r="S27" s="2546">
        <v>0</v>
      </c>
      <c r="T27" s="2546" t="e">
        <f t="shared" si="4"/>
        <v>#REF!</v>
      </c>
      <c r="U27" s="2546"/>
      <c r="V27" s="2546"/>
      <c r="W27" s="2546" t="e">
        <f t="shared" si="5"/>
        <v>#REF!</v>
      </c>
      <c r="X27" s="2546"/>
      <c r="AA27" s="2935" t="s">
        <v>1201</v>
      </c>
    </row>
    <row r="28" spans="1:27" s="2935" customFormat="1" ht="47.25" customHeight="1">
      <c r="A28" s="2545">
        <v>13</v>
      </c>
      <c r="B28" s="2545" t="s">
        <v>1767</v>
      </c>
      <c r="C28" s="2546" t="s">
        <v>1229</v>
      </c>
      <c r="D28" s="2546" t="str">
        <f>'[3]CNKT '!D30</f>
        <v>CNKT</v>
      </c>
      <c r="E28" s="2546"/>
      <c r="F28" s="2547">
        <v>0</v>
      </c>
      <c r="G28" s="2546">
        <v>0</v>
      </c>
      <c r="H28" s="2546">
        <f>+VLOOKUP(C28,'Mủ CN (tam ung)'!C71:AK132,35,0)</f>
        <v>44</v>
      </c>
      <c r="I28" s="2546" t="e">
        <f>+VLOOKUP(C28,VCKD!#REF!,9,0)</f>
        <v>#REF!</v>
      </c>
      <c r="J28" s="3016">
        <f t="shared" si="0"/>
        <v>19.1090288796</v>
      </c>
      <c r="K28" s="2546" t="e">
        <f t="shared" si="1"/>
        <v>#REF!</v>
      </c>
      <c r="L28" s="2545" t="e">
        <f>+VLOOKUP(C28,#REF!,37,0)</f>
        <v>#REF!</v>
      </c>
      <c r="M28" s="3006" t="e">
        <f t="shared" si="2"/>
        <v>#REF!</v>
      </c>
      <c r="N28" s="3006">
        <f>+VLOOKUP(C28,'Đội 2 tu'!C28:M109,11,0)</f>
        <v>73928.096000000005</v>
      </c>
      <c r="O28" s="3006" t="e">
        <f t="shared" si="3"/>
        <v>#REF!</v>
      </c>
      <c r="P28" s="2688">
        <v>0</v>
      </c>
      <c r="Q28" s="2688">
        <v>0</v>
      </c>
      <c r="R28" s="2689">
        <v>0</v>
      </c>
      <c r="S28" s="2546">
        <v>0</v>
      </c>
      <c r="T28" s="2546" t="e">
        <f t="shared" si="4"/>
        <v>#REF!</v>
      </c>
      <c r="U28" s="2546"/>
      <c r="V28" s="2546"/>
      <c r="W28" s="2546" t="e">
        <f t="shared" si="5"/>
        <v>#REF!</v>
      </c>
      <c r="X28" s="2546"/>
      <c r="AA28" s="2935" t="s">
        <v>1192</v>
      </c>
    </row>
    <row r="29" spans="1:27" s="2935" customFormat="1" ht="47.25" customHeight="1">
      <c r="A29" s="2545">
        <v>14</v>
      </c>
      <c r="B29" s="2545" t="s">
        <v>1766</v>
      </c>
      <c r="C29" s="2546" t="s">
        <v>1494</v>
      </c>
      <c r="D29" s="2546" t="str">
        <f>'[3]CNKT '!D31</f>
        <v>CNKT</v>
      </c>
      <c r="E29" s="2546"/>
      <c r="F29" s="2547">
        <v>0</v>
      </c>
      <c r="G29" s="2546">
        <v>0</v>
      </c>
      <c r="H29" s="2546">
        <f>+VLOOKUP(C29,'Mủ CN (tam ung)'!C72:AK133,35,0)</f>
        <v>74</v>
      </c>
      <c r="I29" s="2546" t="e">
        <f>+VLOOKUP(C29,VCKD!#REF!,9,0)</f>
        <v>#REF!</v>
      </c>
      <c r="J29" s="3016">
        <f t="shared" si="0"/>
        <v>32.137912206599999</v>
      </c>
      <c r="K29" s="2546" t="e">
        <f t="shared" si="1"/>
        <v>#REF!</v>
      </c>
      <c r="L29" s="2545" t="e">
        <f>+VLOOKUP(C29,#REF!,37,0)</f>
        <v>#REF!</v>
      </c>
      <c r="M29" s="3006" t="e">
        <f t="shared" si="2"/>
        <v>#REF!</v>
      </c>
      <c r="N29" s="3006">
        <f>+VLOOKUP(C29,'Đội 2 tu'!C29:M110,11,0)</f>
        <v>124333.61600000001</v>
      </c>
      <c r="O29" s="3006" t="e">
        <f t="shared" si="3"/>
        <v>#REF!</v>
      </c>
      <c r="P29" s="2688">
        <v>0</v>
      </c>
      <c r="Q29" s="2688">
        <v>0</v>
      </c>
      <c r="R29" s="2689">
        <v>0</v>
      </c>
      <c r="S29" s="2546">
        <v>0</v>
      </c>
      <c r="T29" s="2546" t="e">
        <f t="shared" si="4"/>
        <v>#REF!</v>
      </c>
      <c r="U29" s="2546"/>
      <c r="V29" s="2546"/>
      <c r="W29" s="2546" t="e">
        <f t="shared" si="5"/>
        <v>#REF!</v>
      </c>
      <c r="X29" s="2546"/>
      <c r="AA29" s="2935" t="s">
        <v>1495</v>
      </c>
    </row>
    <row r="30" spans="1:27" s="2935" customFormat="1" ht="47.25" customHeight="1">
      <c r="A30" s="2545">
        <v>15</v>
      </c>
      <c r="B30" s="2545" t="s">
        <v>1768</v>
      </c>
      <c r="C30" s="2546" t="s">
        <v>243</v>
      </c>
      <c r="D30" s="2546" t="str">
        <f>'[3]CNKT '!D32</f>
        <v>CNKT</v>
      </c>
      <c r="E30" s="2546"/>
      <c r="F30" s="2547">
        <v>0</v>
      </c>
      <c r="G30" s="2546">
        <v>0</v>
      </c>
      <c r="H30" s="2546">
        <f>+VLOOKUP(C30,'Mủ CN (tam ung)'!C73:AK134,35,0)</f>
        <v>63</v>
      </c>
      <c r="I30" s="2546" t="e">
        <f>+VLOOKUP(C30,VCKD!#REF!,9,0)</f>
        <v>#REF!</v>
      </c>
      <c r="J30" s="3016">
        <f t="shared" si="0"/>
        <v>27.360654986700002</v>
      </c>
      <c r="K30" s="2546" t="e">
        <f t="shared" si="1"/>
        <v>#REF!</v>
      </c>
      <c r="L30" s="2545" t="e">
        <f>+VLOOKUP(C30,#REF!,37,0)</f>
        <v>#REF!</v>
      </c>
      <c r="M30" s="3006" t="e">
        <f t="shared" si="2"/>
        <v>#REF!</v>
      </c>
      <c r="N30" s="3006">
        <f>+VLOOKUP(C30,'Đội 2 tu'!C30:M111,11,0)</f>
        <v>100645.77600000001</v>
      </c>
      <c r="O30" s="3006" t="e">
        <f t="shared" si="3"/>
        <v>#REF!</v>
      </c>
      <c r="P30" s="2688">
        <v>0</v>
      </c>
      <c r="Q30" s="2688">
        <v>0</v>
      </c>
      <c r="R30" s="2689">
        <v>0</v>
      </c>
      <c r="S30" s="2546">
        <v>0</v>
      </c>
      <c r="T30" s="2546" t="e">
        <f t="shared" si="4"/>
        <v>#REF!</v>
      </c>
      <c r="U30" s="2546"/>
      <c r="V30" s="2546"/>
      <c r="W30" s="2546" t="e">
        <f t="shared" si="5"/>
        <v>#REF!</v>
      </c>
      <c r="X30" s="2546"/>
      <c r="AA30" s="2935" t="s">
        <v>1496</v>
      </c>
    </row>
    <row r="31" spans="1:27" s="2935" customFormat="1" ht="47.25" customHeight="1">
      <c r="A31" s="2545">
        <v>16</v>
      </c>
      <c r="B31" s="2545" t="s">
        <v>1769</v>
      </c>
      <c r="C31" s="2546" t="s">
        <v>1533</v>
      </c>
      <c r="D31" s="2546" t="str">
        <f>'[3]CNKT '!D33</f>
        <v>CNKT</v>
      </c>
      <c r="E31" s="2546"/>
      <c r="F31" s="2547">
        <v>0</v>
      </c>
      <c r="G31" s="2546">
        <v>0</v>
      </c>
      <c r="H31" s="2546">
        <f>+VLOOKUP(C31,'Mủ CN (tam ung)'!C74:AK135,35,0)</f>
        <v>75</v>
      </c>
      <c r="I31" s="2546" t="e">
        <f>+VLOOKUP(C31,VCKD!#REF!,9,0)</f>
        <v>#REF!</v>
      </c>
      <c r="J31" s="3016">
        <f t="shared" si="0"/>
        <v>32.572208317499999</v>
      </c>
      <c r="K31" s="2546" t="e">
        <f t="shared" si="1"/>
        <v>#REF!</v>
      </c>
      <c r="L31" s="2545" t="e">
        <f>+VLOOKUP(C31,#REF!,37,0)</f>
        <v>#REF!</v>
      </c>
      <c r="M31" s="3006" t="e">
        <f t="shared" si="2"/>
        <v>#REF!</v>
      </c>
      <c r="N31" s="3006">
        <f>+VLOOKUP(C31,'Đội 2 tu'!C31:M112,11,0)</f>
        <v>126013.8</v>
      </c>
      <c r="O31" s="3006" t="e">
        <f t="shared" si="3"/>
        <v>#REF!</v>
      </c>
      <c r="P31" s="2688">
        <v>0</v>
      </c>
      <c r="Q31" s="2688">
        <v>0</v>
      </c>
      <c r="R31" s="2689">
        <v>0</v>
      </c>
      <c r="S31" s="2546">
        <v>0</v>
      </c>
      <c r="T31" s="2546" t="e">
        <f t="shared" si="4"/>
        <v>#REF!</v>
      </c>
      <c r="U31" s="2546"/>
      <c r="V31" s="2546"/>
      <c r="W31" s="2546" t="e">
        <f t="shared" si="5"/>
        <v>#REF!</v>
      </c>
      <c r="X31" s="2546"/>
      <c r="AA31" s="2935" t="s">
        <v>1618</v>
      </c>
    </row>
    <row r="32" spans="1:27" s="2935" customFormat="1" ht="47.25" customHeight="1">
      <c r="A32" s="2545">
        <v>17</v>
      </c>
      <c r="B32" s="2545" t="s">
        <v>1770</v>
      </c>
      <c r="C32" s="2546" t="s">
        <v>1534</v>
      </c>
      <c r="D32" s="2546" t="str">
        <f>'[3]CNKT '!D34</f>
        <v>CNKT</v>
      </c>
      <c r="E32" s="2546"/>
      <c r="F32" s="2547">
        <v>0</v>
      </c>
      <c r="G32" s="2546">
        <v>0</v>
      </c>
      <c r="H32" s="2546">
        <f>+VLOOKUP(C32,'Mủ CN (tam ung)'!C75:AK136,35,0)</f>
        <v>74</v>
      </c>
      <c r="I32" s="2546" t="e">
        <f>+VLOOKUP(C32,VCKD!#REF!,9,0)</f>
        <v>#REF!</v>
      </c>
      <c r="J32" s="3016">
        <f t="shared" si="0"/>
        <v>32.137912206599999</v>
      </c>
      <c r="K32" s="2546" t="e">
        <f t="shared" si="1"/>
        <v>#REF!</v>
      </c>
      <c r="L32" s="2545" t="e">
        <f>+VLOOKUP(C32,#REF!,37,0)</f>
        <v>#REF!</v>
      </c>
      <c r="M32" s="3006" t="e">
        <f t="shared" si="2"/>
        <v>#REF!</v>
      </c>
      <c r="N32" s="3006">
        <f>+VLOOKUP(C32,'Đội 2 tu'!C32:M113,11,0)</f>
        <v>124333.61600000001</v>
      </c>
      <c r="O32" s="3006" t="e">
        <f t="shared" si="3"/>
        <v>#REF!</v>
      </c>
      <c r="P32" s="2688">
        <v>0</v>
      </c>
      <c r="Q32" s="2688">
        <v>0</v>
      </c>
      <c r="R32" s="2689">
        <v>0</v>
      </c>
      <c r="S32" s="2546">
        <v>0</v>
      </c>
      <c r="T32" s="2546" t="e">
        <f t="shared" si="4"/>
        <v>#REF!</v>
      </c>
      <c r="U32" s="2546"/>
      <c r="V32" s="2546"/>
      <c r="W32" s="2546" t="e">
        <f t="shared" si="5"/>
        <v>#REF!</v>
      </c>
      <c r="X32" s="2546"/>
      <c r="AA32" s="2935" t="s">
        <v>169</v>
      </c>
    </row>
    <row r="33" spans="1:27" s="2935" customFormat="1" ht="47.25" customHeight="1">
      <c r="A33" s="2545">
        <v>18</v>
      </c>
      <c r="B33" s="2545">
        <f>[3]TONGHOPCONGDOI!B36</f>
        <v>0</v>
      </c>
      <c r="C33" s="2546" t="s">
        <v>1695</v>
      </c>
      <c r="D33" s="2546" t="str">
        <f>'[3]CNKT '!D35</f>
        <v>CNKT</v>
      </c>
      <c r="E33" s="2546"/>
      <c r="F33" s="2547">
        <v>0</v>
      </c>
      <c r="G33" s="2546">
        <v>0</v>
      </c>
      <c r="H33" s="2546">
        <f>+VLOOKUP(C33,'Mủ CN (tam ung)'!C76:AK137,35,0)</f>
        <v>74</v>
      </c>
      <c r="I33" s="2546" t="e">
        <f>+VLOOKUP(C33,VCKD!#REF!,9,0)</f>
        <v>#REF!</v>
      </c>
      <c r="J33" s="3016">
        <f t="shared" si="0"/>
        <v>32.137912206599999</v>
      </c>
      <c r="K33" s="2546" t="e">
        <f t="shared" si="1"/>
        <v>#REF!</v>
      </c>
      <c r="L33" s="2545" t="e">
        <f>+VLOOKUP(C33,#REF!,37,0)</f>
        <v>#REF!</v>
      </c>
      <c r="M33" s="3006" t="e">
        <f t="shared" si="2"/>
        <v>#REF!</v>
      </c>
      <c r="N33" s="3006">
        <f>+VLOOKUP(C33,'Đội 2 tu'!C33:M114,11,0)</f>
        <v>124333.61600000001</v>
      </c>
      <c r="O33" s="3006" t="e">
        <f t="shared" si="3"/>
        <v>#REF!</v>
      </c>
      <c r="P33" s="2688">
        <v>0</v>
      </c>
      <c r="Q33" s="2688">
        <v>0</v>
      </c>
      <c r="R33" s="2689">
        <v>0</v>
      </c>
      <c r="S33" s="2546">
        <v>0</v>
      </c>
      <c r="T33" s="2546" t="e">
        <f t="shared" si="4"/>
        <v>#REF!</v>
      </c>
      <c r="U33" s="2546"/>
      <c r="V33" s="2546"/>
      <c r="W33" s="2546" t="e">
        <f t="shared" si="5"/>
        <v>#REF!</v>
      </c>
      <c r="X33" s="2546"/>
      <c r="AA33" s="2935" t="s">
        <v>1497</v>
      </c>
    </row>
    <row r="34" spans="1:27" s="2935" customFormat="1" ht="47.25" customHeight="1">
      <c r="A34" s="2545">
        <v>19</v>
      </c>
      <c r="B34" s="2545" t="s">
        <v>1771</v>
      </c>
      <c r="C34" s="2546" t="s">
        <v>1535</v>
      </c>
      <c r="D34" s="2546" t="str">
        <f>'[3]CNKT '!D36</f>
        <v>CNKT</v>
      </c>
      <c r="E34" s="2546"/>
      <c r="F34" s="2547">
        <v>0</v>
      </c>
      <c r="G34" s="2546">
        <v>0</v>
      </c>
      <c r="H34" s="2546">
        <f>+VLOOKUP(C34,'Mủ CN (tam ung)'!C77:AK138,35,0)</f>
        <v>58</v>
      </c>
      <c r="I34" s="2546" t="e">
        <f>+VLOOKUP(C34,VCKD!#REF!,9,0)</f>
        <v>#REF!</v>
      </c>
      <c r="J34" s="3016">
        <f t="shared" si="0"/>
        <v>25.189174432200002</v>
      </c>
      <c r="K34" s="2546" t="e">
        <f t="shared" si="1"/>
        <v>#REF!</v>
      </c>
      <c r="L34" s="2545" t="e">
        <f>+VLOOKUP(C34,#REF!,37,0)</f>
        <v>#REF!</v>
      </c>
      <c r="M34" s="3006" t="e">
        <f t="shared" si="2"/>
        <v>#REF!</v>
      </c>
      <c r="N34" s="3006">
        <f>+VLOOKUP(C34,'Đội 2 tu'!C34:M115,11,0)</f>
        <v>97450.672000000006</v>
      </c>
      <c r="O34" s="3006" t="e">
        <f t="shared" si="3"/>
        <v>#REF!</v>
      </c>
      <c r="P34" s="2688">
        <v>0</v>
      </c>
      <c r="Q34" s="2688">
        <v>0</v>
      </c>
      <c r="R34" s="2689">
        <v>0</v>
      </c>
      <c r="S34" s="2546">
        <v>0</v>
      </c>
      <c r="T34" s="2546" t="e">
        <f t="shared" si="4"/>
        <v>#REF!</v>
      </c>
      <c r="U34" s="2546"/>
      <c r="V34" s="2546"/>
      <c r="W34" s="2546" t="e">
        <f t="shared" si="5"/>
        <v>#REF!</v>
      </c>
      <c r="X34" s="2546"/>
      <c r="AA34" s="2935" t="s">
        <v>1498</v>
      </c>
    </row>
    <row r="35" spans="1:27" s="2935" customFormat="1" ht="47.25" customHeight="1">
      <c r="A35" s="2545">
        <v>20</v>
      </c>
      <c r="B35" s="2545" t="s">
        <v>1772</v>
      </c>
      <c r="C35" s="2546" t="s">
        <v>1696</v>
      </c>
      <c r="D35" s="2546" t="str">
        <f>'[3]CNKT '!D37</f>
        <v>CNKT</v>
      </c>
      <c r="E35" s="2546"/>
      <c r="F35" s="2547">
        <v>0</v>
      </c>
      <c r="G35" s="2546">
        <v>0</v>
      </c>
      <c r="H35" s="2546">
        <f>+VLOOKUP(C35,'Mủ CN (tam ung)'!C78:AK139,35,0)</f>
        <v>74</v>
      </c>
      <c r="I35" s="2546" t="e">
        <f>+VLOOKUP(C35,VCKD!#REF!,9,0)</f>
        <v>#REF!</v>
      </c>
      <c r="J35" s="3016">
        <f t="shared" si="0"/>
        <v>32.137912206599999</v>
      </c>
      <c r="K35" s="2546" t="e">
        <f t="shared" si="1"/>
        <v>#REF!</v>
      </c>
      <c r="L35" s="2545" t="e">
        <f>+VLOOKUP(C35,#REF!,37,0)</f>
        <v>#REF!</v>
      </c>
      <c r="M35" s="3006" t="e">
        <f t="shared" si="2"/>
        <v>#REF!</v>
      </c>
      <c r="N35" s="3006">
        <f>+VLOOKUP(C35,'Đội 2 tu'!C35:M116,11,0)</f>
        <v>124333.61600000001</v>
      </c>
      <c r="O35" s="3006" t="e">
        <f t="shared" si="3"/>
        <v>#REF!</v>
      </c>
      <c r="P35" s="2688">
        <v>0</v>
      </c>
      <c r="Q35" s="2688">
        <v>0</v>
      </c>
      <c r="R35" s="2689">
        <v>0</v>
      </c>
      <c r="S35" s="2546">
        <v>0</v>
      </c>
      <c r="T35" s="2546" t="e">
        <f t="shared" si="4"/>
        <v>#REF!</v>
      </c>
      <c r="U35" s="2546"/>
      <c r="V35" s="2546"/>
      <c r="W35" s="2546" t="e">
        <f t="shared" si="5"/>
        <v>#REF!</v>
      </c>
      <c r="X35" s="2546"/>
      <c r="AA35" s="2935" t="s">
        <v>1189</v>
      </c>
    </row>
    <row r="36" spans="1:27" s="2935" customFormat="1" ht="47.25" customHeight="1">
      <c r="A36" s="2545">
        <v>21</v>
      </c>
      <c r="B36" s="2545" t="s">
        <v>1773</v>
      </c>
      <c r="C36" s="2546" t="s">
        <v>1495</v>
      </c>
      <c r="D36" s="2546" t="str">
        <f>'[3]CNKT '!D38</f>
        <v>CNKT</v>
      </c>
      <c r="E36" s="2546"/>
      <c r="F36" s="2547">
        <v>0</v>
      </c>
      <c r="G36" s="2546">
        <v>0</v>
      </c>
      <c r="H36" s="2546">
        <f>+VLOOKUP(C36,'Mủ CN (tam ung)'!C79:AK140,35,0)</f>
        <v>107</v>
      </c>
      <c r="I36" s="2546" t="e">
        <f>+VLOOKUP(C36,VCKD!#REF!,9,0)</f>
        <v>#REF!</v>
      </c>
      <c r="J36" s="3016">
        <f t="shared" si="0"/>
        <v>46.469683866300002</v>
      </c>
      <c r="K36" s="2546" t="e">
        <f t="shared" si="1"/>
        <v>#REF!</v>
      </c>
      <c r="L36" s="2545" t="e">
        <f>+VLOOKUP(C36,#REF!,37,0)</f>
        <v>#REF!</v>
      </c>
      <c r="M36" s="3006" t="e">
        <f t="shared" si="2"/>
        <v>#REF!</v>
      </c>
      <c r="N36" s="3006">
        <f>+VLOOKUP(C36,'Đội 2 tu'!C36:M117,11,0)</f>
        <v>179779.68800000002</v>
      </c>
      <c r="O36" s="3006" t="e">
        <f t="shared" si="3"/>
        <v>#REF!</v>
      </c>
      <c r="P36" s="2688">
        <v>0</v>
      </c>
      <c r="Q36" s="2688">
        <v>0</v>
      </c>
      <c r="R36" s="2689">
        <v>0</v>
      </c>
      <c r="S36" s="2546">
        <v>0</v>
      </c>
      <c r="T36" s="2546" t="e">
        <f t="shared" si="4"/>
        <v>#REF!</v>
      </c>
      <c r="U36" s="2546"/>
      <c r="V36" s="2546"/>
      <c r="W36" s="2546" t="e">
        <f t="shared" si="5"/>
        <v>#REF!</v>
      </c>
      <c r="X36" s="2546"/>
      <c r="AA36" s="2935" t="s">
        <v>1499</v>
      </c>
    </row>
    <row r="37" spans="1:27" s="2935" customFormat="1" ht="47.25" customHeight="1">
      <c r="A37" s="2545">
        <v>22</v>
      </c>
      <c r="B37" s="2545" t="s">
        <v>1774</v>
      </c>
      <c r="C37" s="2546" t="s">
        <v>1496</v>
      </c>
      <c r="D37" s="2546" t="str">
        <f>'[3]CNKT '!D39</f>
        <v>CNKT</v>
      </c>
      <c r="E37" s="2546"/>
      <c r="F37" s="2547">
        <v>0</v>
      </c>
      <c r="G37" s="2546">
        <v>0</v>
      </c>
      <c r="H37" s="2546">
        <f>+VLOOKUP(C37,'Mủ CN (tam ung)'!C80:AK140,35,0)</f>
        <v>107</v>
      </c>
      <c r="I37" s="2546" t="e">
        <f>+VLOOKUP(C37,VCKD!#REF!,9,0)</f>
        <v>#REF!</v>
      </c>
      <c r="J37" s="3016">
        <f t="shared" si="0"/>
        <v>46.469683866300002</v>
      </c>
      <c r="K37" s="2546" t="e">
        <f t="shared" si="1"/>
        <v>#REF!</v>
      </c>
      <c r="L37" s="2545" t="e">
        <f>+VLOOKUP(C37,#REF!,37,0)</f>
        <v>#REF!</v>
      </c>
      <c r="M37" s="3006" t="e">
        <f t="shared" si="2"/>
        <v>#REF!</v>
      </c>
      <c r="N37" s="3006">
        <f>+VLOOKUP(C37,'Đội 2 tu'!C37:M118,11,0)</f>
        <v>179779.68800000002</v>
      </c>
      <c r="O37" s="3006" t="e">
        <f t="shared" si="3"/>
        <v>#REF!</v>
      </c>
      <c r="P37" s="2688">
        <v>0</v>
      </c>
      <c r="Q37" s="2688">
        <v>0</v>
      </c>
      <c r="R37" s="2689">
        <v>0</v>
      </c>
      <c r="S37" s="2546">
        <v>0</v>
      </c>
      <c r="T37" s="2546" t="e">
        <f t="shared" si="4"/>
        <v>#REF!</v>
      </c>
      <c r="U37" s="2546"/>
      <c r="V37" s="2546"/>
      <c r="W37" s="2546" t="e">
        <f t="shared" si="5"/>
        <v>#REF!</v>
      </c>
      <c r="X37" s="2546"/>
      <c r="AA37" s="2935" t="s">
        <v>1619</v>
      </c>
    </row>
    <row r="38" spans="1:27" s="2935" customFormat="1" ht="47.25" customHeight="1">
      <c r="A38" s="2545">
        <v>23</v>
      </c>
      <c r="B38" s="2545" t="s">
        <v>1775</v>
      </c>
      <c r="C38" s="2546" t="s">
        <v>1697</v>
      </c>
      <c r="D38" s="2546" t="str">
        <f>'[3]CNKT '!D40</f>
        <v>CNKT</v>
      </c>
      <c r="E38" s="2546"/>
      <c r="F38" s="2547">
        <v>0</v>
      </c>
      <c r="G38" s="2546">
        <v>0</v>
      </c>
      <c r="H38" s="2546">
        <f>+VLOOKUP(C38,'Mủ CN (tam ung)'!C81:AK141,35,0)</f>
        <v>55</v>
      </c>
      <c r="I38" s="2546" t="e">
        <f>+VLOOKUP(C38,VCKD!#REF!,9,0)</f>
        <v>#REF!</v>
      </c>
      <c r="J38" s="3016">
        <f t="shared" si="0"/>
        <v>23.886286099500001</v>
      </c>
      <c r="K38" s="2546" t="e">
        <f t="shared" si="1"/>
        <v>#REF!</v>
      </c>
      <c r="L38" s="2545" t="e">
        <f>+VLOOKUP(C38,#REF!,37,0)</f>
        <v>#REF!</v>
      </c>
      <c r="M38" s="3006" t="e">
        <f t="shared" si="2"/>
        <v>#REF!</v>
      </c>
      <c r="N38" s="3006">
        <f>+VLOOKUP(C38,'Đội 2 tu'!C38:M119,11,0)</f>
        <v>92410.12</v>
      </c>
      <c r="O38" s="3006" t="e">
        <f t="shared" si="3"/>
        <v>#REF!</v>
      </c>
      <c r="P38" s="2688">
        <v>0</v>
      </c>
      <c r="Q38" s="2688">
        <v>0</v>
      </c>
      <c r="R38" s="2689">
        <v>0</v>
      </c>
      <c r="S38" s="2546">
        <v>0</v>
      </c>
      <c r="T38" s="2546" t="e">
        <f t="shared" si="4"/>
        <v>#REF!</v>
      </c>
      <c r="U38" s="2546"/>
      <c r="V38" s="2546"/>
      <c r="W38" s="2546" t="e">
        <f t="shared" si="5"/>
        <v>#REF!</v>
      </c>
      <c r="X38" s="2546"/>
      <c r="AA38" s="2935" t="s">
        <v>1500</v>
      </c>
    </row>
    <row r="39" spans="1:27" s="2935" customFormat="1" ht="47.25" customHeight="1">
      <c r="A39" s="2545">
        <v>24</v>
      </c>
      <c r="B39" s="2545" t="s">
        <v>1776</v>
      </c>
      <c r="C39" s="2546" t="s">
        <v>1698</v>
      </c>
      <c r="D39" s="2546" t="str">
        <f>'[3]CNKT '!D41</f>
        <v>CNKT</v>
      </c>
      <c r="E39" s="2546"/>
      <c r="F39" s="2547">
        <v>0</v>
      </c>
      <c r="G39" s="2546">
        <v>0</v>
      </c>
      <c r="H39" s="2546">
        <f>+VLOOKUP(C39,'Mủ CN (tam ung)'!C82:AK142,35,0)</f>
        <v>41</v>
      </c>
      <c r="I39" s="2546" t="e">
        <f>+VLOOKUP(C39,VCKD!#REF!,9,0)</f>
        <v>#REF!</v>
      </c>
      <c r="J39" s="3016">
        <f t="shared" si="0"/>
        <v>17.8061405469</v>
      </c>
      <c r="K39" s="2546" t="e">
        <f t="shared" si="1"/>
        <v>#REF!</v>
      </c>
      <c r="L39" s="2545" t="e">
        <f>+VLOOKUP(C39,#REF!,37,0)</f>
        <v>#REF!</v>
      </c>
      <c r="M39" s="3006" t="e">
        <f t="shared" si="2"/>
        <v>#REF!</v>
      </c>
      <c r="N39" s="3006">
        <f>+VLOOKUP(C39,'Đội 2 tu'!C39:M120,11,0)</f>
        <v>68887.544000000009</v>
      </c>
      <c r="O39" s="3006" t="e">
        <f t="shared" si="3"/>
        <v>#REF!</v>
      </c>
      <c r="P39" s="2688">
        <v>0</v>
      </c>
      <c r="Q39" s="2688">
        <v>0</v>
      </c>
      <c r="R39" s="2689">
        <v>0</v>
      </c>
      <c r="S39" s="2546">
        <v>0</v>
      </c>
      <c r="T39" s="2546" t="e">
        <f t="shared" si="4"/>
        <v>#REF!</v>
      </c>
      <c r="U39" s="2546"/>
      <c r="V39" s="2546"/>
      <c r="W39" s="2546" t="e">
        <f t="shared" si="5"/>
        <v>#REF!</v>
      </c>
      <c r="X39" s="2546"/>
      <c r="AA39" s="2935" t="s">
        <v>845</v>
      </c>
    </row>
    <row r="40" spans="1:27" s="2935" customFormat="1" ht="47.25" customHeight="1">
      <c r="A40" s="2545">
        <v>25</v>
      </c>
      <c r="B40" s="2545" t="s">
        <v>1777</v>
      </c>
      <c r="C40" s="2546" t="s">
        <v>1699</v>
      </c>
      <c r="D40" s="2546" t="str">
        <f>'[3]CNKT '!D42</f>
        <v>CNKT</v>
      </c>
      <c r="E40" s="2546"/>
      <c r="F40" s="2547">
        <v>0</v>
      </c>
      <c r="G40" s="2546">
        <v>0</v>
      </c>
      <c r="H40" s="2546">
        <f>+VLOOKUP(C40,'Mủ CN (tam ung)'!C83:AK143,35,0)</f>
        <v>55</v>
      </c>
      <c r="I40" s="2546" t="e">
        <f>+VLOOKUP(C40,VCKD!#REF!,9,0)</f>
        <v>#REF!</v>
      </c>
      <c r="J40" s="3016">
        <f t="shared" si="0"/>
        <v>23.886286099500001</v>
      </c>
      <c r="K40" s="2546" t="e">
        <f t="shared" si="1"/>
        <v>#REF!</v>
      </c>
      <c r="L40" s="2545" t="e">
        <f>+VLOOKUP(C40,#REF!,37,0)</f>
        <v>#REF!</v>
      </c>
      <c r="M40" s="3006" t="e">
        <f t="shared" si="2"/>
        <v>#REF!</v>
      </c>
      <c r="N40" s="3006">
        <f>+VLOOKUP(C40,'Đội 2 tu'!C40:M121,11,0)</f>
        <v>92410.12</v>
      </c>
      <c r="O40" s="3006" t="e">
        <f t="shared" si="3"/>
        <v>#REF!</v>
      </c>
      <c r="P40" s="2688">
        <v>0</v>
      </c>
      <c r="Q40" s="2688">
        <v>0</v>
      </c>
      <c r="R40" s="2689">
        <v>0</v>
      </c>
      <c r="S40" s="2546">
        <v>0</v>
      </c>
      <c r="T40" s="2546" t="e">
        <f t="shared" si="4"/>
        <v>#REF!</v>
      </c>
      <c r="U40" s="2546"/>
      <c r="V40" s="2546"/>
      <c r="W40" s="2546" t="e">
        <f t="shared" si="5"/>
        <v>#REF!</v>
      </c>
      <c r="X40" s="2546"/>
      <c r="AA40" s="2935" t="s">
        <v>1620</v>
      </c>
    </row>
    <row r="41" spans="1:27" s="2935" customFormat="1" ht="47.25" customHeight="1">
      <c r="A41" s="2545">
        <v>26</v>
      </c>
      <c r="B41" s="2545" t="s">
        <v>1778</v>
      </c>
      <c r="C41" s="2546" t="s">
        <v>1700</v>
      </c>
      <c r="D41" s="2546" t="str">
        <f>'[3]CNKT '!D43</f>
        <v>CNKT</v>
      </c>
      <c r="E41" s="2546"/>
      <c r="F41" s="2547">
        <v>0</v>
      </c>
      <c r="G41" s="2546">
        <v>0</v>
      </c>
      <c r="H41" s="2546">
        <f>+VLOOKUP(C41,'Mủ CN (tam ung)'!C84:AK144,35,0)</f>
        <v>56</v>
      </c>
      <c r="I41" s="2546" t="e">
        <f>+VLOOKUP(C41,VCKD!#REF!,9,0)</f>
        <v>#REF!</v>
      </c>
      <c r="J41" s="3016">
        <f t="shared" si="0"/>
        <v>24.320582210400001</v>
      </c>
      <c r="K41" s="2546" t="e">
        <f t="shared" si="1"/>
        <v>#REF!</v>
      </c>
      <c r="L41" s="2545" t="e">
        <f>+VLOOKUP(C41,#REF!,37,0)</f>
        <v>#REF!</v>
      </c>
      <c r="M41" s="3006" t="e">
        <f t="shared" si="2"/>
        <v>#REF!</v>
      </c>
      <c r="N41" s="3006">
        <f>+VLOOKUP(C41,'Đội 2 tu'!C41:M122,11,0)</f>
        <v>94090.304000000004</v>
      </c>
      <c r="O41" s="3006" t="e">
        <f t="shared" si="3"/>
        <v>#REF!</v>
      </c>
      <c r="P41" s="2688">
        <v>0</v>
      </c>
      <c r="Q41" s="2688">
        <v>0</v>
      </c>
      <c r="R41" s="2689">
        <v>0</v>
      </c>
      <c r="S41" s="2546">
        <v>0</v>
      </c>
      <c r="T41" s="2546" t="e">
        <f t="shared" si="4"/>
        <v>#REF!</v>
      </c>
      <c r="U41" s="2546"/>
      <c r="V41" s="2546"/>
      <c r="W41" s="2546" t="e">
        <f t="shared" si="5"/>
        <v>#REF!</v>
      </c>
      <c r="X41" s="2546"/>
      <c r="AA41" s="2935" t="s">
        <v>1501</v>
      </c>
    </row>
    <row r="42" spans="1:27" s="2935" customFormat="1" ht="47.25" customHeight="1">
      <c r="A42" s="2545">
        <v>27</v>
      </c>
      <c r="B42" s="2545"/>
      <c r="C42" s="2546" t="s">
        <v>1701</v>
      </c>
      <c r="D42" s="2546" t="str">
        <f>'[3]CNKT '!D44</f>
        <v>CNKT</v>
      </c>
      <c r="E42" s="2546"/>
      <c r="F42" s="2547">
        <v>0</v>
      </c>
      <c r="G42" s="2546">
        <v>0</v>
      </c>
      <c r="H42" s="2546">
        <f>+VLOOKUP(C42,'Mủ CN (tam ung)'!C85:AK144,35,0)</f>
        <v>96</v>
      </c>
      <c r="I42" s="2546" t="e">
        <f>+VLOOKUP(C42,VCKD!#REF!,9,0)</f>
        <v>#REF!</v>
      </c>
      <c r="J42" s="3016">
        <f t="shared" si="0"/>
        <v>41.692426646400001</v>
      </c>
      <c r="K42" s="2546" t="e">
        <f t="shared" si="1"/>
        <v>#REF!</v>
      </c>
      <c r="L42" s="2545" t="e">
        <f>+VLOOKUP(C42,#REF!,37,0)</f>
        <v>#REF!</v>
      </c>
      <c r="M42" s="3006" t="e">
        <f t="shared" si="2"/>
        <v>#REF!</v>
      </c>
      <c r="N42" s="3006">
        <f>+VLOOKUP(C42,'Đội 2 tu'!C42:M123,11,0)</f>
        <v>153364.99200000003</v>
      </c>
      <c r="O42" s="3006" t="e">
        <f t="shared" si="3"/>
        <v>#REF!</v>
      </c>
      <c r="P42" s="2688">
        <v>0</v>
      </c>
      <c r="Q42" s="2688">
        <v>0</v>
      </c>
      <c r="R42" s="2689">
        <v>0</v>
      </c>
      <c r="S42" s="2546">
        <v>0</v>
      </c>
      <c r="T42" s="2546" t="e">
        <f t="shared" si="4"/>
        <v>#REF!</v>
      </c>
      <c r="U42" s="2546"/>
      <c r="V42" s="2546"/>
      <c r="W42" s="2546" t="e">
        <f t="shared" si="5"/>
        <v>#REF!</v>
      </c>
      <c r="X42" s="2546"/>
      <c r="AA42" s="2935" t="s">
        <v>1502</v>
      </c>
    </row>
    <row r="43" spans="1:27" s="2935" customFormat="1" ht="47.25" customHeight="1">
      <c r="A43" s="2545">
        <v>28</v>
      </c>
      <c r="B43" s="2545" t="s">
        <v>1779</v>
      </c>
      <c r="C43" s="2546" t="s">
        <v>1702</v>
      </c>
      <c r="D43" s="2546" t="str">
        <f>'[3]CNKT '!D45</f>
        <v>CNKT</v>
      </c>
      <c r="E43" s="2546"/>
      <c r="F43" s="2547">
        <v>0</v>
      </c>
      <c r="G43" s="2546">
        <v>0</v>
      </c>
      <c r="H43" s="2546">
        <f>+VLOOKUP(C43,'Mủ CN (tam ung)'!C86:AK145,35,0)</f>
        <v>210</v>
      </c>
      <c r="I43" s="2546" t="e">
        <f>+VLOOKUP(C43,VCKD!#REF!,9,0)</f>
        <v>#REF!</v>
      </c>
      <c r="J43" s="3016">
        <f t="shared" si="0"/>
        <v>91.202183289000004</v>
      </c>
      <c r="K43" s="2546" t="e">
        <f t="shared" si="1"/>
        <v>#REF!</v>
      </c>
      <c r="L43" s="2545" t="e">
        <f>+VLOOKUP(C43,#REF!,37,0)</f>
        <v>#REF!</v>
      </c>
      <c r="M43" s="3006" t="e">
        <f t="shared" si="2"/>
        <v>#REF!</v>
      </c>
      <c r="N43" s="3006">
        <f>+VLOOKUP(C43,'Đội 2 tu'!C43:M124,11,0)</f>
        <v>352838.64</v>
      </c>
      <c r="O43" s="3006" t="e">
        <f t="shared" si="3"/>
        <v>#REF!</v>
      </c>
      <c r="P43" s="2688">
        <v>0</v>
      </c>
      <c r="Q43" s="2688">
        <v>0</v>
      </c>
      <c r="R43" s="2689">
        <v>0</v>
      </c>
      <c r="S43" s="2546">
        <v>0</v>
      </c>
      <c r="T43" s="2546" t="e">
        <f t="shared" si="4"/>
        <v>#REF!</v>
      </c>
      <c r="U43" s="2546"/>
      <c r="V43" s="2546"/>
      <c r="W43" s="2546" t="e">
        <f t="shared" si="5"/>
        <v>#REF!</v>
      </c>
      <c r="X43" s="2546"/>
      <c r="AA43" s="2935" t="s">
        <v>565</v>
      </c>
    </row>
    <row r="44" spans="1:27" s="2935" customFormat="1" ht="47.25" customHeight="1">
      <c r="A44" s="2545">
        <v>29</v>
      </c>
      <c r="B44" s="2545" t="s">
        <v>1780</v>
      </c>
      <c r="C44" s="2546" t="s">
        <v>1536</v>
      </c>
      <c r="D44" s="2546" t="str">
        <f>'[3]CNKT '!D46</f>
        <v>CNKT</v>
      </c>
      <c r="E44" s="2546"/>
      <c r="F44" s="2547">
        <v>0</v>
      </c>
      <c r="G44" s="2546">
        <v>0</v>
      </c>
      <c r="H44" s="2546">
        <f>+VLOOKUP(C44,'Mủ CN (tam ung)'!C87:AK146,35,0)</f>
        <v>104</v>
      </c>
      <c r="I44" s="2546" t="e">
        <f>+VLOOKUP(C44,VCKD!#REF!,9,0)</f>
        <v>#REF!</v>
      </c>
      <c r="J44" s="3016">
        <f t="shared" si="0"/>
        <v>45.166795533600002</v>
      </c>
      <c r="K44" s="2546" t="e">
        <f t="shared" si="1"/>
        <v>#REF!</v>
      </c>
      <c r="L44" s="2545" t="e">
        <f>+VLOOKUP(C44,#REF!,37,0)</f>
        <v>#REF!</v>
      </c>
      <c r="M44" s="3006" t="e">
        <f t="shared" si="2"/>
        <v>#REF!</v>
      </c>
      <c r="N44" s="3006">
        <f>+VLOOKUP(C44,'Đội 2 tu'!C44:M125,11,0)</f>
        <v>166145.408</v>
      </c>
      <c r="O44" s="3006" t="e">
        <f t="shared" si="3"/>
        <v>#REF!</v>
      </c>
      <c r="P44" s="2688">
        <v>0</v>
      </c>
      <c r="Q44" s="2688">
        <v>0</v>
      </c>
      <c r="R44" s="2689">
        <v>0</v>
      </c>
      <c r="S44" s="2546">
        <v>0</v>
      </c>
      <c r="T44" s="2546" t="e">
        <f t="shared" si="4"/>
        <v>#REF!</v>
      </c>
      <c r="U44" s="2546"/>
      <c r="V44" s="2546"/>
      <c r="W44" s="2546" t="e">
        <f t="shared" si="5"/>
        <v>#REF!</v>
      </c>
      <c r="X44" s="2546"/>
      <c r="AA44" s="2935" t="s">
        <v>1503</v>
      </c>
    </row>
    <row r="45" spans="1:27" s="2935" customFormat="1" ht="47.25" customHeight="1">
      <c r="A45" s="2545">
        <v>30</v>
      </c>
      <c r="B45" s="2545"/>
      <c r="C45" s="2546" t="s">
        <v>1703</v>
      </c>
      <c r="D45" s="2546" t="str">
        <f>'[3]CNKT '!D47</f>
        <v>CNKT</v>
      </c>
      <c r="E45" s="2546"/>
      <c r="F45" s="2547">
        <v>0</v>
      </c>
      <c r="G45" s="2546">
        <v>0</v>
      </c>
      <c r="H45" s="2546">
        <f>+VLOOKUP(C45,'Mủ CN (tam ung)'!C88:AK147,35,0)</f>
        <v>104</v>
      </c>
      <c r="I45" s="2546" t="e">
        <f>+VLOOKUP(C45,VCKD!#REF!,9,0)</f>
        <v>#REF!</v>
      </c>
      <c r="J45" s="3016">
        <f t="shared" si="0"/>
        <v>45.166795533600002</v>
      </c>
      <c r="K45" s="2546" t="e">
        <f t="shared" si="1"/>
        <v>#REF!</v>
      </c>
      <c r="L45" s="2545" t="e">
        <f>+VLOOKUP(C45,#REF!,37,0)</f>
        <v>#REF!</v>
      </c>
      <c r="M45" s="3006" t="e">
        <f t="shared" si="2"/>
        <v>#REF!</v>
      </c>
      <c r="N45" s="3006">
        <f>+VLOOKUP(C45,'Đội 2 tu'!C45:M126,11,0)</f>
        <v>174739.136</v>
      </c>
      <c r="O45" s="3006" t="e">
        <f t="shared" si="3"/>
        <v>#REF!</v>
      </c>
      <c r="P45" s="2688">
        <v>0</v>
      </c>
      <c r="Q45" s="2688">
        <v>0</v>
      </c>
      <c r="R45" s="2689">
        <v>0</v>
      </c>
      <c r="S45" s="2546">
        <v>0</v>
      </c>
      <c r="T45" s="2546" t="e">
        <f t="shared" si="4"/>
        <v>#REF!</v>
      </c>
      <c r="U45" s="2546"/>
      <c r="V45" s="2546"/>
      <c r="W45" s="2546" t="e">
        <f t="shared" si="5"/>
        <v>#REF!</v>
      </c>
      <c r="X45" s="2546"/>
      <c r="AA45" s="2935" t="s">
        <v>1504</v>
      </c>
    </row>
    <row r="46" spans="1:27" s="2935" customFormat="1" ht="47.25" customHeight="1">
      <c r="A46" s="2545">
        <v>31</v>
      </c>
      <c r="B46" s="2545" t="s">
        <v>1781</v>
      </c>
      <c r="C46" s="2546" t="s">
        <v>1500</v>
      </c>
      <c r="D46" s="2546" t="str">
        <f>'[3]CNKT '!D48</f>
        <v>CNKT</v>
      </c>
      <c r="E46" s="2546"/>
      <c r="F46" s="2547">
        <v>0</v>
      </c>
      <c r="G46" s="2546">
        <v>0</v>
      </c>
      <c r="H46" s="2546">
        <f>+VLOOKUP(C46,'Mủ CN (tam ung)'!C89:AK148,35,0)</f>
        <v>104</v>
      </c>
      <c r="I46" s="2546" t="e">
        <f>+VLOOKUP(C46,VCKD!C218:I218,9,0)</f>
        <v>#N/A</v>
      </c>
      <c r="J46" s="3016">
        <f t="shared" si="0"/>
        <v>45.166795533600002</v>
      </c>
      <c r="K46" s="2546" t="e">
        <f t="shared" si="1"/>
        <v>#N/A</v>
      </c>
      <c r="L46" s="2545" t="e">
        <f>+VLOOKUP(C46,#REF!,37,0)</f>
        <v>#REF!</v>
      </c>
      <c r="M46" s="3006" t="e">
        <f t="shared" si="2"/>
        <v>#REF!</v>
      </c>
      <c r="N46" s="3006">
        <f>+VLOOKUP(C46,'Đội 2 tu'!C46:M127,11,0)</f>
        <v>174739.136</v>
      </c>
      <c r="O46" s="3006" t="e">
        <f t="shared" si="3"/>
        <v>#REF!</v>
      </c>
      <c r="P46" s="2688">
        <v>0</v>
      </c>
      <c r="Q46" s="2688">
        <v>0</v>
      </c>
      <c r="R46" s="2689">
        <v>0</v>
      </c>
      <c r="S46" s="2546">
        <v>0</v>
      </c>
      <c r="T46" s="2546" t="e">
        <f t="shared" si="4"/>
        <v>#REF!</v>
      </c>
      <c r="U46" s="2546"/>
      <c r="V46" s="2546"/>
      <c r="W46" s="2546" t="e">
        <f t="shared" si="5"/>
        <v>#REF!</v>
      </c>
      <c r="X46" s="2546"/>
      <c r="AA46" s="2935" t="s">
        <v>1621</v>
      </c>
    </row>
    <row r="47" spans="1:27" s="2935" customFormat="1" ht="47.25" customHeight="1">
      <c r="A47" s="2545">
        <v>32</v>
      </c>
      <c r="B47" s="2545"/>
      <c r="C47" s="2546" t="s">
        <v>1704</v>
      </c>
      <c r="D47" s="2546" t="str">
        <f>'[3]CNKT '!D49</f>
        <v>CNKT</v>
      </c>
      <c r="E47" s="2546"/>
      <c r="F47" s="2547">
        <v>0</v>
      </c>
      <c r="G47" s="2546">
        <v>0</v>
      </c>
      <c r="H47" s="2546">
        <f>+VLOOKUP(C47,'Mủ CN (tam ung)'!C90:AK149,35,0)</f>
        <v>75</v>
      </c>
      <c r="I47" s="2546" t="e">
        <f>+VLOOKUP(C47,VCKD!C218:I219,9,0)</f>
        <v>#N/A</v>
      </c>
      <c r="J47" s="3016">
        <f t="shared" si="0"/>
        <v>32.572208317499999</v>
      </c>
      <c r="K47" s="2546" t="e">
        <f t="shared" si="1"/>
        <v>#N/A</v>
      </c>
      <c r="L47" s="2545" t="e">
        <f>+VLOOKUP(C47,#REF!,37,0)</f>
        <v>#REF!</v>
      </c>
      <c r="M47" s="3006" t="e">
        <f t="shared" si="2"/>
        <v>#REF!</v>
      </c>
      <c r="N47" s="3006">
        <f>+VLOOKUP(C47,'Đội 2 tu'!C47:M128,11,0)</f>
        <v>119816.40000000001</v>
      </c>
      <c r="O47" s="3006" t="e">
        <f t="shared" si="3"/>
        <v>#REF!</v>
      </c>
      <c r="P47" s="2688">
        <v>0</v>
      </c>
      <c r="Q47" s="2688">
        <v>0</v>
      </c>
      <c r="R47" s="2689">
        <v>0</v>
      </c>
      <c r="S47" s="2546">
        <v>0</v>
      </c>
      <c r="T47" s="2546" t="e">
        <f t="shared" si="4"/>
        <v>#REF!</v>
      </c>
      <c r="U47" s="2546"/>
      <c r="V47" s="2546"/>
      <c r="W47" s="2546" t="e">
        <f t="shared" si="5"/>
        <v>#REF!</v>
      </c>
      <c r="X47" s="2546"/>
      <c r="AA47" s="2935" t="s">
        <v>1505</v>
      </c>
    </row>
    <row r="48" spans="1:27" s="2935" customFormat="1" ht="47.25" customHeight="1">
      <c r="A48" s="2545">
        <v>33</v>
      </c>
      <c r="B48" s="2545" t="s">
        <v>1782</v>
      </c>
      <c r="C48" s="2546" t="s">
        <v>1504</v>
      </c>
      <c r="D48" s="2546" t="str">
        <f>'[3]CNKT '!D50</f>
        <v>CNKT</v>
      </c>
      <c r="E48" s="2546"/>
      <c r="F48" s="2547">
        <v>0</v>
      </c>
      <c r="G48" s="2546">
        <v>0</v>
      </c>
      <c r="H48" s="2546">
        <f>+VLOOKUP(C48,'Mủ CN (tam ung)'!C91:AK150,35,0)</f>
        <v>103</v>
      </c>
      <c r="I48" s="2546" t="e">
        <f>+VLOOKUP(C48,VCKD!C218:I219,9,0)</f>
        <v>#N/A</v>
      </c>
      <c r="J48" s="3016">
        <f t="shared" si="0"/>
        <v>44.732499422700002</v>
      </c>
      <c r="K48" s="2546" t="e">
        <f t="shared" si="1"/>
        <v>#N/A</v>
      </c>
      <c r="L48" s="2545" t="e">
        <f>+VLOOKUP(C48,#REF!,37,0)</f>
        <v>#REF!</v>
      </c>
      <c r="M48" s="3006" t="e">
        <f t="shared" si="2"/>
        <v>#REF!</v>
      </c>
      <c r="N48" s="3006">
        <f>+VLOOKUP(C48,'Đội 2 tu'!C48:M129,11,0)</f>
        <v>173058.95200000002</v>
      </c>
      <c r="O48" s="3006" t="e">
        <f t="shared" si="3"/>
        <v>#REF!</v>
      </c>
      <c r="P48" s="2688">
        <v>0</v>
      </c>
      <c r="Q48" s="2688">
        <v>0</v>
      </c>
      <c r="R48" s="2689">
        <v>0</v>
      </c>
      <c r="S48" s="2546">
        <v>0</v>
      </c>
      <c r="T48" s="2546" t="e">
        <f t="shared" si="4"/>
        <v>#REF!</v>
      </c>
      <c r="U48" s="2546"/>
      <c r="V48" s="2546"/>
      <c r="W48" s="2546" t="e">
        <f t="shared" si="5"/>
        <v>#REF!</v>
      </c>
      <c r="X48" s="2546"/>
      <c r="AA48" s="2935" t="s">
        <v>1075</v>
      </c>
    </row>
    <row r="49" spans="1:27" s="2935" customFormat="1" ht="47.25" customHeight="1">
      <c r="A49" s="2545">
        <v>34</v>
      </c>
      <c r="B49" s="2545" t="s">
        <v>1783</v>
      </c>
      <c r="C49" s="2546" t="s">
        <v>1537</v>
      </c>
      <c r="D49" s="2546" t="str">
        <f>'[3]CNKT '!D51</f>
        <v>CNKT</v>
      </c>
      <c r="E49" s="2546"/>
      <c r="F49" s="2547">
        <v>0</v>
      </c>
      <c r="G49" s="2546">
        <v>0</v>
      </c>
      <c r="H49" s="2546">
        <f>+VLOOKUP(C49,'Mủ CN (tam ung)'!C92:AK151,35,0)</f>
        <v>75</v>
      </c>
      <c r="I49" s="2546" t="e">
        <f>+VLOOKUP(C49,VCKD!C218:I221,9,0)</f>
        <v>#N/A</v>
      </c>
      <c r="J49" s="3016">
        <f t="shared" si="0"/>
        <v>32.572208317499999</v>
      </c>
      <c r="K49" s="2546" t="e">
        <f t="shared" si="1"/>
        <v>#N/A</v>
      </c>
      <c r="L49" s="2545" t="e">
        <f>+VLOOKUP(C49,#REF!,37,0)</f>
        <v>#REF!</v>
      </c>
      <c r="M49" s="3006" t="e">
        <f t="shared" si="2"/>
        <v>#REF!</v>
      </c>
      <c r="N49" s="3006">
        <f>+VLOOKUP(C49,'Đội 2 tu'!C49:M130,11,0)</f>
        <v>126013.8</v>
      </c>
      <c r="O49" s="3006" t="e">
        <f t="shared" si="3"/>
        <v>#REF!</v>
      </c>
      <c r="P49" s="2688">
        <v>0</v>
      </c>
      <c r="Q49" s="2688">
        <v>0</v>
      </c>
      <c r="R49" s="2689">
        <v>0</v>
      </c>
      <c r="S49" s="2546">
        <v>0</v>
      </c>
      <c r="T49" s="2546" t="e">
        <f t="shared" si="4"/>
        <v>#REF!</v>
      </c>
      <c r="U49" s="2546"/>
      <c r="V49" s="2546"/>
      <c r="W49" s="2546" t="e">
        <f t="shared" si="5"/>
        <v>#REF!</v>
      </c>
      <c r="X49" s="2546"/>
      <c r="AA49" s="2935" t="s">
        <v>1506</v>
      </c>
    </row>
    <row r="50" spans="1:27" s="2935" customFormat="1" ht="47.25" customHeight="1">
      <c r="A50" s="2545">
        <v>35</v>
      </c>
      <c r="B50" s="2545" t="s">
        <v>1784</v>
      </c>
      <c r="C50" s="2546" t="s">
        <v>1501</v>
      </c>
      <c r="D50" s="2546" t="str">
        <f>'[3]CNKT '!D52</f>
        <v>CNKT</v>
      </c>
      <c r="E50" s="2546"/>
      <c r="F50" s="2547">
        <v>0</v>
      </c>
      <c r="G50" s="2546">
        <v>0</v>
      </c>
      <c r="H50" s="2546">
        <f>+VLOOKUP(C50,'Mủ CN (tam ung)'!C93:AK152,35,0)</f>
        <v>75</v>
      </c>
      <c r="I50" s="2546" t="e">
        <f>+VLOOKUP(C50,VCKD!C218:I222,9,0)</f>
        <v>#N/A</v>
      </c>
      <c r="J50" s="3016">
        <f t="shared" si="0"/>
        <v>32.572208317499999</v>
      </c>
      <c r="K50" s="2546" t="e">
        <f t="shared" si="1"/>
        <v>#N/A</v>
      </c>
      <c r="L50" s="2545" t="e">
        <f>+VLOOKUP(C50,#REF!,37,0)</f>
        <v>#REF!</v>
      </c>
      <c r="M50" s="3006" t="e">
        <f t="shared" si="2"/>
        <v>#REF!</v>
      </c>
      <c r="N50" s="3006">
        <f>+VLOOKUP(C50,'Đội 2 tu'!C50:M131,11,0)</f>
        <v>126013.8</v>
      </c>
      <c r="O50" s="3006" t="e">
        <f t="shared" si="3"/>
        <v>#REF!</v>
      </c>
      <c r="P50" s="2688">
        <v>0</v>
      </c>
      <c r="Q50" s="2688">
        <v>0</v>
      </c>
      <c r="R50" s="2689">
        <v>0</v>
      </c>
      <c r="S50" s="2546">
        <v>0</v>
      </c>
      <c r="T50" s="2546" t="e">
        <f t="shared" si="4"/>
        <v>#REF!</v>
      </c>
      <c r="U50" s="2546"/>
      <c r="V50" s="2546"/>
      <c r="W50" s="2546" t="e">
        <f t="shared" si="5"/>
        <v>#REF!</v>
      </c>
      <c r="X50" s="2546"/>
      <c r="AA50" s="2935" t="s">
        <v>1622</v>
      </c>
    </row>
    <row r="51" spans="1:27" s="2935" customFormat="1" ht="47.25" customHeight="1">
      <c r="A51" s="2545">
        <v>36</v>
      </c>
      <c r="B51" s="2545" t="s">
        <v>1785</v>
      </c>
      <c r="C51" s="2546" t="s">
        <v>1502</v>
      </c>
      <c r="D51" s="2546" t="str">
        <f>'[3]CNKT '!D53</f>
        <v>CNKT</v>
      </c>
      <c r="E51" s="2546"/>
      <c r="F51" s="2547">
        <v>0</v>
      </c>
      <c r="G51" s="2546">
        <v>0</v>
      </c>
      <c r="H51" s="2546">
        <f>+VLOOKUP(C51,'Mủ CN (tam ung)'!C94:AK153,35,0)</f>
        <v>46</v>
      </c>
      <c r="I51" s="2546" t="e">
        <f>+VLOOKUP(C51,VCKD!C218:I223,9,0)</f>
        <v>#N/A</v>
      </c>
      <c r="J51" s="3016">
        <f t="shared" si="0"/>
        <v>19.9776211014</v>
      </c>
      <c r="K51" s="2546" t="e">
        <f t="shared" si="1"/>
        <v>#N/A</v>
      </c>
      <c r="L51" s="2545" t="e">
        <f>+VLOOKUP(C51,#REF!,37,0)</f>
        <v>#REF!</v>
      </c>
      <c r="M51" s="3006" t="e">
        <f t="shared" si="2"/>
        <v>#REF!</v>
      </c>
      <c r="N51" s="3006">
        <f>+VLOOKUP(C51,'Đội 2 tu'!C51:M132,11,0)</f>
        <v>77288.464000000007</v>
      </c>
      <c r="O51" s="3006" t="e">
        <f t="shared" si="3"/>
        <v>#REF!</v>
      </c>
      <c r="P51" s="2688">
        <v>0</v>
      </c>
      <c r="Q51" s="2688">
        <v>0</v>
      </c>
      <c r="R51" s="2689">
        <v>0</v>
      </c>
      <c r="S51" s="2546">
        <v>0</v>
      </c>
      <c r="T51" s="2546" t="e">
        <f t="shared" si="4"/>
        <v>#REF!</v>
      </c>
      <c r="U51" s="2546"/>
      <c r="V51" s="2546"/>
      <c r="W51" s="2546" t="e">
        <f t="shared" si="5"/>
        <v>#REF!</v>
      </c>
      <c r="X51" s="2546"/>
      <c r="AA51" s="2935" t="s">
        <v>1507</v>
      </c>
    </row>
    <row r="52" spans="1:27" s="2935" customFormat="1" ht="47.25" customHeight="1">
      <c r="A52" s="2545">
        <v>37</v>
      </c>
      <c r="B52" s="2545" t="s">
        <v>1786</v>
      </c>
      <c r="C52" s="2546" t="s">
        <v>1705</v>
      </c>
      <c r="D52" s="2546" t="str">
        <f>'[3]CNKT '!D54</f>
        <v>CNKT</v>
      </c>
      <c r="E52" s="2546"/>
      <c r="F52" s="2547">
        <v>0</v>
      </c>
      <c r="G52" s="2546">
        <v>0</v>
      </c>
      <c r="H52" s="2546">
        <f>+VLOOKUP(C52,'Mủ CN (tam ung)'!C95:AK154,35,0)</f>
        <v>61</v>
      </c>
      <c r="I52" s="2546" t="e">
        <f>+VLOOKUP(C52,VCKD!C218:I224,9,0)</f>
        <v>#N/A</v>
      </c>
      <c r="J52" s="3016">
        <f t="shared" si="0"/>
        <v>26.492062764900002</v>
      </c>
      <c r="K52" s="2546" t="e">
        <f t="shared" si="1"/>
        <v>#N/A</v>
      </c>
      <c r="L52" s="2545" t="e">
        <f>+VLOOKUP(C52,#REF!,37,0)</f>
        <v>#REF!</v>
      </c>
      <c r="M52" s="3006" t="e">
        <f t="shared" si="2"/>
        <v>#REF!</v>
      </c>
      <c r="N52" s="3006">
        <f>+VLOOKUP(C52,'Đội 2 tu'!C52:M133,11,0)</f>
        <v>102491.22400000002</v>
      </c>
      <c r="O52" s="3006" t="e">
        <f t="shared" si="3"/>
        <v>#REF!</v>
      </c>
      <c r="P52" s="2688">
        <v>0</v>
      </c>
      <c r="Q52" s="2688">
        <v>0</v>
      </c>
      <c r="R52" s="2689">
        <v>0</v>
      </c>
      <c r="S52" s="2546">
        <v>0</v>
      </c>
      <c r="T52" s="2546" t="e">
        <f t="shared" si="4"/>
        <v>#REF!</v>
      </c>
      <c r="U52" s="2546"/>
      <c r="V52" s="2546"/>
      <c r="W52" s="2546" t="e">
        <f t="shared" si="5"/>
        <v>#REF!</v>
      </c>
      <c r="X52" s="2546"/>
      <c r="AA52" s="2935" t="s">
        <v>1508</v>
      </c>
    </row>
    <row r="53" spans="1:27" s="2935" customFormat="1" ht="47.25" customHeight="1">
      <c r="A53" s="2545">
        <v>38</v>
      </c>
      <c r="B53" s="2545"/>
      <c r="C53" s="2546" t="s">
        <v>1706</v>
      </c>
      <c r="D53" s="2546" t="str">
        <f>'[3]CNKT '!D55</f>
        <v>CNKT</v>
      </c>
      <c r="E53" s="2546"/>
      <c r="F53" s="2547">
        <v>0</v>
      </c>
      <c r="G53" s="2546">
        <v>0</v>
      </c>
      <c r="H53" s="2546">
        <f>+VLOOKUP(C53,'Mủ CN (tam ung)'!C96:AK154,35,0)</f>
        <v>60</v>
      </c>
      <c r="I53" s="2546" t="e">
        <f>+VLOOKUP(C53,VCKD!C218:I225,9,0)</f>
        <v>#N/A</v>
      </c>
      <c r="J53" s="3016">
        <f t="shared" si="0"/>
        <v>26.057766654000002</v>
      </c>
      <c r="K53" s="2546" t="e">
        <f t="shared" si="1"/>
        <v>#N/A</v>
      </c>
      <c r="L53" s="2545" t="e">
        <f>+VLOOKUP(C53,#REF!,37,0)</f>
        <v>#REF!</v>
      </c>
      <c r="M53" s="3006" t="e">
        <f t="shared" si="2"/>
        <v>#REF!</v>
      </c>
      <c r="N53" s="3006">
        <f>+VLOOKUP(C53,'Đội 2 tu'!C53:M134,11,0)</f>
        <v>100811.04000000001</v>
      </c>
      <c r="O53" s="3006" t="e">
        <f t="shared" si="3"/>
        <v>#REF!</v>
      </c>
      <c r="P53" s="2688">
        <v>0</v>
      </c>
      <c r="Q53" s="2688">
        <v>0</v>
      </c>
      <c r="R53" s="2689">
        <v>0</v>
      </c>
      <c r="S53" s="2546">
        <v>0</v>
      </c>
      <c r="T53" s="2546" t="e">
        <f t="shared" si="4"/>
        <v>#REF!</v>
      </c>
      <c r="U53" s="2546"/>
      <c r="V53" s="2546"/>
      <c r="W53" s="2546" t="e">
        <f t="shared" si="5"/>
        <v>#REF!</v>
      </c>
      <c r="X53" s="2546"/>
      <c r="AA53" s="2935" t="s">
        <v>1623</v>
      </c>
    </row>
    <row r="54" spans="1:27" s="2935" customFormat="1" ht="47.25" customHeight="1">
      <c r="A54" s="2545">
        <v>39</v>
      </c>
      <c r="B54" s="2545" t="s">
        <v>1787</v>
      </c>
      <c r="C54" s="2546" t="s">
        <v>1707</v>
      </c>
      <c r="D54" s="2546" t="str">
        <f>'[3]CNKT '!D56</f>
        <v>CNKT</v>
      </c>
      <c r="E54" s="2546"/>
      <c r="F54" s="2547">
        <v>0</v>
      </c>
      <c r="G54" s="2546">
        <v>0</v>
      </c>
      <c r="H54" s="2546">
        <f>+VLOOKUP(C54,'Mủ CN (tam ung)'!C97:AK155,35,0)</f>
        <v>58</v>
      </c>
      <c r="I54" s="2546" t="e">
        <f>+VLOOKUP(C54,VCKD!C218:I226,9,0)</f>
        <v>#N/A</v>
      </c>
      <c r="J54" s="3016">
        <f t="shared" si="0"/>
        <v>25.189174432200002</v>
      </c>
      <c r="K54" s="2546" t="e">
        <f t="shared" si="1"/>
        <v>#N/A</v>
      </c>
      <c r="L54" s="2545" t="e">
        <f>+VLOOKUP(C54,#REF!,37,0)</f>
        <v>#REF!</v>
      </c>
      <c r="M54" s="3006" t="e">
        <f t="shared" si="2"/>
        <v>#REF!</v>
      </c>
      <c r="N54" s="3006">
        <f>+VLOOKUP(C54,'Đội 2 tu'!C54:M135,11,0)</f>
        <v>97450.672000000006</v>
      </c>
      <c r="O54" s="3006" t="e">
        <f t="shared" si="3"/>
        <v>#REF!</v>
      </c>
      <c r="P54" s="2688">
        <v>0</v>
      </c>
      <c r="Q54" s="2688">
        <v>0</v>
      </c>
      <c r="R54" s="2689">
        <v>0</v>
      </c>
      <c r="S54" s="2546">
        <v>0</v>
      </c>
      <c r="T54" s="2546" t="e">
        <f t="shared" si="4"/>
        <v>#REF!</v>
      </c>
      <c r="U54" s="2546"/>
      <c r="V54" s="2546"/>
      <c r="W54" s="2546" t="e">
        <f t="shared" si="5"/>
        <v>#REF!</v>
      </c>
      <c r="X54" s="2546"/>
      <c r="AA54" s="2935" t="s">
        <v>1624</v>
      </c>
    </row>
    <row r="55" spans="1:27" s="2935" customFormat="1" ht="47.25" customHeight="1">
      <c r="A55" s="2545">
        <v>40</v>
      </c>
      <c r="B55" s="2545" t="s">
        <v>1788</v>
      </c>
      <c r="C55" s="2546" t="s">
        <v>1708</v>
      </c>
      <c r="D55" s="2546" t="str">
        <f>'[3]CNKT '!D57</f>
        <v>CNKT</v>
      </c>
      <c r="E55" s="2546"/>
      <c r="F55" s="2547">
        <v>0</v>
      </c>
      <c r="G55" s="2546">
        <v>0</v>
      </c>
      <c r="H55" s="2546">
        <f>+VLOOKUP(C55,'Mủ CN (tam ung)'!C98:AK156,35,0)</f>
        <v>49</v>
      </c>
      <c r="I55" s="2546" t="e">
        <f>+VLOOKUP(C55,VCKD!C218:I227,9,0)</f>
        <v>#N/A</v>
      </c>
      <c r="J55" s="3016">
        <f t="shared" si="0"/>
        <v>21.280509434100001</v>
      </c>
      <c r="K55" s="2546" t="e">
        <f t="shared" si="1"/>
        <v>#N/A</v>
      </c>
      <c r="L55" s="2545" t="e">
        <f>+VLOOKUP(C55,#REF!,37,0)</f>
        <v>#REF!</v>
      </c>
      <c r="M55" s="3006" t="e">
        <f t="shared" si="2"/>
        <v>#REF!</v>
      </c>
      <c r="N55" s="3006">
        <f>+VLOOKUP(C55,'Đội 2 tu'!C55:M136,11,0)</f>
        <v>78280.04800000001</v>
      </c>
      <c r="O55" s="3006" t="e">
        <f t="shared" si="3"/>
        <v>#REF!</v>
      </c>
      <c r="P55" s="2688">
        <v>0</v>
      </c>
      <c r="Q55" s="2688">
        <v>0</v>
      </c>
      <c r="R55" s="2689">
        <v>0</v>
      </c>
      <c r="S55" s="2546">
        <v>0</v>
      </c>
      <c r="T55" s="2546" t="e">
        <f t="shared" si="4"/>
        <v>#REF!</v>
      </c>
      <c r="U55" s="2546"/>
      <c r="V55" s="2546"/>
      <c r="W55" s="2546" t="e">
        <f t="shared" si="5"/>
        <v>#REF!</v>
      </c>
      <c r="X55" s="2546"/>
      <c r="AA55" s="2935" t="s">
        <v>1625</v>
      </c>
    </row>
    <row r="56" spans="1:27" s="2935" customFormat="1" ht="47.25" customHeight="1">
      <c r="A56" s="2545">
        <v>41</v>
      </c>
      <c r="B56" s="2545" t="s">
        <v>1789</v>
      </c>
      <c r="C56" s="2546" t="s">
        <v>1505</v>
      </c>
      <c r="D56" s="2546" t="str">
        <f>'[3]CNKT '!D58</f>
        <v>CNKT</v>
      </c>
      <c r="E56" s="2546"/>
      <c r="F56" s="2547">
        <v>0</v>
      </c>
      <c r="G56" s="2546">
        <v>0</v>
      </c>
      <c r="H56" s="2546">
        <f>+VLOOKUP(C56,'Mủ CN (tam ung)'!C99:AK157,35,0)</f>
        <v>97</v>
      </c>
      <c r="I56" s="2546" t="e">
        <f>+VLOOKUP(C56,VCKD!C218:I228,9,0)</f>
        <v>#N/A</v>
      </c>
      <c r="J56" s="3016">
        <f t="shared" si="0"/>
        <v>42.126722757300001</v>
      </c>
      <c r="K56" s="2546" t="e">
        <f t="shared" si="1"/>
        <v>#N/A</v>
      </c>
      <c r="L56" s="2545" t="e">
        <f>+VLOOKUP(C56,#REF!,37,0)</f>
        <v>#REF!</v>
      </c>
      <c r="M56" s="3006" t="e">
        <f t="shared" si="2"/>
        <v>#REF!</v>
      </c>
      <c r="N56" s="3006">
        <f>+VLOOKUP(C56,'Đội 2 tu'!C56:M137,11,0)</f>
        <v>162977.84800000003</v>
      </c>
      <c r="O56" s="3006" t="e">
        <f t="shared" si="3"/>
        <v>#REF!</v>
      </c>
      <c r="P56" s="2688">
        <v>0</v>
      </c>
      <c r="Q56" s="2688">
        <v>0</v>
      </c>
      <c r="R56" s="2689">
        <v>0</v>
      </c>
      <c r="S56" s="2546">
        <v>0</v>
      </c>
      <c r="T56" s="2546" t="e">
        <f t="shared" si="4"/>
        <v>#REF!</v>
      </c>
      <c r="U56" s="2546"/>
      <c r="V56" s="2546"/>
      <c r="W56" s="2546" t="e">
        <f t="shared" si="5"/>
        <v>#REF!</v>
      </c>
      <c r="X56" s="2546"/>
      <c r="AA56" s="2935" t="s">
        <v>1509</v>
      </c>
    </row>
    <row r="57" spans="1:27" s="2935" customFormat="1" ht="47.25" customHeight="1">
      <c r="A57" s="2545">
        <v>42</v>
      </c>
      <c r="B57" s="2545" t="s">
        <v>1790</v>
      </c>
      <c r="C57" s="2546" t="s">
        <v>1075</v>
      </c>
      <c r="D57" s="2546" t="str">
        <f>'[3]CNKT '!D59</f>
        <v>CNKT</v>
      </c>
      <c r="E57" s="2546"/>
      <c r="F57" s="2547">
        <v>0</v>
      </c>
      <c r="G57" s="2546">
        <v>0</v>
      </c>
      <c r="H57" s="2546">
        <f>+VLOOKUP(C57,'Mủ CN (tam ung)'!C100:AK158,35,0)</f>
        <v>107</v>
      </c>
      <c r="I57" s="2546" t="e">
        <f>+VLOOKUP(C57,VCKD!C218:I229,9,0)</f>
        <v>#N/A</v>
      </c>
      <c r="J57" s="3016">
        <f t="shared" si="0"/>
        <v>46.469683866300002</v>
      </c>
      <c r="K57" s="2546" t="e">
        <f t="shared" si="1"/>
        <v>#N/A</v>
      </c>
      <c r="L57" s="2545" t="e">
        <f>+VLOOKUP(C57,#REF!,37,0)</f>
        <v>#REF!</v>
      </c>
      <c r="M57" s="3006" t="e">
        <f t="shared" si="2"/>
        <v>#REF!</v>
      </c>
      <c r="N57" s="3006">
        <f>+VLOOKUP(C57,'Đội 2 tu'!C57:M138,11,0)</f>
        <v>179779.68800000002</v>
      </c>
      <c r="O57" s="3006" t="e">
        <f t="shared" si="3"/>
        <v>#REF!</v>
      </c>
      <c r="P57" s="2688">
        <v>0</v>
      </c>
      <c r="Q57" s="2688">
        <v>0</v>
      </c>
      <c r="R57" s="2689">
        <v>0</v>
      </c>
      <c r="S57" s="2546">
        <v>0</v>
      </c>
      <c r="T57" s="2546" t="e">
        <f t="shared" si="4"/>
        <v>#REF!</v>
      </c>
      <c r="U57" s="2546"/>
      <c r="V57" s="2546"/>
      <c r="W57" s="2546" t="e">
        <f t="shared" si="5"/>
        <v>#REF!</v>
      </c>
      <c r="X57" s="2546"/>
      <c r="AA57" s="2935" t="s">
        <v>1510</v>
      </c>
    </row>
    <row r="58" spans="1:27" s="2935" customFormat="1" ht="47.25" customHeight="1">
      <c r="A58" s="2545">
        <v>43</v>
      </c>
      <c r="B58" s="2545" t="s">
        <v>1791</v>
      </c>
      <c r="C58" s="2546" t="s">
        <v>1506</v>
      </c>
      <c r="D58" s="2546" t="str">
        <f>'[3]CNKT '!D60</f>
        <v>CNKT</v>
      </c>
      <c r="E58" s="2546"/>
      <c r="F58" s="2547">
        <v>0</v>
      </c>
      <c r="G58" s="2546">
        <v>0</v>
      </c>
      <c r="H58" s="2546">
        <f>+VLOOKUP(C58,'Mủ CN (tam ung)'!C101:AK159,35,0)</f>
        <v>113</v>
      </c>
      <c r="I58" s="2546" t="e">
        <f>+VLOOKUP(C58,VCKD!C218:I230,9,0)</f>
        <v>#N/A</v>
      </c>
      <c r="J58" s="3016">
        <f t="shared" si="0"/>
        <v>49.075460531700003</v>
      </c>
      <c r="K58" s="2546" t="e">
        <f t="shared" si="1"/>
        <v>#N/A</v>
      </c>
      <c r="L58" s="2545" t="e">
        <f>+VLOOKUP(C58,#REF!,37,0)</f>
        <v>#REF!</v>
      </c>
      <c r="M58" s="3006" t="e">
        <f t="shared" si="2"/>
        <v>#REF!</v>
      </c>
      <c r="N58" s="3006">
        <f>+VLOOKUP(C58,'Đội 2 tu'!C58:M139,11,0)</f>
        <v>189860.79200000002</v>
      </c>
      <c r="O58" s="3006" t="e">
        <f t="shared" si="3"/>
        <v>#REF!</v>
      </c>
      <c r="P58" s="2688">
        <v>0</v>
      </c>
      <c r="Q58" s="2688">
        <v>0</v>
      </c>
      <c r="R58" s="2689">
        <v>0</v>
      </c>
      <c r="S58" s="2546">
        <v>0</v>
      </c>
      <c r="T58" s="2546" t="e">
        <f t="shared" si="4"/>
        <v>#REF!</v>
      </c>
      <c r="U58" s="2546"/>
      <c r="V58" s="2546"/>
      <c r="W58" s="2546" t="e">
        <f t="shared" si="5"/>
        <v>#REF!</v>
      </c>
      <c r="X58" s="2546"/>
    </row>
    <row r="59" spans="1:27" s="2935" customFormat="1" ht="47.25" customHeight="1">
      <c r="A59" s="2545">
        <v>44</v>
      </c>
      <c r="B59" s="2545" t="s">
        <v>1792</v>
      </c>
      <c r="C59" s="2546" t="s">
        <v>1622</v>
      </c>
      <c r="D59" s="2546" t="str">
        <f>'[3]CNKT '!D61</f>
        <v>CNKT</v>
      </c>
      <c r="E59" s="2546"/>
      <c r="F59" s="2547">
        <v>0</v>
      </c>
      <c r="G59" s="2546">
        <v>0</v>
      </c>
      <c r="H59" s="2546">
        <f>+VLOOKUP(C59,'Mủ CN (tam ung)'!C102:AK160,35,0)</f>
        <v>57</v>
      </c>
      <c r="I59" s="2546" t="e">
        <f>+VLOOKUP(C59,VCKD!C218:I231,9,0)</f>
        <v>#N/A</v>
      </c>
      <c r="J59" s="3016">
        <f t="shared" si="0"/>
        <v>24.754878321300001</v>
      </c>
      <c r="K59" s="2546" t="e">
        <f t="shared" si="1"/>
        <v>#N/A</v>
      </c>
      <c r="L59" s="2545" t="e">
        <f>+VLOOKUP(C59,#REF!,37,0)</f>
        <v>#REF!</v>
      </c>
      <c r="M59" s="3006" t="e">
        <f t="shared" si="2"/>
        <v>#REF!</v>
      </c>
      <c r="N59" s="3006">
        <f>+VLOOKUP(C59,'Đội 2 tu'!C59:M140,11,0)</f>
        <v>95770.487999999998</v>
      </c>
      <c r="O59" s="3006" t="e">
        <f t="shared" si="3"/>
        <v>#REF!</v>
      </c>
      <c r="P59" s="2688">
        <v>0</v>
      </c>
      <c r="Q59" s="2688">
        <v>0</v>
      </c>
      <c r="R59" s="2689">
        <v>0</v>
      </c>
      <c r="S59" s="2546">
        <v>0</v>
      </c>
      <c r="T59" s="2546" t="e">
        <f t="shared" si="4"/>
        <v>#REF!</v>
      </c>
      <c r="U59" s="2546"/>
      <c r="V59" s="2546"/>
      <c r="W59" s="2546" t="e">
        <f t="shared" si="5"/>
        <v>#REF!</v>
      </c>
      <c r="X59" s="2546"/>
    </row>
    <row r="60" spans="1:27" s="2935" customFormat="1" ht="47.25" customHeight="1">
      <c r="A60" s="2545">
        <v>45</v>
      </c>
      <c r="B60" s="2545" t="s">
        <v>1793</v>
      </c>
      <c r="C60" s="2546" t="s">
        <v>1507</v>
      </c>
      <c r="D60" s="2546" t="str">
        <f>'[3]CNKT '!D62</f>
        <v>CNKT</v>
      </c>
      <c r="E60" s="2546"/>
      <c r="F60" s="2547">
        <v>0</v>
      </c>
      <c r="G60" s="2546">
        <v>0</v>
      </c>
      <c r="H60" s="2546">
        <f>+VLOOKUP(C60,'Mủ CN (tam ung)'!C103:AK161,35,0)</f>
        <v>86</v>
      </c>
      <c r="I60" s="2546" t="e">
        <f>+VLOOKUP(C60,VCKD!C218:I232,9,0)</f>
        <v>#N/A</v>
      </c>
      <c r="J60" s="3016">
        <f t="shared" si="0"/>
        <v>37.3494655374</v>
      </c>
      <c r="K60" s="2546" t="e">
        <f t="shared" si="1"/>
        <v>#N/A</v>
      </c>
      <c r="L60" s="2545" t="e">
        <f>+VLOOKUP(C60,#REF!,37,0)</f>
        <v>#REF!</v>
      </c>
      <c r="M60" s="3006" t="e">
        <f t="shared" si="2"/>
        <v>#REF!</v>
      </c>
      <c r="N60" s="3006">
        <f>+VLOOKUP(C60,'Đội 2 tu'!C60:M141,11,0)</f>
        <v>144495.82399999999</v>
      </c>
      <c r="O60" s="3006" t="e">
        <f t="shared" si="3"/>
        <v>#REF!</v>
      </c>
      <c r="P60" s="2688">
        <v>0</v>
      </c>
      <c r="Q60" s="2688">
        <v>0</v>
      </c>
      <c r="R60" s="2689">
        <v>0</v>
      </c>
      <c r="S60" s="2546">
        <v>0</v>
      </c>
      <c r="T60" s="2546" t="e">
        <f t="shared" si="4"/>
        <v>#REF!</v>
      </c>
      <c r="U60" s="2546"/>
      <c r="V60" s="2546"/>
      <c r="W60" s="2546" t="e">
        <f t="shared" si="5"/>
        <v>#REF!</v>
      </c>
      <c r="X60" s="2546"/>
    </row>
    <row r="61" spans="1:27" s="2935" customFormat="1" ht="47.25" customHeight="1">
      <c r="A61" s="2545">
        <v>46</v>
      </c>
      <c r="B61" s="2545" t="s">
        <v>1794</v>
      </c>
      <c r="C61" s="2546" t="s">
        <v>1538</v>
      </c>
      <c r="D61" s="2546" t="str">
        <f>'[3]CNKT '!D63</f>
        <v>CNKT</v>
      </c>
      <c r="E61" s="2546"/>
      <c r="F61" s="2547">
        <v>0</v>
      </c>
      <c r="G61" s="2546">
        <v>0</v>
      </c>
      <c r="H61" s="2546">
        <f>+VLOOKUP(C61,'Mủ CN (tam ung)'!C104:AK161,35,0)</f>
        <v>237</v>
      </c>
      <c r="I61" s="2546" t="e">
        <f>+VLOOKUP(C61,VCKD!C218:I233,9,0)</f>
        <v>#N/A</v>
      </c>
      <c r="J61" s="3016">
        <f t="shared" si="0"/>
        <v>102.92817828330001</v>
      </c>
      <c r="K61" s="2546" t="e">
        <f t="shared" si="1"/>
        <v>#N/A</v>
      </c>
      <c r="L61" s="2545" t="e">
        <f>+VLOOKUP(C61,#REF!,37,0)</f>
        <v>#REF!</v>
      </c>
      <c r="M61" s="3006" t="e">
        <f t="shared" si="2"/>
        <v>#REF!</v>
      </c>
      <c r="N61" s="3006">
        <f>+VLOOKUP(C61,'Đội 2 tu'!C61:M142,11,0)</f>
        <v>398203.60800000007</v>
      </c>
      <c r="O61" s="3006" t="e">
        <f t="shared" si="3"/>
        <v>#REF!</v>
      </c>
      <c r="P61" s="2688">
        <v>0</v>
      </c>
      <c r="Q61" s="2688">
        <v>0</v>
      </c>
      <c r="R61" s="2689">
        <v>0</v>
      </c>
      <c r="S61" s="2546">
        <v>0</v>
      </c>
      <c r="T61" s="2546" t="e">
        <f t="shared" si="4"/>
        <v>#REF!</v>
      </c>
      <c r="U61" s="2546"/>
      <c r="V61" s="2546"/>
      <c r="W61" s="2546" t="e">
        <f t="shared" si="5"/>
        <v>#REF!</v>
      </c>
      <c r="X61" s="2546"/>
    </row>
    <row r="62" spans="1:27" s="2935" customFormat="1" ht="47.25" customHeight="1">
      <c r="A62" s="2545">
        <v>47</v>
      </c>
      <c r="B62" s="2545" t="s">
        <v>1795</v>
      </c>
      <c r="C62" s="2546" t="s">
        <v>1539</v>
      </c>
      <c r="D62" s="2546" t="str">
        <f>'[3]CNKT '!D64</f>
        <v>CNKT</v>
      </c>
      <c r="E62" s="2546"/>
      <c r="F62" s="2547">
        <v>0</v>
      </c>
      <c r="G62" s="2546">
        <v>0</v>
      </c>
      <c r="H62" s="2546">
        <f>+VLOOKUP(C62,'Mủ CN (tam ung)'!C105:AK162,35,0)</f>
        <v>237</v>
      </c>
      <c r="I62" s="2546" t="e">
        <f>+VLOOKUP(C62,VCKD!C218:I234,9,0)</f>
        <v>#N/A</v>
      </c>
      <c r="J62" s="3016">
        <f t="shared" si="0"/>
        <v>102.92817828330001</v>
      </c>
      <c r="K62" s="2546" t="e">
        <f t="shared" si="1"/>
        <v>#N/A</v>
      </c>
      <c r="L62" s="2545" t="e">
        <f>+VLOOKUP(C62,#REF!,37,0)</f>
        <v>#REF!</v>
      </c>
      <c r="M62" s="3006" t="e">
        <f t="shared" si="2"/>
        <v>#REF!</v>
      </c>
      <c r="N62" s="3006">
        <f>+VLOOKUP(C62,'Đội 2 tu'!C62:M143,11,0)</f>
        <v>398203.60800000007</v>
      </c>
      <c r="O62" s="3006" t="e">
        <f t="shared" si="3"/>
        <v>#REF!</v>
      </c>
      <c r="P62" s="2688">
        <v>0</v>
      </c>
      <c r="Q62" s="2688">
        <v>0</v>
      </c>
      <c r="R62" s="2689">
        <v>0</v>
      </c>
      <c r="S62" s="2546">
        <v>0</v>
      </c>
      <c r="T62" s="2546" t="e">
        <f t="shared" si="4"/>
        <v>#REF!</v>
      </c>
      <c r="U62" s="2546"/>
      <c r="V62" s="2546"/>
      <c r="W62" s="2546" t="e">
        <f t="shared" si="5"/>
        <v>#REF!</v>
      </c>
      <c r="X62" s="2546"/>
    </row>
    <row r="63" spans="1:27" s="2935" customFormat="1" ht="47.25" customHeight="1">
      <c r="A63" s="2545">
        <v>48</v>
      </c>
      <c r="B63" s="2545" t="s">
        <v>1796</v>
      </c>
      <c r="C63" s="2546" t="s">
        <v>1508</v>
      </c>
      <c r="D63" s="2546" t="str">
        <f>'[3]CNKT '!D65</f>
        <v>CNKT</v>
      </c>
      <c r="E63" s="2546"/>
      <c r="F63" s="2547">
        <v>0</v>
      </c>
      <c r="G63" s="2546">
        <v>0</v>
      </c>
      <c r="H63" s="2546">
        <f>+VLOOKUP(C63,'Mủ CN (tam ung)'!C106:AK163,35,0)</f>
        <v>91</v>
      </c>
      <c r="I63" s="2546" t="e">
        <f>+VLOOKUP(C63,VCKD!C218:I235,9,0)</f>
        <v>#N/A</v>
      </c>
      <c r="J63" s="3016">
        <f t="shared" si="0"/>
        <v>39.520946091900001</v>
      </c>
      <c r="K63" s="2546" t="e">
        <f t="shared" si="1"/>
        <v>#N/A</v>
      </c>
      <c r="L63" s="2545" t="e">
        <f>+VLOOKUP(C63,#REF!,37,0)</f>
        <v>#REF!</v>
      </c>
      <c r="M63" s="3006" t="e">
        <f t="shared" si="2"/>
        <v>#REF!</v>
      </c>
      <c r="N63" s="3006">
        <f>+VLOOKUP(C63,'Đội 2 tu'!C63:M144,11,0)</f>
        <v>152896.74400000001</v>
      </c>
      <c r="O63" s="3006" t="e">
        <f t="shared" si="3"/>
        <v>#REF!</v>
      </c>
      <c r="P63" s="2688">
        <v>0</v>
      </c>
      <c r="Q63" s="2688">
        <v>0</v>
      </c>
      <c r="R63" s="2689">
        <v>0</v>
      </c>
      <c r="S63" s="2546">
        <v>0</v>
      </c>
      <c r="T63" s="2546" t="e">
        <f t="shared" si="4"/>
        <v>#REF!</v>
      </c>
      <c r="U63" s="2546"/>
      <c r="V63" s="2546"/>
      <c r="W63" s="2546" t="e">
        <f t="shared" si="5"/>
        <v>#REF!</v>
      </c>
      <c r="X63" s="2546"/>
    </row>
    <row r="64" spans="1:27" s="2935" customFormat="1" ht="47.25" customHeight="1">
      <c r="A64" s="2545">
        <v>49</v>
      </c>
      <c r="B64" s="2545" t="s">
        <v>1797</v>
      </c>
      <c r="C64" s="2546" t="s">
        <v>1540</v>
      </c>
      <c r="D64" s="2546" t="str">
        <f>'[3]CNKT '!D66</f>
        <v>CNKT</v>
      </c>
      <c r="E64" s="2546"/>
      <c r="F64" s="2547">
        <v>0</v>
      </c>
      <c r="G64" s="2546">
        <v>0</v>
      </c>
      <c r="H64" s="2546">
        <f>+VLOOKUP(C64,'Mủ CN (tam ung)'!C107:AK164,35,0)</f>
        <v>81</v>
      </c>
      <c r="I64" s="2546" t="e">
        <f>+VLOOKUP(C64,VCKD!C218:I236,9,0)</f>
        <v>#N/A</v>
      </c>
      <c r="J64" s="3016">
        <f t="shared" si="0"/>
        <v>35.1779849829</v>
      </c>
      <c r="K64" s="2546" t="e">
        <f t="shared" si="1"/>
        <v>#N/A</v>
      </c>
      <c r="L64" s="2545" t="e">
        <f>+VLOOKUP(C64,#REF!,37,0)</f>
        <v>#REF!</v>
      </c>
      <c r="M64" s="3006" t="e">
        <f t="shared" si="2"/>
        <v>#REF!</v>
      </c>
      <c r="N64" s="3006">
        <f>+VLOOKUP(C64,'Đội 2 tu'!C64:M145,11,0)</f>
        <v>136094.90400000001</v>
      </c>
      <c r="O64" s="3006" t="e">
        <f t="shared" si="3"/>
        <v>#REF!</v>
      </c>
      <c r="P64" s="2688">
        <v>0</v>
      </c>
      <c r="Q64" s="2688">
        <v>0</v>
      </c>
      <c r="R64" s="2689">
        <v>0</v>
      </c>
      <c r="S64" s="2546">
        <v>0</v>
      </c>
      <c r="T64" s="2546" t="e">
        <f t="shared" si="4"/>
        <v>#REF!</v>
      </c>
      <c r="U64" s="2546"/>
      <c r="V64" s="2546"/>
      <c r="W64" s="2546" t="e">
        <f t="shared" si="5"/>
        <v>#REF!</v>
      </c>
      <c r="X64" s="2546"/>
    </row>
    <row r="65" spans="1:24" s="2935" customFormat="1" ht="47.25" customHeight="1">
      <c r="A65" s="2545">
        <v>50</v>
      </c>
      <c r="B65" s="2545" t="s">
        <v>1798</v>
      </c>
      <c r="C65" s="2546" t="s">
        <v>1709</v>
      </c>
      <c r="D65" s="2546" t="str">
        <f>'[3]CNKT '!D67</f>
        <v>CNKT</v>
      </c>
      <c r="E65" s="2546"/>
      <c r="F65" s="2547">
        <v>0</v>
      </c>
      <c r="G65" s="2546">
        <v>0</v>
      </c>
      <c r="H65" s="2546">
        <f>+VLOOKUP(C65,'Mủ CN (tam ung)'!C108:AK165,35,0)</f>
        <v>82</v>
      </c>
      <c r="I65" s="2546" t="e">
        <f>+VLOOKUP(C65,VCKD!C218:I237,9,0)</f>
        <v>#N/A</v>
      </c>
      <c r="J65" s="3016">
        <f t="shared" si="0"/>
        <v>35.6122810938</v>
      </c>
      <c r="K65" s="2546" t="e">
        <f t="shared" si="1"/>
        <v>#N/A</v>
      </c>
      <c r="L65" s="2545" t="e">
        <f>+VLOOKUP(C65,#REF!,37,0)</f>
        <v>#REF!</v>
      </c>
      <c r="M65" s="3006" t="e">
        <f t="shared" si="2"/>
        <v>#REF!</v>
      </c>
      <c r="N65" s="3006">
        <f>+VLOOKUP(C65,'Đội 2 tu'!C65:M146,11,0)</f>
        <v>137775.08800000002</v>
      </c>
      <c r="O65" s="3006" t="e">
        <f t="shared" si="3"/>
        <v>#REF!</v>
      </c>
      <c r="P65" s="2688">
        <v>0</v>
      </c>
      <c r="Q65" s="2688">
        <v>0</v>
      </c>
      <c r="R65" s="2689">
        <v>0</v>
      </c>
      <c r="S65" s="2546">
        <v>0</v>
      </c>
      <c r="T65" s="2546" t="e">
        <f t="shared" si="4"/>
        <v>#REF!</v>
      </c>
      <c r="U65" s="2546"/>
      <c r="V65" s="2546"/>
      <c r="W65" s="2546" t="e">
        <f t="shared" si="5"/>
        <v>#REF!</v>
      </c>
      <c r="X65" s="2546"/>
    </row>
    <row r="66" spans="1:24" s="2935" customFormat="1" ht="47.25" customHeight="1">
      <c r="A66" s="2545">
        <v>51</v>
      </c>
      <c r="B66" s="2545" t="s">
        <v>1799</v>
      </c>
      <c r="C66" s="2546" t="s">
        <v>1710</v>
      </c>
      <c r="D66" s="2546" t="str">
        <f>'[3]CNKT '!D44</f>
        <v>CNKT</v>
      </c>
      <c r="E66" s="2546"/>
      <c r="F66" s="2547">
        <v>0</v>
      </c>
      <c r="G66" s="2546">
        <v>0</v>
      </c>
      <c r="H66" s="2546">
        <f>+VLOOKUP(C66,'Mủ CN (tam ung)'!C109:AK166,35,0)</f>
        <v>57</v>
      </c>
      <c r="I66" s="2546" t="e">
        <f>+VLOOKUP(C66,VCKD!C218:I238,9,0)</f>
        <v>#N/A</v>
      </c>
      <c r="J66" s="3016">
        <f t="shared" si="0"/>
        <v>24.754878321300001</v>
      </c>
      <c r="K66" s="2546" t="e">
        <f t="shared" si="1"/>
        <v>#N/A</v>
      </c>
      <c r="L66" s="2545" t="e">
        <f>+VLOOKUP(C66,#REF!,37,0)</f>
        <v>#REF!</v>
      </c>
      <c r="M66" s="3006" t="e">
        <f t="shared" si="2"/>
        <v>#REF!</v>
      </c>
      <c r="N66" s="3006">
        <f>+VLOOKUP(C66,'Đội 2 tu'!C66:M147,11,0)</f>
        <v>91060.464000000007</v>
      </c>
      <c r="O66" s="3006" t="e">
        <f t="shared" si="3"/>
        <v>#REF!</v>
      </c>
      <c r="P66" s="2688">
        <v>0</v>
      </c>
      <c r="Q66" s="2688">
        <v>0</v>
      </c>
      <c r="R66" s="2689">
        <v>0</v>
      </c>
      <c r="S66" s="2546">
        <v>0</v>
      </c>
      <c r="T66" s="2546" t="e">
        <f t="shared" si="4"/>
        <v>#REF!</v>
      </c>
      <c r="U66" s="2546"/>
      <c r="V66" s="2546"/>
      <c r="W66" s="2546" t="e">
        <f t="shared" si="5"/>
        <v>#REF!</v>
      </c>
      <c r="X66" s="2546"/>
    </row>
    <row r="67" spans="1:24" s="2935" customFormat="1" ht="47.25" customHeight="1">
      <c r="A67" s="2545">
        <v>52</v>
      </c>
      <c r="B67" s="2545">
        <f>[3]TONGHOPCONGDOI!B47</f>
        <v>0</v>
      </c>
      <c r="C67" s="2546" t="s">
        <v>1201</v>
      </c>
      <c r="D67" s="2546" t="str">
        <f>'[3]CNKT '!D45</f>
        <v>CNKT</v>
      </c>
      <c r="E67" s="2546"/>
      <c r="F67" s="2547">
        <v>0</v>
      </c>
      <c r="G67" s="2546">
        <v>0</v>
      </c>
      <c r="H67" s="2546">
        <f>+VLOOKUP(C67,'Mủ CN (tam ung)'!C110:AK167,35,0)</f>
        <v>83</v>
      </c>
      <c r="I67" s="2546" t="e">
        <f>+VLOOKUP(C67,VCKD!C218:I239,9,0)</f>
        <v>#N/A</v>
      </c>
      <c r="J67" s="3016">
        <f t="shared" si="0"/>
        <v>36.0465772047</v>
      </c>
      <c r="K67" s="2546" t="e">
        <f t="shared" si="1"/>
        <v>#N/A</v>
      </c>
      <c r="L67" s="2545" t="e">
        <f>+VLOOKUP(C67,#REF!,37,0)</f>
        <v>#REF!</v>
      </c>
      <c r="M67" s="3006" t="e">
        <f t="shared" si="2"/>
        <v>#REF!</v>
      </c>
      <c r="N67" s="3006">
        <f>+VLOOKUP(C67,'Đội 2 tu'!C67:M148,11,0)</f>
        <v>132596.81600000002</v>
      </c>
      <c r="O67" s="3006" t="e">
        <f t="shared" si="3"/>
        <v>#REF!</v>
      </c>
      <c r="P67" s="2688">
        <v>0</v>
      </c>
      <c r="Q67" s="2688">
        <v>0</v>
      </c>
      <c r="R67" s="2689">
        <v>0</v>
      </c>
      <c r="S67" s="2546">
        <v>0</v>
      </c>
      <c r="T67" s="2546" t="e">
        <f t="shared" si="4"/>
        <v>#REF!</v>
      </c>
      <c r="U67" s="2546"/>
      <c r="V67" s="2546"/>
      <c r="W67" s="2546" t="e">
        <f t="shared" si="5"/>
        <v>#REF!</v>
      </c>
      <c r="X67" s="2546"/>
    </row>
    <row r="68" spans="1:24" s="2935" customFormat="1" ht="47.25" customHeight="1">
      <c r="A68" s="2545">
        <v>53</v>
      </c>
      <c r="B68" s="2545"/>
      <c r="C68" s="2546" t="s">
        <v>1711</v>
      </c>
      <c r="D68" s="2546" t="str">
        <f>'[3]CNKT '!D46</f>
        <v>CNKT</v>
      </c>
      <c r="E68" s="2546"/>
      <c r="F68" s="2547">
        <v>0</v>
      </c>
      <c r="G68" s="2546">
        <v>0</v>
      </c>
      <c r="H68" s="2546">
        <f>+VLOOKUP(C68,'Mủ CN (tam ung)'!C111:AK168,35,0)</f>
        <v>115</v>
      </c>
      <c r="I68" s="2546" t="e">
        <f>+VLOOKUP(C68,VCKD!C218:I240,9,0)</f>
        <v>#N/A</v>
      </c>
      <c r="J68" s="3016">
        <f t="shared" si="0"/>
        <v>49.944052753500003</v>
      </c>
      <c r="K68" s="2546" t="e">
        <f t="shared" si="1"/>
        <v>#N/A</v>
      </c>
      <c r="L68" s="2545" t="e">
        <f>+VLOOKUP(C68,#REF!,37,0)</f>
        <v>#REF!</v>
      </c>
      <c r="M68" s="3006" t="e">
        <f t="shared" si="2"/>
        <v>#REF!</v>
      </c>
      <c r="N68" s="3006">
        <f>+VLOOKUP(C68,'Đội 2 tu'!C68:M149,11,0)</f>
        <v>193221.16</v>
      </c>
      <c r="O68" s="3006" t="e">
        <f t="shared" si="3"/>
        <v>#REF!</v>
      </c>
      <c r="P68" s="2688">
        <v>0</v>
      </c>
      <c r="Q68" s="2688">
        <v>0</v>
      </c>
      <c r="R68" s="2689">
        <v>0</v>
      </c>
      <c r="S68" s="2546">
        <v>0</v>
      </c>
      <c r="T68" s="2546" t="e">
        <f t="shared" si="4"/>
        <v>#REF!</v>
      </c>
      <c r="U68" s="2546"/>
      <c r="V68" s="2546"/>
      <c r="W68" s="2546" t="e">
        <f t="shared" si="5"/>
        <v>#REF!</v>
      </c>
      <c r="X68" s="2546"/>
    </row>
    <row r="69" spans="1:24" s="2935" customFormat="1" ht="47.25" customHeight="1">
      <c r="A69" s="2545">
        <v>54</v>
      </c>
      <c r="B69" s="2545" t="s">
        <v>1800</v>
      </c>
      <c r="C69" s="2546" t="s">
        <v>1624</v>
      </c>
      <c r="D69" s="2546" t="str">
        <f>'[3]CNKT '!D47</f>
        <v>CNKT</v>
      </c>
      <c r="E69" s="2546"/>
      <c r="F69" s="2547">
        <v>0</v>
      </c>
      <c r="G69" s="2546">
        <v>0</v>
      </c>
      <c r="H69" s="2546">
        <f>+VLOOKUP(C69,'Mủ CN (tam ung)'!C112:AK169,35,0)</f>
        <v>61</v>
      </c>
      <c r="I69" s="2546" t="e">
        <f>+VLOOKUP(C69,VCKD!C218:I241,9,0)</f>
        <v>#N/A</v>
      </c>
      <c r="J69" s="3016">
        <f t="shared" si="0"/>
        <v>26.492062764900002</v>
      </c>
      <c r="K69" s="2546" t="e">
        <f t="shared" si="1"/>
        <v>#N/A</v>
      </c>
      <c r="L69" s="2545" t="e">
        <f>+VLOOKUP(C69,#REF!,37,0)</f>
        <v>#REF!</v>
      </c>
      <c r="M69" s="3006" t="e">
        <f t="shared" si="2"/>
        <v>#REF!</v>
      </c>
      <c r="N69" s="3006">
        <f>+VLOOKUP(C69,'Đội 2 tu'!C69:M150,11,0)</f>
        <v>102491.22400000002</v>
      </c>
      <c r="O69" s="3006" t="e">
        <f t="shared" si="3"/>
        <v>#REF!</v>
      </c>
      <c r="P69" s="2688">
        <v>0</v>
      </c>
      <c r="Q69" s="2688">
        <v>0</v>
      </c>
      <c r="R69" s="2689">
        <v>0</v>
      </c>
      <c r="S69" s="2546">
        <v>0</v>
      </c>
      <c r="T69" s="2546" t="e">
        <f t="shared" si="4"/>
        <v>#REF!</v>
      </c>
      <c r="U69" s="2546"/>
      <c r="V69" s="2546"/>
      <c r="W69" s="2546" t="e">
        <f t="shared" si="5"/>
        <v>#REF!</v>
      </c>
      <c r="X69" s="2546"/>
    </row>
    <row r="70" spans="1:24" s="2935" customFormat="1" ht="47.25" customHeight="1">
      <c r="A70" s="2545">
        <v>55</v>
      </c>
      <c r="B70" s="2545">
        <f>[3]TONGHOPCONGDOI!B50</f>
        <v>0</v>
      </c>
      <c r="C70" s="2546" t="s">
        <v>1625</v>
      </c>
      <c r="D70" s="2546" t="str">
        <f>'[3]CNKT '!D48</f>
        <v>CNKT</v>
      </c>
      <c r="E70" s="2546"/>
      <c r="F70" s="2547">
        <v>0</v>
      </c>
      <c r="G70" s="2546">
        <v>0</v>
      </c>
      <c r="H70" s="2546">
        <f>+VLOOKUP(C70,'Mủ CN (tam ung)'!C113:AK170,35,0)</f>
        <v>61</v>
      </c>
      <c r="I70" s="2546" t="e">
        <f>+VLOOKUP(C70,VCKD!C218:I242,9,0)</f>
        <v>#N/A</v>
      </c>
      <c r="J70" s="3016">
        <f t="shared" si="0"/>
        <v>26.492062764900002</v>
      </c>
      <c r="K70" s="2546" t="e">
        <f t="shared" si="1"/>
        <v>#N/A</v>
      </c>
      <c r="L70" s="2545" t="e">
        <f>+VLOOKUP(C70,#REF!,37,0)</f>
        <v>#REF!</v>
      </c>
      <c r="M70" s="3006" t="e">
        <f t="shared" si="2"/>
        <v>#REF!</v>
      </c>
      <c r="N70" s="3006">
        <f>+VLOOKUP(C70,'Đội 2 tu'!C70:M151,11,0)</f>
        <v>102491.22400000002</v>
      </c>
      <c r="O70" s="3006" t="e">
        <f t="shared" si="3"/>
        <v>#REF!</v>
      </c>
      <c r="P70" s="2688">
        <v>0</v>
      </c>
      <c r="Q70" s="2688">
        <v>0</v>
      </c>
      <c r="R70" s="2689">
        <v>0</v>
      </c>
      <c r="S70" s="2546">
        <v>0</v>
      </c>
      <c r="T70" s="2546" t="e">
        <f t="shared" si="4"/>
        <v>#REF!</v>
      </c>
      <c r="U70" s="2546"/>
      <c r="V70" s="2546"/>
      <c r="W70" s="2546" t="e">
        <f t="shared" si="5"/>
        <v>#REF!</v>
      </c>
      <c r="X70" s="2546"/>
    </row>
    <row r="71" spans="1:24" s="2935" customFormat="1" ht="47.25" customHeight="1">
      <c r="A71" s="2545">
        <v>56</v>
      </c>
      <c r="B71" s="2545" t="s">
        <v>1801</v>
      </c>
      <c r="C71" s="2546" t="s">
        <v>1509</v>
      </c>
      <c r="D71" s="2546" t="str">
        <f>'[3]CNKT '!D49</f>
        <v>CNKT</v>
      </c>
      <c r="E71" s="2546"/>
      <c r="F71" s="2547">
        <v>0</v>
      </c>
      <c r="G71" s="2546">
        <v>0</v>
      </c>
      <c r="H71" s="2546">
        <f>+VLOOKUP(C71,'Mủ CN (tam ung)'!C114:AK171,35,0)</f>
        <v>83</v>
      </c>
      <c r="I71" s="2546" t="e">
        <f>+VLOOKUP(C71,VCKD!C218:I243,9,0)</f>
        <v>#N/A</v>
      </c>
      <c r="J71" s="3016">
        <f t="shared" si="0"/>
        <v>36.0465772047</v>
      </c>
      <c r="K71" s="2546" t="e">
        <f t="shared" si="1"/>
        <v>#N/A</v>
      </c>
      <c r="L71" s="2545" t="e">
        <f>+VLOOKUP(C71,#REF!,37,0)</f>
        <v>#REF!</v>
      </c>
      <c r="M71" s="3006" t="e">
        <f t="shared" si="2"/>
        <v>#REF!</v>
      </c>
      <c r="N71" s="3006">
        <f>+VLOOKUP(C71,'Đội 2 tu'!C71:M152,11,0)</f>
        <v>139455.27200000003</v>
      </c>
      <c r="O71" s="3006" t="e">
        <f t="shared" si="3"/>
        <v>#REF!</v>
      </c>
      <c r="P71" s="2688">
        <v>0</v>
      </c>
      <c r="Q71" s="2688">
        <v>0</v>
      </c>
      <c r="R71" s="2689">
        <v>0</v>
      </c>
      <c r="S71" s="2546">
        <v>0</v>
      </c>
      <c r="T71" s="2546" t="e">
        <f t="shared" si="4"/>
        <v>#REF!</v>
      </c>
      <c r="U71" s="2546"/>
      <c r="V71" s="2546"/>
      <c r="W71" s="2546" t="e">
        <f t="shared" si="5"/>
        <v>#REF!</v>
      </c>
      <c r="X71" s="2546"/>
    </row>
    <row r="72" spans="1:24" s="2935" customFormat="1" ht="47.25" customHeight="1">
      <c r="A72" s="2545">
        <v>57</v>
      </c>
      <c r="B72" s="2545" t="s">
        <v>1802</v>
      </c>
      <c r="C72" s="2546" t="s">
        <v>1510</v>
      </c>
      <c r="D72" s="2546" t="str">
        <f>'[3]CNKT '!D50</f>
        <v>CNKT</v>
      </c>
      <c r="E72" s="2546"/>
      <c r="F72" s="2547">
        <v>0</v>
      </c>
      <c r="G72" s="2546">
        <v>0</v>
      </c>
      <c r="H72" s="2546">
        <f>+VLOOKUP(C72,'Mủ CN (tam ung)'!C115:AK172,35,0)</f>
        <v>83</v>
      </c>
      <c r="I72" s="2546" t="e">
        <f>+VLOOKUP(C72,VCKD!C218:I244,9,0)</f>
        <v>#N/A</v>
      </c>
      <c r="J72" s="3016">
        <f t="shared" si="0"/>
        <v>36.0465772047</v>
      </c>
      <c r="K72" s="2546" t="e">
        <f t="shared" si="1"/>
        <v>#N/A</v>
      </c>
      <c r="L72" s="2545" t="e">
        <f>+VLOOKUP(C72,#REF!,37,0)</f>
        <v>#REF!</v>
      </c>
      <c r="M72" s="3006" t="e">
        <f t="shared" si="2"/>
        <v>#REF!</v>
      </c>
      <c r="N72" s="3006">
        <f>+VLOOKUP(C72,'Đội 2 tu'!C72:M153,11,0)</f>
        <v>139455.27200000003</v>
      </c>
      <c r="O72" s="3006" t="e">
        <f t="shared" si="3"/>
        <v>#REF!</v>
      </c>
      <c r="P72" s="2688">
        <v>0</v>
      </c>
      <c r="Q72" s="2688">
        <v>0</v>
      </c>
      <c r="R72" s="2689">
        <v>0</v>
      </c>
      <c r="S72" s="2546">
        <v>0</v>
      </c>
      <c r="T72" s="2546" t="e">
        <f t="shared" si="4"/>
        <v>#REF!</v>
      </c>
      <c r="U72" s="2546"/>
      <c r="V72" s="2546"/>
      <c r="W72" s="2546" t="e">
        <f t="shared" si="5"/>
        <v>#REF!</v>
      </c>
      <c r="X72" s="2546"/>
    </row>
    <row r="73" spans="1:24" s="2935" customFormat="1" ht="47.25" customHeight="1">
      <c r="A73" s="2545">
        <v>58</v>
      </c>
      <c r="B73" s="2545">
        <f>[3]TONGHOPCONGDOI!B53</f>
        <v>0</v>
      </c>
      <c r="C73" s="2546" t="s">
        <v>1712</v>
      </c>
      <c r="D73" s="2546" t="str">
        <f>'[3]CNKT '!D51</f>
        <v>CNKT</v>
      </c>
      <c r="E73" s="2546"/>
      <c r="F73" s="2547">
        <v>0</v>
      </c>
      <c r="G73" s="2546">
        <v>0</v>
      </c>
      <c r="H73" s="2546">
        <f>+VLOOKUP(C73,'Mủ CN (tam ung)'!C116:AK173,35,0)</f>
        <v>115</v>
      </c>
      <c r="I73" s="2546" t="e">
        <f>+VLOOKUP(C73,VCKD!C218:I245,9,0)</f>
        <v>#N/A</v>
      </c>
      <c r="J73" s="3016">
        <f t="shared" si="0"/>
        <v>49.944052753500003</v>
      </c>
      <c r="K73" s="2546" t="e">
        <f t="shared" si="1"/>
        <v>#N/A</v>
      </c>
      <c r="L73" s="2545" t="e">
        <f>+VLOOKUP(C73,#REF!,37,0)</f>
        <v>#REF!</v>
      </c>
      <c r="M73" s="3006" t="e">
        <f t="shared" si="2"/>
        <v>#REF!</v>
      </c>
      <c r="N73" s="3006">
        <f>+VLOOKUP(C73,'Đội 2 tu'!C73:M154,11,0)</f>
        <v>193221.16</v>
      </c>
      <c r="O73" s="3006" t="e">
        <f t="shared" si="3"/>
        <v>#REF!</v>
      </c>
      <c r="P73" s="2688">
        <v>0</v>
      </c>
      <c r="Q73" s="2688">
        <v>0</v>
      </c>
      <c r="R73" s="2689">
        <v>0</v>
      </c>
      <c r="S73" s="2546">
        <v>0</v>
      </c>
      <c r="T73" s="2546" t="e">
        <f t="shared" si="4"/>
        <v>#REF!</v>
      </c>
      <c r="U73" s="2546"/>
      <c r="V73" s="2546"/>
      <c r="W73" s="2546" t="e">
        <f t="shared" si="5"/>
        <v>#REF!</v>
      </c>
      <c r="X73" s="2546"/>
    </row>
    <row r="74" spans="1:24" s="2935" customFormat="1" ht="47.25" customHeight="1">
      <c r="A74" s="2545">
        <v>59</v>
      </c>
      <c r="B74" s="2545">
        <f>[3]TONGHOPCONGDOI!B54</f>
        <v>0</v>
      </c>
      <c r="C74" s="2546" t="s">
        <v>1713</v>
      </c>
      <c r="D74" s="2546" t="str">
        <f>'[3]CNKT '!D52</f>
        <v>CNKT</v>
      </c>
      <c r="E74" s="2546"/>
      <c r="F74" s="2547">
        <v>0</v>
      </c>
      <c r="G74" s="2546">
        <v>0</v>
      </c>
      <c r="H74" s="2546">
        <f>+VLOOKUP(C74,'Mủ CN (tam ung)'!C117:AK174,35,0)</f>
        <v>36</v>
      </c>
      <c r="I74" s="2546" t="e">
        <f>+VLOOKUP(C74,VCKD!C218:I246,9,0)</f>
        <v>#N/A</v>
      </c>
      <c r="J74" s="3016">
        <f t="shared" si="0"/>
        <v>15.634659992400001</v>
      </c>
      <c r="K74" s="2546" t="e">
        <f t="shared" si="1"/>
        <v>#N/A</v>
      </c>
      <c r="L74" s="2545" t="e">
        <f>+VLOOKUP(C74,#REF!,37,0)</f>
        <v>#REF!</v>
      </c>
      <c r="M74" s="3006" t="e">
        <f t="shared" si="2"/>
        <v>#REF!</v>
      </c>
      <c r="N74" s="3006">
        <f>+VLOOKUP(C74,'Đội 2 tu'!C74:M155,11,0)</f>
        <v>60486.624000000003</v>
      </c>
      <c r="O74" s="3006" t="e">
        <f t="shared" si="3"/>
        <v>#REF!</v>
      </c>
      <c r="P74" s="2688">
        <v>0</v>
      </c>
      <c r="Q74" s="2688">
        <v>0</v>
      </c>
      <c r="R74" s="2689">
        <v>0</v>
      </c>
      <c r="S74" s="2546">
        <v>0</v>
      </c>
      <c r="T74" s="2546" t="e">
        <f t="shared" si="4"/>
        <v>#REF!</v>
      </c>
      <c r="U74" s="2546"/>
      <c r="V74" s="2546"/>
      <c r="W74" s="2546" t="e">
        <f t="shared" si="5"/>
        <v>#REF!</v>
      </c>
      <c r="X74" s="2546"/>
    </row>
    <row r="75" spans="1:24" s="2935" customFormat="1" ht="47.25" customHeight="1">
      <c r="A75" s="2545">
        <v>60</v>
      </c>
      <c r="B75" s="2545">
        <f>[3]TONGHOPCONGDOI!B55</f>
        <v>0</v>
      </c>
      <c r="C75" s="2546" t="s">
        <v>523</v>
      </c>
      <c r="D75" s="2546" t="str">
        <f>'[3]CNKT '!D53</f>
        <v>CNKT</v>
      </c>
      <c r="E75" s="2546"/>
      <c r="F75" s="2547">
        <v>0</v>
      </c>
      <c r="G75" s="2546">
        <v>0</v>
      </c>
      <c r="H75" s="2546">
        <f>+VLOOKUP(C75,'Mủ CN (tam ung)'!C118:AK175,35,0)</f>
        <v>37</v>
      </c>
      <c r="I75" s="2546" t="e">
        <f>+VLOOKUP(C75,VCKD!C218:I247,9,0)</f>
        <v>#N/A</v>
      </c>
      <c r="J75" s="3016">
        <f t="shared" si="0"/>
        <v>16.0689561033</v>
      </c>
      <c r="K75" s="2546" t="e">
        <f t="shared" si="1"/>
        <v>#N/A</v>
      </c>
      <c r="L75" s="2545" t="e">
        <f>+VLOOKUP(C75,#REF!,37,0)</f>
        <v>#REF!</v>
      </c>
      <c r="M75" s="3006" t="e">
        <f t="shared" si="2"/>
        <v>#REF!</v>
      </c>
      <c r="N75" s="3006">
        <f>+VLOOKUP(C75,'Đội 2 tu'!C75:M156,11,0)</f>
        <v>62166.808000000005</v>
      </c>
      <c r="O75" s="3006" t="e">
        <f t="shared" si="3"/>
        <v>#REF!</v>
      </c>
      <c r="P75" s="2688">
        <v>0</v>
      </c>
      <c r="Q75" s="2688">
        <v>0</v>
      </c>
      <c r="R75" s="2689">
        <v>0</v>
      </c>
      <c r="S75" s="2546">
        <v>0</v>
      </c>
      <c r="T75" s="2546" t="e">
        <f t="shared" si="4"/>
        <v>#REF!</v>
      </c>
      <c r="U75" s="2546"/>
      <c r="V75" s="2546"/>
      <c r="W75" s="2546" t="e">
        <f t="shared" si="5"/>
        <v>#REF!</v>
      </c>
      <c r="X75" s="2546"/>
    </row>
    <row r="76" spans="1:24" s="2935" customFormat="1" ht="47.25" customHeight="1">
      <c r="A76" s="2545">
        <v>61</v>
      </c>
      <c r="B76" s="2545" t="s">
        <v>1803</v>
      </c>
      <c r="C76" s="2546" t="s">
        <v>1511</v>
      </c>
      <c r="D76" s="2546" t="s">
        <v>1571</v>
      </c>
      <c r="E76" s="2546"/>
      <c r="F76" s="2547">
        <v>0</v>
      </c>
      <c r="G76" s="2546">
        <v>0</v>
      </c>
      <c r="H76" s="2546">
        <f>+VLOOKUP(C76,'Mủ CN (tam ung)'!C119:AK176,35,0)</f>
        <v>58</v>
      </c>
      <c r="I76" s="2546" t="e">
        <f>+VLOOKUP(C76,VCKD!C218:I248,9,0)</f>
        <v>#N/A</v>
      </c>
      <c r="J76" s="3016">
        <f t="shared" si="0"/>
        <v>25.189174432200002</v>
      </c>
      <c r="K76" s="2546" t="e">
        <f t="shared" si="1"/>
        <v>#N/A</v>
      </c>
      <c r="L76" s="2545" t="e">
        <f>+VLOOKUP(C76,#REF!,37,0)</f>
        <v>#REF!</v>
      </c>
      <c r="M76" s="3006" t="e">
        <f t="shared" si="2"/>
        <v>#REF!</v>
      </c>
      <c r="N76" s="3006">
        <f>+VLOOKUP(C76,'Đội 2 tu'!C76:M157,11,0)</f>
        <v>97450.672000000006</v>
      </c>
      <c r="O76" s="3006" t="e">
        <f t="shared" si="3"/>
        <v>#REF!</v>
      </c>
      <c r="P76" s="2688">
        <v>0</v>
      </c>
      <c r="Q76" s="2688">
        <v>0</v>
      </c>
      <c r="R76" s="2689">
        <v>0</v>
      </c>
      <c r="S76" s="2546">
        <v>0</v>
      </c>
      <c r="T76" s="2546" t="e">
        <f t="shared" si="4"/>
        <v>#REF!</v>
      </c>
      <c r="U76" s="2546"/>
      <c r="V76" s="2546"/>
      <c r="W76" s="2546" t="e">
        <f t="shared" si="5"/>
        <v>#REF!</v>
      </c>
      <c r="X76" s="2546"/>
    </row>
    <row r="77" spans="1:24" s="2935" customFormat="1" ht="47.25" customHeight="1">
      <c r="A77" s="2545">
        <v>62</v>
      </c>
      <c r="B77" s="2545">
        <f>[3]TONGHOPCONGDOI!B57</f>
        <v>0</v>
      </c>
      <c r="C77" s="2546" t="s">
        <v>1268</v>
      </c>
      <c r="D77" s="2546" t="s">
        <v>1571</v>
      </c>
      <c r="E77" s="2546"/>
      <c r="F77" s="2547">
        <v>0</v>
      </c>
      <c r="G77" s="2546">
        <v>0</v>
      </c>
      <c r="H77" s="2546">
        <f>+VLOOKUP(C77,'Mủ CN (tam ung)'!C120:AK177,35,0)</f>
        <v>64</v>
      </c>
      <c r="I77" s="2546" t="e">
        <f>+VLOOKUP(C77,VCKD!C218:I249,9,0)</f>
        <v>#N/A</v>
      </c>
      <c r="J77" s="3016">
        <f t="shared" si="0"/>
        <v>27.794951097600002</v>
      </c>
      <c r="K77" s="2546" t="e">
        <f t="shared" si="1"/>
        <v>#N/A</v>
      </c>
      <c r="L77" s="2545" t="e">
        <f>+VLOOKUP(C77,#REF!,37,0)</f>
        <v>#REF!</v>
      </c>
      <c r="M77" s="3006" t="e">
        <f t="shared" si="2"/>
        <v>#REF!</v>
      </c>
      <c r="N77" s="3006">
        <f>+VLOOKUP(C77,'Đội 2 tu'!C77:M158,11,0)</f>
        <v>107531.77600000001</v>
      </c>
      <c r="O77" s="3006" t="e">
        <f t="shared" si="3"/>
        <v>#REF!</v>
      </c>
      <c r="P77" s="2688">
        <v>0</v>
      </c>
      <c r="Q77" s="2688">
        <v>0</v>
      </c>
      <c r="R77" s="2689">
        <v>0</v>
      </c>
      <c r="S77" s="2546">
        <v>0</v>
      </c>
      <c r="T77" s="2546" t="e">
        <f t="shared" si="4"/>
        <v>#REF!</v>
      </c>
      <c r="U77" s="2546"/>
      <c r="V77" s="2546"/>
      <c r="W77" s="2546" t="e">
        <f t="shared" si="5"/>
        <v>#REF!</v>
      </c>
      <c r="X77" s="2546"/>
    </row>
    <row r="78" spans="1:24" s="2935" customFormat="1" ht="47.25" customHeight="1">
      <c r="A78" s="2545">
        <v>63</v>
      </c>
      <c r="B78" s="2545" t="s">
        <v>1804</v>
      </c>
      <c r="C78" s="2546" t="s">
        <v>847</v>
      </c>
      <c r="D78" s="2546" t="s">
        <v>1571</v>
      </c>
      <c r="E78" s="2546"/>
      <c r="F78" s="2547">
        <v>0</v>
      </c>
      <c r="G78" s="2546">
        <v>0</v>
      </c>
      <c r="H78" s="2546">
        <f>+VLOOKUP(C78,'Mủ CN (tam ung)'!C121:AK178,35,0)</f>
        <v>77</v>
      </c>
      <c r="I78" s="2546" t="e">
        <f>+VLOOKUP(C78,VCKD!C218:I250,9,0)</f>
        <v>#N/A</v>
      </c>
      <c r="J78" s="3016">
        <f t="shared" si="0"/>
        <v>33.4408005393</v>
      </c>
      <c r="K78" s="2546" t="e">
        <f t="shared" si="1"/>
        <v>#N/A</v>
      </c>
      <c r="L78" s="2545" t="e">
        <f>+VLOOKUP(C78,#REF!,37,0)</f>
        <v>#REF!</v>
      </c>
      <c r="M78" s="3006" t="e">
        <f t="shared" si="2"/>
        <v>#REF!</v>
      </c>
      <c r="N78" s="3006">
        <f>+VLOOKUP(C78,'Đội 2 tu'!C78:M159,11,0)</f>
        <v>129374.16800000001</v>
      </c>
      <c r="O78" s="3006" t="e">
        <f t="shared" si="3"/>
        <v>#REF!</v>
      </c>
      <c r="P78" s="2688">
        <v>0</v>
      </c>
      <c r="Q78" s="2688">
        <v>0</v>
      </c>
      <c r="R78" s="2689">
        <v>0</v>
      </c>
      <c r="S78" s="2546">
        <v>0</v>
      </c>
      <c r="T78" s="2546" t="e">
        <f t="shared" si="4"/>
        <v>#REF!</v>
      </c>
      <c r="U78" s="2546"/>
      <c r="V78" s="2546"/>
      <c r="W78" s="2546" t="e">
        <f t="shared" si="5"/>
        <v>#REF!</v>
      </c>
      <c r="X78" s="2546"/>
    </row>
    <row r="79" spans="1:24" s="2935" customFormat="1" ht="47.25" customHeight="1">
      <c r="A79" s="2545">
        <v>64</v>
      </c>
      <c r="B79" s="2545" t="s">
        <v>1805</v>
      </c>
      <c r="C79" s="2546" t="s">
        <v>1205</v>
      </c>
      <c r="D79" s="2546" t="s">
        <v>1571</v>
      </c>
      <c r="E79" s="2546"/>
      <c r="F79" s="2547">
        <v>0</v>
      </c>
      <c r="G79" s="2546">
        <v>0</v>
      </c>
      <c r="H79" s="2546">
        <f>+VLOOKUP(C79,'Mủ CN (tam ung)'!C122:AK179,35,0)</f>
        <v>72</v>
      </c>
      <c r="I79" s="2546" t="e">
        <f>+VLOOKUP(C79,VCKD!C218:I251,9,0)</f>
        <v>#N/A</v>
      </c>
      <c r="J79" s="3016">
        <f t="shared" si="0"/>
        <v>31.269319984800003</v>
      </c>
      <c r="K79" s="2546" t="e">
        <f t="shared" ref="K79:K97" si="6">+I79*0.5</f>
        <v>#N/A</v>
      </c>
      <c r="L79" s="2545" t="e">
        <f>+VLOOKUP(C79,#REF!,37,0)</f>
        <v>#REF!</v>
      </c>
      <c r="M79" s="3006" t="e">
        <f t="shared" ref="M79:M97" si="7">J79*IF(L79="A",(6.1*$D$11),IF(L79="B",(5.8*$D$11),IF(L79="C",(5.5*$D$11),IF(L79="D",(5.2*$D$11)))))</f>
        <v>#REF!</v>
      </c>
      <c r="N79" s="3006">
        <f>+VLOOKUP(C79,'Đội 2 tu'!C79:M160,11,0)</f>
        <v>115023.74400000001</v>
      </c>
      <c r="O79" s="3006" t="e">
        <f t="shared" si="3"/>
        <v>#REF!</v>
      </c>
      <c r="P79" s="2688">
        <v>0</v>
      </c>
      <c r="Q79" s="2688">
        <v>0</v>
      </c>
      <c r="R79" s="2689">
        <v>0</v>
      </c>
      <c r="S79" s="2546">
        <v>0</v>
      </c>
      <c r="T79" s="2546" t="e">
        <f t="shared" si="4"/>
        <v>#REF!</v>
      </c>
      <c r="U79" s="2546"/>
      <c r="V79" s="2546"/>
      <c r="W79" s="2546" t="e">
        <f t="shared" ref="W79:W97" si="8">+T79</f>
        <v>#REF!</v>
      </c>
      <c r="X79" s="2546"/>
    </row>
    <row r="80" spans="1:24" s="2935" customFormat="1" ht="47.25" customHeight="1">
      <c r="A80" s="2545">
        <v>65</v>
      </c>
      <c r="B80" s="2545" t="s">
        <v>1806</v>
      </c>
      <c r="C80" s="2546" t="s">
        <v>1206</v>
      </c>
      <c r="D80" s="2546" t="s">
        <v>1571</v>
      </c>
      <c r="E80" s="2546"/>
      <c r="F80" s="2547">
        <v>0</v>
      </c>
      <c r="G80" s="2546">
        <v>0</v>
      </c>
      <c r="H80" s="2546">
        <f>+VLOOKUP(C80,'Mủ CN (tam ung)'!C123:AK180,35,0)</f>
        <v>59</v>
      </c>
      <c r="I80" s="2546" t="e">
        <f>+VLOOKUP(C80,VCKD!C218:I252,9,0)</f>
        <v>#N/A</v>
      </c>
      <c r="J80" s="3016">
        <f t="shared" si="0"/>
        <v>25.623470543100002</v>
      </c>
      <c r="K80" s="2546" t="e">
        <f t="shared" si="6"/>
        <v>#N/A</v>
      </c>
      <c r="L80" s="2545" t="e">
        <f>+VLOOKUP(C80,#REF!,37,0)</f>
        <v>#REF!</v>
      </c>
      <c r="M80" s="3006" t="e">
        <f t="shared" si="7"/>
        <v>#REF!</v>
      </c>
      <c r="N80" s="3006">
        <f>+VLOOKUP(C80,'Đội 2 tu'!C80:M161,11,0)</f>
        <v>99130.856</v>
      </c>
      <c r="O80" s="3006" t="e">
        <f t="shared" si="3"/>
        <v>#REF!</v>
      </c>
      <c r="P80" s="2688">
        <v>0</v>
      </c>
      <c r="Q80" s="2688">
        <v>0</v>
      </c>
      <c r="R80" s="2689">
        <v>0</v>
      </c>
      <c r="S80" s="2546">
        <v>0</v>
      </c>
      <c r="T80" s="2546" t="e">
        <f t="shared" si="4"/>
        <v>#REF!</v>
      </c>
      <c r="U80" s="2546"/>
      <c r="V80" s="2546"/>
      <c r="W80" s="2546" t="e">
        <f t="shared" si="8"/>
        <v>#REF!</v>
      </c>
      <c r="X80" s="2546"/>
    </row>
    <row r="81" spans="1:24" s="2935" customFormat="1" ht="47.25" customHeight="1">
      <c r="A81" s="2545">
        <v>66</v>
      </c>
      <c r="B81" s="2545" t="s">
        <v>1807</v>
      </c>
      <c r="C81" s="2546" t="s">
        <v>1207</v>
      </c>
      <c r="D81" s="2546" t="s">
        <v>1571</v>
      </c>
      <c r="E81" s="2546"/>
      <c r="F81" s="2547">
        <v>0</v>
      </c>
      <c r="G81" s="2546">
        <v>0</v>
      </c>
      <c r="H81" s="2546">
        <f>+VLOOKUP(C81,'Mủ CN (tam ung)'!C124:AK181,35,0)</f>
        <v>59</v>
      </c>
      <c r="I81" s="2546" t="e">
        <f>+VLOOKUP(C81,VCKD!C218:I253,9,0)</f>
        <v>#N/A</v>
      </c>
      <c r="J81" s="3016">
        <f t="shared" ref="J81:J97" si="9">+H81*$AA$15</f>
        <v>25.623470543100002</v>
      </c>
      <c r="K81" s="2546" t="e">
        <f t="shared" si="6"/>
        <v>#N/A</v>
      </c>
      <c r="L81" s="2545" t="e">
        <f>+VLOOKUP(C81,#REF!,37,0)</f>
        <v>#REF!</v>
      </c>
      <c r="M81" s="3006" t="e">
        <f t="shared" si="7"/>
        <v>#REF!</v>
      </c>
      <c r="N81" s="3006">
        <f>+VLOOKUP(C81,'Đội 2 tu'!C81:M162,11,0)</f>
        <v>99130.856</v>
      </c>
      <c r="O81" s="3006" t="e">
        <f t="shared" ref="O81:O97" si="10">+M81-N81</f>
        <v>#REF!</v>
      </c>
      <c r="P81" s="2688">
        <v>0</v>
      </c>
      <c r="Q81" s="2688">
        <v>0</v>
      </c>
      <c r="R81" s="2689">
        <v>0</v>
      </c>
      <c r="S81" s="2546">
        <v>0</v>
      </c>
      <c r="T81" s="2546" t="e">
        <f t="shared" ref="T81:T97" si="11">+O81</f>
        <v>#REF!</v>
      </c>
      <c r="U81" s="2546"/>
      <c r="V81" s="2546"/>
      <c r="W81" s="2546" t="e">
        <f t="shared" si="8"/>
        <v>#REF!</v>
      </c>
      <c r="X81" s="2546"/>
    </row>
    <row r="82" spans="1:24" s="2935" customFormat="1" ht="47.25" customHeight="1">
      <c r="A82" s="2545">
        <v>67</v>
      </c>
      <c r="B82" s="2545" t="s">
        <v>1808</v>
      </c>
      <c r="C82" s="2546" t="s">
        <v>567</v>
      </c>
      <c r="D82" s="2546" t="str">
        <f>'[3]CNKT '!D60</f>
        <v>CNKT</v>
      </c>
      <c r="E82" s="2546"/>
      <c r="F82" s="2547">
        <v>0</v>
      </c>
      <c r="G82" s="2546">
        <v>0</v>
      </c>
      <c r="H82" s="2546">
        <f>+VLOOKUP(C82,'Mủ CN (tam ung)'!C125:AK182,35,0)</f>
        <v>44</v>
      </c>
      <c r="I82" s="2546" t="e">
        <f>+VLOOKUP(C82,VCKD!C218:I254,9,0)</f>
        <v>#N/A</v>
      </c>
      <c r="J82" s="3016">
        <f t="shared" si="9"/>
        <v>19.1090288796</v>
      </c>
      <c r="K82" s="2546" t="e">
        <f t="shared" si="6"/>
        <v>#N/A</v>
      </c>
      <c r="L82" s="2545" t="e">
        <f>+VLOOKUP(C82,#REF!,37,0)</f>
        <v>#REF!</v>
      </c>
      <c r="M82" s="3006" t="e">
        <f t="shared" si="7"/>
        <v>#REF!</v>
      </c>
      <c r="N82" s="3006">
        <f>+VLOOKUP(C82,'Đội 2 tu'!C82:M163,11,0)</f>
        <v>73928.096000000005</v>
      </c>
      <c r="O82" s="3006" t="e">
        <f t="shared" si="10"/>
        <v>#REF!</v>
      </c>
      <c r="P82" s="2688">
        <v>0</v>
      </c>
      <c r="Q82" s="2688">
        <v>0</v>
      </c>
      <c r="R82" s="2689">
        <v>0</v>
      </c>
      <c r="S82" s="2546">
        <v>0</v>
      </c>
      <c r="T82" s="2546" t="e">
        <f t="shared" si="11"/>
        <v>#REF!</v>
      </c>
      <c r="U82" s="2546"/>
      <c r="V82" s="2546"/>
      <c r="W82" s="2546" t="e">
        <f t="shared" si="8"/>
        <v>#REF!</v>
      </c>
      <c r="X82" s="2546"/>
    </row>
    <row r="83" spans="1:24" s="2935" customFormat="1" ht="47.25" customHeight="1">
      <c r="A83" s="2545">
        <v>68</v>
      </c>
      <c r="B83" s="2545" t="s">
        <v>1809</v>
      </c>
      <c r="C83" s="2546" t="s">
        <v>1512</v>
      </c>
      <c r="D83" s="2546" t="str">
        <f>'[3]CNKT '!D61</f>
        <v>CNKT</v>
      </c>
      <c r="E83" s="2546"/>
      <c r="F83" s="2547">
        <v>0</v>
      </c>
      <c r="G83" s="2546">
        <v>0</v>
      </c>
      <c r="H83" s="2546">
        <f>+VLOOKUP(C83,'Mủ CN (tam ung)'!C126:AK183,35,0)</f>
        <v>88</v>
      </c>
      <c r="I83" s="2546" t="e">
        <f>+VLOOKUP(C83,VCKD!C218:I255,9,0)</f>
        <v>#N/A</v>
      </c>
      <c r="J83" s="3016">
        <f t="shared" si="9"/>
        <v>38.218057759200001</v>
      </c>
      <c r="K83" s="2546" t="e">
        <f t="shared" si="6"/>
        <v>#N/A</v>
      </c>
      <c r="L83" s="2545" t="e">
        <f>+VLOOKUP(C83,#REF!,37,0)</f>
        <v>#REF!</v>
      </c>
      <c r="M83" s="3006" t="e">
        <f t="shared" si="7"/>
        <v>#REF!</v>
      </c>
      <c r="N83" s="3006">
        <f>+VLOOKUP(C83,'Đội 2 tu'!C83:M164,11,0)</f>
        <v>140584.576</v>
      </c>
      <c r="O83" s="3006" t="e">
        <f t="shared" si="10"/>
        <v>#REF!</v>
      </c>
      <c r="P83" s="2688">
        <v>0</v>
      </c>
      <c r="Q83" s="2688">
        <v>0</v>
      </c>
      <c r="R83" s="2689">
        <v>0</v>
      </c>
      <c r="S83" s="2546">
        <v>0</v>
      </c>
      <c r="T83" s="2546" t="e">
        <f t="shared" si="11"/>
        <v>#REF!</v>
      </c>
      <c r="U83" s="2546"/>
      <c r="V83" s="2546"/>
      <c r="W83" s="2546" t="e">
        <f t="shared" si="8"/>
        <v>#REF!</v>
      </c>
      <c r="X83" s="2546"/>
    </row>
    <row r="84" spans="1:24" s="2935" customFormat="1" ht="47.25" customHeight="1">
      <c r="A84" s="2545">
        <v>69</v>
      </c>
      <c r="B84" s="2545" t="s">
        <v>1810</v>
      </c>
      <c r="C84" s="2546" t="s">
        <v>1210</v>
      </c>
      <c r="D84" s="2546" t="str">
        <f>'[3]CNKT '!D62</f>
        <v>CNKT</v>
      </c>
      <c r="E84" s="2546"/>
      <c r="F84" s="2547">
        <v>0</v>
      </c>
      <c r="G84" s="2546">
        <v>0</v>
      </c>
      <c r="H84" s="2546">
        <f>+VLOOKUP(C84,'Mủ CN (tam ung)'!C127:AK184,35,0)</f>
        <v>40</v>
      </c>
      <c r="I84" s="2546" t="e">
        <f>+VLOOKUP(C84,VCKD!C218:I256,9,0)</f>
        <v>#N/A</v>
      </c>
      <c r="J84" s="3016">
        <f t="shared" si="9"/>
        <v>17.371844436</v>
      </c>
      <c r="K84" s="2546" t="e">
        <f t="shared" si="6"/>
        <v>#N/A</v>
      </c>
      <c r="L84" s="2545" t="e">
        <f>+VLOOKUP(C84,#REF!,37,0)</f>
        <v>#REF!</v>
      </c>
      <c r="M84" s="3006" t="e">
        <f t="shared" si="7"/>
        <v>#REF!</v>
      </c>
      <c r="N84" s="3006">
        <f>+VLOOKUP(C84,'Đội 2 tu'!C84:M165,11,0)</f>
        <v>67207.360000000001</v>
      </c>
      <c r="O84" s="3006" t="e">
        <f t="shared" si="10"/>
        <v>#REF!</v>
      </c>
      <c r="P84" s="2688">
        <v>0</v>
      </c>
      <c r="Q84" s="2688">
        <v>0</v>
      </c>
      <c r="R84" s="2689">
        <v>0</v>
      </c>
      <c r="S84" s="2546">
        <v>0</v>
      </c>
      <c r="T84" s="2546" t="e">
        <f t="shared" si="11"/>
        <v>#REF!</v>
      </c>
      <c r="U84" s="2546"/>
      <c r="V84" s="2546"/>
      <c r="W84" s="2546" t="e">
        <f t="shared" si="8"/>
        <v>#REF!</v>
      </c>
      <c r="X84" s="2546"/>
    </row>
    <row r="85" spans="1:24" s="2935" customFormat="1" ht="47.25" customHeight="1">
      <c r="A85" s="2545">
        <v>70</v>
      </c>
      <c r="B85" s="2545" t="s">
        <v>1811</v>
      </c>
      <c r="C85" s="2546" t="s">
        <v>1541</v>
      </c>
      <c r="D85" s="2546" t="str">
        <f>'[3]CNKT '!D63</f>
        <v>CNKT</v>
      </c>
      <c r="E85" s="2546"/>
      <c r="F85" s="2547">
        <v>0</v>
      </c>
      <c r="G85" s="2546">
        <v>0</v>
      </c>
      <c r="H85" s="2546">
        <f>+VLOOKUP(C85,'Mủ CN (tam ung)'!C128:AK185,35,0)</f>
        <v>40</v>
      </c>
      <c r="I85" s="2546" t="e">
        <f>+VLOOKUP(C85,VCKD!C218:I257,9,0)</f>
        <v>#N/A</v>
      </c>
      <c r="J85" s="3016">
        <f t="shared" si="9"/>
        <v>17.371844436</v>
      </c>
      <c r="K85" s="2546" t="e">
        <f t="shared" si="6"/>
        <v>#N/A</v>
      </c>
      <c r="L85" s="2545" t="e">
        <f>+VLOOKUP(C85,#REF!,37,0)</f>
        <v>#REF!</v>
      </c>
      <c r="M85" s="3006" t="e">
        <f t="shared" si="7"/>
        <v>#REF!</v>
      </c>
      <c r="N85" s="3006">
        <f>+VLOOKUP(C85,'Đội 2 tu'!C85:M166,11,0)</f>
        <v>67207.360000000001</v>
      </c>
      <c r="O85" s="3006" t="e">
        <f t="shared" si="10"/>
        <v>#REF!</v>
      </c>
      <c r="P85" s="2688">
        <v>0</v>
      </c>
      <c r="Q85" s="2688">
        <v>0</v>
      </c>
      <c r="R85" s="2689">
        <v>0</v>
      </c>
      <c r="S85" s="2546">
        <v>0</v>
      </c>
      <c r="T85" s="2546" t="e">
        <f t="shared" si="11"/>
        <v>#REF!</v>
      </c>
      <c r="U85" s="2546"/>
      <c r="V85" s="2546"/>
      <c r="W85" s="2546" t="e">
        <f t="shared" si="8"/>
        <v>#REF!</v>
      </c>
      <c r="X85" s="2546"/>
    </row>
    <row r="86" spans="1:24" s="2935" customFormat="1" ht="47.25" customHeight="1">
      <c r="A86" s="2545">
        <v>71</v>
      </c>
      <c r="B86" s="2545" t="s">
        <v>1812</v>
      </c>
      <c r="C86" s="2546" t="s">
        <v>1513</v>
      </c>
      <c r="D86" s="2546" t="str">
        <f>'[3]CNKT '!D64</f>
        <v>CNKT</v>
      </c>
      <c r="E86" s="2546"/>
      <c r="F86" s="2547">
        <v>0</v>
      </c>
      <c r="G86" s="2546">
        <v>0</v>
      </c>
      <c r="H86" s="2546">
        <f>+VLOOKUP(C86,'Mủ CN (tam ung)'!C129:AK186,35,0)</f>
        <v>57</v>
      </c>
      <c r="I86" s="2546" t="e">
        <f>+VLOOKUP(C86,VCKD!C218:I258,9,0)</f>
        <v>#N/A</v>
      </c>
      <c r="J86" s="3016">
        <f t="shared" si="9"/>
        <v>24.754878321300001</v>
      </c>
      <c r="K86" s="2546" t="e">
        <f t="shared" si="6"/>
        <v>#N/A</v>
      </c>
      <c r="L86" s="2545" t="e">
        <f>+VLOOKUP(C86,#REF!,37,0)</f>
        <v>#REF!</v>
      </c>
      <c r="M86" s="3006" t="e">
        <f t="shared" si="7"/>
        <v>#REF!</v>
      </c>
      <c r="N86" s="3006">
        <f>+VLOOKUP(C86,'Đội 2 tu'!C86:M167,11,0)</f>
        <v>95770.487999999998</v>
      </c>
      <c r="O86" s="3006" t="e">
        <f t="shared" si="10"/>
        <v>#REF!</v>
      </c>
      <c r="P86" s="2688">
        <v>0</v>
      </c>
      <c r="Q86" s="2688">
        <v>0</v>
      </c>
      <c r="R86" s="2689">
        <v>0</v>
      </c>
      <c r="S86" s="2546">
        <v>0</v>
      </c>
      <c r="T86" s="2546" t="e">
        <f t="shared" si="11"/>
        <v>#REF!</v>
      </c>
      <c r="U86" s="2546"/>
      <c r="V86" s="2546"/>
      <c r="W86" s="2546" t="e">
        <f t="shared" si="8"/>
        <v>#REF!</v>
      </c>
      <c r="X86" s="2546"/>
    </row>
    <row r="87" spans="1:24" s="2935" customFormat="1" ht="47.25" customHeight="1">
      <c r="A87" s="2545">
        <v>72</v>
      </c>
      <c r="B87" s="2545" t="s">
        <v>1813</v>
      </c>
      <c r="C87" s="2546" t="s">
        <v>1514</v>
      </c>
      <c r="D87" s="2546" t="str">
        <f>'[3]CNKT '!D65</f>
        <v>CNKT</v>
      </c>
      <c r="E87" s="2546"/>
      <c r="F87" s="2547">
        <v>0</v>
      </c>
      <c r="G87" s="2546">
        <v>0</v>
      </c>
      <c r="H87" s="2546">
        <f>+VLOOKUP(C87,'Mủ CN (tam ung)'!C130:AK187,35,0)</f>
        <v>59</v>
      </c>
      <c r="I87" s="2546" t="e">
        <f>+VLOOKUP(C87,VCKD!C218:I259,9,0)</f>
        <v>#N/A</v>
      </c>
      <c r="J87" s="3016">
        <f t="shared" si="9"/>
        <v>25.623470543100002</v>
      </c>
      <c r="K87" s="2546" t="e">
        <f t="shared" si="6"/>
        <v>#N/A</v>
      </c>
      <c r="L87" s="2545" t="e">
        <f>+VLOOKUP(C87,#REF!,37,0)</f>
        <v>#REF!</v>
      </c>
      <c r="M87" s="3006" t="e">
        <f t="shared" si="7"/>
        <v>#REF!</v>
      </c>
      <c r="N87" s="3006">
        <f>+VLOOKUP(C87,'Đội 2 tu'!C87:M168,11,0)</f>
        <v>94255.568000000014</v>
      </c>
      <c r="O87" s="3006" t="e">
        <f t="shared" si="10"/>
        <v>#REF!</v>
      </c>
      <c r="P87" s="2688">
        <v>0</v>
      </c>
      <c r="Q87" s="2688">
        <v>0</v>
      </c>
      <c r="R87" s="2689">
        <v>0</v>
      </c>
      <c r="S87" s="2546">
        <v>0</v>
      </c>
      <c r="T87" s="2546" t="e">
        <f t="shared" si="11"/>
        <v>#REF!</v>
      </c>
      <c r="U87" s="2546"/>
      <c r="V87" s="2546"/>
      <c r="W87" s="2546" t="e">
        <f t="shared" si="8"/>
        <v>#REF!</v>
      </c>
      <c r="X87" s="2546"/>
    </row>
    <row r="88" spans="1:24" s="2935" customFormat="1" ht="47.25" customHeight="1">
      <c r="A88" s="2545">
        <v>73</v>
      </c>
      <c r="B88" s="2545">
        <f>[3]TONGHOPCONGDOI!B69</f>
        <v>0</v>
      </c>
      <c r="C88" s="2546" t="s">
        <v>1303</v>
      </c>
      <c r="D88" s="2546" t="str">
        <f>'[3]CNKT '!D66</f>
        <v>CNKT</v>
      </c>
      <c r="E88" s="2546"/>
      <c r="F88" s="2547">
        <v>0</v>
      </c>
      <c r="G88" s="2546">
        <v>0</v>
      </c>
      <c r="H88" s="2546">
        <f>+VLOOKUP(C88,'Mủ CN (tam ung)'!C131:AK188,35,0)</f>
        <v>83</v>
      </c>
      <c r="I88" s="2546" t="e">
        <f>+VLOOKUP(C88,VCKD!C218:I260,9,0)</f>
        <v>#N/A</v>
      </c>
      <c r="J88" s="3016">
        <f t="shared" si="9"/>
        <v>36.0465772047</v>
      </c>
      <c r="K88" s="2546" t="e">
        <f t="shared" si="6"/>
        <v>#N/A</v>
      </c>
      <c r="L88" s="2545" t="e">
        <f>+VLOOKUP(C88,#REF!,37,0)</f>
        <v>#REF!</v>
      </c>
      <c r="M88" s="3006" t="e">
        <f t="shared" si="7"/>
        <v>#REF!</v>
      </c>
      <c r="N88" s="3006">
        <f>+VLOOKUP(C88,'Đội 2 tu'!C88:M169,11,0)</f>
        <v>132596.81600000002</v>
      </c>
      <c r="O88" s="3006" t="e">
        <f t="shared" si="10"/>
        <v>#REF!</v>
      </c>
      <c r="P88" s="2688">
        <v>0</v>
      </c>
      <c r="Q88" s="2688">
        <v>0</v>
      </c>
      <c r="R88" s="2689">
        <v>0</v>
      </c>
      <c r="S88" s="2546">
        <v>0</v>
      </c>
      <c r="T88" s="2546" t="e">
        <f t="shared" si="11"/>
        <v>#REF!</v>
      </c>
      <c r="U88" s="2546"/>
      <c r="V88" s="2546"/>
      <c r="W88" s="2546" t="e">
        <f t="shared" si="8"/>
        <v>#REF!</v>
      </c>
      <c r="X88" s="2546"/>
    </row>
    <row r="89" spans="1:24" s="2935" customFormat="1" ht="47.25" customHeight="1">
      <c r="A89" s="2545">
        <v>74</v>
      </c>
      <c r="B89" s="2545" t="s">
        <v>1814</v>
      </c>
      <c r="C89" s="2546" t="s">
        <v>850</v>
      </c>
      <c r="D89" s="2546" t="str">
        <f>'[3]CNKT '!D67</f>
        <v>CNKT</v>
      </c>
      <c r="E89" s="2546"/>
      <c r="F89" s="2547">
        <v>0</v>
      </c>
      <c r="G89" s="2546">
        <v>0</v>
      </c>
      <c r="H89" s="2546">
        <f>+VLOOKUP(C89,'Mủ CN (tam ung)'!C132:AK189,35,0)</f>
        <v>61</v>
      </c>
      <c r="I89" s="2546" t="e">
        <f>+VLOOKUP(C89,VCKD!C218:I261,9,0)</f>
        <v>#N/A</v>
      </c>
      <c r="J89" s="3016">
        <f t="shared" si="9"/>
        <v>26.492062764900002</v>
      </c>
      <c r="K89" s="2546" t="e">
        <f t="shared" si="6"/>
        <v>#N/A</v>
      </c>
      <c r="L89" s="2545" t="e">
        <f>+VLOOKUP(C89,#REF!,37,0)</f>
        <v>#REF!</v>
      </c>
      <c r="M89" s="3006" t="e">
        <f t="shared" si="7"/>
        <v>#REF!</v>
      </c>
      <c r="N89" s="3006">
        <f>+VLOOKUP(C89,'Đội 2 tu'!C89:M170,11,0)</f>
        <v>102491.22400000002</v>
      </c>
      <c r="O89" s="3006" t="e">
        <f t="shared" si="10"/>
        <v>#REF!</v>
      </c>
      <c r="P89" s="2688">
        <v>0</v>
      </c>
      <c r="Q89" s="2688">
        <v>0</v>
      </c>
      <c r="R89" s="2689">
        <v>0</v>
      </c>
      <c r="S89" s="2546">
        <v>0</v>
      </c>
      <c r="T89" s="2546" t="e">
        <f t="shared" si="11"/>
        <v>#REF!</v>
      </c>
      <c r="U89" s="2546"/>
      <c r="V89" s="2546"/>
      <c r="W89" s="2546" t="e">
        <f t="shared" si="8"/>
        <v>#REF!</v>
      </c>
      <c r="X89" s="2546"/>
    </row>
    <row r="90" spans="1:24" s="2935" customFormat="1" ht="47.25" customHeight="1">
      <c r="A90" s="2545">
        <v>75</v>
      </c>
      <c r="B90" s="2545" t="s">
        <v>1515</v>
      </c>
      <c r="C90" s="2546" t="s">
        <v>1515</v>
      </c>
      <c r="D90" s="2546" t="str">
        <f>'[3]CNKT '!D68</f>
        <v>CNKT</v>
      </c>
      <c r="E90" s="2546"/>
      <c r="F90" s="2547">
        <v>0</v>
      </c>
      <c r="G90" s="2546">
        <v>0</v>
      </c>
      <c r="H90" s="2546">
        <f>+VLOOKUP(C90,'Mủ CN (tam ung)'!C133:AK190,35,0)</f>
        <v>40</v>
      </c>
      <c r="I90" s="2546" t="e">
        <f>+VLOOKUP(C90,VCKD!C218:I262,9,0)</f>
        <v>#N/A</v>
      </c>
      <c r="J90" s="3016">
        <f t="shared" si="9"/>
        <v>17.371844436</v>
      </c>
      <c r="K90" s="2546" t="e">
        <f t="shared" si="6"/>
        <v>#N/A</v>
      </c>
      <c r="L90" s="2545" t="e">
        <f>+VLOOKUP(C90,#REF!,37,0)</f>
        <v>#REF!</v>
      </c>
      <c r="M90" s="3006" t="e">
        <f t="shared" si="7"/>
        <v>#REF!</v>
      </c>
      <c r="N90" s="3006">
        <f>+VLOOKUP(C90,'Đội 2 tu'!C90:M171,11,0)</f>
        <v>63902.080000000002</v>
      </c>
      <c r="O90" s="3006" t="e">
        <f t="shared" si="10"/>
        <v>#REF!</v>
      </c>
      <c r="P90" s="2688">
        <v>0</v>
      </c>
      <c r="Q90" s="2688">
        <v>0</v>
      </c>
      <c r="R90" s="2689">
        <v>0</v>
      </c>
      <c r="S90" s="2546">
        <v>0</v>
      </c>
      <c r="T90" s="2546" t="e">
        <f t="shared" si="11"/>
        <v>#REF!</v>
      </c>
      <c r="U90" s="2546"/>
      <c r="V90" s="2546"/>
      <c r="W90" s="2546" t="e">
        <f t="shared" si="8"/>
        <v>#REF!</v>
      </c>
      <c r="X90" s="2546"/>
    </row>
    <row r="91" spans="1:24" s="2935" customFormat="1" ht="47.25" customHeight="1">
      <c r="A91" s="2545">
        <v>76</v>
      </c>
      <c r="B91" s="2545" t="s">
        <v>1815</v>
      </c>
      <c r="C91" s="2546" t="s">
        <v>1516</v>
      </c>
      <c r="D91" s="2546" t="str">
        <f>'[3]CNKT '!D69</f>
        <v>CNKT</v>
      </c>
      <c r="E91" s="2546"/>
      <c r="F91" s="2547">
        <v>0</v>
      </c>
      <c r="G91" s="2546">
        <v>0</v>
      </c>
      <c r="H91" s="2546">
        <f>+VLOOKUP(C91,'Mủ CN (tam ung)'!C134:AK191,35,0)</f>
        <v>40</v>
      </c>
      <c r="I91" s="2546" t="e">
        <f>+VLOOKUP(C91,VCKD!C218:I263,9,0)</f>
        <v>#N/A</v>
      </c>
      <c r="J91" s="3016">
        <f t="shared" si="9"/>
        <v>17.371844436</v>
      </c>
      <c r="K91" s="2546" t="e">
        <f t="shared" si="6"/>
        <v>#N/A</v>
      </c>
      <c r="L91" s="2545" t="e">
        <f>+VLOOKUP(C91,#REF!,37,0)</f>
        <v>#REF!</v>
      </c>
      <c r="M91" s="3006" t="e">
        <f t="shared" si="7"/>
        <v>#REF!</v>
      </c>
      <c r="N91" s="3006">
        <f>+VLOOKUP(C91,'Đội 2 tu'!C91:M172,11,0)</f>
        <v>67207.360000000001</v>
      </c>
      <c r="O91" s="3006" t="e">
        <f t="shared" si="10"/>
        <v>#REF!</v>
      </c>
      <c r="P91" s="2688">
        <v>0</v>
      </c>
      <c r="Q91" s="2688">
        <v>0</v>
      </c>
      <c r="R91" s="2689">
        <v>0</v>
      </c>
      <c r="S91" s="2546">
        <v>0</v>
      </c>
      <c r="T91" s="2546" t="e">
        <f t="shared" si="11"/>
        <v>#REF!</v>
      </c>
      <c r="U91" s="2546"/>
      <c r="V91" s="2546"/>
      <c r="W91" s="2546" t="e">
        <f t="shared" si="8"/>
        <v>#REF!</v>
      </c>
      <c r="X91" s="2546"/>
    </row>
    <row r="92" spans="1:24" s="2935" customFormat="1" ht="47.25" customHeight="1">
      <c r="A92" s="2545">
        <v>77</v>
      </c>
      <c r="B92" s="2545" t="s">
        <v>1816</v>
      </c>
      <c r="C92" s="2546" t="s">
        <v>288</v>
      </c>
      <c r="D92" s="2546" t="str">
        <f>'[3]CNKT '!D70</f>
        <v>CNKT</v>
      </c>
      <c r="E92" s="2546"/>
      <c r="F92" s="2547">
        <v>0</v>
      </c>
      <c r="G92" s="2546">
        <v>0</v>
      </c>
      <c r="H92" s="2546">
        <f>+VLOOKUP(C92,'Mủ CN (tam ung)'!C135:AK192,35,0)</f>
        <v>57</v>
      </c>
      <c r="I92" s="2546" t="e">
        <f>+VLOOKUP(C92,VCKD!C218:I264,9,0)</f>
        <v>#N/A</v>
      </c>
      <c r="J92" s="3016">
        <f t="shared" si="9"/>
        <v>24.754878321300001</v>
      </c>
      <c r="K92" s="2546" t="e">
        <f t="shared" si="6"/>
        <v>#N/A</v>
      </c>
      <c r="L92" s="2545" t="e">
        <f>+VLOOKUP(C92,#REF!,37,0)</f>
        <v>#REF!</v>
      </c>
      <c r="M92" s="3006" t="e">
        <f t="shared" si="7"/>
        <v>#REF!</v>
      </c>
      <c r="N92" s="3006">
        <f>+VLOOKUP(C92,'Đội 2 tu'!C92:M173,11,0)</f>
        <v>95770.487999999998</v>
      </c>
      <c r="O92" s="3006" t="e">
        <f t="shared" si="10"/>
        <v>#REF!</v>
      </c>
      <c r="P92" s="2688">
        <v>0</v>
      </c>
      <c r="Q92" s="2688">
        <v>0</v>
      </c>
      <c r="R92" s="2689">
        <v>0</v>
      </c>
      <c r="S92" s="2546">
        <v>0</v>
      </c>
      <c r="T92" s="2546" t="e">
        <f t="shared" si="11"/>
        <v>#REF!</v>
      </c>
      <c r="U92" s="2546"/>
      <c r="V92" s="2546"/>
      <c r="W92" s="2546" t="e">
        <f t="shared" si="8"/>
        <v>#REF!</v>
      </c>
      <c r="X92" s="2546"/>
    </row>
    <row r="93" spans="1:24" s="2935" customFormat="1" ht="47.25" customHeight="1">
      <c r="A93" s="2545">
        <v>78</v>
      </c>
      <c r="B93" s="2545" t="s">
        <v>1817</v>
      </c>
      <c r="C93" s="2546" t="s">
        <v>1215</v>
      </c>
      <c r="D93" s="2546" t="str">
        <f>'[3]CNKT '!D71</f>
        <v>CNKT</v>
      </c>
      <c r="E93" s="2546"/>
      <c r="F93" s="2547">
        <v>0</v>
      </c>
      <c r="G93" s="2546">
        <v>0</v>
      </c>
      <c r="H93" s="2546">
        <f>+VLOOKUP(C93,'Mủ CN (tam ung)'!C136:AK193,35,0)</f>
        <v>51</v>
      </c>
      <c r="I93" s="2546" t="e">
        <f>+VLOOKUP(C93,VCKD!C218:I265,9,0)</f>
        <v>#N/A</v>
      </c>
      <c r="J93" s="3016">
        <f t="shared" si="9"/>
        <v>22.149101655900001</v>
      </c>
      <c r="K93" s="2546" t="e">
        <f t="shared" si="6"/>
        <v>#N/A</v>
      </c>
      <c r="L93" s="2545" t="e">
        <f>+VLOOKUP(C93,#REF!,37,0)</f>
        <v>#REF!</v>
      </c>
      <c r="M93" s="3006" t="e">
        <f t="shared" si="7"/>
        <v>#REF!</v>
      </c>
      <c r="N93" s="3006">
        <f>+VLOOKUP(C93,'Đội 2 tu'!C93:M174,11,0)</f>
        <v>81475.152000000016</v>
      </c>
      <c r="O93" s="3006" t="e">
        <f t="shared" si="10"/>
        <v>#REF!</v>
      </c>
      <c r="P93" s="2688">
        <v>0</v>
      </c>
      <c r="Q93" s="2688">
        <v>0</v>
      </c>
      <c r="R93" s="2689">
        <v>0</v>
      </c>
      <c r="S93" s="2546">
        <v>0</v>
      </c>
      <c r="T93" s="2546" t="e">
        <f t="shared" si="11"/>
        <v>#REF!</v>
      </c>
      <c r="U93" s="2546"/>
      <c r="V93" s="2546"/>
      <c r="W93" s="2546" t="e">
        <f t="shared" si="8"/>
        <v>#REF!</v>
      </c>
      <c r="X93" s="2546"/>
    </row>
    <row r="94" spans="1:24" s="2935" customFormat="1" ht="47.25" customHeight="1">
      <c r="A94" s="2545">
        <v>79</v>
      </c>
      <c r="B94" s="2545" t="s">
        <v>1818</v>
      </c>
      <c r="C94" s="2546" t="s">
        <v>1189</v>
      </c>
      <c r="D94" s="2546" t="str">
        <f>'[3]CNKT '!D72</f>
        <v>CNKT</v>
      </c>
      <c r="E94" s="2546"/>
      <c r="F94" s="2547">
        <v>0</v>
      </c>
      <c r="G94" s="2546">
        <v>0</v>
      </c>
      <c r="H94" s="2546">
        <f>+VLOOKUP(C94,'Mủ CN (tam ung)'!C137:AK194,35,0)</f>
        <v>142</v>
      </c>
      <c r="I94" s="2546" t="e">
        <f>+VLOOKUP(C94,VCKD!C218:I266,9,0)</f>
        <v>#N/A</v>
      </c>
      <c r="J94" s="3016">
        <f t="shared" si="9"/>
        <v>61.670047747800005</v>
      </c>
      <c r="K94" s="2546" t="e">
        <f t="shared" si="6"/>
        <v>#N/A</v>
      </c>
      <c r="L94" s="2545" t="e">
        <f>+VLOOKUP(C94,#REF!,37,0)</f>
        <v>#REF!</v>
      </c>
      <c r="M94" s="3006" t="e">
        <f t="shared" si="7"/>
        <v>#REF!</v>
      </c>
      <c r="N94" s="3006">
        <f>+VLOOKUP(C94,'Đội 2 tu'!C94:M175,11,0)</f>
        <v>226852.38400000002</v>
      </c>
      <c r="O94" s="3006" t="e">
        <f t="shared" si="10"/>
        <v>#REF!</v>
      </c>
      <c r="P94" s="2688">
        <v>0</v>
      </c>
      <c r="Q94" s="2688">
        <v>0</v>
      </c>
      <c r="R94" s="2689">
        <v>0</v>
      </c>
      <c r="S94" s="2546">
        <v>0</v>
      </c>
      <c r="T94" s="2546" t="e">
        <f t="shared" si="11"/>
        <v>#REF!</v>
      </c>
      <c r="U94" s="2546"/>
      <c r="V94" s="2546"/>
      <c r="W94" s="2546" t="e">
        <f t="shared" si="8"/>
        <v>#REF!</v>
      </c>
      <c r="X94" s="2546"/>
    </row>
    <row r="95" spans="1:24" s="2935" customFormat="1" ht="47.25" customHeight="1">
      <c r="A95" s="2545">
        <v>80</v>
      </c>
      <c r="B95" s="2545" t="s">
        <v>1819</v>
      </c>
      <c r="C95" s="2546" t="s">
        <v>1542</v>
      </c>
      <c r="D95" s="2546" t="str">
        <f>'[3]CNKT '!D73</f>
        <v>CNKT</v>
      </c>
      <c r="E95" s="2546"/>
      <c r="F95" s="2547">
        <v>0</v>
      </c>
      <c r="G95" s="2546">
        <v>0</v>
      </c>
      <c r="H95" s="2546">
        <f>+VLOOKUP(C95,'Mủ CN (tam ung)'!C138:AK195,35,0)</f>
        <v>74</v>
      </c>
      <c r="I95" s="2546" t="e">
        <f>+VLOOKUP(C95,VCKD!C218:I267,9,0)</f>
        <v>#N/A</v>
      </c>
      <c r="J95" s="3016">
        <f t="shared" si="9"/>
        <v>32.137912206599999</v>
      </c>
      <c r="K95" s="2546" t="e">
        <f t="shared" si="6"/>
        <v>#N/A</v>
      </c>
      <c r="L95" s="2545" t="e">
        <f>+VLOOKUP(C95,#REF!,37,0)</f>
        <v>#REF!</v>
      </c>
      <c r="M95" s="3006" t="e">
        <f t="shared" si="7"/>
        <v>#REF!</v>
      </c>
      <c r="N95" s="3006">
        <f>+VLOOKUP(C95,'Đội 2 tu'!C95:M176,11,0)</f>
        <v>124333.61600000001</v>
      </c>
      <c r="O95" s="3006" t="e">
        <f t="shared" si="10"/>
        <v>#REF!</v>
      </c>
      <c r="P95" s="2688">
        <v>0</v>
      </c>
      <c r="Q95" s="2688">
        <v>0</v>
      </c>
      <c r="R95" s="2689">
        <v>0</v>
      </c>
      <c r="S95" s="2546">
        <v>0</v>
      </c>
      <c r="T95" s="2546" t="e">
        <f t="shared" si="11"/>
        <v>#REF!</v>
      </c>
      <c r="U95" s="2546"/>
      <c r="V95" s="2546"/>
      <c r="W95" s="2546" t="e">
        <f t="shared" si="8"/>
        <v>#REF!</v>
      </c>
      <c r="X95" s="2546"/>
    </row>
    <row r="96" spans="1:24" s="2935" customFormat="1" ht="47.25" customHeight="1">
      <c r="A96" s="2545">
        <v>81</v>
      </c>
      <c r="B96" s="2545" t="s">
        <v>1820</v>
      </c>
      <c r="C96" s="2546" t="s">
        <v>1543</v>
      </c>
      <c r="D96" s="2546" t="str">
        <f>'[3]CNKT '!D74</f>
        <v>CNKT</v>
      </c>
      <c r="E96" s="2546"/>
      <c r="F96" s="2547">
        <v>0</v>
      </c>
      <c r="G96" s="2546">
        <v>0</v>
      </c>
      <c r="H96" s="2546">
        <f>+VLOOKUP(C96,'Mủ CN (tam ung)'!C139:AK196,35,0)</f>
        <v>116</v>
      </c>
      <c r="I96" s="2546" t="e">
        <f>+VLOOKUP(C96,VCKD!C218:I268,9,0)</f>
        <v>#N/A</v>
      </c>
      <c r="J96" s="3016">
        <f t="shared" si="9"/>
        <v>50.378348864400003</v>
      </c>
      <c r="K96" s="2546" t="e">
        <f t="shared" si="6"/>
        <v>#N/A</v>
      </c>
      <c r="L96" s="2545" t="e">
        <f>+VLOOKUP(C96,#REF!,37,0)</f>
        <v>#REF!</v>
      </c>
      <c r="M96" s="3006" t="e">
        <f t="shared" si="7"/>
        <v>#REF!</v>
      </c>
      <c r="N96" s="3006">
        <f>+VLOOKUP(C96,'Đội 2 tu'!C96:M177,11,0)</f>
        <v>194901.34400000001</v>
      </c>
      <c r="O96" s="3006" t="e">
        <f t="shared" si="10"/>
        <v>#REF!</v>
      </c>
      <c r="P96" s="2688">
        <v>0</v>
      </c>
      <c r="Q96" s="2688">
        <v>0</v>
      </c>
      <c r="R96" s="2689">
        <v>0</v>
      </c>
      <c r="S96" s="2546">
        <v>0</v>
      </c>
      <c r="T96" s="2546" t="e">
        <f t="shared" si="11"/>
        <v>#REF!</v>
      </c>
      <c r="U96" s="2546"/>
      <c r="V96" s="2546"/>
      <c r="W96" s="2546" t="e">
        <f t="shared" si="8"/>
        <v>#REF!</v>
      </c>
      <c r="X96" s="2546"/>
    </row>
    <row r="97" spans="1:27" s="2935" customFormat="1" ht="47.25" customHeight="1">
      <c r="A97" s="2545">
        <v>82</v>
      </c>
      <c r="B97" s="2545" t="s">
        <v>1821</v>
      </c>
      <c r="C97" s="2546" t="s">
        <v>1544</v>
      </c>
      <c r="D97" s="2546" t="str">
        <f>'[3]CNKT '!D76</f>
        <v>CNKT</v>
      </c>
      <c r="E97" s="2546"/>
      <c r="F97" s="2547">
        <v>0</v>
      </c>
      <c r="G97" s="2546">
        <v>0</v>
      </c>
      <c r="H97" s="2546">
        <f>+VLOOKUP(C97,'Mủ CN (tam ung)'!C141:AK198,35,0)</f>
        <v>127</v>
      </c>
      <c r="I97" s="2546" t="e">
        <f>+VLOOKUP(C97,VCKD!C218:I270,9,0)</f>
        <v>#N/A</v>
      </c>
      <c r="J97" s="3016">
        <f t="shared" si="9"/>
        <v>55.155606084300004</v>
      </c>
      <c r="K97" s="2546" t="e">
        <f t="shared" si="6"/>
        <v>#N/A</v>
      </c>
      <c r="L97" s="2545" t="e">
        <f>+VLOOKUP(C97,#REF!,37,0)</f>
        <v>#REF!</v>
      </c>
      <c r="M97" s="3006" t="e">
        <f t="shared" si="7"/>
        <v>#REF!</v>
      </c>
      <c r="N97" s="3006">
        <f>+VLOOKUP(C97,'Đội 2 tu'!C97:M178,11,0)</f>
        <v>213383.36800000002</v>
      </c>
      <c r="O97" s="3006" t="e">
        <f t="shared" si="10"/>
        <v>#REF!</v>
      </c>
      <c r="P97" s="2688">
        <v>0</v>
      </c>
      <c r="Q97" s="2688">
        <v>0</v>
      </c>
      <c r="R97" s="2689">
        <v>0</v>
      </c>
      <c r="S97" s="2546">
        <v>0</v>
      </c>
      <c r="T97" s="2546" t="e">
        <f t="shared" si="11"/>
        <v>#REF!</v>
      </c>
      <c r="U97" s="2546"/>
      <c r="V97" s="2546"/>
      <c r="W97" s="2546" t="e">
        <f t="shared" si="8"/>
        <v>#REF!</v>
      </c>
      <c r="X97" s="2546"/>
    </row>
    <row r="98" spans="1:27" s="2935" customFormat="1" ht="47.25" customHeight="1">
      <c r="A98" s="3973" t="s">
        <v>61</v>
      </c>
      <c r="B98" s="3974"/>
      <c r="C98" s="3974"/>
      <c r="D98" s="3975"/>
      <c r="E98" s="2931"/>
      <c r="F98" s="2550">
        <f>SUM(F16:F97)</f>
        <v>0</v>
      </c>
      <c r="G98" s="2550">
        <f>SUM(G16:G97)</f>
        <v>0</v>
      </c>
      <c r="H98" s="2550">
        <f>SUM(H16:H97)</f>
        <v>6742</v>
      </c>
      <c r="I98" s="2550"/>
      <c r="J98" s="3103">
        <f>SUM(J16:J97)</f>
        <v>2928.0243796878008</v>
      </c>
      <c r="K98" s="2550"/>
      <c r="L98" s="2550"/>
      <c r="M98" s="2550" t="e">
        <f t="shared" ref="M98:U98" si="12">SUM(M16:M97)</f>
        <v>#REF!</v>
      </c>
      <c r="N98" s="2550">
        <f t="shared" si="12"/>
        <v>11223518.944000004</v>
      </c>
      <c r="O98" s="2550" t="e">
        <f t="shared" si="12"/>
        <v>#REF!</v>
      </c>
      <c r="P98" s="2550">
        <f t="shared" si="12"/>
        <v>0</v>
      </c>
      <c r="Q98" s="2550">
        <f t="shared" si="12"/>
        <v>0</v>
      </c>
      <c r="R98" s="2550">
        <f t="shared" si="12"/>
        <v>0</v>
      </c>
      <c r="S98" s="2550">
        <f t="shared" si="12"/>
        <v>0</v>
      </c>
      <c r="T98" s="2550" t="e">
        <f t="shared" si="12"/>
        <v>#REF!</v>
      </c>
      <c r="U98" s="2550">
        <f t="shared" si="12"/>
        <v>0</v>
      </c>
      <c r="V98" s="2550"/>
      <c r="W98" s="2550" t="e">
        <f>SUM(W16:W97)</f>
        <v>#REF!</v>
      </c>
      <c r="X98" s="2552"/>
      <c r="Y98" s="2935" t="e">
        <f>+VCKD!#REF!</f>
        <v>#REF!</v>
      </c>
      <c r="AA98" s="2935" t="e">
        <f>+Y98/87</f>
        <v>#REF!</v>
      </c>
    </row>
    <row r="99" spans="1:27" ht="47.25" customHeight="1">
      <c r="A99" s="3976" t="s">
        <v>1959</v>
      </c>
      <c r="B99" s="3976"/>
      <c r="C99" s="3976"/>
      <c r="D99" s="3976"/>
      <c r="E99" s="3976"/>
      <c r="F99" s="3976"/>
      <c r="G99" s="3976"/>
      <c r="H99" s="3976"/>
      <c r="I99" s="3976"/>
      <c r="J99" s="3976"/>
      <c r="K99" s="3976"/>
      <c r="L99" s="3976"/>
      <c r="M99" s="3976"/>
      <c r="N99" s="3976"/>
      <c r="O99" s="3976"/>
      <c r="P99" s="3976"/>
      <c r="Q99" s="3976"/>
      <c r="R99" s="3976"/>
      <c r="S99" s="3976"/>
      <c r="T99" s="3976"/>
      <c r="U99" s="3976"/>
      <c r="V99" s="3976"/>
      <c r="W99" s="3976"/>
      <c r="X99" s="3976"/>
    </row>
    <row r="100" spans="1:27" ht="26.25" customHeight="1">
      <c r="A100" s="2553"/>
      <c r="B100" s="2553"/>
      <c r="C100" s="2553"/>
      <c r="D100" s="2553"/>
      <c r="E100" s="2553"/>
      <c r="F100" s="2553"/>
      <c r="G100" s="2553"/>
      <c r="H100" s="2553"/>
      <c r="I100" s="2553"/>
      <c r="J100" s="2553"/>
      <c r="K100" s="2553"/>
      <c r="L100" s="2553"/>
      <c r="M100" s="2553"/>
      <c r="N100" s="2553"/>
      <c r="O100" s="2553"/>
      <c r="P100" s="2553"/>
      <c r="Q100" s="2553"/>
      <c r="R100" s="2553"/>
      <c r="S100" s="2553"/>
      <c r="T100" s="2553"/>
      <c r="U100" s="2553"/>
      <c r="V100" s="2553"/>
      <c r="W100" s="2553"/>
      <c r="X100" s="2553"/>
    </row>
    <row r="101" spans="1:27" ht="26.25" customHeight="1">
      <c r="A101" s="2554"/>
      <c r="B101" s="2555"/>
      <c r="C101" s="2556"/>
      <c r="D101" s="2557"/>
      <c r="E101" s="2557"/>
      <c r="F101" s="2558"/>
      <c r="G101" s="2559"/>
      <c r="H101" s="2559"/>
      <c r="I101" s="2559"/>
      <c r="J101" s="2560"/>
      <c r="K101" s="2560"/>
      <c r="L101" s="2561"/>
      <c r="M101" s="2562"/>
      <c r="N101" s="2562"/>
      <c r="O101" s="2562"/>
      <c r="P101" s="2563"/>
      <c r="Q101" s="2563"/>
      <c r="R101" s="2563"/>
      <c r="S101" s="2559"/>
      <c r="T101" s="3977" t="s">
        <v>1890</v>
      </c>
      <c r="U101" s="3977"/>
      <c r="V101" s="3977"/>
      <c r="W101" s="3977"/>
      <c r="X101" s="3977"/>
    </row>
    <row r="102" spans="1:27" ht="26.25" hidden="1" customHeight="1">
      <c r="D102" s="2564"/>
      <c r="E102" s="2564"/>
      <c r="F102" s="2565"/>
      <c r="P102" s="2566"/>
      <c r="Q102" s="2566"/>
      <c r="R102" s="2566"/>
      <c r="U102" s="2567"/>
      <c r="V102" s="2567"/>
      <c r="W102" s="2567"/>
    </row>
    <row r="103" spans="1:27" ht="26.25" hidden="1" customHeight="1">
      <c r="D103" s="2564"/>
      <c r="E103" s="2564"/>
      <c r="F103" s="2565"/>
      <c r="P103" s="2566"/>
      <c r="Q103" s="2566"/>
      <c r="R103" s="2566"/>
      <c r="U103" s="2567"/>
      <c r="V103" s="2567"/>
      <c r="W103" s="2567"/>
    </row>
    <row r="104" spans="1:27" s="2568" customFormat="1" ht="26.25" customHeight="1">
      <c r="A104" s="3962" t="s">
        <v>502</v>
      </c>
      <c r="B104" s="3962"/>
      <c r="C104" s="3962"/>
      <c r="D104" s="3962"/>
      <c r="E104" s="3962"/>
      <c r="F104" s="3962"/>
      <c r="G104" s="3962" t="s">
        <v>1598</v>
      </c>
      <c r="H104" s="3962"/>
      <c r="I104" s="3962"/>
      <c r="J104" s="3962"/>
      <c r="K104" s="3962"/>
      <c r="L104" s="3962"/>
      <c r="M104" s="3962" t="s">
        <v>513</v>
      </c>
      <c r="N104" s="3962"/>
      <c r="O104" s="3962"/>
      <c r="P104" s="3962"/>
      <c r="Q104" s="3962"/>
      <c r="R104" s="3962"/>
      <c r="S104" s="3962"/>
      <c r="T104" s="3962" t="s">
        <v>1599</v>
      </c>
      <c r="U104" s="3962"/>
      <c r="V104" s="3962"/>
      <c r="W104" s="3962"/>
      <c r="X104" s="3962"/>
    </row>
    <row r="105" spans="1:27" s="2568" customFormat="1" ht="26.25" customHeight="1">
      <c r="A105" s="2529"/>
      <c r="C105" s="2925"/>
      <c r="D105" s="2925"/>
      <c r="E105" s="2925"/>
      <c r="F105" s="2925"/>
      <c r="G105" s="2925"/>
      <c r="H105" s="2925"/>
      <c r="I105" s="2925"/>
      <c r="J105" s="2569"/>
      <c r="K105" s="2569"/>
      <c r="L105" s="2925"/>
      <c r="M105" s="2528"/>
      <c r="N105" s="2528"/>
      <c r="O105" s="2528"/>
      <c r="Q105" s="2528"/>
      <c r="R105" s="2528"/>
      <c r="S105" s="2570"/>
      <c r="T105" s="2925"/>
      <c r="U105" s="2925"/>
      <c r="V105" s="2925"/>
      <c r="W105" s="2925"/>
    </row>
    <row r="106" spans="1:27" s="2568" customFormat="1" ht="26.25" customHeight="1">
      <c r="A106" s="2529"/>
      <c r="C106" s="2925"/>
      <c r="D106" s="2925"/>
      <c r="E106" s="2925"/>
      <c r="F106" s="2925"/>
      <c r="G106" s="2925"/>
      <c r="H106" s="2925"/>
      <c r="I106" s="2925"/>
      <c r="J106" s="2569"/>
      <c r="K106" s="2569"/>
      <c r="L106" s="2925"/>
      <c r="M106" s="2528"/>
      <c r="N106" s="2528"/>
      <c r="O106" s="2528"/>
      <c r="Q106" s="2528"/>
      <c r="R106" s="2528"/>
      <c r="S106" s="2570"/>
      <c r="T106" s="2925"/>
      <c r="U106" s="2925"/>
      <c r="V106" s="2925"/>
      <c r="W106" s="2925"/>
    </row>
    <row r="107" spans="1:27" s="2568" customFormat="1" ht="26.25" customHeight="1">
      <c r="A107" s="2529"/>
      <c r="C107" s="2925"/>
      <c r="D107" s="2925"/>
      <c r="E107" s="2925"/>
      <c r="F107" s="2925"/>
      <c r="G107" s="2925"/>
      <c r="H107" s="2925"/>
      <c r="I107" s="2925"/>
      <c r="J107" s="2569"/>
      <c r="K107" s="2569"/>
      <c r="L107" s="2925"/>
      <c r="Q107" s="2528"/>
      <c r="R107" s="2528"/>
      <c r="S107" s="2570"/>
      <c r="T107" s="2925"/>
      <c r="U107" s="2925"/>
      <c r="V107" s="2925"/>
      <c r="W107" s="2925"/>
    </row>
    <row r="108" spans="1:27" s="2568" customFormat="1" ht="26.25" customHeight="1">
      <c r="A108" s="2529"/>
      <c r="C108" s="2925"/>
      <c r="D108" s="2925"/>
      <c r="E108" s="2925"/>
      <c r="F108" s="2925"/>
      <c r="G108" s="2925"/>
      <c r="H108" s="2925"/>
      <c r="I108" s="2925"/>
      <c r="J108" s="2569"/>
      <c r="K108" s="2569"/>
      <c r="L108" s="2925"/>
      <c r="M108" s="2571"/>
      <c r="N108" s="2571"/>
      <c r="O108" s="2571"/>
      <c r="Q108" s="2528"/>
      <c r="R108" s="2528"/>
      <c r="S108" s="2528"/>
      <c r="T108" s="2925"/>
      <c r="U108" s="2925"/>
      <c r="V108" s="2925"/>
      <c r="W108" s="2925"/>
    </row>
    <row r="109" spans="1:27" s="2568" customFormat="1" ht="26.25" customHeight="1">
      <c r="A109" s="2529"/>
      <c r="C109" s="2925"/>
      <c r="D109" s="2925"/>
      <c r="E109" s="2925"/>
      <c r="F109" s="2933"/>
      <c r="G109" s="2925"/>
      <c r="H109" s="2925"/>
      <c r="I109" s="2925"/>
      <c r="J109" s="2569"/>
      <c r="K109" s="2569"/>
      <c r="L109" s="2925"/>
      <c r="M109" s="2528"/>
      <c r="N109" s="2528"/>
      <c r="O109" s="2528"/>
      <c r="Q109" s="2528"/>
      <c r="R109" s="2528"/>
      <c r="S109" s="2570"/>
      <c r="T109" s="2925"/>
      <c r="U109" s="2925"/>
      <c r="V109" s="2925"/>
      <c r="W109" s="2925"/>
    </row>
    <row r="110" spans="1:27" s="2568" customFormat="1" ht="26.25" customHeight="1">
      <c r="A110" s="2529"/>
      <c r="C110" s="2925"/>
      <c r="D110" s="2933"/>
      <c r="E110" s="2933"/>
      <c r="F110" s="2935"/>
      <c r="G110" s="2925"/>
      <c r="H110" s="2925"/>
      <c r="I110" s="2925"/>
      <c r="J110" s="2569"/>
      <c r="K110" s="2569"/>
      <c r="L110" s="2925"/>
      <c r="M110" s="2528"/>
      <c r="N110" s="2528"/>
      <c r="O110" s="2528"/>
      <c r="Q110" s="2528"/>
      <c r="R110" s="2528"/>
      <c r="S110" s="2570"/>
      <c r="T110" s="2925"/>
      <c r="U110" s="2925"/>
      <c r="V110" s="2925"/>
      <c r="W110" s="2925"/>
    </row>
    <row r="111" spans="1:27" s="2568" customFormat="1" ht="26.25" customHeight="1">
      <c r="A111" s="2529"/>
      <c r="C111" s="2925"/>
      <c r="D111" s="2925"/>
      <c r="E111" s="2925"/>
      <c r="F111" s="2925"/>
      <c r="J111" s="2528"/>
      <c r="K111" s="2528"/>
      <c r="L111" s="2528"/>
      <c r="M111" s="2528"/>
      <c r="N111" s="2528"/>
      <c r="O111" s="2528"/>
      <c r="P111" s="3962"/>
      <c r="Q111" s="3962"/>
      <c r="R111" s="3962"/>
      <c r="S111" s="3962"/>
      <c r="W111" s="2925"/>
      <c r="X111" s="2528"/>
    </row>
    <row r="112" spans="1:27" s="2568" customFormat="1" ht="26.25" customHeight="1">
      <c r="A112" s="3991"/>
      <c r="B112" s="3991"/>
      <c r="C112" s="3991"/>
      <c r="D112" s="3991"/>
      <c r="E112" s="3991"/>
      <c r="F112" s="3991"/>
      <c r="G112" s="3962"/>
      <c r="H112" s="3962"/>
      <c r="I112" s="3962"/>
      <c r="J112" s="3962"/>
      <c r="K112" s="3962"/>
      <c r="L112" s="3962"/>
      <c r="M112" s="2528"/>
      <c r="N112" s="2528"/>
      <c r="O112" s="2528"/>
      <c r="Q112" s="2528"/>
      <c r="R112" s="2528"/>
      <c r="S112" s="2570"/>
      <c r="T112" s="3978"/>
      <c r="U112" s="3978"/>
      <c r="V112" s="3978"/>
      <c r="W112" s="3978"/>
      <c r="X112" s="3978"/>
    </row>
    <row r="113" spans="1:23" s="2568" customFormat="1" ht="26.25" customHeight="1">
      <c r="A113" s="2529"/>
      <c r="C113" s="2925"/>
      <c r="D113" s="2933"/>
      <c r="E113" s="2933"/>
      <c r="F113" s="2571"/>
      <c r="G113" s="2938"/>
      <c r="H113" s="2938"/>
      <c r="I113" s="2938"/>
      <c r="J113" s="2569"/>
      <c r="K113" s="2569"/>
      <c r="L113" s="2925"/>
      <c r="M113" s="2571"/>
      <c r="N113" s="2571"/>
      <c r="O113" s="2571"/>
      <c r="Q113" s="2528"/>
      <c r="R113" s="2528"/>
      <c r="S113" s="2519"/>
      <c r="T113" s="2571"/>
      <c r="U113" s="2528"/>
      <c r="V113" s="2528"/>
      <c r="W113" s="2528"/>
    </row>
    <row r="114" spans="1:23" ht="26.25" customHeight="1">
      <c r="B114" s="2519"/>
      <c r="C114" s="2519"/>
      <c r="F114" s="2566"/>
      <c r="G114" s="2566"/>
      <c r="H114" s="2566"/>
      <c r="I114" s="2566"/>
      <c r="J114" s="2574"/>
      <c r="K114" s="2574"/>
      <c r="L114" s="2574"/>
      <c r="M114" s="2566"/>
      <c r="N114" s="2566"/>
      <c r="O114" s="2566"/>
    </row>
    <row r="115" spans="1:23">
      <c r="B115" s="2519"/>
      <c r="C115" s="2519"/>
      <c r="F115" s="2566"/>
      <c r="G115" s="2575"/>
      <c r="H115" s="2575"/>
      <c r="I115" s="2575"/>
      <c r="J115" s="2574"/>
      <c r="K115" s="2574"/>
      <c r="L115" s="2574"/>
      <c r="M115" s="2576"/>
      <c r="N115" s="2576"/>
      <c r="O115" s="2576"/>
      <c r="P115" s="3986"/>
      <c r="Q115" s="3986"/>
      <c r="R115" s="2937"/>
      <c r="S115" s="2577"/>
      <c r="T115" s="2577"/>
    </row>
    <row r="116" spans="1:23">
      <c r="B116" s="2519"/>
      <c r="C116" s="2519"/>
      <c r="F116" s="2566"/>
      <c r="G116" s="2575"/>
      <c r="H116" s="2575"/>
      <c r="I116" s="2575"/>
      <c r="J116" s="2574"/>
      <c r="K116" s="2574"/>
      <c r="L116" s="2574"/>
      <c r="M116" s="2576"/>
      <c r="N116" s="2576"/>
      <c r="O116" s="2576"/>
      <c r="P116" s="2937"/>
      <c r="Q116" s="2937"/>
      <c r="R116" s="2937"/>
      <c r="S116" s="2577"/>
      <c r="T116" s="2577"/>
    </row>
    <row r="117" spans="1:23">
      <c r="B117" s="2519"/>
      <c r="C117" s="2519"/>
      <c r="F117" s="2566"/>
      <c r="G117" s="2575"/>
      <c r="H117" s="2575"/>
      <c r="I117" s="2575"/>
      <c r="J117" s="2574"/>
      <c r="K117" s="2574"/>
      <c r="L117" s="2574"/>
      <c r="M117" s="2576"/>
      <c r="N117" s="2576"/>
      <c r="O117" s="2576"/>
      <c r="P117" s="2937"/>
      <c r="Q117" s="2937"/>
      <c r="R117" s="2937"/>
      <c r="S117" s="2577"/>
      <c r="T117" s="2577"/>
    </row>
    <row r="118" spans="1:23">
      <c r="B118" s="2519"/>
      <c r="C118" s="2519"/>
      <c r="F118" s="2566"/>
      <c r="G118" s="2575"/>
      <c r="H118" s="2575"/>
      <c r="I118" s="2575"/>
      <c r="J118" s="2574"/>
      <c r="K118" s="2574"/>
      <c r="L118" s="2574"/>
      <c r="M118" s="2576"/>
      <c r="N118" s="2576"/>
      <c r="O118" s="2576"/>
      <c r="P118" s="2937"/>
      <c r="Q118" s="2937"/>
      <c r="R118" s="2937"/>
      <c r="S118" s="2577"/>
      <c r="T118" s="2577"/>
    </row>
    <row r="119" spans="1:23">
      <c r="B119" s="2519"/>
      <c r="C119" s="2519"/>
      <c r="F119" s="2566"/>
      <c r="G119" s="2575"/>
      <c r="H119" s="2575"/>
      <c r="I119" s="2575"/>
      <c r="J119" s="2574"/>
      <c r="K119" s="2574"/>
      <c r="L119" s="2574"/>
      <c r="M119" s="2576"/>
      <c r="N119" s="2576"/>
      <c r="O119" s="2576"/>
      <c r="P119" s="2937"/>
      <c r="Q119" s="2937"/>
      <c r="R119" s="2937"/>
      <c r="S119" s="2577"/>
      <c r="T119" s="2577"/>
    </row>
    <row r="120" spans="1:23">
      <c r="B120" s="2519"/>
      <c r="C120" s="2519"/>
      <c r="F120" s="2566"/>
      <c r="G120" s="2575"/>
      <c r="H120" s="2575"/>
      <c r="I120" s="2575"/>
      <c r="J120" s="2574"/>
      <c r="K120" s="2574"/>
      <c r="L120" s="2574"/>
      <c r="M120" s="2576"/>
      <c r="N120" s="2576"/>
      <c r="O120" s="2576"/>
      <c r="P120" s="2937"/>
      <c r="Q120" s="2937"/>
      <c r="R120" s="2937"/>
      <c r="S120" s="2577"/>
      <c r="T120" s="2577"/>
    </row>
    <row r="121" spans="1:23">
      <c r="B121" s="2519"/>
      <c r="C121" s="2519"/>
      <c r="F121" s="2566"/>
      <c r="G121" s="2575"/>
      <c r="H121" s="2575"/>
      <c r="I121" s="2575"/>
      <c r="J121" s="2574"/>
      <c r="K121" s="2574"/>
      <c r="L121" s="2574"/>
      <c r="M121" s="2576"/>
      <c r="N121" s="2576"/>
      <c r="O121" s="2576"/>
      <c r="P121" s="2937"/>
      <c r="Q121" s="2937"/>
      <c r="R121" s="2937"/>
      <c r="S121" s="2577"/>
      <c r="T121" s="2577"/>
    </row>
    <row r="122" spans="1:23">
      <c r="B122" s="2519"/>
      <c r="C122" s="2519"/>
      <c r="F122" s="2566"/>
      <c r="G122" s="2575"/>
      <c r="H122" s="2575"/>
      <c r="I122" s="2575"/>
      <c r="J122" s="2574"/>
      <c r="K122" s="2574"/>
      <c r="L122" s="2574"/>
      <c r="M122" s="2576"/>
      <c r="N122" s="2576"/>
      <c r="O122" s="2576"/>
      <c r="P122" s="2937"/>
      <c r="Q122" s="2937"/>
      <c r="R122" s="2937"/>
      <c r="S122" s="2577"/>
      <c r="T122" s="2577"/>
    </row>
    <row r="123" spans="1:23">
      <c r="B123" s="2519"/>
      <c r="C123" s="2519"/>
      <c r="F123" s="2566"/>
      <c r="G123" s="2575"/>
      <c r="H123" s="2575"/>
      <c r="I123" s="2575"/>
      <c r="J123" s="2574"/>
      <c r="K123" s="2574"/>
      <c r="L123" s="2574"/>
      <c r="M123" s="2528"/>
      <c r="N123" s="2528"/>
      <c r="O123" s="2528"/>
      <c r="P123" s="2937"/>
      <c r="Q123" s="2937"/>
      <c r="R123" s="2937"/>
      <c r="S123" s="2577"/>
      <c r="T123" s="2577"/>
    </row>
    <row r="124" spans="1:23">
      <c r="B124" s="2519"/>
      <c r="C124" s="2519"/>
      <c r="F124" s="2566"/>
      <c r="G124" s="2575"/>
      <c r="H124" s="2575"/>
      <c r="I124" s="2575"/>
      <c r="J124" s="2574"/>
      <c r="K124" s="2574"/>
      <c r="L124" s="2574"/>
      <c r="M124" s="2576"/>
      <c r="N124" s="2576"/>
      <c r="O124" s="2576"/>
      <c r="P124" s="2937"/>
      <c r="Q124" s="2937"/>
      <c r="R124" s="2937"/>
      <c r="S124" s="2577"/>
      <c r="T124" s="2577"/>
    </row>
    <row r="125" spans="1:23">
      <c r="B125" s="2519"/>
      <c r="C125" s="2519"/>
      <c r="F125" s="2566"/>
      <c r="G125" s="2575"/>
      <c r="H125" s="2575"/>
      <c r="I125" s="2575"/>
      <c r="J125" s="2574"/>
      <c r="K125" s="2574"/>
      <c r="L125" s="2574"/>
      <c r="M125" s="2576"/>
      <c r="N125" s="2576"/>
      <c r="O125" s="2576"/>
      <c r="P125" s="2937"/>
      <c r="Q125" s="2937"/>
      <c r="R125" s="2937"/>
      <c r="S125" s="2577"/>
      <c r="T125" s="2577"/>
    </row>
    <row r="126" spans="1:23">
      <c r="B126" s="2519"/>
      <c r="C126" s="2519"/>
      <c r="F126" s="2566"/>
      <c r="G126" s="2575"/>
      <c r="H126" s="2575"/>
      <c r="I126" s="2575"/>
      <c r="J126" s="2574"/>
      <c r="K126" s="2574"/>
      <c r="L126" s="2574"/>
      <c r="M126" s="2576"/>
      <c r="N126" s="2576"/>
      <c r="O126" s="2576"/>
      <c r="P126" s="2937"/>
      <c r="Q126" s="2937"/>
      <c r="R126" s="2937"/>
      <c r="S126" s="2577"/>
      <c r="T126" s="2577"/>
    </row>
    <row r="127" spans="1:23">
      <c r="B127" s="2519"/>
      <c r="C127" s="2519"/>
      <c r="F127" s="2566"/>
      <c r="G127" s="2575"/>
      <c r="H127" s="2575"/>
      <c r="I127" s="2575"/>
      <c r="J127" s="2574"/>
      <c r="K127" s="2574"/>
      <c r="L127" s="2574"/>
      <c r="M127" s="2576"/>
      <c r="N127" s="2576"/>
      <c r="O127" s="2576"/>
      <c r="P127" s="2937"/>
      <c r="Q127" s="2937"/>
      <c r="R127" s="2937"/>
      <c r="S127" s="2577"/>
      <c r="T127" s="2577"/>
    </row>
    <row r="128" spans="1:23">
      <c r="B128" s="2519"/>
      <c r="C128" s="2519"/>
      <c r="F128" s="2566"/>
      <c r="G128" s="2575"/>
      <c r="H128" s="2575"/>
      <c r="I128" s="2575"/>
      <c r="J128" s="2574"/>
      <c r="K128" s="2574"/>
      <c r="L128" s="2574"/>
      <c r="M128" s="2576"/>
      <c r="N128" s="2576"/>
      <c r="O128" s="2576"/>
      <c r="P128" s="2937"/>
      <c r="Q128" s="2937"/>
      <c r="R128" s="2937"/>
      <c r="S128" s="2577"/>
      <c r="T128" s="2577"/>
    </row>
    <row r="129" spans="1:20">
      <c r="A129" s="2519"/>
      <c r="B129" s="2519"/>
      <c r="C129" s="2519"/>
      <c r="F129" s="2566"/>
      <c r="G129" s="2575"/>
      <c r="H129" s="2575"/>
      <c r="I129" s="2575"/>
      <c r="J129" s="2574"/>
      <c r="K129" s="2574"/>
      <c r="L129" s="2574"/>
      <c r="M129" s="2576"/>
      <c r="N129" s="2576"/>
      <c r="O129" s="2576"/>
      <c r="P129" s="2937"/>
      <c r="Q129" s="2937"/>
      <c r="R129" s="2937"/>
      <c r="S129" s="2577"/>
      <c r="T129" s="2577"/>
    </row>
    <row r="130" spans="1:20">
      <c r="A130" s="2519"/>
      <c r="B130" s="2519"/>
      <c r="C130" s="2519"/>
      <c r="F130" s="2566"/>
      <c r="G130" s="2575"/>
      <c r="H130" s="2575"/>
      <c r="I130" s="2575"/>
      <c r="J130" s="2574"/>
      <c r="K130" s="2574"/>
      <c r="L130" s="2574"/>
      <c r="M130" s="2576"/>
      <c r="N130" s="2576"/>
      <c r="O130" s="2576"/>
      <c r="P130" s="2937"/>
      <c r="Q130" s="2937"/>
      <c r="R130" s="2937"/>
      <c r="S130" s="2577"/>
      <c r="T130" s="2577"/>
    </row>
    <row r="131" spans="1:20" ht="24.6" customHeight="1">
      <c r="A131" s="2519"/>
      <c r="B131" s="2519"/>
      <c r="C131" s="2519"/>
      <c r="F131" s="2566"/>
      <c r="G131" s="2575"/>
      <c r="H131" s="2575"/>
      <c r="I131" s="2575"/>
      <c r="J131" s="2574"/>
      <c r="K131" s="2574"/>
      <c r="L131" s="2574"/>
      <c r="M131" s="2576"/>
      <c r="N131" s="2576"/>
      <c r="O131" s="2576"/>
      <c r="P131" s="2937"/>
      <c r="Q131" s="2937"/>
      <c r="R131" s="2937"/>
      <c r="S131" s="2577"/>
      <c r="T131" s="2577"/>
    </row>
    <row r="132" spans="1:20" ht="24.6" customHeight="1">
      <c r="A132" s="2519"/>
      <c r="B132" s="2519"/>
      <c r="C132" s="2519"/>
      <c r="F132" s="2566"/>
      <c r="G132" s="2575"/>
      <c r="H132" s="2575"/>
      <c r="I132" s="2575"/>
      <c r="J132" s="2574"/>
      <c r="K132" s="2574"/>
      <c r="L132" s="2574"/>
      <c r="M132" s="2576"/>
      <c r="N132" s="2576"/>
      <c r="O132" s="2576"/>
      <c r="P132" s="2937"/>
      <c r="Q132" s="2937"/>
      <c r="R132" s="2937"/>
      <c r="S132" s="2577"/>
      <c r="T132" s="2577"/>
    </row>
    <row r="133" spans="1:20" ht="24.6" customHeight="1">
      <c r="A133" s="2519"/>
      <c r="B133" s="2519"/>
      <c r="C133" s="2519"/>
      <c r="F133" s="2566"/>
      <c r="G133" s="2575"/>
      <c r="H133" s="2575"/>
      <c r="I133" s="2575"/>
      <c r="J133" s="2574"/>
      <c r="K133" s="2574"/>
      <c r="L133" s="2574"/>
      <c r="M133" s="2576"/>
      <c r="N133" s="2576"/>
      <c r="O133" s="2576"/>
      <c r="P133" s="2937"/>
      <c r="Q133" s="2937"/>
      <c r="R133" s="2937"/>
      <c r="S133" s="2577"/>
      <c r="T133" s="2577"/>
    </row>
    <row r="134" spans="1:20" ht="24.6" customHeight="1">
      <c r="A134" s="2519"/>
      <c r="B134" s="2519"/>
      <c r="C134" s="2519"/>
      <c r="F134" s="2566"/>
      <c r="G134" s="2575"/>
      <c r="H134" s="2575"/>
      <c r="I134" s="2575"/>
      <c r="J134" s="2574"/>
      <c r="K134" s="2574"/>
      <c r="L134" s="2574"/>
      <c r="M134" s="2576"/>
      <c r="N134" s="2576"/>
      <c r="O134" s="2576"/>
      <c r="P134" s="2937"/>
      <c r="Q134" s="2937"/>
      <c r="R134" s="2937"/>
      <c r="S134" s="2577"/>
      <c r="T134" s="2577"/>
    </row>
    <row r="135" spans="1:20" ht="24.6" customHeight="1">
      <c r="A135" s="2519"/>
      <c r="B135" s="2519"/>
      <c r="C135" s="2519"/>
      <c r="F135" s="2566"/>
      <c r="G135" s="2575"/>
      <c r="H135" s="2575"/>
      <c r="I135" s="2575"/>
      <c r="J135" s="2574"/>
      <c r="K135" s="2574"/>
      <c r="L135" s="2574"/>
      <c r="M135" s="2576"/>
      <c r="N135" s="2576"/>
      <c r="O135" s="2576"/>
      <c r="P135" s="2937"/>
      <c r="Q135" s="2937"/>
      <c r="R135" s="2937"/>
      <c r="S135" s="2577"/>
      <c r="T135" s="2577"/>
    </row>
    <row r="136" spans="1:20" ht="24.6" customHeight="1">
      <c r="A136" s="2519"/>
      <c r="B136" s="2519"/>
      <c r="C136" s="2519"/>
      <c r="F136" s="2566"/>
      <c r="G136" s="2575"/>
      <c r="H136" s="2575"/>
      <c r="I136" s="2575"/>
      <c r="J136" s="2574"/>
      <c r="K136" s="2574"/>
      <c r="L136" s="2574"/>
      <c r="M136" s="2576"/>
      <c r="N136" s="2576"/>
      <c r="O136" s="2576"/>
      <c r="P136" s="2937"/>
      <c r="Q136" s="2937"/>
      <c r="R136" s="2937"/>
      <c r="S136" s="2577"/>
      <c r="T136" s="2577"/>
    </row>
    <row r="137" spans="1:20" ht="30" customHeight="1">
      <c r="A137" s="2519"/>
      <c r="B137" s="2519"/>
      <c r="C137" s="2519"/>
      <c r="F137" s="2566"/>
      <c r="G137" s="2575"/>
      <c r="H137" s="2575"/>
      <c r="I137" s="2575"/>
      <c r="J137" s="2574"/>
      <c r="K137" s="2574"/>
      <c r="L137" s="2574"/>
      <c r="M137" s="2576"/>
      <c r="N137" s="2576"/>
      <c r="O137" s="2576"/>
      <c r="P137" s="2937"/>
      <c r="Q137" s="2937"/>
      <c r="R137" s="2937"/>
      <c r="S137" s="2577"/>
      <c r="T137" s="2577"/>
    </row>
    <row r="138" spans="1:20" ht="21" customHeight="1">
      <c r="A138" s="2519"/>
      <c r="B138" s="2519"/>
      <c r="C138" s="2519"/>
      <c r="F138" s="2566"/>
      <c r="G138" s="2575"/>
      <c r="H138" s="2575"/>
      <c r="I138" s="2575"/>
      <c r="J138" s="2574"/>
      <c r="K138" s="2574"/>
      <c r="L138" s="2574"/>
      <c r="M138" s="2576"/>
      <c r="N138" s="2576"/>
      <c r="O138" s="2576"/>
      <c r="P138" s="2937"/>
      <c r="Q138" s="2937"/>
      <c r="R138" s="2937"/>
      <c r="S138" s="2577"/>
      <c r="T138" s="2577"/>
    </row>
    <row r="139" spans="1:20" ht="21.75" customHeight="1">
      <c r="A139" s="2519"/>
      <c r="B139" s="2519"/>
      <c r="C139" s="2519"/>
      <c r="F139" s="2566"/>
      <c r="G139" s="2575"/>
      <c r="H139" s="2575"/>
      <c r="I139" s="2575"/>
      <c r="J139" s="2574"/>
      <c r="K139" s="2574"/>
      <c r="L139" s="2574"/>
      <c r="M139" s="2576"/>
      <c r="N139" s="2576"/>
      <c r="O139" s="2576"/>
      <c r="P139" s="2937"/>
      <c r="Q139" s="2937"/>
      <c r="R139" s="2937"/>
      <c r="S139" s="2577"/>
      <c r="T139" s="2577"/>
    </row>
    <row r="140" spans="1:20">
      <c r="A140" s="2519"/>
      <c r="B140" s="2519"/>
      <c r="C140" s="2519"/>
      <c r="F140" s="2566"/>
      <c r="G140" s="2575"/>
      <c r="H140" s="2575"/>
      <c r="I140" s="2575"/>
      <c r="J140" s="2574"/>
      <c r="K140" s="2574"/>
      <c r="L140" s="2574"/>
      <c r="M140" s="2576"/>
      <c r="N140" s="2576"/>
      <c r="O140" s="2576"/>
      <c r="P140" s="2937"/>
      <c r="Q140" s="2937"/>
      <c r="R140" s="2937"/>
      <c r="S140" s="2577"/>
      <c r="T140" s="2577"/>
    </row>
    <row r="141" spans="1:20">
      <c r="A141" s="2519"/>
      <c r="B141" s="2519"/>
      <c r="C141" s="2519"/>
      <c r="F141" s="2566"/>
      <c r="G141" s="2575"/>
      <c r="H141" s="2575"/>
      <c r="I141" s="2575"/>
      <c r="J141" s="2574"/>
      <c r="K141" s="2574"/>
      <c r="L141" s="2574"/>
      <c r="M141" s="2576"/>
      <c r="N141" s="2576"/>
      <c r="O141" s="2576"/>
      <c r="P141" s="2937"/>
      <c r="Q141" s="2937"/>
      <c r="R141" s="2937"/>
      <c r="S141" s="2577"/>
      <c r="T141" s="2577"/>
    </row>
    <row r="142" spans="1:20">
      <c r="A142" s="2519"/>
      <c r="B142" s="2519"/>
      <c r="C142" s="2519"/>
      <c r="F142" s="2566"/>
      <c r="G142" s="2575"/>
      <c r="H142" s="2575"/>
      <c r="I142" s="2575"/>
      <c r="J142" s="2574"/>
      <c r="K142" s="2574"/>
      <c r="L142" s="2574"/>
      <c r="M142" s="2576"/>
      <c r="N142" s="2576"/>
      <c r="O142" s="2576"/>
      <c r="P142" s="2937"/>
      <c r="Q142" s="2937"/>
      <c r="R142" s="2937"/>
      <c r="S142" s="2577"/>
      <c r="T142" s="2577"/>
    </row>
    <row r="143" spans="1:20">
      <c r="A143" s="2519"/>
      <c r="B143" s="2519"/>
      <c r="C143" s="2519"/>
      <c r="F143" s="2566"/>
      <c r="G143" s="2575"/>
      <c r="H143" s="2575"/>
      <c r="I143" s="2575"/>
      <c r="J143" s="2574"/>
      <c r="K143" s="2574"/>
      <c r="L143" s="2574"/>
      <c r="M143" s="2576"/>
      <c r="N143" s="2576"/>
      <c r="O143" s="2576"/>
      <c r="P143" s="2937"/>
      <c r="Q143" s="2937"/>
      <c r="R143" s="2937"/>
      <c r="S143" s="2577"/>
      <c r="T143" s="2577"/>
    </row>
    <row r="144" spans="1:20">
      <c r="A144" s="2519"/>
      <c r="B144" s="2519"/>
      <c r="C144" s="2519"/>
      <c r="F144" s="2566"/>
      <c r="G144" s="2575"/>
      <c r="H144" s="2575"/>
      <c r="I144" s="2575"/>
      <c r="J144" s="2574"/>
      <c r="K144" s="2574"/>
      <c r="L144" s="2574"/>
      <c r="M144" s="2576"/>
      <c r="N144" s="2576"/>
      <c r="O144" s="2576"/>
      <c r="P144" s="2937"/>
      <c r="Q144" s="2937"/>
      <c r="R144" s="2937"/>
      <c r="S144" s="2577"/>
      <c r="T144" s="2577"/>
    </row>
    <row r="145" spans="1:23">
      <c r="A145" s="2519"/>
      <c r="B145" s="2519"/>
      <c r="C145" s="2519"/>
      <c r="F145" s="2566"/>
      <c r="G145" s="2575"/>
      <c r="H145" s="2575"/>
      <c r="I145" s="2575"/>
      <c r="J145" s="2574"/>
      <c r="K145" s="2574"/>
      <c r="L145" s="2574"/>
      <c r="M145" s="2576"/>
      <c r="N145" s="2576"/>
      <c r="O145" s="2576"/>
      <c r="P145" s="2937"/>
      <c r="Q145" s="2937"/>
      <c r="R145" s="2937"/>
      <c r="S145" s="2577"/>
      <c r="T145" s="2577"/>
    </row>
    <row r="146" spans="1:23">
      <c r="A146" s="2519"/>
      <c r="B146" s="2519"/>
      <c r="C146" s="2519"/>
      <c r="F146" s="2566"/>
      <c r="G146" s="2575"/>
      <c r="H146" s="2575"/>
      <c r="I146" s="2575"/>
      <c r="J146" s="2574"/>
      <c r="K146" s="2574"/>
      <c r="L146" s="2574"/>
      <c r="M146" s="2576"/>
      <c r="N146" s="2576"/>
      <c r="O146" s="2576"/>
      <c r="P146" s="2937"/>
      <c r="Q146" s="2937"/>
      <c r="R146" s="2937"/>
      <c r="S146" s="2577"/>
      <c r="T146" s="2577"/>
    </row>
    <row r="147" spans="1:23">
      <c r="A147" s="2519"/>
      <c r="B147" s="2519"/>
      <c r="C147" s="2519"/>
      <c r="F147" s="2566"/>
      <c r="G147" s="2575"/>
      <c r="H147" s="2575"/>
      <c r="I147" s="2575"/>
      <c r="J147" s="2574"/>
      <c r="K147" s="2574"/>
      <c r="L147" s="2574"/>
      <c r="M147" s="2576"/>
      <c r="N147" s="2576"/>
      <c r="O147" s="2576"/>
      <c r="P147" s="2937"/>
      <c r="Q147" s="2937"/>
      <c r="R147" s="2937"/>
      <c r="S147" s="2577"/>
      <c r="T147" s="2577"/>
    </row>
    <row r="148" spans="1:23">
      <c r="A148" s="2519"/>
      <c r="B148" s="2519"/>
      <c r="C148" s="2519"/>
      <c r="F148" s="2566"/>
      <c r="J148" s="2574"/>
      <c r="K148" s="2574"/>
      <c r="L148" s="2574"/>
      <c r="M148" s="2519"/>
      <c r="N148" s="2519"/>
      <c r="O148" s="2519"/>
      <c r="S148" s="2579"/>
    </row>
    <row r="149" spans="1:23">
      <c r="A149" s="2519"/>
      <c r="B149" s="2519"/>
      <c r="C149" s="2566"/>
      <c r="F149" s="2580"/>
      <c r="J149" s="2574"/>
      <c r="K149" s="2574"/>
      <c r="L149" s="2574"/>
      <c r="M149" s="2519"/>
      <c r="N149" s="2519"/>
      <c r="O149" s="2519"/>
      <c r="P149" s="2577"/>
      <c r="Q149" s="2577"/>
      <c r="R149" s="2577"/>
      <c r="U149" s="2577"/>
      <c r="V149" s="2577"/>
      <c r="W149" s="2577"/>
    </row>
    <row r="150" spans="1:23">
      <c r="A150" s="2519"/>
      <c r="B150" s="2519"/>
      <c r="C150" s="2519"/>
      <c r="D150" s="2566"/>
      <c r="E150" s="2566"/>
      <c r="F150" s="2566"/>
      <c r="L150" s="2934"/>
      <c r="M150" s="2519"/>
      <c r="N150" s="2519"/>
      <c r="O150" s="2519"/>
      <c r="U150" s="2577"/>
      <c r="V150" s="2577"/>
      <c r="W150" s="2577"/>
    </row>
    <row r="151" spans="1:23">
      <c r="A151" s="2519"/>
      <c r="B151" s="2519"/>
      <c r="C151" s="2566" t="e">
        <f>#REF!+#REF!+#REF!+#REF!</f>
        <v>#REF!</v>
      </c>
      <c r="D151" s="2581"/>
      <c r="E151" s="2581"/>
      <c r="F151" s="3989" t="s">
        <v>1600</v>
      </c>
      <c r="G151" s="2566">
        <f>SUMIF(L16:L98,"A",J16:J98)</f>
        <v>0</v>
      </c>
      <c r="H151" s="2566"/>
      <c r="I151" s="2566"/>
      <c r="J151" s="2574">
        <f>G151*2500</f>
        <v>0</v>
      </c>
      <c r="K151" s="2574"/>
      <c r="L151" s="2574"/>
      <c r="M151" s="2575"/>
      <c r="N151" s="2575"/>
      <c r="O151" s="2575"/>
      <c r="Q151" s="2519">
        <f>7.2+0.6+21+5+70</f>
        <v>103.8</v>
      </c>
    </row>
    <row r="152" spans="1:23">
      <c r="A152" s="2519"/>
      <c r="B152" s="2519"/>
      <c r="C152" s="2519"/>
      <c r="F152" s="3989"/>
      <c r="G152" s="2566">
        <f>SUMIF(L16:L98,"B",J16:J98)</f>
        <v>0</v>
      </c>
      <c r="H152" s="2566"/>
      <c r="I152" s="2566"/>
      <c r="J152" s="2574">
        <f>G152*2400</f>
        <v>0</v>
      </c>
      <c r="K152" s="2574"/>
      <c r="L152" s="2574"/>
      <c r="M152" s="2566"/>
      <c r="N152" s="2566"/>
      <c r="O152" s="2566"/>
    </row>
    <row r="153" spans="1:23">
      <c r="A153" s="2519"/>
      <c r="B153" s="2519"/>
      <c r="C153" s="2519"/>
      <c r="F153" s="3989"/>
      <c r="G153" s="2566">
        <f>SUMIF(L16:L98,"C",J16:J98)</f>
        <v>0</v>
      </c>
      <c r="H153" s="2566"/>
      <c r="I153" s="2566"/>
      <c r="J153" s="2574">
        <f>G153*2300</f>
        <v>0</v>
      </c>
      <c r="K153" s="2574"/>
      <c r="L153" s="2574"/>
      <c r="M153" s="2519"/>
      <c r="N153" s="2519"/>
      <c r="O153" s="2519"/>
      <c r="P153" s="2576"/>
      <c r="Q153" s="2576"/>
      <c r="R153" s="2576"/>
      <c r="S153" s="2576"/>
      <c r="W153" s="2566"/>
    </row>
    <row r="154" spans="1:23">
      <c r="A154" s="2519"/>
      <c r="B154" s="2519"/>
      <c r="C154" s="2519"/>
      <c r="F154" s="3989"/>
      <c r="G154" s="2566">
        <f>SUMIF(L16:L98,"D",J16:J98)</f>
        <v>0</v>
      </c>
      <c r="H154" s="2566"/>
      <c r="I154" s="2566"/>
      <c r="J154" s="2574">
        <f>G154*2200</f>
        <v>0</v>
      </c>
      <c r="K154" s="2574"/>
      <c r="L154" s="2574"/>
      <c r="M154" s="2519"/>
      <c r="N154" s="2519"/>
      <c r="O154" s="2519"/>
      <c r="P154" s="2937"/>
      <c r="Q154" s="2937"/>
      <c r="R154" s="2937"/>
      <c r="S154" s="2937"/>
      <c r="W154" s="2566"/>
    </row>
    <row r="155" spans="1:23">
      <c r="A155" s="2519"/>
      <c r="B155" s="2519"/>
      <c r="C155" s="2519"/>
      <c r="F155" s="2566"/>
      <c r="G155" s="2566"/>
      <c r="H155" s="2566"/>
      <c r="I155" s="2566"/>
      <c r="J155" s="2574"/>
      <c r="K155" s="2574"/>
      <c r="L155" s="2574"/>
      <c r="M155" s="2519"/>
      <c r="N155" s="2519"/>
      <c r="O155" s="2519"/>
      <c r="P155" s="2937"/>
      <c r="Q155" s="2937"/>
      <c r="R155" s="2937"/>
      <c r="S155" s="2937"/>
      <c r="W155" s="2566"/>
    </row>
    <row r="156" spans="1:23">
      <c r="A156" s="2519"/>
      <c r="B156" s="2519"/>
      <c r="C156" s="2519"/>
      <c r="F156" s="2566"/>
      <c r="G156" s="2566"/>
      <c r="H156" s="2566"/>
      <c r="I156" s="2566"/>
      <c r="J156" s="2574"/>
      <c r="K156" s="2574"/>
      <c r="L156" s="2574"/>
      <c r="M156" s="2519"/>
      <c r="N156" s="2519"/>
      <c r="O156" s="2519"/>
      <c r="P156" s="2937"/>
      <c r="Q156" s="2937"/>
      <c r="R156" s="2937"/>
      <c r="S156" s="2937"/>
      <c r="W156" s="2566"/>
    </row>
    <row r="157" spans="1:23">
      <c r="A157" s="2519"/>
      <c r="B157" s="2519"/>
      <c r="C157" s="2519"/>
      <c r="F157" s="2566"/>
      <c r="G157" s="2566"/>
      <c r="H157" s="2566"/>
      <c r="I157" s="2566"/>
      <c r="J157" s="2574"/>
      <c r="K157" s="2574"/>
      <c r="L157" s="2574"/>
      <c r="M157" s="2519"/>
      <c r="N157" s="2519"/>
      <c r="O157" s="2519"/>
      <c r="P157" s="2937"/>
      <c r="Q157" s="2937"/>
      <c r="R157" s="2937"/>
      <c r="S157" s="2937"/>
      <c r="W157" s="2566"/>
    </row>
    <row r="158" spans="1:23">
      <c r="A158" s="2519"/>
      <c r="B158" s="2519"/>
      <c r="C158" s="2519"/>
      <c r="F158" s="2566"/>
      <c r="G158" s="2566"/>
      <c r="H158" s="2566"/>
      <c r="I158" s="2566"/>
      <c r="J158" s="2574"/>
      <c r="K158" s="2574"/>
      <c r="L158" s="2574"/>
      <c r="M158" s="2519"/>
      <c r="N158" s="2519"/>
      <c r="O158" s="2519"/>
      <c r="P158" s="2937"/>
      <c r="Q158" s="2937"/>
      <c r="R158" s="2937"/>
      <c r="S158" s="2937"/>
      <c r="W158" s="2566"/>
    </row>
    <row r="159" spans="1:23">
      <c r="A159" s="2519"/>
      <c r="B159" s="2519"/>
      <c r="C159" s="2519"/>
      <c r="F159" s="2566"/>
      <c r="G159" s="2566"/>
      <c r="H159" s="2566"/>
      <c r="I159" s="2566"/>
      <c r="J159" s="2574"/>
      <c r="K159" s="2574"/>
      <c r="L159" s="2574"/>
      <c r="M159" s="2519"/>
      <c r="N159" s="2519"/>
      <c r="O159" s="2519"/>
      <c r="P159" s="2937"/>
      <c r="Q159" s="2937"/>
      <c r="R159" s="2937"/>
      <c r="S159" s="2937"/>
      <c r="W159" s="2566"/>
    </row>
    <row r="160" spans="1:23">
      <c r="A160" s="2519"/>
      <c r="B160" s="2519"/>
      <c r="C160" s="2519"/>
      <c r="F160" s="2566"/>
      <c r="G160" s="2566"/>
      <c r="H160" s="2566"/>
      <c r="I160" s="2566"/>
      <c r="J160" s="2574"/>
      <c r="K160" s="2574"/>
      <c r="L160" s="2574"/>
      <c r="M160" s="2519"/>
      <c r="N160" s="2519"/>
      <c r="O160" s="2519"/>
      <c r="P160" s="2937"/>
      <c r="Q160" s="2937"/>
      <c r="R160" s="2937"/>
      <c r="S160" s="2937"/>
      <c r="W160" s="2566"/>
    </row>
    <row r="161" spans="1:23">
      <c r="B161" s="2519"/>
      <c r="C161" s="2519"/>
      <c r="F161" s="2519"/>
      <c r="G161" s="2519">
        <f>SUM(G151:G159)</f>
        <v>0</v>
      </c>
      <c r="J161" s="2574">
        <f>SUM(J151:J159)</f>
        <v>0</v>
      </c>
      <c r="K161" s="2574"/>
      <c r="L161" s="2574"/>
      <c r="M161" s="2519"/>
      <c r="N161" s="2519"/>
      <c r="O161" s="2519"/>
      <c r="P161" s="3961" t="e">
        <f>J161+J171+G176</f>
        <v>#REF!</v>
      </c>
      <c r="Q161" s="3961"/>
      <c r="R161" s="2934"/>
      <c r="S161" s="2519" t="e">
        <f>P161-#REF!</f>
        <v>#REF!</v>
      </c>
    </row>
    <row r="162" spans="1:23">
      <c r="B162" s="2519"/>
      <c r="C162" s="2519"/>
      <c r="F162" s="2519"/>
      <c r="J162" s="2936"/>
      <c r="K162" s="2936"/>
      <c r="L162" s="2936"/>
      <c r="M162" s="2519"/>
      <c r="N162" s="2519"/>
      <c r="O162" s="2519"/>
      <c r="Q162" s="2577"/>
      <c r="R162" s="2577"/>
      <c r="S162" s="2577"/>
    </row>
    <row r="163" spans="1:23">
      <c r="B163" s="2519"/>
      <c r="C163" s="2519"/>
      <c r="F163" s="2566"/>
      <c r="G163" s="2519">
        <v>5422</v>
      </c>
      <c r="J163" s="2574">
        <f>G163*30000</f>
        <v>162660000</v>
      </c>
      <c r="K163" s="2574"/>
      <c r="L163" s="2574"/>
      <c r="M163" s="2519"/>
      <c r="N163" s="2519"/>
      <c r="O163" s="2519"/>
    </row>
    <row r="164" spans="1:23">
      <c r="B164" s="2519"/>
      <c r="C164" s="2519"/>
      <c r="F164" s="2566"/>
      <c r="G164" s="2519">
        <v>20</v>
      </c>
      <c r="J164" s="2574">
        <f>G164*60000</f>
        <v>1200000</v>
      </c>
      <c r="K164" s="2574"/>
      <c r="L164" s="2574"/>
      <c r="M164" s="2519"/>
      <c r="N164" s="2519"/>
      <c r="O164" s="2519"/>
    </row>
    <row r="165" spans="1:23">
      <c r="B165" s="2519"/>
      <c r="C165" s="2519"/>
      <c r="F165" s="2566"/>
      <c r="G165" s="2519">
        <v>230</v>
      </c>
      <c r="J165" s="2574">
        <f>G165*80000</f>
        <v>18400000</v>
      </c>
      <c r="K165" s="2574"/>
      <c r="L165" s="2574"/>
      <c r="M165" s="2519"/>
      <c r="N165" s="2519"/>
      <c r="O165" s="2519"/>
    </row>
    <row r="166" spans="1:23">
      <c r="A166" s="2519"/>
      <c r="G166" s="2519">
        <v>998</v>
      </c>
      <c r="J166" s="2574">
        <f>G166*50000</f>
        <v>49900000</v>
      </c>
      <c r="K166" s="2574"/>
      <c r="L166" s="2574"/>
      <c r="W166" s="2577"/>
    </row>
    <row r="167" spans="1:23">
      <c r="A167" s="2519"/>
      <c r="G167" s="2519">
        <v>2</v>
      </c>
      <c r="J167" s="2574">
        <f>G167*80000</f>
        <v>160000</v>
      </c>
      <c r="K167" s="2574"/>
      <c r="L167" s="2574"/>
      <c r="W167" s="2577"/>
    </row>
    <row r="168" spans="1:23">
      <c r="A168" s="2519"/>
      <c r="G168" s="2519">
        <v>89</v>
      </c>
      <c r="J168" s="2574">
        <f>G168*100000</f>
        <v>8900000</v>
      </c>
      <c r="K168" s="2574"/>
      <c r="L168" s="2574"/>
      <c r="W168" s="2934"/>
    </row>
    <row r="169" spans="1:23">
      <c r="A169" s="2519"/>
      <c r="G169" s="2519">
        <v>301.56000000000006</v>
      </c>
      <c r="J169" s="2574">
        <f>G169*25000</f>
        <v>7539000.0000000019</v>
      </c>
      <c r="K169" s="2574"/>
      <c r="L169" s="2574"/>
      <c r="W169" s="2934"/>
    </row>
    <row r="170" spans="1:23">
      <c r="A170" s="2519"/>
      <c r="G170" s="2519">
        <v>2965</v>
      </c>
      <c r="J170" s="2574">
        <f>G170*20000</f>
        <v>59300000</v>
      </c>
      <c r="K170" s="2574"/>
      <c r="L170" s="2574"/>
      <c r="W170" s="2934"/>
    </row>
    <row r="171" spans="1:23">
      <c r="A171" s="2519"/>
      <c r="B171" s="2926"/>
      <c r="G171" s="2519">
        <f>SUM(G163:G170)</f>
        <v>10027.560000000001</v>
      </c>
      <c r="J171" s="3990">
        <f>SUM(J163:J170)</f>
        <v>308059000</v>
      </c>
      <c r="K171" s="3990"/>
      <c r="L171" s="3990"/>
      <c r="S171" s="2934"/>
      <c r="T171" s="2577"/>
    </row>
    <row r="172" spans="1:23">
      <c r="A172" s="2519"/>
      <c r="B172" s="2584"/>
      <c r="G172" s="2566" t="e">
        <f>#REF!+#REF!+#REF!+F98</f>
        <v>#REF!</v>
      </c>
      <c r="H172" s="2566"/>
      <c r="I172" s="2566"/>
      <c r="J172" s="2574" t="e">
        <f>G172*25000</f>
        <v>#REF!</v>
      </c>
      <c r="K172" s="2574"/>
      <c r="L172" s="2574"/>
    </row>
    <row r="173" spans="1:23">
      <c r="A173" s="2519"/>
      <c r="B173" s="2584"/>
      <c r="F173" s="2577" t="s">
        <v>1601</v>
      </c>
      <c r="G173" s="2519" t="e">
        <f>#REF!+#REF!</f>
        <v>#REF!</v>
      </c>
      <c r="J173" s="2574" t="e">
        <f>#REF!+#REF!</f>
        <v>#REF!</v>
      </c>
      <c r="K173" s="2574"/>
      <c r="L173" s="2585"/>
    </row>
    <row r="174" spans="1:23">
      <c r="A174" s="2519"/>
      <c r="B174" s="2584"/>
      <c r="G174" s="2519" t="e">
        <f>#REF!</f>
        <v>#REF!</v>
      </c>
      <c r="J174" s="2574" t="e">
        <f>#REF!</f>
        <v>#REF!</v>
      </c>
      <c r="K174" s="2574"/>
      <c r="L174" s="2585"/>
    </row>
    <row r="175" spans="1:23">
      <c r="A175" s="2519"/>
      <c r="G175" s="2519" t="e">
        <f>#REF!+#REF!+#REF!+#REF!</f>
        <v>#REF!</v>
      </c>
      <c r="J175" s="2574" t="e">
        <f>#REF!+#REF!+#REF!+#REF!</f>
        <v>#REF!</v>
      </c>
      <c r="K175" s="2574"/>
      <c r="L175" s="2585"/>
    </row>
    <row r="176" spans="1:23">
      <c r="A176" s="2519"/>
      <c r="G176" s="3990" t="e">
        <f>SUM(J172:L175)</f>
        <v>#REF!</v>
      </c>
      <c r="H176" s="3990"/>
      <c r="I176" s="3990"/>
      <c r="J176" s="3990"/>
      <c r="K176" s="2936"/>
      <c r="L176" s="2585"/>
      <c r="M176" s="2523" t="e">
        <f>G176-#REF!</f>
        <v>#REF!</v>
      </c>
    </row>
    <row r="178" spans="1:19">
      <c r="A178" s="2519"/>
      <c r="J178" s="3979" t="e">
        <f>+#REF!+#REF!+#REF!+#REF!+1000000</f>
        <v>#REF!</v>
      </c>
      <c r="K178" s="3979"/>
      <c r="L178" s="3979"/>
    </row>
    <row r="180" spans="1:19">
      <c r="A180" s="2519"/>
      <c r="G180" s="2566"/>
      <c r="H180" s="2566"/>
      <c r="I180" s="2566"/>
      <c r="J180" s="2574"/>
      <c r="K180" s="2574"/>
    </row>
    <row r="181" spans="1:19">
      <c r="A181" s="2519"/>
      <c r="P181" s="2566"/>
    </row>
    <row r="185" spans="1:19">
      <c r="A185" s="2519"/>
      <c r="G185" s="2566">
        <v>2551.8899999999994</v>
      </c>
      <c r="H185" s="2566"/>
      <c r="I185" s="2566"/>
    </row>
    <row r="186" spans="1:19">
      <c r="A186" s="2519"/>
      <c r="B186" s="2519"/>
      <c r="C186" s="2519"/>
      <c r="F186" s="2519"/>
      <c r="G186" s="2566" t="e">
        <f>+G172-G185</f>
        <v>#REF!</v>
      </c>
      <c r="H186" s="2566"/>
      <c r="I186" s="2566"/>
    </row>
    <row r="192" spans="1:19">
      <c r="A192" s="2519"/>
      <c r="B192" s="2519"/>
      <c r="C192" s="2519"/>
      <c r="F192" s="2519"/>
      <c r="L192" s="2522">
        <v>1678</v>
      </c>
      <c r="M192" s="2523">
        <v>1573</v>
      </c>
      <c r="P192" s="2519">
        <v>1187</v>
      </c>
      <c r="Q192" s="2519">
        <v>1183</v>
      </c>
      <c r="S192" s="2519">
        <f>SUM(L192:Q192)</f>
        <v>5621</v>
      </c>
    </row>
    <row r="193" spans="1:19">
      <c r="A193" s="2519"/>
      <c r="B193" s="2519"/>
      <c r="C193" s="2519"/>
      <c r="F193" s="2519"/>
      <c r="L193" s="2522">
        <v>257</v>
      </c>
      <c r="M193" s="2523">
        <v>244</v>
      </c>
      <c r="P193" s="2519">
        <v>183</v>
      </c>
      <c r="Q193" s="2519">
        <v>182</v>
      </c>
      <c r="S193" s="2519">
        <f>SUM(L193:Q193)</f>
        <v>866</v>
      </c>
    </row>
    <row r="194" spans="1:19">
      <c r="A194" s="2519"/>
      <c r="B194" s="2519"/>
      <c r="C194" s="2519"/>
      <c r="F194" s="2519"/>
      <c r="L194" s="2522">
        <v>1935</v>
      </c>
      <c r="M194" s="2523">
        <v>1817</v>
      </c>
      <c r="P194" s="2519">
        <v>1370</v>
      </c>
      <c r="Q194" s="2519">
        <v>1365</v>
      </c>
      <c r="S194" s="2519">
        <f>SUM(L194:Q194)</f>
        <v>6487</v>
      </c>
    </row>
  </sheetData>
  <autoFilter ref="A15:AA99"/>
  <mergeCells count="40">
    <mergeCell ref="F14:G14"/>
    <mergeCell ref="P14:S14"/>
    <mergeCell ref="A9:X9"/>
    <mergeCell ref="A2:X2"/>
    <mergeCell ref="A3:X3"/>
    <mergeCell ref="A4:X4"/>
    <mergeCell ref="A6:J6"/>
    <mergeCell ref="A7:J7"/>
    <mergeCell ref="P115:Q115"/>
    <mergeCell ref="P111:S111"/>
    <mergeCell ref="A10:X10"/>
    <mergeCell ref="C12:F12"/>
    <mergeCell ref="W12:X12"/>
    <mergeCell ref="A13:A15"/>
    <mergeCell ref="B13:B15"/>
    <mergeCell ref="C13:C15"/>
    <mergeCell ref="D13:D15"/>
    <mergeCell ref="E13:E15"/>
    <mergeCell ref="F13:S13"/>
    <mergeCell ref="T13:T15"/>
    <mergeCell ref="U13:U15"/>
    <mergeCell ref="V13:V15"/>
    <mergeCell ref="W13:W15"/>
    <mergeCell ref="X13:X15"/>
    <mergeCell ref="J178:L178"/>
    <mergeCell ref="H14:O14"/>
    <mergeCell ref="F151:F154"/>
    <mergeCell ref="P161:Q161"/>
    <mergeCell ref="J171:L171"/>
    <mergeCell ref="G176:J176"/>
    <mergeCell ref="A112:F112"/>
    <mergeCell ref="G112:L112"/>
    <mergeCell ref="A98:D98"/>
    <mergeCell ref="A99:X99"/>
    <mergeCell ref="T101:X101"/>
    <mergeCell ref="A104:F104"/>
    <mergeCell ref="G104:L104"/>
    <mergeCell ref="M104:S104"/>
    <mergeCell ref="T104:X104"/>
    <mergeCell ref="T112:X112"/>
  </mergeCells>
  <pageMargins left="0.15748031496062992" right="0.15748031496062992" top="0.47244094488188981" bottom="0.27559055118110237" header="0.31496062992125984" footer="0.15748031496062992"/>
  <pageSetup paperSize="9" scale="4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"/>
  <sheetViews>
    <sheetView topLeftCell="A85" workbookViewId="0">
      <selection activeCell="B5" sqref="B1:B1048576"/>
    </sheetView>
  </sheetViews>
  <sheetFormatPr defaultRowHeight="12.75"/>
  <cols>
    <col min="2" max="2" width="0" hidden="1" customWidth="1"/>
    <col min="3" max="3" width="18.28515625" customWidth="1"/>
    <col min="13" max="13" width="19.42578125" customWidth="1"/>
    <col min="18" max="18" width="19.28515625" customWidth="1"/>
    <col min="20" max="20" width="12.5703125" customWidth="1"/>
  </cols>
  <sheetData>
    <row r="1" spans="1:22" ht="23.25">
      <c r="A1" s="2516"/>
      <c r="B1" s="3200"/>
      <c r="C1" s="2518"/>
      <c r="D1" s="2519"/>
      <c r="E1" s="2519"/>
      <c r="F1" s="2520"/>
      <c r="G1" s="2519"/>
      <c r="H1" s="2519"/>
      <c r="I1" s="2519"/>
      <c r="J1" s="2521"/>
      <c r="K1" s="2521"/>
      <c r="L1" s="2522"/>
      <c r="M1" s="2523"/>
      <c r="N1" s="2519"/>
      <c r="O1" s="2519"/>
      <c r="P1" s="2519"/>
      <c r="Q1" s="2519"/>
      <c r="R1" s="2519"/>
      <c r="S1" s="2519"/>
      <c r="T1" s="2519"/>
      <c r="U1" s="2519"/>
      <c r="V1" s="2519"/>
    </row>
    <row r="2" spans="1:22" ht="22.5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</row>
    <row r="3" spans="1:22" ht="22.5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</row>
    <row r="4" spans="1:22" ht="23.25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</row>
    <row r="5" spans="1:22" ht="22.5">
      <c r="A5" s="3199"/>
      <c r="B5" s="3199"/>
      <c r="C5" s="3199"/>
      <c r="D5" s="3199"/>
      <c r="E5" s="3199"/>
      <c r="F5" s="3199"/>
      <c r="G5" s="3199"/>
      <c r="H5" s="3199"/>
      <c r="I5" s="3199"/>
      <c r="J5" s="3199"/>
      <c r="K5" s="3199"/>
      <c r="L5" s="3199"/>
      <c r="M5" s="3199"/>
      <c r="N5" s="3199"/>
      <c r="O5" s="3199"/>
      <c r="P5" s="3199"/>
      <c r="Q5" s="3199"/>
      <c r="R5" s="3199"/>
      <c r="S5" s="3199"/>
      <c r="T5" s="3199"/>
      <c r="U5" s="3199"/>
      <c r="V5" s="3199"/>
    </row>
    <row r="6" spans="1:22" ht="23.25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3961"/>
      <c r="K6" s="3194"/>
      <c r="L6" s="2525"/>
      <c r="M6" s="2525"/>
      <c r="N6" s="2525"/>
      <c r="O6" s="2525"/>
      <c r="P6" s="2525"/>
      <c r="Q6" s="2526"/>
      <c r="R6" s="2526"/>
      <c r="S6" s="2526"/>
      <c r="T6" s="2526"/>
      <c r="U6" s="2526"/>
      <c r="V6" s="2519"/>
    </row>
    <row r="7" spans="1:22" ht="23.25">
      <c r="A7" s="3962" t="s">
        <v>1661</v>
      </c>
      <c r="B7" s="3962"/>
      <c r="C7" s="3962"/>
      <c r="D7" s="3962"/>
      <c r="E7" s="3962"/>
      <c r="F7" s="3962"/>
      <c r="G7" s="3962"/>
      <c r="H7" s="3962"/>
      <c r="I7" s="3962"/>
      <c r="J7" s="3962"/>
      <c r="K7" s="3194"/>
      <c r="L7" s="2525"/>
      <c r="M7" s="2525"/>
      <c r="N7" s="2525"/>
      <c r="O7" s="2525"/>
      <c r="P7" s="2525"/>
      <c r="Q7" s="2526"/>
      <c r="R7" s="2526"/>
      <c r="S7" s="2526"/>
      <c r="T7" s="2526"/>
      <c r="U7" s="2526"/>
      <c r="V7" s="2519"/>
    </row>
    <row r="8" spans="1:22" ht="23.25">
      <c r="A8" s="3194"/>
      <c r="B8" s="3194"/>
      <c r="C8" s="3194"/>
      <c r="D8" s="3194"/>
      <c r="E8" s="3194"/>
      <c r="F8" s="3194"/>
      <c r="G8" s="3194"/>
      <c r="H8" s="3194"/>
      <c r="I8" s="3194"/>
      <c r="J8" s="3194"/>
      <c r="K8" s="3194"/>
      <c r="L8" s="2525"/>
      <c r="M8" s="2525"/>
      <c r="N8" s="2525"/>
      <c r="O8" s="2525"/>
      <c r="P8" s="2525"/>
      <c r="Q8" s="2526"/>
      <c r="R8" s="2526"/>
      <c r="S8" s="2526"/>
      <c r="T8" s="2526"/>
      <c r="U8" s="2526"/>
      <c r="V8" s="2519"/>
    </row>
    <row r="9" spans="1:22" ht="30">
      <c r="A9" s="3963" t="s">
        <v>1948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</row>
    <row r="10" spans="1:22" ht="22.5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</row>
    <row r="11" spans="1:22" ht="23.25">
      <c r="A11" s="2529"/>
      <c r="B11" s="3194"/>
      <c r="C11" s="2577"/>
      <c r="D11" s="2577">
        <f>+[10]VCKD!E11</f>
        <v>688.6</v>
      </c>
      <c r="E11" s="2577"/>
      <c r="F11" s="2577"/>
      <c r="G11" s="2530"/>
      <c r="H11" s="2530"/>
      <c r="I11" s="2530"/>
      <c r="J11" s="2531"/>
      <c r="K11" s="2531"/>
      <c r="L11" s="3194"/>
      <c r="M11" s="3194"/>
      <c r="N11" s="3194"/>
      <c r="O11" s="3194"/>
      <c r="P11" s="3194"/>
      <c r="Q11" s="3194"/>
      <c r="R11" s="3194"/>
      <c r="S11" s="3194"/>
      <c r="T11" s="3194"/>
      <c r="U11" s="3194"/>
      <c r="V11" s="2528"/>
    </row>
    <row r="12" spans="1:22" ht="23.25">
      <c r="A12" s="2532"/>
      <c r="B12" s="2932"/>
      <c r="C12" s="4480" t="s">
        <v>1589</v>
      </c>
      <c r="D12" s="4480"/>
      <c r="E12" s="4480"/>
      <c r="F12" s="4480"/>
      <c r="G12" s="2534"/>
      <c r="H12" s="2534"/>
      <c r="I12" s="2534"/>
      <c r="J12" s="2535"/>
      <c r="K12" s="2535"/>
      <c r="L12" s="2536"/>
      <c r="M12" s="2537"/>
      <c r="N12" s="2538"/>
      <c r="O12" s="2538"/>
      <c r="P12" s="2538"/>
      <c r="Q12" s="2538"/>
      <c r="R12" s="2538"/>
      <c r="S12" s="2538"/>
      <c r="T12" s="2538"/>
      <c r="U12" s="3969" t="s">
        <v>1590</v>
      </c>
      <c r="V12" s="3969"/>
    </row>
    <row r="13" spans="1:22" ht="22.5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8" t="s">
        <v>1658</v>
      </c>
      <c r="S13" s="3968" t="s">
        <v>1585</v>
      </c>
      <c r="T13" s="3951" t="s">
        <v>1603</v>
      </c>
      <c r="U13" s="3968" t="s">
        <v>1570</v>
      </c>
      <c r="V13" s="3950" t="s">
        <v>92</v>
      </c>
    </row>
    <row r="14" spans="1:22" ht="22.5">
      <c r="A14" s="3965"/>
      <c r="B14" s="3965"/>
      <c r="C14" s="3966"/>
      <c r="D14" s="3965"/>
      <c r="E14" s="3950"/>
      <c r="F14" s="3994" t="s">
        <v>1659</v>
      </c>
      <c r="G14" s="3995"/>
      <c r="H14" s="4481" t="s">
        <v>183</v>
      </c>
      <c r="I14" s="3998"/>
      <c r="J14" s="3998"/>
      <c r="K14" s="3998"/>
      <c r="L14" s="3998"/>
      <c r="M14" s="3999"/>
      <c r="N14" s="4481" t="s">
        <v>1949</v>
      </c>
      <c r="O14" s="3998"/>
      <c r="P14" s="3998"/>
      <c r="Q14" s="3999"/>
      <c r="R14" s="3968"/>
      <c r="S14" s="3968"/>
      <c r="T14" s="3972"/>
      <c r="U14" s="3968"/>
      <c r="V14" s="3950"/>
    </row>
    <row r="15" spans="1:22" ht="135">
      <c r="A15" s="3965"/>
      <c r="B15" s="3965"/>
      <c r="C15" s="3966"/>
      <c r="D15" s="3965"/>
      <c r="E15" s="3950"/>
      <c r="F15" s="2540" t="s">
        <v>1593</v>
      </c>
      <c r="G15" s="3195" t="s">
        <v>14</v>
      </c>
      <c r="H15" s="3195" t="s">
        <v>1594</v>
      </c>
      <c r="I15" s="3195" t="s">
        <v>1646</v>
      </c>
      <c r="J15" s="3207" t="s">
        <v>1950</v>
      </c>
      <c r="K15" s="3207" t="s">
        <v>1891</v>
      </c>
      <c r="L15" s="3196" t="s">
        <v>1595</v>
      </c>
      <c r="M15" s="3196" t="s">
        <v>1084</v>
      </c>
      <c r="N15" s="3196" t="s">
        <v>1596</v>
      </c>
      <c r="O15" s="3196" t="s">
        <v>1651</v>
      </c>
      <c r="P15" s="3196" t="s">
        <v>1656</v>
      </c>
      <c r="Q15" s="3196" t="s">
        <v>1254</v>
      </c>
      <c r="R15" s="3968"/>
      <c r="S15" s="3968"/>
      <c r="T15" s="3952"/>
      <c r="U15" s="3968"/>
      <c r="V15" s="3950"/>
    </row>
    <row r="16" spans="1:22" ht="23.25">
      <c r="A16" s="2545">
        <v>1</v>
      </c>
      <c r="B16" s="2545" t="s">
        <v>1757</v>
      </c>
      <c r="C16" s="2546" t="s">
        <v>1489</v>
      </c>
      <c r="D16" s="2546" t="str">
        <f>'[3]CNKT '!D16</f>
        <v>CNKT</v>
      </c>
      <c r="E16" s="2546"/>
      <c r="F16" s="2547">
        <f>+VLOOKUP(C16,[10]VCKD!D87:H173,5,0)</f>
        <v>0</v>
      </c>
      <c r="G16" s="2546">
        <f>+VLOOKUP(C16,[10]VCKD!D87:J173,7,0)</f>
        <v>0</v>
      </c>
      <c r="H16" s="2546">
        <f>+VLOOKUP(C16,'[10]Mủ CN (tam ung)'!C75:AK136,35,0)</f>
        <v>94</v>
      </c>
      <c r="I16" s="2546">
        <f>+VLOOKUP(C16,[10]VCKD!D87:L173,9,0)</f>
        <v>0</v>
      </c>
      <c r="J16" s="2546">
        <f>+H16*0.4</f>
        <v>37.6</v>
      </c>
      <c r="K16" s="2546">
        <f>+I16*0.5</f>
        <v>0</v>
      </c>
      <c r="L16" s="2545" t="str">
        <f>+VLOOKUP(C16,[10]THKT!B72:Z158,25,0)</f>
        <v>A</v>
      </c>
      <c r="M16" s="3006">
        <f>J16*IF(L16="A",(6.1*$D$11),IF(L16="B",(5.8*$D$11),IF(L16="C",(5.5*$D$11),IF(L16="D",(5.2*$D$11)))))</f>
        <v>157937.296</v>
      </c>
      <c r="N16" s="2688">
        <v>0</v>
      </c>
      <c r="O16" s="2688">
        <v>0</v>
      </c>
      <c r="P16" s="2689">
        <v>0</v>
      </c>
      <c r="Q16" s="2546">
        <v>0</v>
      </c>
      <c r="R16" s="2546">
        <f>+G16+M16+Q16</f>
        <v>157937.296</v>
      </c>
      <c r="S16" s="2546"/>
      <c r="T16" s="2546"/>
      <c r="U16" s="2546">
        <f>+R16</f>
        <v>157937.296</v>
      </c>
      <c r="V16" s="2546"/>
    </row>
    <row r="17" spans="1:22" ht="23.25">
      <c r="A17" s="2545">
        <v>2</v>
      </c>
      <c r="B17" s="2545" t="s">
        <v>1758</v>
      </c>
      <c r="C17" s="2546" t="s">
        <v>1532</v>
      </c>
      <c r="D17" s="2546" t="str">
        <f>'[3]CNKT '!D17</f>
        <v>CNKT</v>
      </c>
      <c r="E17" s="2546"/>
      <c r="F17" s="2547">
        <f>+VLOOKUP(C17,[10]VCKD!D88:H174,5,0)</f>
        <v>0</v>
      </c>
      <c r="G17" s="2546">
        <f>+VLOOKUP(C17,[10]VCKD!D88:J174,7,0)</f>
        <v>0</v>
      </c>
      <c r="H17" s="2546">
        <f>+VLOOKUP(C17,'[10]Mủ CN (tam ung)'!C76:AK137,35,0)</f>
        <v>94</v>
      </c>
      <c r="I17" s="2546" t="e">
        <f>+SUMIF('[10]Đội 1 (tu)'!$L$17:$L$61,"A",'[10]Đội 1 (tu)'!$M$17:$M$61)+SUMIF('[10]Đội 2 (tu)'!$L$16:$L$97,"A")</f>
        <v>#VALUE!</v>
      </c>
      <c r="J17" s="2546">
        <f t="shared" ref="J17:J80" si="0">+H17*0.4</f>
        <v>37.6</v>
      </c>
      <c r="K17" s="2546" t="e">
        <f t="shared" ref="K17:K80" si="1">+I17*0.5</f>
        <v>#VALUE!</v>
      </c>
      <c r="L17" s="2545" t="str">
        <f>+VLOOKUP(C17,[10]THKT!B73:Z159,25,0)</f>
        <v>A</v>
      </c>
      <c r="M17" s="3006">
        <f t="shared" ref="M17:M80" si="2">J17*IF(L17="A",(6.1*$D$11),IF(L17="B",(5.8*$D$11),IF(L17="C",(5.5*$D$11),IF(L17="D",(5.2*$D$11)))))</f>
        <v>157937.296</v>
      </c>
      <c r="N17" s="2688">
        <v>0</v>
      </c>
      <c r="O17" s="2688">
        <v>0</v>
      </c>
      <c r="P17" s="2689">
        <v>0</v>
      </c>
      <c r="Q17" s="2546">
        <v>0</v>
      </c>
      <c r="R17" s="2546">
        <f t="shared" ref="R17:R80" si="3">+G17+M17+Q17</f>
        <v>157937.296</v>
      </c>
      <c r="S17" s="2546"/>
      <c r="T17" s="2546"/>
      <c r="U17" s="2546">
        <f t="shared" ref="U17:U80" si="4">+R17</f>
        <v>157937.296</v>
      </c>
      <c r="V17" s="2546"/>
    </row>
    <row r="18" spans="1:22" ht="23.25">
      <c r="A18" s="2545">
        <v>3</v>
      </c>
      <c r="B18" s="2545">
        <f>[3]TONGHOPCONGDOI!B13</f>
        <v>0</v>
      </c>
      <c r="C18" s="2546" t="s">
        <v>1691</v>
      </c>
      <c r="D18" s="2546" t="str">
        <f>'[3]CNKT '!D18</f>
        <v>CNKT</v>
      </c>
      <c r="E18" s="2546"/>
      <c r="F18" s="2547">
        <f>+VLOOKUP(C18,[10]VCKD!D89:H175,5,0)</f>
        <v>0</v>
      </c>
      <c r="G18" s="2546">
        <f>+VLOOKUP(C18,[10]VCKD!D89:J175,7,0)</f>
        <v>0</v>
      </c>
      <c r="H18" s="2546">
        <f>+VLOOKUP(C18,'[10]Mủ CN (tam ung)'!C77:AK138,35,0)</f>
        <v>94</v>
      </c>
      <c r="I18" s="2546">
        <f>+VLOOKUP(C18,[10]VCKD!D89:L175,9,0)</f>
        <v>0</v>
      </c>
      <c r="J18" s="2546">
        <f t="shared" si="0"/>
        <v>37.6</v>
      </c>
      <c r="K18" s="2546">
        <f t="shared" si="1"/>
        <v>0</v>
      </c>
      <c r="L18" s="2545" t="str">
        <f>+VLOOKUP(C18,[10]THKT!B74:Z160,25,0)</f>
        <v>A</v>
      </c>
      <c r="M18" s="3006">
        <f t="shared" si="2"/>
        <v>157937.296</v>
      </c>
      <c r="N18" s="2688">
        <v>0</v>
      </c>
      <c r="O18" s="2688">
        <v>0</v>
      </c>
      <c r="P18" s="2689">
        <v>0</v>
      </c>
      <c r="Q18" s="2546">
        <v>0</v>
      </c>
      <c r="R18" s="2546">
        <f t="shared" si="3"/>
        <v>157937.296</v>
      </c>
      <c r="S18" s="2546"/>
      <c r="T18" s="2546"/>
      <c r="U18" s="2546">
        <f t="shared" si="4"/>
        <v>157937.296</v>
      </c>
      <c r="V18" s="2546"/>
    </row>
    <row r="19" spans="1:22" ht="23.25">
      <c r="A19" s="2545">
        <v>4</v>
      </c>
      <c r="B19" s="2545">
        <v>0</v>
      </c>
      <c r="C19" s="2546" t="s">
        <v>1692</v>
      </c>
      <c r="D19" s="2546" t="str">
        <f>'[3]CNKT '!D19</f>
        <v>CNKT</v>
      </c>
      <c r="E19" s="2546"/>
      <c r="F19" s="2547">
        <f>+VLOOKUP(C19,[10]VCKD!D90:H176,5,0)</f>
        <v>0</v>
      </c>
      <c r="G19" s="2546">
        <f>+VLOOKUP(C19,[10]VCKD!D90:J176,7,0)</f>
        <v>0</v>
      </c>
      <c r="H19" s="2546">
        <f>+VLOOKUP(C19,'[10]Mủ CN (tam ung)'!C78:AK139,35,0)</f>
        <v>90</v>
      </c>
      <c r="I19" s="2546">
        <f>+VLOOKUP(C19,[10]VCKD!D90:L176,9,0)</f>
        <v>0</v>
      </c>
      <c r="J19" s="2546">
        <f t="shared" si="0"/>
        <v>36</v>
      </c>
      <c r="K19" s="2546">
        <f t="shared" si="1"/>
        <v>0</v>
      </c>
      <c r="L19" s="2545" t="str">
        <f>+VLOOKUP(C19,[10]THKT!B75:Z161,25,0)</f>
        <v>B</v>
      </c>
      <c r="M19" s="3006">
        <f t="shared" si="2"/>
        <v>143779.68</v>
      </c>
      <c r="N19" s="2688">
        <v>0</v>
      </c>
      <c r="O19" s="2688">
        <v>0</v>
      </c>
      <c r="P19" s="2689">
        <v>0</v>
      </c>
      <c r="Q19" s="2546">
        <v>0</v>
      </c>
      <c r="R19" s="2546">
        <f t="shared" si="3"/>
        <v>143779.68</v>
      </c>
      <c r="S19" s="2546"/>
      <c r="T19" s="2546"/>
      <c r="U19" s="2546">
        <f t="shared" si="4"/>
        <v>143779.68</v>
      </c>
      <c r="V19" s="2546"/>
    </row>
    <row r="20" spans="1:22" ht="23.25">
      <c r="A20" s="2545">
        <v>5</v>
      </c>
      <c r="B20" s="2545">
        <f>[3]TONGHOPCONGDOI!B16</f>
        <v>0</v>
      </c>
      <c r="C20" s="2546" t="s">
        <v>1693</v>
      </c>
      <c r="D20" s="2546" t="str">
        <f>'[3]CNKT '!D20</f>
        <v>CNKT</v>
      </c>
      <c r="E20" s="2546"/>
      <c r="F20" s="2547">
        <f>+VLOOKUP(C20,[10]VCKD!D91:H177,5,0)</f>
        <v>0</v>
      </c>
      <c r="G20" s="2546">
        <f>+VLOOKUP(C20,[10]VCKD!D91:J177,7,0)</f>
        <v>0</v>
      </c>
      <c r="H20" s="2546">
        <f>+VLOOKUP(C20,'[10]Mủ CN (tam ung)'!C79:AK140,35,0)</f>
        <v>93</v>
      </c>
      <c r="I20" s="2546">
        <f>+VLOOKUP(C20,[10]VCKD!D91:L177,9,0)</f>
        <v>0</v>
      </c>
      <c r="J20" s="2546">
        <f t="shared" si="0"/>
        <v>37.200000000000003</v>
      </c>
      <c r="K20" s="2546">
        <f t="shared" si="1"/>
        <v>0</v>
      </c>
      <c r="L20" s="2545" t="str">
        <f>+VLOOKUP(C20,[10]THKT!B76:Z162,25,0)</f>
        <v>A</v>
      </c>
      <c r="M20" s="3006">
        <f t="shared" si="2"/>
        <v>156257.11200000002</v>
      </c>
      <c r="N20" s="2688">
        <v>0</v>
      </c>
      <c r="O20" s="2688">
        <v>0</v>
      </c>
      <c r="P20" s="2689">
        <v>0</v>
      </c>
      <c r="Q20" s="2546">
        <v>0</v>
      </c>
      <c r="R20" s="2546">
        <f t="shared" si="3"/>
        <v>156257.11200000002</v>
      </c>
      <c r="S20" s="2546"/>
      <c r="T20" s="2546"/>
      <c r="U20" s="2546">
        <f t="shared" si="4"/>
        <v>156257.11200000002</v>
      </c>
      <c r="V20" s="2546"/>
    </row>
    <row r="21" spans="1:22" ht="23.25">
      <c r="A21" s="2545">
        <v>6</v>
      </c>
      <c r="B21" s="2545" t="s">
        <v>1760</v>
      </c>
      <c r="C21" s="2546" t="s">
        <v>281</v>
      </c>
      <c r="D21" s="2546" t="str">
        <f>'[3]CNKT '!D21</f>
        <v>CNKT</v>
      </c>
      <c r="E21" s="2546"/>
      <c r="F21" s="2547">
        <f>+VLOOKUP(C21,[10]VCKD!D92:H178,5,0)</f>
        <v>0</v>
      </c>
      <c r="G21" s="2546">
        <f>+VLOOKUP(C21,[10]VCKD!D92:J178,7,0)</f>
        <v>0</v>
      </c>
      <c r="H21" s="2546">
        <f>+VLOOKUP(C21,'[10]Mủ CN (tam ung)'!C80:AK141,35,0)</f>
        <v>110</v>
      </c>
      <c r="I21" s="2546">
        <f>+VLOOKUP(C21,[10]VCKD!D92:L178,9,0)</f>
        <v>0</v>
      </c>
      <c r="J21" s="2546">
        <f t="shared" si="0"/>
        <v>44</v>
      </c>
      <c r="K21" s="2546">
        <f t="shared" si="1"/>
        <v>0</v>
      </c>
      <c r="L21" s="2545" t="str">
        <f>+VLOOKUP(C21,[10]THKT!B77:Z163,25,0)</f>
        <v>B</v>
      </c>
      <c r="M21" s="3006">
        <f t="shared" si="2"/>
        <v>175730.72</v>
      </c>
      <c r="N21" s="2688">
        <v>0</v>
      </c>
      <c r="O21" s="2688">
        <v>0</v>
      </c>
      <c r="P21" s="2689">
        <v>0</v>
      </c>
      <c r="Q21" s="2546">
        <v>0</v>
      </c>
      <c r="R21" s="2546">
        <f t="shared" si="3"/>
        <v>175730.72</v>
      </c>
      <c r="S21" s="2546"/>
      <c r="T21" s="2546"/>
      <c r="U21" s="2546">
        <f t="shared" si="4"/>
        <v>175730.72</v>
      </c>
      <c r="V21" s="2546"/>
    </row>
    <row r="22" spans="1:22" ht="23.25">
      <c r="A22" s="2545">
        <v>7</v>
      </c>
      <c r="B22" s="2545" t="s">
        <v>1759</v>
      </c>
      <c r="C22" s="2546" t="s">
        <v>1183</v>
      </c>
      <c r="D22" s="2546" t="str">
        <f>'[3]CNKT '!D22</f>
        <v>CNKT</v>
      </c>
      <c r="E22" s="2546"/>
      <c r="F22" s="2547">
        <f>+VLOOKUP(C22,[10]VCKD!D93:H179,5,0)</f>
        <v>0</v>
      </c>
      <c r="G22" s="2546">
        <f>+VLOOKUP(C22,[10]VCKD!D93:J179,7,0)</f>
        <v>0</v>
      </c>
      <c r="H22" s="2546">
        <f>+VLOOKUP(C22,'[10]Mủ CN (tam ung)'!C81:AK142,35,0)</f>
        <v>90</v>
      </c>
      <c r="I22" s="2546">
        <f>+VLOOKUP(C22,[10]VCKD!D93:L179,9,0)</f>
        <v>0</v>
      </c>
      <c r="J22" s="2546">
        <f t="shared" si="0"/>
        <v>36</v>
      </c>
      <c r="K22" s="2546">
        <f t="shared" si="1"/>
        <v>0</v>
      </c>
      <c r="L22" s="2545" t="str">
        <f>+VLOOKUP(C22,[10]THKT!B78:Z164,25,0)</f>
        <v>A</v>
      </c>
      <c r="M22" s="3006">
        <f t="shared" si="2"/>
        <v>151216.56</v>
      </c>
      <c r="N22" s="2688">
        <v>0</v>
      </c>
      <c r="O22" s="2688">
        <v>0</v>
      </c>
      <c r="P22" s="2689">
        <v>0</v>
      </c>
      <c r="Q22" s="2546">
        <v>0</v>
      </c>
      <c r="R22" s="2546">
        <f t="shared" si="3"/>
        <v>151216.56</v>
      </c>
      <c r="S22" s="2546"/>
      <c r="T22" s="2546"/>
      <c r="U22" s="2546">
        <f t="shared" si="4"/>
        <v>151216.56</v>
      </c>
      <c r="V22" s="2546"/>
    </row>
    <row r="23" spans="1:22" ht="23.25">
      <c r="A23" s="2545">
        <v>8</v>
      </c>
      <c r="B23" s="2545" t="s">
        <v>1761</v>
      </c>
      <c r="C23" s="2546" t="s">
        <v>1184</v>
      </c>
      <c r="D23" s="2546" t="str">
        <f>'[3]CNKT '!D23</f>
        <v>CNKT</v>
      </c>
      <c r="E23" s="2546"/>
      <c r="F23" s="2547">
        <f>+VLOOKUP(C23,[10]VCKD!D94:H180,5,0)</f>
        <v>0</v>
      </c>
      <c r="G23" s="2546">
        <f>+VLOOKUP(C23,[10]VCKD!D94:J180,7,0)</f>
        <v>0</v>
      </c>
      <c r="H23" s="2546">
        <f>+VLOOKUP(C23,'[10]Mủ CN (tam ung)'!C82:AK143,35,0)</f>
        <v>90</v>
      </c>
      <c r="I23" s="2546">
        <f>+VLOOKUP(C23,[10]VCKD!D94:L180,9,0)</f>
        <v>0</v>
      </c>
      <c r="J23" s="2546">
        <f t="shared" si="0"/>
        <v>36</v>
      </c>
      <c r="K23" s="2546">
        <f t="shared" si="1"/>
        <v>0</v>
      </c>
      <c r="L23" s="2545" t="str">
        <f>+VLOOKUP(C23,[10]THKT!B79:Z165,25,0)</f>
        <v>A</v>
      </c>
      <c r="M23" s="3006">
        <f t="shared" si="2"/>
        <v>151216.56</v>
      </c>
      <c r="N23" s="2688">
        <v>0</v>
      </c>
      <c r="O23" s="2688">
        <v>0</v>
      </c>
      <c r="P23" s="2689">
        <v>0</v>
      </c>
      <c r="Q23" s="2546">
        <v>0</v>
      </c>
      <c r="R23" s="2546">
        <f t="shared" si="3"/>
        <v>151216.56</v>
      </c>
      <c r="S23" s="2546"/>
      <c r="T23" s="2546"/>
      <c r="U23" s="2546">
        <f t="shared" si="4"/>
        <v>151216.56</v>
      </c>
      <c r="V23" s="2546"/>
    </row>
    <row r="24" spans="1:22" ht="23.25">
      <c r="A24" s="2545">
        <v>9</v>
      </c>
      <c r="B24" s="2545" t="s">
        <v>1762</v>
      </c>
      <c r="C24" s="2546" t="s">
        <v>1615</v>
      </c>
      <c r="D24" s="2546" t="str">
        <f>'[3]CNKT '!D24</f>
        <v>CNKT</v>
      </c>
      <c r="E24" s="2546"/>
      <c r="F24" s="2547">
        <f>+VLOOKUP(C24,[10]VCKD!D95:H181,5,0)</f>
        <v>0</v>
      </c>
      <c r="G24" s="2546">
        <f>+VLOOKUP(C24,[10]VCKD!D95:J181,7,0)</f>
        <v>0</v>
      </c>
      <c r="H24" s="2546">
        <f>+VLOOKUP(C24,'[10]Mủ CN (tam ung)'!C83:AK144,35,0)</f>
        <v>114</v>
      </c>
      <c r="I24" s="2546">
        <f>+VLOOKUP(C24,[10]VCKD!D95:L181,9,0)</f>
        <v>0</v>
      </c>
      <c r="J24" s="2546">
        <f t="shared" si="0"/>
        <v>45.6</v>
      </c>
      <c r="K24" s="2546">
        <f t="shared" si="1"/>
        <v>0</v>
      </c>
      <c r="L24" s="2545" t="str">
        <f>+VLOOKUP(C24,[10]THKT!B80:Z166,25,0)</f>
        <v>A</v>
      </c>
      <c r="M24" s="3006">
        <f t="shared" si="2"/>
        <v>191540.976</v>
      </c>
      <c r="N24" s="2688">
        <v>0</v>
      </c>
      <c r="O24" s="2688">
        <v>0</v>
      </c>
      <c r="P24" s="2689">
        <v>0</v>
      </c>
      <c r="Q24" s="2546">
        <v>0</v>
      </c>
      <c r="R24" s="2546">
        <f t="shared" si="3"/>
        <v>191540.976</v>
      </c>
      <c r="S24" s="2546"/>
      <c r="T24" s="2546"/>
      <c r="U24" s="2546">
        <f t="shared" si="4"/>
        <v>191540.976</v>
      </c>
      <c r="V24" s="2546"/>
    </row>
    <row r="25" spans="1:22" ht="23.25">
      <c r="A25" s="2545">
        <v>10</v>
      </c>
      <c r="B25" s="2545" t="s">
        <v>1763</v>
      </c>
      <c r="C25" s="2546" t="s">
        <v>1490</v>
      </c>
      <c r="D25" s="2546" t="str">
        <f>'[3]CNKT '!D25</f>
        <v>CNKT</v>
      </c>
      <c r="E25" s="2546"/>
      <c r="F25" s="2547">
        <f>+VLOOKUP(C25,[10]VCKD!D96:H182,5,0)</f>
        <v>0</v>
      </c>
      <c r="G25" s="2546">
        <f>+VLOOKUP(C25,[10]VCKD!D96:J182,7,0)</f>
        <v>0</v>
      </c>
      <c r="H25" s="2546">
        <f>+VLOOKUP(C25,'[10]Mủ CN (tam ung)'!C84:AK145,35,0)</f>
        <v>114</v>
      </c>
      <c r="I25" s="2546">
        <f>+VLOOKUP(C25,[10]VCKD!D96:L182,9,0)</f>
        <v>0</v>
      </c>
      <c r="J25" s="2546">
        <f t="shared" si="0"/>
        <v>45.6</v>
      </c>
      <c r="K25" s="2546">
        <f t="shared" si="1"/>
        <v>0</v>
      </c>
      <c r="L25" s="2545" t="str">
        <f>+VLOOKUP(C25,[10]THKT!B81:Z167,25,0)</f>
        <v>A</v>
      </c>
      <c r="M25" s="3006">
        <f t="shared" si="2"/>
        <v>191540.976</v>
      </c>
      <c r="N25" s="2688">
        <v>0</v>
      </c>
      <c r="O25" s="2688">
        <v>0</v>
      </c>
      <c r="P25" s="2689">
        <v>0</v>
      </c>
      <c r="Q25" s="2546">
        <v>0</v>
      </c>
      <c r="R25" s="2546">
        <f t="shared" si="3"/>
        <v>191540.976</v>
      </c>
      <c r="S25" s="2546"/>
      <c r="T25" s="2546"/>
      <c r="U25" s="2546">
        <f t="shared" si="4"/>
        <v>191540.976</v>
      </c>
      <c r="V25" s="2546"/>
    </row>
    <row r="26" spans="1:22" ht="23.25">
      <c r="A26" s="2545">
        <v>11</v>
      </c>
      <c r="B26" s="2545" t="s">
        <v>1764</v>
      </c>
      <c r="C26" s="2546" t="s">
        <v>1694</v>
      </c>
      <c r="D26" s="2546" t="str">
        <f>'[3]CNKT '!D28</f>
        <v>CNKT</v>
      </c>
      <c r="E26" s="2546"/>
      <c r="F26" s="2547">
        <f>+VLOOKUP(C26,[10]VCKD!D99:H185,5,0)</f>
        <v>0</v>
      </c>
      <c r="G26" s="2546">
        <f>+VLOOKUP(C26,[10]VCKD!D99:J185,7,0)</f>
        <v>0</v>
      </c>
      <c r="H26" s="2546">
        <f>+VLOOKUP(C26,'[10]Mủ CN (tam ung)'!C87:AK148,35,0)</f>
        <v>77</v>
      </c>
      <c r="I26" s="2546">
        <f>+VLOOKUP(C26,[10]VCKD!D99:L185,9,0)</f>
        <v>0</v>
      </c>
      <c r="J26" s="2546">
        <f t="shared" si="0"/>
        <v>30.8</v>
      </c>
      <c r="K26" s="2546">
        <f t="shared" si="1"/>
        <v>0</v>
      </c>
      <c r="L26" s="2545" t="str">
        <f>+VLOOKUP(C26,[10]THKT!B82:Z168,25,0)</f>
        <v>A</v>
      </c>
      <c r="M26" s="3006">
        <f t="shared" si="2"/>
        <v>129374.16800000001</v>
      </c>
      <c r="N26" s="2688">
        <v>0</v>
      </c>
      <c r="O26" s="2688">
        <v>0</v>
      </c>
      <c r="P26" s="2689">
        <v>0</v>
      </c>
      <c r="Q26" s="2546">
        <v>0</v>
      </c>
      <c r="R26" s="2546">
        <f t="shared" si="3"/>
        <v>129374.16800000001</v>
      </c>
      <c r="S26" s="2546"/>
      <c r="T26" s="2546"/>
      <c r="U26" s="2546">
        <f t="shared" si="4"/>
        <v>129374.16800000001</v>
      </c>
      <c r="V26" s="2546"/>
    </row>
    <row r="27" spans="1:22" ht="23.25">
      <c r="A27" s="2545">
        <v>12</v>
      </c>
      <c r="B27" s="2545" t="s">
        <v>1765</v>
      </c>
      <c r="C27" s="2546" t="s">
        <v>1616</v>
      </c>
      <c r="D27" s="2546" t="str">
        <f>'[3]CNKT '!D29</f>
        <v>CNKT</v>
      </c>
      <c r="E27" s="2546"/>
      <c r="F27" s="2547">
        <f>+VLOOKUP(C27,[10]VCKD!D100:H186,5,0)</f>
        <v>0</v>
      </c>
      <c r="G27" s="2546">
        <f>+VLOOKUP(C27,[10]VCKD!D100:J186,7,0)</f>
        <v>0</v>
      </c>
      <c r="H27" s="2546">
        <f>+VLOOKUP(C27,'[10]Mủ CN (tam ung)'!C88:AK149,35,0)</f>
        <v>78</v>
      </c>
      <c r="I27" s="2546">
        <f>+VLOOKUP(C27,[10]VCKD!D100:L186,9,0)</f>
        <v>0</v>
      </c>
      <c r="J27" s="2546">
        <f t="shared" si="0"/>
        <v>31.200000000000003</v>
      </c>
      <c r="K27" s="2546">
        <f t="shared" si="1"/>
        <v>0</v>
      </c>
      <c r="L27" s="2545" t="str">
        <f>+VLOOKUP(C27,[10]THKT!B83:Z169,25,0)</f>
        <v>A</v>
      </c>
      <c r="M27" s="3006">
        <f t="shared" si="2"/>
        <v>131054.35200000001</v>
      </c>
      <c r="N27" s="2688">
        <v>0</v>
      </c>
      <c r="O27" s="2688">
        <v>0</v>
      </c>
      <c r="P27" s="2689">
        <v>0</v>
      </c>
      <c r="Q27" s="2546">
        <v>0</v>
      </c>
      <c r="R27" s="2546">
        <f t="shared" si="3"/>
        <v>131054.35200000001</v>
      </c>
      <c r="S27" s="2546"/>
      <c r="T27" s="2546"/>
      <c r="U27" s="2546">
        <f t="shared" si="4"/>
        <v>131054.35200000001</v>
      </c>
      <c r="V27" s="2546"/>
    </row>
    <row r="28" spans="1:22" ht="23.25">
      <c r="A28" s="2545">
        <v>13</v>
      </c>
      <c r="B28" s="2545" t="s">
        <v>1767</v>
      </c>
      <c r="C28" s="2546" t="s">
        <v>1229</v>
      </c>
      <c r="D28" s="2546" t="str">
        <f>'[3]CNKT '!D30</f>
        <v>CNKT</v>
      </c>
      <c r="E28" s="2546"/>
      <c r="F28" s="2547">
        <f>+VLOOKUP(C28,[10]VCKD!D101:H187,5,0)</f>
        <v>0</v>
      </c>
      <c r="G28" s="2546">
        <f>+VLOOKUP(C28,[10]VCKD!D101:J187,7,0)</f>
        <v>0</v>
      </c>
      <c r="H28" s="2546">
        <f>+VLOOKUP(C28,'[10]Mủ CN (tam ung)'!C89:AK150,35,0)</f>
        <v>44</v>
      </c>
      <c r="I28" s="2546">
        <f>+VLOOKUP(C28,[10]VCKD!D101:L187,9,0)</f>
        <v>0</v>
      </c>
      <c r="J28" s="2546">
        <f t="shared" si="0"/>
        <v>17.600000000000001</v>
      </c>
      <c r="K28" s="2546">
        <f t="shared" si="1"/>
        <v>0</v>
      </c>
      <c r="L28" s="2545" t="str">
        <f>+VLOOKUP(C28,[10]THKT!B84:Z170,25,0)</f>
        <v>A</v>
      </c>
      <c r="M28" s="3006">
        <f t="shared" si="2"/>
        <v>73928.096000000005</v>
      </c>
      <c r="N28" s="2688">
        <v>0</v>
      </c>
      <c r="O28" s="2688">
        <v>0</v>
      </c>
      <c r="P28" s="2689">
        <v>0</v>
      </c>
      <c r="Q28" s="2546">
        <v>0</v>
      </c>
      <c r="R28" s="2546">
        <f t="shared" si="3"/>
        <v>73928.096000000005</v>
      </c>
      <c r="S28" s="2546"/>
      <c r="T28" s="2546"/>
      <c r="U28" s="2546">
        <f t="shared" si="4"/>
        <v>73928.096000000005</v>
      </c>
      <c r="V28" s="2546"/>
    </row>
    <row r="29" spans="1:22" ht="23.25">
      <c r="A29" s="2545">
        <v>14</v>
      </c>
      <c r="B29" s="2545" t="s">
        <v>1766</v>
      </c>
      <c r="C29" s="2546" t="s">
        <v>1494</v>
      </c>
      <c r="D29" s="2546" t="str">
        <f>'[3]CNKT '!D31</f>
        <v>CNKT</v>
      </c>
      <c r="E29" s="2546"/>
      <c r="F29" s="2547">
        <f>+VLOOKUP(C29,[10]VCKD!D102:H188,5,0)</f>
        <v>0</v>
      </c>
      <c r="G29" s="2546">
        <f>+VLOOKUP(C29,[10]VCKD!D102:J188,7,0)</f>
        <v>0</v>
      </c>
      <c r="H29" s="2546">
        <f>+VLOOKUP(C29,'[10]Mủ CN (tam ung)'!C90:AK151,35,0)</f>
        <v>74</v>
      </c>
      <c r="I29" s="2546">
        <f>+VLOOKUP(C29,[10]VCKD!D102:L188,9,0)</f>
        <v>0</v>
      </c>
      <c r="J29" s="2546">
        <f t="shared" si="0"/>
        <v>29.6</v>
      </c>
      <c r="K29" s="2546">
        <f t="shared" si="1"/>
        <v>0</v>
      </c>
      <c r="L29" s="2545" t="str">
        <f>+VLOOKUP(C29,[10]THKT!B85:Z171,25,0)</f>
        <v>A</v>
      </c>
      <c r="M29" s="3006">
        <f t="shared" si="2"/>
        <v>124333.61600000001</v>
      </c>
      <c r="N29" s="2688">
        <v>0</v>
      </c>
      <c r="O29" s="2688">
        <v>0</v>
      </c>
      <c r="P29" s="2689">
        <v>0</v>
      </c>
      <c r="Q29" s="2546">
        <v>0</v>
      </c>
      <c r="R29" s="2546">
        <f t="shared" si="3"/>
        <v>124333.61600000001</v>
      </c>
      <c r="S29" s="2546"/>
      <c r="T29" s="2546"/>
      <c r="U29" s="2546">
        <f t="shared" si="4"/>
        <v>124333.61600000001</v>
      </c>
      <c r="V29" s="2546"/>
    </row>
    <row r="30" spans="1:22" ht="23.25">
      <c r="A30" s="2545">
        <v>15</v>
      </c>
      <c r="B30" s="2545" t="s">
        <v>1768</v>
      </c>
      <c r="C30" s="2546" t="s">
        <v>243</v>
      </c>
      <c r="D30" s="2546" t="str">
        <f>'[3]CNKT '!D32</f>
        <v>CNKT</v>
      </c>
      <c r="E30" s="2546"/>
      <c r="F30" s="2547">
        <f>+VLOOKUP(C30,[10]VCKD!D103:H189,5,0)</f>
        <v>0</v>
      </c>
      <c r="G30" s="2546">
        <f>+VLOOKUP(C30,[10]VCKD!D103:J189,7,0)</f>
        <v>0</v>
      </c>
      <c r="H30" s="2546">
        <f>+VLOOKUP(C30,'[10]Mủ CN (tam ung)'!C91:AK152,35,0)</f>
        <v>63</v>
      </c>
      <c r="I30" s="2546">
        <f>+VLOOKUP(C30,[10]VCKD!D103:L189,9,0)</f>
        <v>0</v>
      </c>
      <c r="J30" s="2546">
        <f t="shared" si="0"/>
        <v>25.200000000000003</v>
      </c>
      <c r="K30" s="2546">
        <f t="shared" si="1"/>
        <v>0</v>
      </c>
      <c r="L30" s="2545" t="str">
        <f>+VLOOKUP(C30,[10]THKT!B86:Z172,25,0)</f>
        <v>B</v>
      </c>
      <c r="M30" s="3006">
        <f t="shared" si="2"/>
        <v>100645.77600000001</v>
      </c>
      <c r="N30" s="2688">
        <v>0</v>
      </c>
      <c r="O30" s="2688">
        <v>0</v>
      </c>
      <c r="P30" s="2689">
        <v>0</v>
      </c>
      <c r="Q30" s="2546">
        <v>0</v>
      </c>
      <c r="R30" s="2546">
        <f t="shared" si="3"/>
        <v>100645.77600000001</v>
      </c>
      <c r="S30" s="2546"/>
      <c r="T30" s="2546"/>
      <c r="U30" s="2546">
        <f t="shared" si="4"/>
        <v>100645.77600000001</v>
      </c>
      <c r="V30" s="2546"/>
    </row>
    <row r="31" spans="1:22" ht="23.25">
      <c r="A31" s="2545">
        <v>16</v>
      </c>
      <c r="B31" s="2545" t="s">
        <v>1769</v>
      </c>
      <c r="C31" s="2546" t="s">
        <v>1533</v>
      </c>
      <c r="D31" s="2546" t="str">
        <f>'[3]CNKT '!D33</f>
        <v>CNKT</v>
      </c>
      <c r="E31" s="2546"/>
      <c r="F31" s="2547">
        <f>+VLOOKUP(C31,[10]VCKD!D104:H190,5,0)</f>
        <v>0</v>
      </c>
      <c r="G31" s="2546">
        <f>+VLOOKUP(C31,[10]VCKD!D104:J190,7,0)</f>
        <v>0</v>
      </c>
      <c r="H31" s="2546">
        <f>+VLOOKUP(C31,'[10]Mủ CN (tam ung)'!C92:AK153,35,0)</f>
        <v>75</v>
      </c>
      <c r="I31" s="2546">
        <f>+VLOOKUP(C31,[10]VCKD!D104:L190,9,0)</f>
        <v>0</v>
      </c>
      <c r="J31" s="2546">
        <f t="shared" si="0"/>
        <v>30</v>
      </c>
      <c r="K31" s="2546">
        <f t="shared" si="1"/>
        <v>0</v>
      </c>
      <c r="L31" s="2545" t="str">
        <f>+VLOOKUP(C31,[10]THKT!B87:Z173,25,0)</f>
        <v>A</v>
      </c>
      <c r="M31" s="3006">
        <f t="shared" si="2"/>
        <v>126013.8</v>
      </c>
      <c r="N31" s="2688">
        <v>0</v>
      </c>
      <c r="O31" s="2688">
        <v>0</v>
      </c>
      <c r="P31" s="2689">
        <v>0</v>
      </c>
      <c r="Q31" s="2546">
        <v>0</v>
      </c>
      <c r="R31" s="2546">
        <f t="shared" si="3"/>
        <v>126013.8</v>
      </c>
      <c r="S31" s="2546"/>
      <c r="T31" s="2546"/>
      <c r="U31" s="2546">
        <f t="shared" si="4"/>
        <v>126013.8</v>
      </c>
      <c r="V31" s="2546"/>
    </row>
    <row r="32" spans="1:22" ht="23.25">
      <c r="A32" s="2545">
        <v>17</v>
      </c>
      <c r="B32" s="2545" t="s">
        <v>1770</v>
      </c>
      <c r="C32" s="2546" t="s">
        <v>1534</v>
      </c>
      <c r="D32" s="2546" t="str">
        <f>'[3]CNKT '!D34</f>
        <v>CNKT</v>
      </c>
      <c r="E32" s="2546"/>
      <c r="F32" s="2547">
        <f>+VLOOKUP(C32,[10]VCKD!D105:H191,5,0)</f>
        <v>0</v>
      </c>
      <c r="G32" s="2546">
        <f>+VLOOKUP(C32,[10]VCKD!D105:J191,7,0)</f>
        <v>0</v>
      </c>
      <c r="H32" s="2546">
        <f>+VLOOKUP(C32,'[10]Mủ CN (tam ung)'!C93:AK154,35,0)</f>
        <v>74</v>
      </c>
      <c r="I32" s="2546">
        <f>+VLOOKUP(C32,[10]VCKD!D105:L191,9,0)</f>
        <v>0</v>
      </c>
      <c r="J32" s="2546">
        <f t="shared" si="0"/>
        <v>29.6</v>
      </c>
      <c r="K32" s="2546">
        <f t="shared" si="1"/>
        <v>0</v>
      </c>
      <c r="L32" s="2545" t="str">
        <f>+VLOOKUP(C32,[10]THKT!B88:Z174,25,0)</f>
        <v>A</v>
      </c>
      <c r="M32" s="3006">
        <f t="shared" si="2"/>
        <v>124333.61600000001</v>
      </c>
      <c r="N32" s="2688">
        <v>0</v>
      </c>
      <c r="O32" s="2688">
        <v>0</v>
      </c>
      <c r="P32" s="2689">
        <v>0</v>
      </c>
      <c r="Q32" s="2546">
        <v>0</v>
      </c>
      <c r="R32" s="2546">
        <f t="shared" si="3"/>
        <v>124333.61600000001</v>
      </c>
      <c r="S32" s="2546"/>
      <c r="T32" s="2546"/>
      <c r="U32" s="2546">
        <f t="shared" si="4"/>
        <v>124333.61600000001</v>
      </c>
      <c r="V32" s="2546"/>
    </row>
    <row r="33" spans="1:22" ht="23.25">
      <c r="A33" s="2545">
        <v>18</v>
      </c>
      <c r="B33" s="2545">
        <f>[3]TONGHOPCONGDOI!B36</f>
        <v>0</v>
      </c>
      <c r="C33" s="2546" t="s">
        <v>1695</v>
      </c>
      <c r="D33" s="2546" t="str">
        <f>'[3]CNKT '!D35</f>
        <v>CNKT</v>
      </c>
      <c r="E33" s="2546"/>
      <c r="F33" s="2547">
        <f>+VLOOKUP(C33,[10]VCKD!D106:H192,5,0)</f>
        <v>0</v>
      </c>
      <c r="G33" s="2546">
        <f>+VLOOKUP(C33,[10]VCKD!D106:J192,7,0)</f>
        <v>0</v>
      </c>
      <c r="H33" s="2546">
        <f>+VLOOKUP(C33,'[10]Mủ CN (tam ung)'!C94:AK155,35,0)</f>
        <v>74</v>
      </c>
      <c r="I33" s="2546">
        <f>+VLOOKUP(C33,[10]VCKD!D106:L192,9,0)</f>
        <v>0</v>
      </c>
      <c r="J33" s="2546">
        <f t="shared" si="0"/>
        <v>29.6</v>
      </c>
      <c r="K33" s="2546">
        <f t="shared" si="1"/>
        <v>0</v>
      </c>
      <c r="L33" s="2545" t="str">
        <f>+VLOOKUP(C33,[10]THKT!B89:Z175,25,0)</f>
        <v>A</v>
      </c>
      <c r="M33" s="3006">
        <f t="shared" si="2"/>
        <v>124333.61600000001</v>
      </c>
      <c r="N33" s="2688">
        <v>0</v>
      </c>
      <c r="O33" s="2688">
        <v>0</v>
      </c>
      <c r="P33" s="2689">
        <v>0</v>
      </c>
      <c r="Q33" s="2546">
        <v>0</v>
      </c>
      <c r="R33" s="2546">
        <f t="shared" si="3"/>
        <v>124333.61600000001</v>
      </c>
      <c r="S33" s="2546"/>
      <c r="T33" s="2546"/>
      <c r="U33" s="2546">
        <f t="shared" si="4"/>
        <v>124333.61600000001</v>
      </c>
      <c r="V33" s="2546"/>
    </row>
    <row r="34" spans="1:22" ht="23.25">
      <c r="A34" s="2545">
        <v>19</v>
      </c>
      <c r="B34" s="2545" t="s">
        <v>1771</v>
      </c>
      <c r="C34" s="2546" t="s">
        <v>1535</v>
      </c>
      <c r="D34" s="2546" t="str">
        <f>'[3]CNKT '!D36</f>
        <v>CNKT</v>
      </c>
      <c r="E34" s="2546"/>
      <c r="F34" s="2547">
        <f>+VLOOKUP(C34,[10]VCKD!D107:H193,5,0)</f>
        <v>0</v>
      </c>
      <c r="G34" s="2546">
        <f>+VLOOKUP(C34,[10]VCKD!D107:J193,7,0)</f>
        <v>0</v>
      </c>
      <c r="H34" s="2546">
        <f>+VLOOKUP(C34,'[10]Mủ CN (tam ung)'!C95:AK156,35,0)</f>
        <v>58</v>
      </c>
      <c r="I34" s="2546">
        <f>+VLOOKUP(C34,[10]VCKD!D107:L193,9,0)</f>
        <v>0</v>
      </c>
      <c r="J34" s="2546">
        <f t="shared" si="0"/>
        <v>23.200000000000003</v>
      </c>
      <c r="K34" s="2546">
        <f t="shared" si="1"/>
        <v>0</v>
      </c>
      <c r="L34" s="2545" t="str">
        <f>+VLOOKUP(C34,[10]THKT!B90:Z176,25,0)</f>
        <v>A</v>
      </c>
      <c r="M34" s="3006">
        <f t="shared" si="2"/>
        <v>97450.672000000006</v>
      </c>
      <c r="N34" s="2688">
        <v>0</v>
      </c>
      <c r="O34" s="2688">
        <v>0</v>
      </c>
      <c r="P34" s="2689">
        <v>0</v>
      </c>
      <c r="Q34" s="2546">
        <v>0</v>
      </c>
      <c r="R34" s="2546">
        <f t="shared" si="3"/>
        <v>97450.672000000006</v>
      </c>
      <c r="S34" s="2546"/>
      <c r="T34" s="2546"/>
      <c r="U34" s="2546">
        <f t="shared" si="4"/>
        <v>97450.672000000006</v>
      </c>
      <c r="V34" s="2546"/>
    </row>
    <row r="35" spans="1:22" ht="23.25">
      <c r="A35" s="2545">
        <v>20</v>
      </c>
      <c r="B35" s="2545" t="s">
        <v>1772</v>
      </c>
      <c r="C35" s="2546" t="s">
        <v>1696</v>
      </c>
      <c r="D35" s="2546" t="str">
        <f>'[3]CNKT '!D37</f>
        <v>CNKT</v>
      </c>
      <c r="E35" s="2546"/>
      <c r="F35" s="2547">
        <f>+VLOOKUP(C35,[10]VCKD!D108:H194,5,0)</f>
        <v>0</v>
      </c>
      <c r="G35" s="2546">
        <f>+VLOOKUP(C35,[10]VCKD!D108:J194,7,0)</f>
        <v>0</v>
      </c>
      <c r="H35" s="2546">
        <f>+VLOOKUP(C35,'[10]Mủ CN (tam ung)'!C96:AK157,35,0)</f>
        <v>74</v>
      </c>
      <c r="I35" s="2546">
        <f>+VLOOKUP(C35,[10]VCKD!D108:L194,9,0)</f>
        <v>0</v>
      </c>
      <c r="J35" s="2546">
        <f t="shared" si="0"/>
        <v>29.6</v>
      </c>
      <c r="K35" s="2546">
        <f t="shared" si="1"/>
        <v>0</v>
      </c>
      <c r="L35" s="2545" t="str">
        <f>+VLOOKUP(C35,[10]THKT!B91:Z177,25,0)</f>
        <v>A</v>
      </c>
      <c r="M35" s="3006">
        <f t="shared" si="2"/>
        <v>124333.61600000001</v>
      </c>
      <c r="N35" s="2688">
        <v>0</v>
      </c>
      <c r="O35" s="2688">
        <v>0</v>
      </c>
      <c r="P35" s="2689">
        <v>0</v>
      </c>
      <c r="Q35" s="2546">
        <v>0</v>
      </c>
      <c r="R35" s="2546">
        <f t="shared" si="3"/>
        <v>124333.61600000001</v>
      </c>
      <c r="S35" s="2546"/>
      <c r="T35" s="2546"/>
      <c r="U35" s="2546">
        <f t="shared" si="4"/>
        <v>124333.61600000001</v>
      </c>
      <c r="V35" s="2546"/>
    </row>
    <row r="36" spans="1:22" ht="23.25">
      <c r="A36" s="2545">
        <v>21</v>
      </c>
      <c r="B36" s="2545" t="s">
        <v>1773</v>
      </c>
      <c r="C36" s="2546" t="s">
        <v>1495</v>
      </c>
      <c r="D36" s="2546" t="str">
        <f>'[3]CNKT '!D38</f>
        <v>CNKT</v>
      </c>
      <c r="E36" s="2546"/>
      <c r="F36" s="2547">
        <f>+VLOOKUP(C36,[10]VCKD!D109:H195,5,0)</f>
        <v>0</v>
      </c>
      <c r="G36" s="2546">
        <f>+VLOOKUP(C36,[10]VCKD!D109:J195,7,0)</f>
        <v>0</v>
      </c>
      <c r="H36" s="2546">
        <f>+VLOOKUP(C36,'[10]Mủ CN (tam ung)'!C97:AK158,35,0)</f>
        <v>107</v>
      </c>
      <c r="I36" s="2546">
        <f>+VLOOKUP(C36,[10]VCKD!D109:L195,9,0)</f>
        <v>0</v>
      </c>
      <c r="J36" s="2546">
        <f t="shared" si="0"/>
        <v>42.800000000000004</v>
      </c>
      <c r="K36" s="2546">
        <f t="shared" si="1"/>
        <v>0</v>
      </c>
      <c r="L36" s="2545" t="str">
        <f>+VLOOKUP(C36,[10]THKT!B92:Z178,25,0)</f>
        <v>A</v>
      </c>
      <c r="M36" s="3006">
        <f t="shared" si="2"/>
        <v>179779.68800000002</v>
      </c>
      <c r="N36" s="2688">
        <v>0</v>
      </c>
      <c r="O36" s="2688">
        <v>0</v>
      </c>
      <c r="P36" s="2689">
        <v>0</v>
      </c>
      <c r="Q36" s="2546">
        <v>0</v>
      </c>
      <c r="R36" s="2546">
        <f t="shared" si="3"/>
        <v>179779.68800000002</v>
      </c>
      <c r="S36" s="2546"/>
      <c r="T36" s="2546"/>
      <c r="U36" s="2546">
        <f t="shared" si="4"/>
        <v>179779.68800000002</v>
      </c>
      <c r="V36" s="2546"/>
    </row>
    <row r="37" spans="1:22" ht="23.25">
      <c r="A37" s="2545">
        <v>22</v>
      </c>
      <c r="B37" s="2545" t="s">
        <v>1774</v>
      </c>
      <c r="C37" s="2546" t="s">
        <v>1496</v>
      </c>
      <c r="D37" s="2546" t="str">
        <f>'[3]CNKT '!D39</f>
        <v>CNKT</v>
      </c>
      <c r="E37" s="2546"/>
      <c r="F37" s="2547">
        <f>+VLOOKUP(C37,[10]VCKD!D110:H196,5,0)</f>
        <v>0</v>
      </c>
      <c r="G37" s="2546">
        <f>+VLOOKUP(C37,[10]VCKD!D110:J196,7,0)</f>
        <v>0</v>
      </c>
      <c r="H37" s="2546">
        <f>+VLOOKUP(C37,'[10]Mủ CN (tam ung)'!C98:AK159,35,0)</f>
        <v>107</v>
      </c>
      <c r="I37" s="2546">
        <f>+VLOOKUP(C37,[10]VCKD!D110:L196,9,0)</f>
        <v>0</v>
      </c>
      <c r="J37" s="2546">
        <f t="shared" si="0"/>
        <v>42.800000000000004</v>
      </c>
      <c r="K37" s="2546">
        <f t="shared" si="1"/>
        <v>0</v>
      </c>
      <c r="L37" s="2545" t="str">
        <f>+VLOOKUP(C37,[10]THKT!B93:Z179,25,0)</f>
        <v>A</v>
      </c>
      <c r="M37" s="3006">
        <f t="shared" si="2"/>
        <v>179779.68800000002</v>
      </c>
      <c r="N37" s="2688">
        <v>0</v>
      </c>
      <c r="O37" s="2688">
        <v>0</v>
      </c>
      <c r="P37" s="2689">
        <v>0</v>
      </c>
      <c r="Q37" s="2546">
        <v>0</v>
      </c>
      <c r="R37" s="2546">
        <f t="shared" si="3"/>
        <v>179779.68800000002</v>
      </c>
      <c r="S37" s="2546"/>
      <c r="T37" s="2546"/>
      <c r="U37" s="2546">
        <f t="shared" si="4"/>
        <v>179779.68800000002</v>
      </c>
      <c r="V37" s="2546"/>
    </row>
    <row r="38" spans="1:22" ht="23.25">
      <c r="A38" s="2545">
        <v>23</v>
      </c>
      <c r="B38" s="2545" t="s">
        <v>1775</v>
      </c>
      <c r="C38" s="2546" t="s">
        <v>1697</v>
      </c>
      <c r="D38" s="2546" t="str">
        <f>'[3]CNKT '!D40</f>
        <v>CNKT</v>
      </c>
      <c r="E38" s="2546"/>
      <c r="F38" s="2547">
        <f>+VLOOKUP(C38,[10]VCKD!D111:H197,5,0)</f>
        <v>0</v>
      </c>
      <c r="G38" s="2546">
        <f>+VLOOKUP(C38,[10]VCKD!D111:J197,7,0)</f>
        <v>0</v>
      </c>
      <c r="H38" s="2546">
        <f>+VLOOKUP(C38,'[10]Mủ CN (tam ung)'!C99:AK160,35,0)</f>
        <v>55</v>
      </c>
      <c r="I38" s="2546">
        <f>+VLOOKUP(C38,[10]VCKD!D111:L197,9,0)</f>
        <v>0</v>
      </c>
      <c r="J38" s="2546">
        <f t="shared" si="0"/>
        <v>22</v>
      </c>
      <c r="K38" s="2546">
        <f t="shared" si="1"/>
        <v>0</v>
      </c>
      <c r="L38" s="2545" t="str">
        <f>+VLOOKUP(C38,[10]THKT!B94:Z180,25,0)</f>
        <v>A</v>
      </c>
      <c r="M38" s="3006">
        <f t="shared" si="2"/>
        <v>92410.12</v>
      </c>
      <c r="N38" s="2688">
        <v>0</v>
      </c>
      <c r="O38" s="2688">
        <v>0</v>
      </c>
      <c r="P38" s="2689">
        <v>0</v>
      </c>
      <c r="Q38" s="2546">
        <v>0</v>
      </c>
      <c r="R38" s="2546">
        <f t="shared" si="3"/>
        <v>92410.12</v>
      </c>
      <c r="S38" s="2546"/>
      <c r="T38" s="2546"/>
      <c r="U38" s="2546">
        <f t="shared" si="4"/>
        <v>92410.12</v>
      </c>
      <c r="V38" s="2546"/>
    </row>
    <row r="39" spans="1:22" ht="23.25">
      <c r="A39" s="2545">
        <v>24</v>
      </c>
      <c r="B39" s="2545" t="s">
        <v>1776</v>
      </c>
      <c r="C39" s="2546" t="s">
        <v>1698</v>
      </c>
      <c r="D39" s="2546" t="str">
        <f>'[3]CNKT '!D41</f>
        <v>CNKT</v>
      </c>
      <c r="E39" s="2546"/>
      <c r="F39" s="2547">
        <f>+VLOOKUP(C39,[10]VCKD!D112:H198,5,0)</f>
        <v>0</v>
      </c>
      <c r="G39" s="2546">
        <f>+VLOOKUP(C39,[10]VCKD!D112:J198,7,0)</f>
        <v>0</v>
      </c>
      <c r="H39" s="2546">
        <f>+VLOOKUP(C39,'[10]Mủ CN (tam ung)'!C100:AK161,35,0)</f>
        <v>41</v>
      </c>
      <c r="I39" s="2546">
        <f>+VLOOKUP(C39,[10]VCKD!D112:L198,9,0)</f>
        <v>0</v>
      </c>
      <c r="J39" s="2546">
        <f t="shared" si="0"/>
        <v>16.400000000000002</v>
      </c>
      <c r="K39" s="2546">
        <f t="shared" si="1"/>
        <v>0</v>
      </c>
      <c r="L39" s="2545" t="str">
        <f>+VLOOKUP(C39,[10]THKT!B95:Z181,25,0)</f>
        <v>A</v>
      </c>
      <c r="M39" s="3006">
        <f t="shared" si="2"/>
        <v>68887.544000000009</v>
      </c>
      <c r="N39" s="2688">
        <v>0</v>
      </c>
      <c r="O39" s="2688">
        <v>0</v>
      </c>
      <c r="P39" s="2689">
        <v>0</v>
      </c>
      <c r="Q39" s="2546">
        <v>0</v>
      </c>
      <c r="R39" s="2546">
        <f t="shared" si="3"/>
        <v>68887.544000000009</v>
      </c>
      <c r="S39" s="2546"/>
      <c r="T39" s="2546"/>
      <c r="U39" s="2546">
        <f t="shared" si="4"/>
        <v>68887.544000000009</v>
      </c>
      <c r="V39" s="2546"/>
    </row>
    <row r="40" spans="1:22" ht="23.25">
      <c r="A40" s="2545">
        <v>25</v>
      </c>
      <c r="B40" s="2545" t="s">
        <v>1777</v>
      </c>
      <c r="C40" s="2546" t="s">
        <v>1699</v>
      </c>
      <c r="D40" s="2546" t="str">
        <f>'[3]CNKT '!D42</f>
        <v>CNKT</v>
      </c>
      <c r="E40" s="2546"/>
      <c r="F40" s="2547">
        <f>+VLOOKUP(C40,[10]VCKD!D113:H199,5,0)</f>
        <v>0</v>
      </c>
      <c r="G40" s="2546">
        <f>+VLOOKUP(C40,[10]VCKD!D113:J199,7,0)</f>
        <v>0</v>
      </c>
      <c r="H40" s="2546">
        <f>+VLOOKUP(C40,'[10]Mủ CN (tam ung)'!C101:AK162,35,0)</f>
        <v>55</v>
      </c>
      <c r="I40" s="2546">
        <f>+VLOOKUP(C40,[10]VCKD!D113:L199,9,0)</f>
        <v>0</v>
      </c>
      <c r="J40" s="2546">
        <f t="shared" si="0"/>
        <v>22</v>
      </c>
      <c r="K40" s="2546">
        <f t="shared" si="1"/>
        <v>0</v>
      </c>
      <c r="L40" s="2545" t="str">
        <f>+VLOOKUP(C40,[10]THKT!B96:Z182,25,0)</f>
        <v>A</v>
      </c>
      <c r="M40" s="3006">
        <f t="shared" si="2"/>
        <v>92410.12</v>
      </c>
      <c r="N40" s="2688">
        <v>0</v>
      </c>
      <c r="O40" s="2688">
        <v>0</v>
      </c>
      <c r="P40" s="2689">
        <v>0</v>
      </c>
      <c r="Q40" s="2546">
        <v>0</v>
      </c>
      <c r="R40" s="2546">
        <f t="shared" si="3"/>
        <v>92410.12</v>
      </c>
      <c r="S40" s="2546"/>
      <c r="T40" s="2546"/>
      <c r="U40" s="2546">
        <f t="shared" si="4"/>
        <v>92410.12</v>
      </c>
      <c r="V40" s="2546"/>
    </row>
    <row r="41" spans="1:22" ht="23.25">
      <c r="A41" s="2545">
        <v>26</v>
      </c>
      <c r="B41" s="2545" t="s">
        <v>1778</v>
      </c>
      <c r="C41" s="2546" t="s">
        <v>1700</v>
      </c>
      <c r="D41" s="2546" t="str">
        <f>'[3]CNKT '!D43</f>
        <v>CNKT</v>
      </c>
      <c r="E41" s="2546"/>
      <c r="F41" s="2547">
        <f>+VLOOKUP(C41,[10]VCKD!D114:H200,5,0)</f>
        <v>0</v>
      </c>
      <c r="G41" s="2546">
        <f>+VLOOKUP(C41,[10]VCKD!D114:J200,7,0)</f>
        <v>0</v>
      </c>
      <c r="H41" s="2546">
        <f>+VLOOKUP(C41,'[10]Mủ CN (tam ung)'!C102:AK163,35,0)</f>
        <v>56</v>
      </c>
      <c r="I41" s="2546">
        <f>+VLOOKUP(C41,[10]VCKD!D114:L200,9,0)</f>
        <v>0</v>
      </c>
      <c r="J41" s="2546">
        <f t="shared" si="0"/>
        <v>22.400000000000002</v>
      </c>
      <c r="K41" s="2546">
        <f t="shared" si="1"/>
        <v>0</v>
      </c>
      <c r="L41" s="2545" t="str">
        <f>+VLOOKUP(C41,[10]THKT!B97:Z183,25,0)</f>
        <v>A</v>
      </c>
      <c r="M41" s="3006">
        <f t="shared" si="2"/>
        <v>94090.304000000004</v>
      </c>
      <c r="N41" s="2688">
        <v>0</v>
      </c>
      <c r="O41" s="2688">
        <v>0</v>
      </c>
      <c r="P41" s="2689">
        <v>0</v>
      </c>
      <c r="Q41" s="2546">
        <v>0</v>
      </c>
      <c r="R41" s="2546">
        <f t="shared" si="3"/>
        <v>94090.304000000004</v>
      </c>
      <c r="S41" s="2546"/>
      <c r="T41" s="2546"/>
      <c r="U41" s="2546">
        <f t="shared" si="4"/>
        <v>94090.304000000004</v>
      </c>
      <c r="V41" s="2546"/>
    </row>
    <row r="42" spans="1:22" ht="23.25">
      <c r="A42" s="2545">
        <v>27</v>
      </c>
      <c r="B42" s="2545"/>
      <c r="C42" s="2546" t="s">
        <v>1701</v>
      </c>
      <c r="D42" s="2546" t="str">
        <f>'[3]CNKT '!D44</f>
        <v>CNKT</v>
      </c>
      <c r="E42" s="2546"/>
      <c r="F42" s="2547">
        <f>+VLOOKUP(C42,[10]VCKD!D115:H201,5,0)</f>
        <v>0</v>
      </c>
      <c r="G42" s="2546">
        <f>+VLOOKUP(C42,[10]VCKD!D115:J201,7,0)</f>
        <v>0</v>
      </c>
      <c r="H42" s="2546">
        <f>+VLOOKUP(C42,'[10]Mủ CN (tam ung)'!C103:AK164,35,0)</f>
        <v>96</v>
      </c>
      <c r="I42" s="2546">
        <f>+VLOOKUP(C42,[10]VCKD!D115:L201,9,0)</f>
        <v>0</v>
      </c>
      <c r="J42" s="2546">
        <f t="shared" si="0"/>
        <v>38.400000000000006</v>
      </c>
      <c r="K42" s="2546">
        <f t="shared" si="1"/>
        <v>0</v>
      </c>
      <c r="L42" s="2545" t="str">
        <f>+VLOOKUP(C42,[10]THKT!B98:Z184,25,0)</f>
        <v>B</v>
      </c>
      <c r="M42" s="3006">
        <f t="shared" si="2"/>
        <v>153364.99200000003</v>
      </c>
      <c r="N42" s="2688">
        <v>0</v>
      </c>
      <c r="O42" s="2688">
        <v>0</v>
      </c>
      <c r="P42" s="2689">
        <v>0</v>
      </c>
      <c r="Q42" s="2546">
        <v>0</v>
      </c>
      <c r="R42" s="2546">
        <f t="shared" si="3"/>
        <v>153364.99200000003</v>
      </c>
      <c r="S42" s="2546"/>
      <c r="T42" s="2546"/>
      <c r="U42" s="2546">
        <f t="shared" si="4"/>
        <v>153364.99200000003</v>
      </c>
      <c r="V42" s="2546"/>
    </row>
    <row r="43" spans="1:22" ht="23.25">
      <c r="A43" s="2545">
        <v>28</v>
      </c>
      <c r="B43" s="2545" t="s">
        <v>1779</v>
      </c>
      <c r="C43" s="2546" t="s">
        <v>1702</v>
      </c>
      <c r="D43" s="2546" t="str">
        <f>'[3]CNKT '!D45</f>
        <v>CNKT</v>
      </c>
      <c r="E43" s="2546"/>
      <c r="F43" s="2547">
        <f>+VLOOKUP(C43,[10]VCKD!D116:H202,5,0)</f>
        <v>0</v>
      </c>
      <c r="G43" s="2546">
        <f>+VLOOKUP(C43,[10]VCKD!D116:J202,7,0)</f>
        <v>0</v>
      </c>
      <c r="H43" s="2546">
        <f>+VLOOKUP(C43,'[10]Mủ CN (tam ung)'!C104:AK165,35,0)</f>
        <v>210</v>
      </c>
      <c r="I43" s="2546">
        <f>+VLOOKUP(C43,[10]VCKD!D116:L202,9,0)</f>
        <v>0</v>
      </c>
      <c r="J43" s="2546">
        <f t="shared" si="0"/>
        <v>84</v>
      </c>
      <c r="K43" s="2546">
        <f t="shared" si="1"/>
        <v>0</v>
      </c>
      <c r="L43" s="2545" t="str">
        <f>+VLOOKUP(C43,[10]THKT!B99:Z185,25,0)</f>
        <v>A</v>
      </c>
      <c r="M43" s="3006">
        <f t="shared" si="2"/>
        <v>352838.64</v>
      </c>
      <c r="N43" s="2688">
        <v>0</v>
      </c>
      <c r="O43" s="2688">
        <v>0</v>
      </c>
      <c r="P43" s="2689">
        <v>0</v>
      </c>
      <c r="Q43" s="2546">
        <v>0</v>
      </c>
      <c r="R43" s="2546">
        <f t="shared" si="3"/>
        <v>352838.64</v>
      </c>
      <c r="S43" s="2546"/>
      <c r="T43" s="2546"/>
      <c r="U43" s="2546">
        <f t="shared" si="4"/>
        <v>352838.64</v>
      </c>
      <c r="V43" s="2546"/>
    </row>
    <row r="44" spans="1:22" ht="23.25">
      <c r="A44" s="2545">
        <v>29</v>
      </c>
      <c r="B44" s="2545" t="s">
        <v>1780</v>
      </c>
      <c r="C44" s="2546" t="s">
        <v>1536</v>
      </c>
      <c r="D44" s="2546" t="str">
        <f>'[3]CNKT '!D46</f>
        <v>CNKT</v>
      </c>
      <c r="E44" s="2546"/>
      <c r="F44" s="2547">
        <f>+VLOOKUP(C44,[10]VCKD!D117:H203,5,0)</f>
        <v>0</v>
      </c>
      <c r="G44" s="2546">
        <f>+VLOOKUP(C44,[10]VCKD!D117:J203,7,0)</f>
        <v>0</v>
      </c>
      <c r="H44" s="2546">
        <f>+VLOOKUP(C44,'[10]Mủ CN (tam ung)'!C105:AK166,35,0)</f>
        <v>104</v>
      </c>
      <c r="I44" s="2546">
        <f>+VLOOKUP(C44,[10]VCKD!D117:L203,9,0)</f>
        <v>0</v>
      </c>
      <c r="J44" s="2546">
        <f t="shared" si="0"/>
        <v>41.6</v>
      </c>
      <c r="K44" s="2546">
        <f t="shared" si="1"/>
        <v>0</v>
      </c>
      <c r="L44" s="2545" t="str">
        <f>+VLOOKUP(C44,[10]THKT!B100:Z186,25,0)</f>
        <v>B</v>
      </c>
      <c r="M44" s="3006">
        <f t="shared" si="2"/>
        <v>166145.408</v>
      </c>
      <c r="N44" s="2688">
        <v>0</v>
      </c>
      <c r="O44" s="2688">
        <v>0</v>
      </c>
      <c r="P44" s="2689">
        <v>0</v>
      </c>
      <c r="Q44" s="2546">
        <v>0</v>
      </c>
      <c r="R44" s="2546">
        <f t="shared" si="3"/>
        <v>166145.408</v>
      </c>
      <c r="S44" s="2546"/>
      <c r="T44" s="2546"/>
      <c r="U44" s="2546">
        <f t="shared" si="4"/>
        <v>166145.408</v>
      </c>
      <c r="V44" s="2546"/>
    </row>
    <row r="45" spans="1:22" ht="23.25">
      <c r="A45" s="2545">
        <v>30</v>
      </c>
      <c r="B45" s="2545"/>
      <c r="C45" s="2546" t="s">
        <v>1703</v>
      </c>
      <c r="D45" s="2546" t="str">
        <f>'[3]CNKT '!D47</f>
        <v>CNKT</v>
      </c>
      <c r="E45" s="2546"/>
      <c r="F45" s="2547">
        <f>+VLOOKUP(C45,[10]VCKD!D118:H204,5,0)</f>
        <v>0</v>
      </c>
      <c r="G45" s="2546">
        <f>+VLOOKUP(C45,[10]VCKD!D118:J204,7,0)</f>
        <v>0</v>
      </c>
      <c r="H45" s="2546">
        <f>+VLOOKUP(C45,'[10]Mủ CN (tam ung)'!C106:AK167,35,0)</f>
        <v>104</v>
      </c>
      <c r="I45" s="2546">
        <f>+VLOOKUP(C45,[10]VCKD!D118:L204,9,0)</f>
        <v>0</v>
      </c>
      <c r="J45" s="2546">
        <f t="shared" si="0"/>
        <v>41.6</v>
      </c>
      <c r="K45" s="2546">
        <f t="shared" si="1"/>
        <v>0</v>
      </c>
      <c r="L45" s="2545" t="str">
        <f>+VLOOKUP(C45,[10]THKT!B101:Z187,25,0)</f>
        <v>A</v>
      </c>
      <c r="M45" s="3006">
        <f t="shared" si="2"/>
        <v>174739.136</v>
      </c>
      <c r="N45" s="2688">
        <v>0</v>
      </c>
      <c r="O45" s="2688">
        <v>0</v>
      </c>
      <c r="P45" s="2689">
        <v>0</v>
      </c>
      <c r="Q45" s="2546">
        <v>0</v>
      </c>
      <c r="R45" s="2546">
        <f t="shared" si="3"/>
        <v>174739.136</v>
      </c>
      <c r="S45" s="2546"/>
      <c r="T45" s="2546"/>
      <c r="U45" s="2546">
        <f t="shared" si="4"/>
        <v>174739.136</v>
      </c>
      <c r="V45" s="2546"/>
    </row>
    <row r="46" spans="1:22" ht="23.25">
      <c r="A46" s="2545">
        <v>31</v>
      </c>
      <c r="B46" s="2545" t="s">
        <v>1781</v>
      </c>
      <c r="C46" s="2546" t="s">
        <v>1500</v>
      </c>
      <c r="D46" s="2546" t="str">
        <f>'[3]CNKT '!D48</f>
        <v>CNKT</v>
      </c>
      <c r="E46" s="2546"/>
      <c r="F46" s="2547">
        <f>+VLOOKUP(C46,[10]VCKD!D119:H205,5,0)</f>
        <v>0</v>
      </c>
      <c r="G46" s="2546">
        <f>+VLOOKUP(C46,[10]VCKD!D119:J205,7,0)</f>
        <v>0</v>
      </c>
      <c r="H46" s="2546">
        <f>+VLOOKUP(C46,'[10]Mủ CN (tam ung)'!C107:AK168,35,0)</f>
        <v>104</v>
      </c>
      <c r="I46" s="2546">
        <f>+VLOOKUP(C46,[10]VCKD!D119:L205,9,0)</f>
        <v>0</v>
      </c>
      <c r="J46" s="2546">
        <f t="shared" si="0"/>
        <v>41.6</v>
      </c>
      <c r="K46" s="2546">
        <f t="shared" si="1"/>
        <v>0</v>
      </c>
      <c r="L46" s="2545" t="str">
        <f>+VLOOKUP(C46,[10]THKT!B102:Z188,25,0)</f>
        <v>A</v>
      </c>
      <c r="M46" s="3006">
        <f t="shared" si="2"/>
        <v>174739.136</v>
      </c>
      <c r="N46" s="2688">
        <v>0</v>
      </c>
      <c r="O46" s="2688">
        <v>0</v>
      </c>
      <c r="P46" s="2689">
        <v>0</v>
      </c>
      <c r="Q46" s="2546">
        <v>0</v>
      </c>
      <c r="R46" s="2546">
        <f t="shared" si="3"/>
        <v>174739.136</v>
      </c>
      <c r="S46" s="2546"/>
      <c r="T46" s="2546"/>
      <c r="U46" s="2546">
        <f t="shared" si="4"/>
        <v>174739.136</v>
      </c>
      <c r="V46" s="2546"/>
    </row>
    <row r="47" spans="1:22" ht="23.25">
      <c r="A47" s="2545">
        <v>32</v>
      </c>
      <c r="B47" s="2545"/>
      <c r="C47" s="2546" t="s">
        <v>1704</v>
      </c>
      <c r="D47" s="2546" t="str">
        <f>'[3]CNKT '!D49</f>
        <v>CNKT</v>
      </c>
      <c r="E47" s="2546"/>
      <c r="F47" s="2547">
        <f>+VLOOKUP(C47,[10]VCKD!D120:H206,5,0)</f>
        <v>0</v>
      </c>
      <c r="G47" s="2546">
        <f>+VLOOKUP(C47,[10]VCKD!D120:J206,7,0)</f>
        <v>0</v>
      </c>
      <c r="H47" s="2546">
        <f>+VLOOKUP(C47,'[10]Mủ CN (tam ung)'!C108:AK169,35,0)</f>
        <v>75</v>
      </c>
      <c r="I47" s="2546">
        <f>+VLOOKUP(C47,[10]VCKD!D120:L206,9,0)</f>
        <v>0</v>
      </c>
      <c r="J47" s="2546">
        <f t="shared" si="0"/>
        <v>30</v>
      </c>
      <c r="K47" s="2546">
        <f t="shared" si="1"/>
        <v>0</v>
      </c>
      <c r="L47" s="2545" t="str">
        <f>+VLOOKUP(C47,[10]THKT!B103:Z189,25,0)</f>
        <v>B</v>
      </c>
      <c r="M47" s="3006">
        <f t="shared" si="2"/>
        <v>119816.40000000001</v>
      </c>
      <c r="N47" s="2688">
        <v>0</v>
      </c>
      <c r="O47" s="2688">
        <v>0</v>
      </c>
      <c r="P47" s="2689">
        <v>0</v>
      </c>
      <c r="Q47" s="2546">
        <v>0</v>
      </c>
      <c r="R47" s="2546">
        <f t="shared" si="3"/>
        <v>119816.40000000001</v>
      </c>
      <c r="S47" s="2546"/>
      <c r="T47" s="2546"/>
      <c r="U47" s="2546">
        <f t="shared" si="4"/>
        <v>119816.40000000001</v>
      </c>
      <c r="V47" s="2546"/>
    </row>
    <row r="48" spans="1:22" ht="23.25">
      <c r="A48" s="2545">
        <v>33</v>
      </c>
      <c r="B48" s="2545" t="s">
        <v>1782</v>
      </c>
      <c r="C48" s="2546" t="s">
        <v>1504</v>
      </c>
      <c r="D48" s="2546" t="str">
        <f>'[3]CNKT '!D50</f>
        <v>CNKT</v>
      </c>
      <c r="E48" s="2546"/>
      <c r="F48" s="2547">
        <f>+VLOOKUP(C48,[10]VCKD!D121:H206,5,0)</f>
        <v>0</v>
      </c>
      <c r="G48" s="2546">
        <f>+VLOOKUP(C48,[10]VCKD!D121:J206,7,0)</f>
        <v>0</v>
      </c>
      <c r="H48" s="2546">
        <f>+VLOOKUP(C48,'[10]Mủ CN (tam ung)'!C109:AK170,35,0)</f>
        <v>103</v>
      </c>
      <c r="I48" s="2546">
        <f>+VLOOKUP(C48,[10]VCKD!D121:L206,9,0)</f>
        <v>0</v>
      </c>
      <c r="J48" s="2546">
        <f t="shared" si="0"/>
        <v>41.2</v>
      </c>
      <c r="K48" s="2546">
        <f t="shared" si="1"/>
        <v>0</v>
      </c>
      <c r="L48" s="2545" t="str">
        <f>+VLOOKUP(C48,[10]THKT!B104:Z190,25,0)</f>
        <v>A</v>
      </c>
      <c r="M48" s="3006">
        <f t="shared" si="2"/>
        <v>173058.95200000002</v>
      </c>
      <c r="N48" s="2688">
        <v>0</v>
      </c>
      <c r="O48" s="2688">
        <v>0</v>
      </c>
      <c r="P48" s="2689">
        <v>0</v>
      </c>
      <c r="Q48" s="2546">
        <v>0</v>
      </c>
      <c r="R48" s="2546">
        <f t="shared" si="3"/>
        <v>173058.95200000002</v>
      </c>
      <c r="S48" s="2546"/>
      <c r="T48" s="2546"/>
      <c r="U48" s="2546">
        <f t="shared" si="4"/>
        <v>173058.95200000002</v>
      </c>
      <c r="V48" s="2546"/>
    </row>
    <row r="49" spans="1:22" ht="23.25">
      <c r="A49" s="2545">
        <v>34</v>
      </c>
      <c r="B49" s="2545" t="s">
        <v>1783</v>
      </c>
      <c r="C49" s="2546" t="s">
        <v>1537</v>
      </c>
      <c r="D49" s="2546" t="str">
        <f>'[3]CNKT '!D51</f>
        <v>CNKT</v>
      </c>
      <c r="E49" s="2546"/>
      <c r="F49" s="2547">
        <f>+VLOOKUP(C49,[10]VCKD!D122:H208,5,0)</f>
        <v>0</v>
      </c>
      <c r="G49" s="2546">
        <f>+VLOOKUP(C49,[10]VCKD!D122:J208,7,0)</f>
        <v>0</v>
      </c>
      <c r="H49" s="2546">
        <f>+VLOOKUP(C49,'[10]Mủ CN (tam ung)'!C110:AK171,35,0)</f>
        <v>75</v>
      </c>
      <c r="I49" s="2546">
        <f>+VLOOKUP(C49,[10]VCKD!D122:L208,9,0)</f>
        <v>0</v>
      </c>
      <c r="J49" s="2546">
        <f t="shared" si="0"/>
        <v>30</v>
      </c>
      <c r="K49" s="2546">
        <f t="shared" si="1"/>
        <v>0</v>
      </c>
      <c r="L49" s="2545" t="str">
        <f>+VLOOKUP(C49,[10]THKT!B105:Z191,25,0)</f>
        <v>A</v>
      </c>
      <c r="M49" s="3006">
        <f t="shared" si="2"/>
        <v>126013.8</v>
      </c>
      <c r="N49" s="2688">
        <v>0</v>
      </c>
      <c r="O49" s="2688">
        <v>0</v>
      </c>
      <c r="P49" s="2689">
        <v>0</v>
      </c>
      <c r="Q49" s="2546">
        <v>0</v>
      </c>
      <c r="R49" s="2546">
        <f t="shared" si="3"/>
        <v>126013.8</v>
      </c>
      <c r="S49" s="2546"/>
      <c r="T49" s="2546"/>
      <c r="U49" s="2546">
        <f t="shared" si="4"/>
        <v>126013.8</v>
      </c>
      <c r="V49" s="2546"/>
    </row>
    <row r="50" spans="1:22" ht="23.25">
      <c r="A50" s="2545">
        <v>35</v>
      </c>
      <c r="B50" s="2545" t="s">
        <v>1784</v>
      </c>
      <c r="C50" s="2546" t="s">
        <v>1501</v>
      </c>
      <c r="D50" s="2546" t="str">
        <f>'[3]CNKT '!D52</f>
        <v>CNKT</v>
      </c>
      <c r="E50" s="2546"/>
      <c r="F50" s="2547">
        <f>+VLOOKUP(C50,[10]VCKD!D123:H209,5,0)</f>
        <v>0</v>
      </c>
      <c r="G50" s="2546">
        <f>+VLOOKUP(C50,[10]VCKD!D123:J209,7,0)</f>
        <v>0</v>
      </c>
      <c r="H50" s="2546">
        <f>+VLOOKUP(C50,'[10]Mủ CN (tam ung)'!C111:AK172,35,0)</f>
        <v>75</v>
      </c>
      <c r="I50" s="2546">
        <f>+VLOOKUP(C50,[10]VCKD!D123:L209,9,0)</f>
        <v>0</v>
      </c>
      <c r="J50" s="2546">
        <f t="shared" si="0"/>
        <v>30</v>
      </c>
      <c r="K50" s="2546">
        <f t="shared" si="1"/>
        <v>0</v>
      </c>
      <c r="L50" s="2545" t="str">
        <f>+VLOOKUP(C50,[10]THKT!B106:Z192,25,0)</f>
        <v>A</v>
      </c>
      <c r="M50" s="3006">
        <f t="shared" si="2"/>
        <v>126013.8</v>
      </c>
      <c r="N50" s="2688">
        <v>0</v>
      </c>
      <c r="O50" s="2688">
        <v>0</v>
      </c>
      <c r="P50" s="2689">
        <v>0</v>
      </c>
      <c r="Q50" s="2546">
        <v>0</v>
      </c>
      <c r="R50" s="2546">
        <f t="shared" si="3"/>
        <v>126013.8</v>
      </c>
      <c r="S50" s="2546"/>
      <c r="T50" s="2546"/>
      <c r="U50" s="2546">
        <f t="shared" si="4"/>
        <v>126013.8</v>
      </c>
      <c r="V50" s="2546"/>
    </row>
    <row r="51" spans="1:22" ht="23.25">
      <c r="A51" s="2545">
        <v>36</v>
      </c>
      <c r="B51" s="2545" t="s">
        <v>1785</v>
      </c>
      <c r="C51" s="2546" t="s">
        <v>1502</v>
      </c>
      <c r="D51" s="2546" t="str">
        <f>'[3]CNKT '!D53</f>
        <v>CNKT</v>
      </c>
      <c r="E51" s="2546"/>
      <c r="F51" s="2547">
        <f>+VLOOKUP(C51,[10]VCKD!D124:H210,5,0)</f>
        <v>0</v>
      </c>
      <c r="G51" s="2546">
        <f>+VLOOKUP(C51,[10]VCKD!D124:J210,7,0)</f>
        <v>0</v>
      </c>
      <c r="H51" s="2546">
        <f>+VLOOKUP(C51,'[10]Mủ CN (tam ung)'!C112:AK173,35,0)</f>
        <v>46</v>
      </c>
      <c r="I51" s="2546">
        <f>+VLOOKUP(C51,[10]VCKD!D124:L210,9,0)</f>
        <v>0</v>
      </c>
      <c r="J51" s="2546">
        <f t="shared" si="0"/>
        <v>18.400000000000002</v>
      </c>
      <c r="K51" s="2546">
        <f t="shared" si="1"/>
        <v>0</v>
      </c>
      <c r="L51" s="2545" t="str">
        <f>+VLOOKUP(C51,[10]THKT!B107:Z193,25,0)</f>
        <v>A</v>
      </c>
      <c r="M51" s="3006">
        <f t="shared" si="2"/>
        <v>77288.464000000007</v>
      </c>
      <c r="N51" s="2688">
        <v>0</v>
      </c>
      <c r="O51" s="2688">
        <v>0</v>
      </c>
      <c r="P51" s="2689">
        <v>0</v>
      </c>
      <c r="Q51" s="2546">
        <v>0</v>
      </c>
      <c r="R51" s="2546">
        <f t="shared" si="3"/>
        <v>77288.464000000007</v>
      </c>
      <c r="S51" s="2546"/>
      <c r="T51" s="2546"/>
      <c r="U51" s="2546">
        <f t="shared" si="4"/>
        <v>77288.464000000007</v>
      </c>
      <c r="V51" s="2546"/>
    </row>
    <row r="52" spans="1:22" ht="23.25">
      <c r="A52" s="2545">
        <v>37</v>
      </c>
      <c r="B52" s="2545" t="s">
        <v>1786</v>
      </c>
      <c r="C52" s="2546" t="s">
        <v>1705</v>
      </c>
      <c r="D52" s="2546" t="str">
        <f>'[3]CNKT '!D54</f>
        <v>CNKT</v>
      </c>
      <c r="E52" s="2546"/>
      <c r="F52" s="2547">
        <f>+VLOOKUP(C52,[10]VCKD!D125:H211,5,0)</f>
        <v>0</v>
      </c>
      <c r="G52" s="2546">
        <f>+VLOOKUP(C52,[10]VCKD!D125:J211,7,0)</f>
        <v>0</v>
      </c>
      <c r="H52" s="2546">
        <f>+VLOOKUP(C52,'[10]Mủ CN (tam ung)'!C113:AK174,35,0)</f>
        <v>61</v>
      </c>
      <c r="I52" s="2546">
        <f>+VLOOKUP(C52,[10]VCKD!D125:L211,9,0)</f>
        <v>0</v>
      </c>
      <c r="J52" s="2546">
        <f t="shared" si="0"/>
        <v>24.400000000000002</v>
      </c>
      <c r="K52" s="2546">
        <f t="shared" si="1"/>
        <v>0</v>
      </c>
      <c r="L52" s="2545" t="str">
        <f>+VLOOKUP(C52,[10]THKT!B108:Z194,25,0)</f>
        <v>A</v>
      </c>
      <c r="M52" s="3006">
        <f t="shared" si="2"/>
        <v>102491.22400000002</v>
      </c>
      <c r="N52" s="2688">
        <v>0</v>
      </c>
      <c r="O52" s="2688">
        <v>0</v>
      </c>
      <c r="P52" s="2689">
        <v>0</v>
      </c>
      <c r="Q52" s="2546">
        <v>0</v>
      </c>
      <c r="R52" s="2546">
        <f t="shared" si="3"/>
        <v>102491.22400000002</v>
      </c>
      <c r="S52" s="2546"/>
      <c r="T52" s="2546"/>
      <c r="U52" s="2546">
        <f t="shared" si="4"/>
        <v>102491.22400000002</v>
      </c>
      <c r="V52" s="2546"/>
    </row>
    <row r="53" spans="1:22" ht="23.25">
      <c r="A53" s="2545">
        <v>38</v>
      </c>
      <c r="B53" s="2545"/>
      <c r="C53" s="2546" t="s">
        <v>1706</v>
      </c>
      <c r="D53" s="2546" t="str">
        <f>'[3]CNKT '!D55</f>
        <v>CNKT</v>
      </c>
      <c r="E53" s="2546"/>
      <c r="F53" s="2547">
        <f>+VLOOKUP(C53,[10]VCKD!D126:H212,5,0)</f>
        <v>0</v>
      </c>
      <c r="G53" s="2546">
        <f>+VLOOKUP(C53,[10]VCKD!D126:J212,7,0)</f>
        <v>0</v>
      </c>
      <c r="H53" s="2546">
        <f>+VLOOKUP(C53,'[10]Mủ CN (tam ung)'!C114:AK175,35,0)</f>
        <v>60</v>
      </c>
      <c r="I53" s="2546">
        <f>+VLOOKUP(C53,[10]VCKD!D126:L212,9,0)</f>
        <v>0</v>
      </c>
      <c r="J53" s="2546">
        <f t="shared" si="0"/>
        <v>24</v>
      </c>
      <c r="K53" s="2546">
        <f t="shared" si="1"/>
        <v>0</v>
      </c>
      <c r="L53" s="2545" t="str">
        <f>+VLOOKUP(C53,[10]THKT!B109:Z195,25,0)</f>
        <v>A</v>
      </c>
      <c r="M53" s="3006">
        <f t="shared" si="2"/>
        <v>100811.04000000001</v>
      </c>
      <c r="N53" s="2688">
        <v>0</v>
      </c>
      <c r="O53" s="2688">
        <v>0</v>
      </c>
      <c r="P53" s="2689">
        <v>0</v>
      </c>
      <c r="Q53" s="2546">
        <v>0</v>
      </c>
      <c r="R53" s="2546">
        <f t="shared" si="3"/>
        <v>100811.04000000001</v>
      </c>
      <c r="S53" s="2546"/>
      <c r="T53" s="2546"/>
      <c r="U53" s="2546">
        <f t="shared" si="4"/>
        <v>100811.04000000001</v>
      </c>
      <c r="V53" s="2546"/>
    </row>
    <row r="54" spans="1:22" ht="23.25">
      <c r="A54" s="2545">
        <v>39</v>
      </c>
      <c r="B54" s="2545" t="s">
        <v>1787</v>
      </c>
      <c r="C54" s="2546" t="s">
        <v>1707</v>
      </c>
      <c r="D54" s="2546" t="str">
        <f>'[3]CNKT '!D56</f>
        <v>CNKT</v>
      </c>
      <c r="E54" s="2546"/>
      <c r="F54" s="2547">
        <f>+VLOOKUP(C54,[10]VCKD!D127:H213,5,0)</f>
        <v>0</v>
      </c>
      <c r="G54" s="2546">
        <f>+VLOOKUP(C54,[10]VCKD!D127:J213,7,0)</f>
        <v>0</v>
      </c>
      <c r="H54" s="2546">
        <f>+VLOOKUP(C54,'[10]Mủ CN (tam ung)'!C115:AK176,35,0)</f>
        <v>58</v>
      </c>
      <c r="I54" s="2546">
        <f>+VLOOKUP(C54,[10]VCKD!D127:L213,9,0)</f>
        <v>0</v>
      </c>
      <c r="J54" s="2546">
        <f t="shared" si="0"/>
        <v>23.200000000000003</v>
      </c>
      <c r="K54" s="2546">
        <f t="shared" si="1"/>
        <v>0</v>
      </c>
      <c r="L54" s="2545" t="str">
        <f>+VLOOKUP(C54,[10]THKT!B110:Z196,25,0)</f>
        <v>A</v>
      </c>
      <c r="M54" s="3006">
        <f t="shared" si="2"/>
        <v>97450.672000000006</v>
      </c>
      <c r="N54" s="2688">
        <v>0</v>
      </c>
      <c r="O54" s="2688">
        <v>0</v>
      </c>
      <c r="P54" s="2689">
        <v>0</v>
      </c>
      <c r="Q54" s="2546">
        <v>0</v>
      </c>
      <c r="R54" s="2546">
        <f t="shared" si="3"/>
        <v>97450.672000000006</v>
      </c>
      <c r="S54" s="2546"/>
      <c r="T54" s="2546"/>
      <c r="U54" s="2546">
        <f t="shared" si="4"/>
        <v>97450.672000000006</v>
      </c>
      <c r="V54" s="2546"/>
    </row>
    <row r="55" spans="1:22" ht="23.25">
      <c r="A55" s="2545">
        <v>40</v>
      </c>
      <c r="B55" s="2545" t="s">
        <v>1788</v>
      </c>
      <c r="C55" s="2546" t="s">
        <v>1708</v>
      </c>
      <c r="D55" s="2546" t="str">
        <f>'[3]CNKT '!D57</f>
        <v>CNKT</v>
      </c>
      <c r="E55" s="2546"/>
      <c r="F55" s="2547">
        <f>+VLOOKUP(C55,[10]VCKD!D128:H214,5,0)</f>
        <v>0</v>
      </c>
      <c r="G55" s="2546">
        <f>+VLOOKUP(C55,[10]VCKD!D128:J214,7,0)</f>
        <v>0</v>
      </c>
      <c r="H55" s="2546">
        <f>+VLOOKUP(C55,'[10]Mủ CN (tam ung)'!C116:AK177,35,0)</f>
        <v>49</v>
      </c>
      <c r="I55" s="2546">
        <f>+VLOOKUP(C55,[10]VCKD!D128:L214,9,0)</f>
        <v>0</v>
      </c>
      <c r="J55" s="2546">
        <f t="shared" si="0"/>
        <v>19.600000000000001</v>
      </c>
      <c r="K55" s="2546">
        <f t="shared" si="1"/>
        <v>0</v>
      </c>
      <c r="L55" s="2545" t="str">
        <f>+VLOOKUP(C55,[10]THKT!B111:Z197,25,0)</f>
        <v>B</v>
      </c>
      <c r="M55" s="3006">
        <f t="shared" si="2"/>
        <v>78280.04800000001</v>
      </c>
      <c r="N55" s="2688">
        <v>0</v>
      </c>
      <c r="O55" s="2688">
        <v>0</v>
      </c>
      <c r="P55" s="2689">
        <v>0</v>
      </c>
      <c r="Q55" s="2546">
        <v>0</v>
      </c>
      <c r="R55" s="2546">
        <f t="shared" si="3"/>
        <v>78280.04800000001</v>
      </c>
      <c r="S55" s="2546"/>
      <c r="T55" s="2546"/>
      <c r="U55" s="2546">
        <f t="shared" si="4"/>
        <v>78280.04800000001</v>
      </c>
      <c r="V55" s="2546"/>
    </row>
    <row r="56" spans="1:22" ht="23.25">
      <c r="A56" s="2545">
        <v>41</v>
      </c>
      <c r="B56" s="2545" t="s">
        <v>1789</v>
      </c>
      <c r="C56" s="2546" t="s">
        <v>1505</v>
      </c>
      <c r="D56" s="2546" t="str">
        <f>'[3]CNKT '!D58</f>
        <v>CNKT</v>
      </c>
      <c r="E56" s="2546"/>
      <c r="F56" s="2547">
        <f>+VLOOKUP(C56,[10]VCKD!D129:H215,5,0)</f>
        <v>0</v>
      </c>
      <c r="G56" s="2546">
        <f>+VLOOKUP(C56,[10]VCKD!D129:J215,7,0)</f>
        <v>0</v>
      </c>
      <c r="H56" s="2546">
        <f>+VLOOKUP(C56,'[10]Mủ CN (tam ung)'!C117:AK178,35,0)</f>
        <v>97</v>
      </c>
      <c r="I56" s="2546">
        <f>+VLOOKUP(C56,[10]VCKD!D129:L215,9,0)</f>
        <v>0</v>
      </c>
      <c r="J56" s="2546">
        <f t="shared" si="0"/>
        <v>38.800000000000004</v>
      </c>
      <c r="K56" s="2546">
        <f t="shared" si="1"/>
        <v>0</v>
      </c>
      <c r="L56" s="2545" t="str">
        <f>+VLOOKUP(C56,[10]THKT!B112:Z198,25,0)</f>
        <v>A</v>
      </c>
      <c r="M56" s="3006">
        <f t="shared" si="2"/>
        <v>162977.84800000003</v>
      </c>
      <c r="N56" s="2688">
        <v>0</v>
      </c>
      <c r="O56" s="2688">
        <v>0</v>
      </c>
      <c r="P56" s="2689">
        <v>0</v>
      </c>
      <c r="Q56" s="2546">
        <v>0</v>
      </c>
      <c r="R56" s="2546">
        <f t="shared" si="3"/>
        <v>162977.84800000003</v>
      </c>
      <c r="S56" s="2546"/>
      <c r="T56" s="2546"/>
      <c r="U56" s="2546">
        <f t="shared" si="4"/>
        <v>162977.84800000003</v>
      </c>
      <c r="V56" s="2546"/>
    </row>
    <row r="57" spans="1:22" ht="23.25">
      <c r="A57" s="2545">
        <v>42</v>
      </c>
      <c r="B57" s="2545" t="s">
        <v>1790</v>
      </c>
      <c r="C57" s="2546" t="s">
        <v>1075</v>
      </c>
      <c r="D57" s="2546" t="str">
        <f>'[3]CNKT '!D59</f>
        <v>CNKT</v>
      </c>
      <c r="E57" s="2546"/>
      <c r="F57" s="2547">
        <f>+VLOOKUP(C57,[10]VCKD!D130:H216,5,0)</f>
        <v>0</v>
      </c>
      <c r="G57" s="2546">
        <f>+VLOOKUP(C57,[10]VCKD!D130:J216,7,0)</f>
        <v>0</v>
      </c>
      <c r="H57" s="2546">
        <f>+VLOOKUP(C57,'[10]Mủ CN (tam ung)'!C118:AK179,35,0)</f>
        <v>107</v>
      </c>
      <c r="I57" s="2546">
        <f>+VLOOKUP(C57,[10]VCKD!D130:L216,9,0)</f>
        <v>0</v>
      </c>
      <c r="J57" s="2546">
        <f t="shared" si="0"/>
        <v>42.800000000000004</v>
      </c>
      <c r="K57" s="2546">
        <f t="shared" si="1"/>
        <v>0</v>
      </c>
      <c r="L57" s="2545" t="str">
        <f>+VLOOKUP(C57,[10]THKT!B113:Z199,25,0)</f>
        <v>A</v>
      </c>
      <c r="M57" s="3006">
        <f t="shared" si="2"/>
        <v>179779.68800000002</v>
      </c>
      <c r="N57" s="2688">
        <v>0</v>
      </c>
      <c r="O57" s="2688">
        <v>0</v>
      </c>
      <c r="P57" s="2689">
        <v>0</v>
      </c>
      <c r="Q57" s="2546">
        <v>0</v>
      </c>
      <c r="R57" s="2546">
        <f t="shared" si="3"/>
        <v>179779.68800000002</v>
      </c>
      <c r="S57" s="2546"/>
      <c r="T57" s="2546"/>
      <c r="U57" s="2546">
        <f t="shared" si="4"/>
        <v>179779.68800000002</v>
      </c>
      <c r="V57" s="2546"/>
    </row>
    <row r="58" spans="1:22" ht="23.25">
      <c r="A58" s="2545">
        <v>43</v>
      </c>
      <c r="B58" s="2545" t="s">
        <v>1791</v>
      </c>
      <c r="C58" s="2546" t="s">
        <v>1506</v>
      </c>
      <c r="D58" s="2546" t="str">
        <f>'[3]CNKT '!D60</f>
        <v>CNKT</v>
      </c>
      <c r="E58" s="2546"/>
      <c r="F58" s="2547">
        <f>+VLOOKUP(C58,[10]VCKD!D131:H217,5,0)</f>
        <v>0</v>
      </c>
      <c r="G58" s="2546">
        <f>+VLOOKUP(C58,[10]VCKD!D131:J217,7,0)</f>
        <v>0</v>
      </c>
      <c r="H58" s="2546">
        <f>+VLOOKUP(C58,'[10]Mủ CN (tam ung)'!C119:AK180,35,0)</f>
        <v>113</v>
      </c>
      <c r="I58" s="2546">
        <f>+VLOOKUP(C58,[10]VCKD!D131:L217,9,0)</f>
        <v>0</v>
      </c>
      <c r="J58" s="2546">
        <f t="shared" si="0"/>
        <v>45.2</v>
      </c>
      <c r="K58" s="2546">
        <f t="shared" si="1"/>
        <v>0</v>
      </c>
      <c r="L58" s="2545" t="str">
        <f>+VLOOKUP(C58,[10]THKT!B114:Z200,25,0)</f>
        <v>A</v>
      </c>
      <c r="M58" s="3006">
        <f t="shared" si="2"/>
        <v>189860.79200000002</v>
      </c>
      <c r="N58" s="2688">
        <v>0</v>
      </c>
      <c r="O58" s="2688">
        <v>0</v>
      </c>
      <c r="P58" s="2689">
        <v>0</v>
      </c>
      <c r="Q58" s="2546">
        <v>0</v>
      </c>
      <c r="R58" s="2546">
        <f t="shared" si="3"/>
        <v>189860.79200000002</v>
      </c>
      <c r="S58" s="2546"/>
      <c r="T58" s="2546"/>
      <c r="U58" s="2546">
        <f t="shared" si="4"/>
        <v>189860.79200000002</v>
      </c>
      <c r="V58" s="2546"/>
    </row>
    <row r="59" spans="1:22" ht="23.25">
      <c r="A59" s="2545">
        <v>44</v>
      </c>
      <c r="B59" s="2545" t="s">
        <v>1792</v>
      </c>
      <c r="C59" s="2546" t="s">
        <v>1622</v>
      </c>
      <c r="D59" s="2546" t="str">
        <f>'[3]CNKT '!D61</f>
        <v>CNKT</v>
      </c>
      <c r="E59" s="2546"/>
      <c r="F59" s="2547">
        <f>+VLOOKUP(C59,[10]VCKD!D132:H218,5,0)</f>
        <v>0</v>
      </c>
      <c r="G59" s="2546">
        <f>+VLOOKUP(C59,[10]VCKD!D132:J218,7,0)</f>
        <v>0</v>
      </c>
      <c r="H59" s="2546">
        <f>+VLOOKUP(C59,'[10]Mủ CN (tam ung)'!C120:AK181,35,0)</f>
        <v>57</v>
      </c>
      <c r="I59" s="2546">
        <f>+VLOOKUP(C59,[10]VCKD!D132:L218,9,0)</f>
        <v>0</v>
      </c>
      <c r="J59" s="2546">
        <f t="shared" si="0"/>
        <v>22.8</v>
      </c>
      <c r="K59" s="2546">
        <f t="shared" si="1"/>
        <v>0</v>
      </c>
      <c r="L59" s="2545" t="str">
        <f>+VLOOKUP(C59,[10]THKT!B115:Z201,25,0)</f>
        <v>A</v>
      </c>
      <c r="M59" s="3006">
        <f t="shared" si="2"/>
        <v>95770.487999999998</v>
      </c>
      <c r="N59" s="2688">
        <v>0</v>
      </c>
      <c r="O59" s="2688">
        <v>0</v>
      </c>
      <c r="P59" s="2689">
        <v>0</v>
      </c>
      <c r="Q59" s="2546">
        <v>0</v>
      </c>
      <c r="R59" s="2546">
        <f t="shared" si="3"/>
        <v>95770.487999999998</v>
      </c>
      <c r="S59" s="2546"/>
      <c r="T59" s="2546"/>
      <c r="U59" s="2546">
        <f t="shared" si="4"/>
        <v>95770.487999999998</v>
      </c>
      <c r="V59" s="2546"/>
    </row>
    <row r="60" spans="1:22" ht="23.25">
      <c r="A60" s="2545">
        <v>45</v>
      </c>
      <c r="B60" s="2545" t="s">
        <v>1793</v>
      </c>
      <c r="C60" s="2546" t="s">
        <v>1507</v>
      </c>
      <c r="D60" s="2546" t="str">
        <f>'[3]CNKT '!D62</f>
        <v>CNKT</v>
      </c>
      <c r="E60" s="2546"/>
      <c r="F60" s="2547">
        <f>+VLOOKUP(C60,[10]VCKD!D133:H219,5,0)</f>
        <v>0</v>
      </c>
      <c r="G60" s="2546">
        <f>+VLOOKUP(C60,[10]VCKD!D133:J219,7,0)</f>
        <v>0</v>
      </c>
      <c r="H60" s="2546">
        <f>+VLOOKUP(C60,'[10]Mủ CN (tam ung)'!C121:AK182,35,0)</f>
        <v>86</v>
      </c>
      <c r="I60" s="2546">
        <f>+VLOOKUP(C60,[10]VCKD!D133:L219,9,0)</f>
        <v>0</v>
      </c>
      <c r="J60" s="2546">
        <f t="shared" si="0"/>
        <v>34.4</v>
      </c>
      <c r="K60" s="2546">
        <f t="shared" si="1"/>
        <v>0</v>
      </c>
      <c r="L60" s="2545" t="str">
        <f>+VLOOKUP(C60,[10]THKT!B116:Z202,25,0)</f>
        <v>A</v>
      </c>
      <c r="M60" s="3006">
        <f t="shared" si="2"/>
        <v>144495.82399999999</v>
      </c>
      <c r="N60" s="2688">
        <v>0</v>
      </c>
      <c r="O60" s="2688">
        <v>0</v>
      </c>
      <c r="P60" s="2689">
        <v>0</v>
      </c>
      <c r="Q60" s="2546">
        <v>0</v>
      </c>
      <c r="R60" s="2546">
        <f t="shared" si="3"/>
        <v>144495.82399999999</v>
      </c>
      <c r="S60" s="2546"/>
      <c r="T60" s="2546"/>
      <c r="U60" s="2546">
        <f t="shared" si="4"/>
        <v>144495.82399999999</v>
      </c>
      <c r="V60" s="2546"/>
    </row>
    <row r="61" spans="1:22" ht="23.25">
      <c r="A61" s="2545">
        <v>46</v>
      </c>
      <c r="B61" s="2545" t="s">
        <v>1794</v>
      </c>
      <c r="C61" s="2546" t="s">
        <v>1538</v>
      </c>
      <c r="D61" s="2546" t="str">
        <f>'[3]CNKT '!D63</f>
        <v>CNKT</v>
      </c>
      <c r="E61" s="2546"/>
      <c r="F61" s="2547">
        <f>+VLOOKUP(C61,[10]VCKD!D134:H220,5,0)</f>
        <v>0</v>
      </c>
      <c r="G61" s="2546">
        <f>+VLOOKUP(C61,[10]VCKD!D134:J220,7,0)</f>
        <v>0</v>
      </c>
      <c r="H61" s="2546">
        <f>+VLOOKUP(C61,'[10]Mủ CN (tam ung)'!C122:AK183,35,0)</f>
        <v>237</v>
      </c>
      <c r="I61" s="2546">
        <f>+VLOOKUP(C61,[10]VCKD!D134:L220,9,0)</f>
        <v>0</v>
      </c>
      <c r="J61" s="2546">
        <f t="shared" si="0"/>
        <v>94.800000000000011</v>
      </c>
      <c r="K61" s="2546">
        <f t="shared" si="1"/>
        <v>0</v>
      </c>
      <c r="L61" s="2545" t="str">
        <f>+VLOOKUP(C61,[10]THKT!B117:Z203,25,0)</f>
        <v>A</v>
      </c>
      <c r="M61" s="3006">
        <f t="shared" si="2"/>
        <v>398203.60800000007</v>
      </c>
      <c r="N61" s="2688">
        <v>0</v>
      </c>
      <c r="O61" s="2688">
        <v>0</v>
      </c>
      <c r="P61" s="2689">
        <v>0</v>
      </c>
      <c r="Q61" s="2546">
        <v>0</v>
      </c>
      <c r="R61" s="2546">
        <f t="shared" si="3"/>
        <v>398203.60800000007</v>
      </c>
      <c r="S61" s="2546"/>
      <c r="T61" s="2546"/>
      <c r="U61" s="2546">
        <f t="shared" si="4"/>
        <v>398203.60800000007</v>
      </c>
      <c r="V61" s="2546"/>
    </row>
    <row r="62" spans="1:22" ht="23.25">
      <c r="A62" s="2545">
        <v>47</v>
      </c>
      <c r="B62" s="2545" t="s">
        <v>1795</v>
      </c>
      <c r="C62" s="2546" t="s">
        <v>1539</v>
      </c>
      <c r="D62" s="2546" t="str">
        <f>'[3]CNKT '!D64</f>
        <v>CNKT</v>
      </c>
      <c r="E62" s="2546"/>
      <c r="F62" s="2547">
        <f>+VLOOKUP(C62,[10]VCKD!D135:H221,5,0)</f>
        <v>0</v>
      </c>
      <c r="G62" s="2546">
        <f>+VLOOKUP(C62,[10]VCKD!D135:J221,7,0)</f>
        <v>0</v>
      </c>
      <c r="H62" s="2546">
        <f>+VLOOKUP(C62,'[10]Mủ CN (tam ung)'!C123:AK184,35,0)</f>
        <v>237</v>
      </c>
      <c r="I62" s="2546">
        <f>+VLOOKUP(C62,[10]VCKD!D135:L221,9,0)</f>
        <v>0</v>
      </c>
      <c r="J62" s="2546">
        <f t="shared" si="0"/>
        <v>94.800000000000011</v>
      </c>
      <c r="K62" s="2546">
        <f t="shared" si="1"/>
        <v>0</v>
      </c>
      <c r="L62" s="2545" t="str">
        <f>+VLOOKUP(C62,[10]THKT!B118:Z204,25,0)</f>
        <v>A</v>
      </c>
      <c r="M62" s="3006">
        <f t="shared" si="2"/>
        <v>398203.60800000007</v>
      </c>
      <c r="N62" s="2688">
        <v>0</v>
      </c>
      <c r="O62" s="2688">
        <v>0</v>
      </c>
      <c r="P62" s="2689">
        <v>0</v>
      </c>
      <c r="Q62" s="2546">
        <v>0</v>
      </c>
      <c r="R62" s="2546">
        <f t="shared" si="3"/>
        <v>398203.60800000007</v>
      </c>
      <c r="S62" s="2546"/>
      <c r="T62" s="2546"/>
      <c r="U62" s="2546">
        <f t="shared" si="4"/>
        <v>398203.60800000007</v>
      </c>
      <c r="V62" s="2546"/>
    </row>
    <row r="63" spans="1:22" ht="23.25">
      <c r="A63" s="2545">
        <v>48</v>
      </c>
      <c r="B63" s="2545" t="s">
        <v>1796</v>
      </c>
      <c r="C63" s="2546" t="s">
        <v>1508</v>
      </c>
      <c r="D63" s="2546" t="str">
        <f>'[3]CNKT '!D65</f>
        <v>CNKT</v>
      </c>
      <c r="E63" s="2546"/>
      <c r="F63" s="2547">
        <f>+VLOOKUP(C63,[10]VCKD!D136:H222,5,0)</f>
        <v>0</v>
      </c>
      <c r="G63" s="2546">
        <f>+VLOOKUP(C63,[10]VCKD!D136:J222,7,0)</f>
        <v>0</v>
      </c>
      <c r="H63" s="2546">
        <f>+VLOOKUP(C63,'[10]Mủ CN (tam ung)'!C124:AK185,35,0)</f>
        <v>91</v>
      </c>
      <c r="I63" s="2546">
        <f>+VLOOKUP(C63,[10]VCKD!D136:L222,9,0)</f>
        <v>0</v>
      </c>
      <c r="J63" s="2546">
        <f t="shared" si="0"/>
        <v>36.4</v>
      </c>
      <c r="K63" s="2546">
        <f t="shared" si="1"/>
        <v>0</v>
      </c>
      <c r="L63" s="2545" t="str">
        <f>+VLOOKUP(C63,[10]THKT!B119:Z205,25,0)</f>
        <v>A</v>
      </c>
      <c r="M63" s="3006">
        <f t="shared" si="2"/>
        <v>152896.74400000001</v>
      </c>
      <c r="N63" s="2688">
        <v>0</v>
      </c>
      <c r="O63" s="2688">
        <v>0</v>
      </c>
      <c r="P63" s="2689">
        <v>0</v>
      </c>
      <c r="Q63" s="2546">
        <v>0</v>
      </c>
      <c r="R63" s="2546">
        <f t="shared" si="3"/>
        <v>152896.74400000001</v>
      </c>
      <c r="S63" s="2546"/>
      <c r="T63" s="2546"/>
      <c r="U63" s="2546">
        <f t="shared" si="4"/>
        <v>152896.74400000001</v>
      </c>
      <c r="V63" s="2546"/>
    </row>
    <row r="64" spans="1:22" ht="23.25">
      <c r="A64" s="2545">
        <v>49</v>
      </c>
      <c r="B64" s="2545" t="s">
        <v>1797</v>
      </c>
      <c r="C64" s="2546" t="s">
        <v>1540</v>
      </c>
      <c r="D64" s="2546" t="str">
        <f>'[3]CNKT '!D66</f>
        <v>CNKT</v>
      </c>
      <c r="E64" s="2546"/>
      <c r="F64" s="2547">
        <f>+VLOOKUP(C64,[10]VCKD!D137:H223,5,0)</f>
        <v>0</v>
      </c>
      <c r="G64" s="2546">
        <f>+VLOOKUP(C64,[10]VCKD!D137:J223,7,0)</f>
        <v>0</v>
      </c>
      <c r="H64" s="2546">
        <f>+VLOOKUP(C64,'[10]Mủ CN (tam ung)'!C125:AK186,35,0)</f>
        <v>81</v>
      </c>
      <c r="I64" s="2546">
        <f>+VLOOKUP(C64,[10]VCKD!D137:L223,9,0)</f>
        <v>0</v>
      </c>
      <c r="J64" s="2546">
        <f t="shared" si="0"/>
        <v>32.4</v>
      </c>
      <c r="K64" s="2546">
        <f t="shared" si="1"/>
        <v>0</v>
      </c>
      <c r="L64" s="2545" t="str">
        <f>+VLOOKUP(C64,[10]THKT!B120:Z206,25,0)</f>
        <v>A</v>
      </c>
      <c r="M64" s="3006">
        <f t="shared" si="2"/>
        <v>136094.90400000001</v>
      </c>
      <c r="N64" s="2688">
        <v>0</v>
      </c>
      <c r="O64" s="2688">
        <v>0</v>
      </c>
      <c r="P64" s="2689">
        <v>0</v>
      </c>
      <c r="Q64" s="2546">
        <v>0</v>
      </c>
      <c r="R64" s="2546">
        <f t="shared" si="3"/>
        <v>136094.90400000001</v>
      </c>
      <c r="S64" s="2546"/>
      <c r="T64" s="2546"/>
      <c r="U64" s="2546">
        <f t="shared" si="4"/>
        <v>136094.90400000001</v>
      </c>
      <c r="V64" s="2546"/>
    </row>
    <row r="65" spans="1:22" ht="23.25">
      <c r="A65" s="2545">
        <v>50</v>
      </c>
      <c r="B65" s="2545" t="s">
        <v>1798</v>
      </c>
      <c r="C65" s="2546" t="s">
        <v>1709</v>
      </c>
      <c r="D65" s="2546" t="str">
        <f>'[3]CNKT '!D67</f>
        <v>CNKT</v>
      </c>
      <c r="E65" s="2546"/>
      <c r="F65" s="2547">
        <f>+VLOOKUP(C65,[10]VCKD!D138:H224,5,0)</f>
        <v>0</v>
      </c>
      <c r="G65" s="2546">
        <f>+VLOOKUP(C65,[10]VCKD!D138:J224,7,0)</f>
        <v>0</v>
      </c>
      <c r="H65" s="2546">
        <f>+VLOOKUP(C65,'[10]Mủ CN (tam ung)'!C126:AK187,35,0)</f>
        <v>82</v>
      </c>
      <c r="I65" s="2546">
        <f>+VLOOKUP(C65,[10]VCKD!D138:L224,9,0)</f>
        <v>0</v>
      </c>
      <c r="J65" s="2546">
        <f t="shared" si="0"/>
        <v>32.800000000000004</v>
      </c>
      <c r="K65" s="2546">
        <f t="shared" si="1"/>
        <v>0</v>
      </c>
      <c r="L65" s="2545" t="str">
        <f>+VLOOKUP(C65,[10]THKT!B121:Z207,25,0)</f>
        <v>A</v>
      </c>
      <c r="M65" s="3006">
        <f t="shared" si="2"/>
        <v>137775.08800000002</v>
      </c>
      <c r="N65" s="2688">
        <v>0</v>
      </c>
      <c r="O65" s="2688">
        <v>0</v>
      </c>
      <c r="P65" s="2689">
        <v>0</v>
      </c>
      <c r="Q65" s="2546">
        <v>0</v>
      </c>
      <c r="R65" s="2546">
        <f t="shared" si="3"/>
        <v>137775.08800000002</v>
      </c>
      <c r="S65" s="2546"/>
      <c r="T65" s="2546"/>
      <c r="U65" s="2546">
        <f t="shared" si="4"/>
        <v>137775.08800000002</v>
      </c>
      <c r="V65" s="2546"/>
    </row>
    <row r="66" spans="1:22" ht="23.25">
      <c r="A66" s="2545">
        <v>51</v>
      </c>
      <c r="B66" s="2545" t="s">
        <v>1799</v>
      </c>
      <c r="C66" s="2546" t="s">
        <v>1710</v>
      </c>
      <c r="D66" s="2546" t="str">
        <f>'[3]CNKT '!D44</f>
        <v>CNKT</v>
      </c>
      <c r="E66" s="2546"/>
      <c r="F66" s="2547">
        <f>+VLOOKUP(C66,[10]VCKD!D139:H225,5,0)</f>
        <v>0</v>
      </c>
      <c r="G66" s="2546">
        <f>+VLOOKUP(C66,[10]VCKD!D139:J225,7,0)</f>
        <v>0</v>
      </c>
      <c r="H66" s="2546">
        <f>+VLOOKUP(C66,'[10]Mủ CN (tam ung)'!C127:AK188,35,0)</f>
        <v>57</v>
      </c>
      <c r="I66" s="2546">
        <f>+VLOOKUP(C66,[10]VCKD!D139:L225,9,0)</f>
        <v>0</v>
      </c>
      <c r="J66" s="2546">
        <f t="shared" si="0"/>
        <v>22.8</v>
      </c>
      <c r="K66" s="2546">
        <f t="shared" si="1"/>
        <v>0</v>
      </c>
      <c r="L66" s="2545" t="str">
        <f>+VLOOKUP(C66,[10]THKT!B122:Z208,25,0)</f>
        <v>B</v>
      </c>
      <c r="M66" s="3006">
        <f t="shared" si="2"/>
        <v>91060.464000000007</v>
      </c>
      <c r="N66" s="2688">
        <v>0</v>
      </c>
      <c r="O66" s="2688">
        <v>0</v>
      </c>
      <c r="P66" s="2689">
        <v>0</v>
      </c>
      <c r="Q66" s="2546">
        <v>0</v>
      </c>
      <c r="R66" s="2546">
        <f t="shared" si="3"/>
        <v>91060.464000000007</v>
      </c>
      <c r="S66" s="2546"/>
      <c r="T66" s="2546"/>
      <c r="U66" s="2546">
        <f t="shared" si="4"/>
        <v>91060.464000000007</v>
      </c>
      <c r="V66" s="2546"/>
    </row>
    <row r="67" spans="1:22" ht="23.25">
      <c r="A67" s="2545">
        <v>52</v>
      </c>
      <c r="B67" s="2545">
        <f>[3]TONGHOPCONGDOI!B47</f>
        <v>0</v>
      </c>
      <c r="C67" s="2546" t="s">
        <v>1201</v>
      </c>
      <c r="D67" s="2546" t="str">
        <f>'[3]CNKT '!D45</f>
        <v>CNKT</v>
      </c>
      <c r="E67" s="2546"/>
      <c r="F67" s="2547">
        <f>+VLOOKUP(C67,[10]VCKD!D140:H226,5,0)</f>
        <v>0</v>
      </c>
      <c r="G67" s="2546">
        <f>+VLOOKUP(C67,[10]VCKD!D140:J226,7,0)</f>
        <v>0</v>
      </c>
      <c r="H67" s="2546">
        <f>+VLOOKUP(C67,'[10]Mủ CN (tam ung)'!C128:AK189,35,0)</f>
        <v>83</v>
      </c>
      <c r="I67" s="2546">
        <f>+VLOOKUP(C67,[10]VCKD!D140:L226,9,0)</f>
        <v>0</v>
      </c>
      <c r="J67" s="2546">
        <f t="shared" si="0"/>
        <v>33.200000000000003</v>
      </c>
      <c r="K67" s="2546">
        <f t="shared" si="1"/>
        <v>0</v>
      </c>
      <c r="L67" s="2545" t="str">
        <f>+VLOOKUP(C67,[10]THKT!B123:Z209,25,0)</f>
        <v>B</v>
      </c>
      <c r="M67" s="3006">
        <f t="shared" si="2"/>
        <v>132596.81600000002</v>
      </c>
      <c r="N67" s="2688">
        <v>0</v>
      </c>
      <c r="O67" s="2688">
        <v>0</v>
      </c>
      <c r="P67" s="2689">
        <v>0</v>
      </c>
      <c r="Q67" s="2546">
        <v>0</v>
      </c>
      <c r="R67" s="2546">
        <f t="shared" si="3"/>
        <v>132596.81600000002</v>
      </c>
      <c r="S67" s="2546"/>
      <c r="T67" s="2546"/>
      <c r="U67" s="2546">
        <f t="shared" si="4"/>
        <v>132596.81600000002</v>
      </c>
      <c r="V67" s="2546"/>
    </row>
    <row r="68" spans="1:22" ht="23.25">
      <c r="A68" s="2545">
        <v>53</v>
      </c>
      <c r="B68" s="2545"/>
      <c r="C68" s="2546" t="s">
        <v>1711</v>
      </c>
      <c r="D68" s="2546" t="str">
        <f>'[3]CNKT '!D46</f>
        <v>CNKT</v>
      </c>
      <c r="E68" s="2546"/>
      <c r="F68" s="2547">
        <f>+VLOOKUP(C68,[10]VCKD!D141:H227,5,0)</f>
        <v>0</v>
      </c>
      <c r="G68" s="2546">
        <f>+VLOOKUP(C68,[10]VCKD!D141:J227,7,0)</f>
        <v>0</v>
      </c>
      <c r="H68" s="2546">
        <f>+VLOOKUP(C68,'[10]Mủ CN (tam ung)'!C129:AK190,35,0)</f>
        <v>115</v>
      </c>
      <c r="I68" s="2546">
        <f>+VLOOKUP(C68,[10]VCKD!D141:L227,9,0)</f>
        <v>0</v>
      </c>
      <c r="J68" s="2546">
        <f t="shared" si="0"/>
        <v>46</v>
      </c>
      <c r="K68" s="2546">
        <f t="shared" si="1"/>
        <v>0</v>
      </c>
      <c r="L68" s="2545" t="str">
        <f>+VLOOKUP(C68,[10]THKT!B124:Z210,25,0)</f>
        <v>A</v>
      </c>
      <c r="M68" s="3006">
        <f t="shared" si="2"/>
        <v>193221.16</v>
      </c>
      <c r="N68" s="2688">
        <v>0</v>
      </c>
      <c r="O68" s="2688">
        <v>0</v>
      </c>
      <c r="P68" s="2689">
        <v>0</v>
      </c>
      <c r="Q68" s="2546">
        <v>0</v>
      </c>
      <c r="R68" s="2546">
        <f t="shared" si="3"/>
        <v>193221.16</v>
      </c>
      <c r="S68" s="2546"/>
      <c r="T68" s="2546"/>
      <c r="U68" s="2546">
        <f t="shared" si="4"/>
        <v>193221.16</v>
      </c>
      <c r="V68" s="2546"/>
    </row>
    <row r="69" spans="1:22" ht="23.25">
      <c r="A69" s="2545">
        <v>54</v>
      </c>
      <c r="B69" s="2545" t="s">
        <v>1800</v>
      </c>
      <c r="C69" s="2546" t="s">
        <v>1624</v>
      </c>
      <c r="D69" s="2546" t="str">
        <f>'[3]CNKT '!D47</f>
        <v>CNKT</v>
      </c>
      <c r="E69" s="2546"/>
      <c r="F69" s="2547">
        <f>+VLOOKUP(C69,[10]VCKD!D142:H228,5,0)</f>
        <v>0</v>
      </c>
      <c r="G69" s="2546">
        <f>+VLOOKUP(C69,[10]VCKD!D142:J228,7,0)</f>
        <v>0</v>
      </c>
      <c r="H69" s="2546">
        <f>+VLOOKUP(C69,'[10]Mủ CN (tam ung)'!C130:AK191,35,0)</f>
        <v>61</v>
      </c>
      <c r="I69" s="2546">
        <f>+VLOOKUP(C69,[10]VCKD!D142:L228,9,0)</f>
        <v>0</v>
      </c>
      <c r="J69" s="2546">
        <f t="shared" si="0"/>
        <v>24.400000000000002</v>
      </c>
      <c r="K69" s="2546">
        <f t="shared" si="1"/>
        <v>0</v>
      </c>
      <c r="L69" s="2545" t="str">
        <f>+VLOOKUP(C69,[10]THKT!B125:Z211,25,0)</f>
        <v>A</v>
      </c>
      <c r="M69" s="3006">
        <f t="shared" si="2"/>
        <v>102491.22400000002</v>
      </c>
      <c r="N69" s="2688">
        <v>0</v>
      </c>
      <c r="O69" s="2688">
        <v>0</v>
      </c>
      <c r="P69" s="2689">
        <v>0</v>
      </c>
      <c r="Q69" s="2546">
        <v>0</v>
      </c>
      <c r="R69" s="2546">
        <f t="shared" si="3"/>
        <v>102491.22400000002</v>
      </c>
      <c r="S69" s="2546"/>
      <c r="T69" s="2546"/>
      <c r="U69" s="2546">
        <f t="shared" si="4"/>
        <v>102491.22400000002</v>
      </c>
      <c r="V69" s="2546"/>
    </row>
    <row r="70" spans="1:22" ht="23.25">
      <c r="A70" s="2545">
        <v>55</v>
      </c>
      <c r="B70" s="2545">
        <f>[3]TONGHOPCONGDOI!B50</f>
        <v>0</v>
      </c>
      <c r="C70" s="2546" t="s">
        <v>1625</v>
      </c>
      <c r="D70" s="2546" t="str">
        <f>'[3]CNKT '!D48</f>
        <v>CNKT</v>
      </c>
      <c r="E70" s="2546"/>
      <c r="F70" s="2547">
        <f>+VLOOKUP(C70,[10]VCKD!D143:H229,5,0)</f>
        <v>0</v>
      </c>
      <c r="G70" s="2546">
        <f>+VLOOKUP(C70,[10]VCKD!D143:J229,7,0)</f>
        <v>0</v>
      </c>
      <c r="H70" s="2546">
        <f>+VLOOKUP(C70,'[10]Mủ CN (tam ung)'!C131:AK192,35,0)</f>
        <v>61</v>
      </c>
      <c r="I70" s="2546">
        <f>+VLOOKUP(C70,[10]VCKD!D143:L229,9,0)</f>
        <v>0</v>
      </c>
      <c r="J70" s="2546">
        <f t="shared" si="0"/>
        <v>24.400000000000002</v>
      </c>
      <c r="K70" s="2546">
        <f t="shared" si="1"/>
        <v>0</v>
      </c>
      <c r="L70" s="2545" t="str">
        <f>+VLOOKUP(C70,[10]THKT!B126:Z212,25,0)</f>
        <v>A</v>
      </c>
      <c r="M70" s="3006">
        <f t="shared" si="2"/>
        <v>102491.22400000002</v>
      </c>
      <c r="N70" s="2688">
        <v>0</v>
      </c>
      <c r="O70" s="2688">
        <v>0</v>
      </c>
      <c r="P70" s="2689">
        <v>0</v>
      </c>
      <c r="Q70" s="2546">
        <v>0</v>
      </c>
      <c r="R70" s="2546">
        <f t="shared" si="3"/>
        <v>102491.22400000002</v>
      </c>
      <c r="S70" s="2546"/>
      <c r="T70" s="2546"/>
      <c r="U70" s="2546">
        <f t="shared" si="4"/>
        <v>102491.22400000002</v>
      </c>
      <c r="V70" s="2546"/>
    </row>
    <row r="71" spans="1:22" ht="23.25">
      <c r="A71" s="2545">
        <v>56</v>
      </c>
      <c r="B71" s="2545" t="s">
        <v>1801</v>
      </c>
      <c r="C71" s="2546" t="s">
        <v>1509</v>
      </c>
      <c r="D71" s="2546" t="str">
        <f>'[3]CNKT '!D49</f>
        <v>CNKT</v>
      </c>
      <c r="E71" s="2546"/>
      <c r="F71" s="2547">
        <f>+VLOOKUP(C71,[10]VCKD!D144:H230,5,0)</f>
        <v>0</v>
      </c>
      <c r="G71" s="2546">
        <f>+VLOOKUP(C71,[10]VCKD!D144:J230,7,0)</f>
        <v>0</v>
      </c>
      <c r="H71" s="2546">
        <f>+VLOOKUP(C71,'[10]Mủ CN (tam ung)'!C132:AK193,35,0)</f>
        <v>83</v>
      </c>
      <c r="I71" s="2546">
        <f>+VLOOKUP(C71,[10]VCKD!D144:L230,9,0)</f>
        <v>0</v>
      </c>
      <c r="J71" s="2546">
        <f t="shared" si="0"/>
        <v>33.200000000000003</v>
      </c>
      <c r="K71" s="2546">
        <f t="shared" si="1"/>
        <v>0</v>
      </c>
      <c r="L71" s="2545" t="str">
        <f>+VLOOKUP(C71,[10]THKT!B127:Z213,25,0)</f>
        <v>A</v>
      </c>
      <c r="M71" s="3006">
        <f t="shared" si="2"/>
        <v>139455.27200000003</v>
      </c>
      <c r="N71" s="2688">
        <v>0</v>
      </c>
      <c r="O71" s="2688">
        <v>0</v>
      </c>
      <c r="P71" s="2689">
        <v>0</v>
      </c>
      <c r="Q71" s="2546">
        <v>0</v>
      </c>
      <c r="R71" s="2546">
        <f t="shared" si="3"/>
        <v>139455.27200000003</v>
      </c>
      <c r="S71" s="2546"/>
      <c r="T71" s="2546"/>
      <c r="U71" s="2546">
        <f t="shared" si="4"/>
        <v>139455.27200000003</v>
      </c>
      <c r="V71" s="2546"/>
    </row>
    <row r="72" spans="1:22" ht="23.25">
      <c r="A72" s="2545">
        <v>57</v>
      </c>
      <c r="B72" s="2545" t="s">
        <v>1802</v>
      </c>
      <c r="C72" s="2546" t="s">
        <v>1510</v>
      </c>
      <c r="D72" s="2546" t="str">
        <f>'[3]CNKT '!D50</f>
        <v>CNKT</v>
      </c>
      <c r="E72" s="2546"/>
      <c r="F72" s="2547">
        <f>+VLOOKUP(C72,[10]VCKD!D145:H231,5,0)</f>
        <v>0</v>
      </c>
      <c r="G72" s="2546">
        <f>+VLOOKUP(C72,[10]VCKD!D145:J231,7,0)</f>
        <v>0</v>
      </c>
      <c r="H72" s="2546">
        <f>+VLOOKUP(C72,'[10]Mủ CN (tam ung)'!C133:AK194,35,0)</f>
        <v>83</v>
      </c>
      <c r="I72" s="2546">
        <f>+VLOOKUP(C72,[10]VCKD!D145:L231,9,0)</f>
        <v>0</v>
      </c>
      <c r="J72" s="2546">
        <f t="shared" si="0"/>
        <v>33.200000000000003</v>
      </c>
      <c r="K72" s="2546">
        <f t="shared" si="1"/>
        <v>0</v>
      </c>
      <c r="L72" s="2545" t="str">
        <f>+VLOOKUP(C72,[10]THKT!B128:Z214,25,0)</f>
        <v>A</v>
      </c>
      <c r="M72" s="3006">
        <f t="shared" si="2"/>
        <v>139455.27200000003</v>
      </c>
      <c r="N72" s="2688">
        <v>0</v>
      </c>
      <c r="O72" s="2688">
        <v>0</v>
      </c>
      <c r="P72" s="2689">
        <v>0</v>
      </c>
      <c r="Q72" s="2546">
        <v>0</v>
      </c>
      <c r="R72" s="2546">
        <f t="shared" si="3"/>
        <v>139455.27200000003</v>
      </c>
      <c r="S72" s="2546"/>
      <c r="T72" s="2546"/>
      <c r="U72" s="2546">
        <f t="shared" si="4"/>
        <v>139455.27200000003</v>
      </c>
      <c r="V72" s="2546"/>
    </row>
    <row r="73" spans="1:22" ht="23.25">
      <c r="A73" s="2545">
        <v>58</v>
      </c>
      <c r="B73" s="2545">
        <f>[3]TONGHOPCONGDOI!B53</f>
        <v>0</v>
      </c>
      <c r="C73" s="2546" t="s">
        <v>1712</v>
      </c>
      <c r="D73" s="2546" t="str">
        <f>'[3]CNKT '!D51</f>
        <v>CNKT</v>
      </c>
      <c r="E73" s="2546"/>
      <c r="F73" s="2547">
        <f>+VLOOKUP(C73,[10]VCKD!D146:H232,5,0)</f>
        <v>0</v>
      </c>
      <c r="G73" s="2546">
        <f>+VLOOKUP(C73,[10]VCKD!D146:J232,7,0)</f>
        <v>0</v>
      </c>
      <c r="H73" s="2546">
        <f>+VLOOKUP(C73,'[10]Mủ CN (tam ung)'!C134:AK195,35,0)</f>
        <v>115</v>
      </c>
      <c r="I73" s="2546">
        <f>+VLOOKUP(C73,[10]VCKD!D146:L232,9,0)</f>
        <v>0</v>
      </c>
      <c r="J73" s="2546">
        <f t="shared" si="0"/>
        <v>46</v>
      </c>
      <c r="K73" s="2546">
        <f t="shared" si="1"/>
        <v>0</v>
      </c>
      <c r="L73" s="2545" t="str">
        <f>+VLOOKUP(C73,[10]THKT!B129:Z215,25,0)</f>
        <v>A</v>
      </c>
      <c r="M73" s="3006">
        <f t="shared" si="2"/>
        <v>193221.16</v>
      </c>
      <c r="N73" s="2688">
        <v>0</v>
      </c>
      <c r="O73" s="2688">
        <v>0</v>
      </c>
      <c r="P73" s="2689">
        <v>0</v>
      </c>
      <c r="Q73" s="2546">
        <v>0</v>
      </c>
      <c r="R73" s="2546">
        <f t="shared" si="3"/>
        <v>193221.16</v>
      </c>
      <c r="S73" s="2546"/>
      <c r="T73" s="2546"/>
      <c r="U73" s="2546">
        <f t="shared" si="4"/>
        <v>193221.16</v>
      </c>
      <c r="V73" s="2546"/>
    </row>
    <row r="74" spans="1:22" ht="23.25">
      <c r="A74" s="2545">
        <v>59</v>
      </c>
      <c r="B74" s="2545">
        <f>[3]TONGHOPCONGDOI!B54</f>
        <v>0</v>
      </c>
      <c r="C74" s="2546" t="s">
        <v>1713</v>
      </c>
      <c r="D74" s="2546" t="str">
        <f>'[3]CNKT '!D52</f>
        <v>CNKT</v>
      </c>
      <c r="E74" s="2546"/>
      <c r="F74" s="2547">
        <f>+VLOOKUP(C74,[10]VCKD!D147:H233,5,0)</f>
        <v>0</v>
      </c>
      <c r="G74" s="2546">
        <f>+VLOOKUP(C74,[10]VCKD!D147:J233,7,0)</f>
        <v>0</v>
      </c>
      <c r="H74" s="2546">
        <f>+VLOOKUP(C74,'[10]Mủ CN (tam ung)'!C135:AK196,35,0)</f>
        <v>36</v>
      </c>
      <c r="I74" s="2546">
        <f>+VLOOKUP(C74,[10]VCKD!D147:L233,9,0)</f>
        <v>0</v>
      </c>
      <c r="J74" s="2546">
        <f t="shared" si="0"/>
        <v>14.4</v>
      </c>
      <c r="K74" s="2546">
        <f t="shared" si="1"/>
        <v>0</v>
      </c>
      <c r="L74" s="2545" t="str">
        <f>+VLOOKUP(C74,[10]THKT!B130:Z216,25,0)</f>
        <v>A</v>
      </c>
      <c r="M74" s="3006">
        <f t="shared" si="2"/>
        <v>60486.624000000003</v>
      </c>
      <c r="N74" s="2688">
        <v>0</v>
      </c>
      <c r="O74" s="2688">
        <v>0</v>
      </c>
      <c r="P74" s="2689">
        <v>0</v>
      </c>
      <c r="Q74" s="2546">
        <v>0</v>
      </c>
      <c r="R74" s="2546">
        <f t="shared" si="3"/>
        <v>60486.624000000003</v>
      </c>
      <c r="S74" s="2546"/>
      <c r="T74" s="2546"/>
      <c r="U74" s="2546">
        <f t="shared" si="4"/>
        <v>60486.624000000003</v>
      </c>
      <c r="V74" s="2546"/>
    </row>
    <row r="75" spans="1:22" ht="23.25">
      <c r="A75" s="2545">
        <v>60</v>
      </c>
      <c r="B75" s="2545">
        <f>[3]TONGHOPCONGDOI!B55</f>
        <v>0</v>
      </c>
      <c r="C75" s="2546" t="s">
        <v>523</v>
      </c>
      <c r="D75" s="2546" t="str">
        <f>'[3]CNKT '!D53</f>
        <v>CNKT</v>
      </c>
      <c r="E75" s="2546"/>
      <c r="F75" s="2547">
        <f>+VLOOKUP(C75,[10]VCKD!D148:H234,5,0)</f>
        <v>0</v>
      </c>
      <c r="G75" s="2546">
        <f>+VLOOKUP(C75,[10]VCKD!D148:J234,7,0)</f>
        <v>0</v>
      </c>
      <c r="H75" s="2546">
        <f>+VLOOKUP(C75,'[10]Mủ CN (tam ung)'!C136:AK197,35,0)</f>
        <v>37</v>
      </c>
      <c r="I75" s="2546">
        <f>+VLOOKUP(C75,[10]VCKD!D148:L234,9,0)</f>
        <v>0</v>
      </c>
      <c r="J75" s="2546">
        <f t="shared" si="0"/>
        <v>14.8</v>
      </c>
      <c r="K75" s="2546">
        <f t="shared" si="1"/>
        <v>0</v>
      </c>
      <c r="L75" s="2545" t="str">
        <f>+VLOOKUP(C75,[10]THKT!B131:Z217,25,0)</f>
        <v>A</v>
      </c>
      <c r="M75" s="3006">
        <f t="shared" si="2"/>
        <v>62166.808000000005</v>
      </c>
      <c r="N75" s="2688">
        <v>0</v>
      </c>
      <c r="O75" s="2688">
        <v>0</v>
      </c>
      <c r="P75" s="2689">
        <v>0</v>
      </c>
      <c r="Q75" s="2546">
        <v>0</v>
      </c>
      <c r="R75" s="2546">
        <f t="shared" si="3"/>
        <v>62166.808000000005</v>
      </c>
      <c r="S75" s="2546"/>
      <c r="T75" s="2546"/>
      <c r="U75" s="2546">
        <f t="shared" si="4"/>
        <v>62166.808000000005</v>
      </c>
      <c r="V75" s="2546"/>
    </row>
    <row r="76" spans="1:22" ht="23.25">
      <c r="A76" s="2545">
        <v>61</v>
      </c>
      <c r="B76" s="2545" t="s">
        <v>1803</v>
      </c>
      <c r="C76" s="2546" t="s">
        <v>1511</v>
      </c>
      <c r="D76" s="2546" t="s">
        <v>1571</v>
      </c>
      <c r="E76" s="2546"/>
      <c r="F76" s="2547">
        <f>+VLOOKUP(C76,[10]VCKD!D149:H235,5,0)</f>
        <v>0</v>
      </c>
      <c r="G76" s="2546">
        <f>+VLOOKUP(C76,[10]VCKD!D149:J235,7,0)</f>
        <v>0</v>
      </c>
      <c r="H76" s="2546">
        <f>+VLOOKUP(C76,'[10]Mủ CN (tam ung)'!C137:AK198,35,0)</f>
        <v>58</v>
      </c>
      <c r="I76" s="2546">
        <f>+VLOOKUP(C76,[10]VCKD!D149:L235,9,0)</f>
        <v>0</v>
      </c>
      <c r="J76" s="2546">
        <f t="shared" si="0"/>
        <v>23.200000000000003</v>
      </c>
      <c r="K76" s="2546">
        <f t="shared" si="1"/>
        <v>0</v>
      </c>
      <c r="L76" s="2545" t="str">
        <f>+VLOOKUP(C76,[10]THKT!B132:Z218,25,0)</f>
        <v>A</v>
      </c>
      <c r="M76" s="3006">
        <f t="shared" si="2"/>
        <v>97450.672000000006</v>
      </c>
      <c r="N76" s="2688">
        <v>0</v>
      </c>
      <c r="O76" s="2688">
        <v>0</v>
      </c>
      <c r="P76" s="2689">
        <v>0</v>
      </c>
      <c r="Q76" s="2546">
        <v>0</v>
      </c>
      <c r="R76" s="2546">
        <f t="shared" si="3"/>
        <v>97450.672000000006</v>
      </c>
      <c r="S76" s="2546"/>
      <c r="T76" s="2546"/>
      <c r="U76" s="2546">
        <f t="shared" si="4"/>
        <v>97450.672000000006</v>
      </c>
      <c r="V76" s="2546"/>
    </row>
    <row r="77" spans="1:22" ht="23.25">
      <c r="A77" s="2545">
        <v>62</v>
      </c>
      <c r="B77" s="2545">
        <f>[3]TONGHOPCONGDOI!B57</f>
        <v>0</v>
      </c>
      <c r="C77" s="2546" t="s">
        <v>1268</v>
      </c>
      <c r="D77" s="2546" t="s">
        <v>1571</v>
      </c>
      <c r="E77" s="2546"/>
      <c r="F77" s="2547">
        <f>+VLOOKUP(C77,[10]VCKD!D150:H236,5,0)</f>
        <v>0</v>
      </c>
      <c r="G77" s="2546">
        <f>+VLOOKUP(C77,[10]VCKD!D150:J236,7,0)</f>
        <v>0</v>
      </c>
      <c r="H77" s="2546">
        <f>+VLOOKUP(C77,'[10]Mủ CN (tam ung)'!C138:AK199,35,0)</f>
        <v>64</v>
      </c>
      <c r="I77" s="2546">
        <f>+VLOOKUP(C77,[10]VCKD!D150:L236,9,0)</f>
        <v>0</v>
      </c>
      <c r="J77" s="2546">
        <f t="shared" si="0"/>
        <v>25.6</v>
      </c>
      <c r="K77" s="2546">
        <f t="shared" si="1"/>
        <v>0</v>
      </c>
      <c r="L77" s="2545" t="str">
        <f>+VLOOKUP(C77,[10]THKT!B133:Z219,25,0)</f>
        <v>A</v>
      </c>
      <c r="M77" s="3006">
        <f t="shared" si="2"/>
        <v>107531.77600000001</v>
      </c>
      <c r="N77" s="2688">
        <v>0</v>
      </c>
      <c r="O77" s="2688">
        <v>0</v>
      </c>
      <c r="P77" s="2689">
        <v>0</v>
      </c>
      <c r="Q77" s="2546">
        <v>0</v>
      </c>
      <c r="R77" s="2546">
        <f t="shared" si="3"/>
        <v>107531.77600000001</v>
      </c>
      <c r="S77" s="2546"/>
      <c r="T77" s="2546"/>
      <c r="U77" s="2546">
        <f t="shared" si="4"/>
        <v>107531.77600000001</v>
      </c>
      <c r="V77" s="2546"/>
    </row>
    <row r="78" spans="1:22" ht="23.25">
      <c r="A78" s="2545">
        <v>63</v>
      </c>
      <c r="B78" s="2545" t="s">
        <v>1804</v>
      </c>
      <c r="C78" s="2546" t="s">
        <v>847</v>
      </c>
      <c r="D78" s="2546" t="s">
        <v>1571</v>
      </c>
      <c r="E78" s="2546"/>
      <c r="F78" s="2547">
        <f>+VLOOKUP(C78,[10]VCKD!D151:H237,5,0)</f>
        <v>0</v>
      </c>
      <c r="G78" s="2546">
        <f>+VLOOKUP(C78,[10]VCKD!D151:J237,7,0)</f>
        <v>0</v>
      </c>
      <c r="H78" s="2546">
        <f>+VLOOKUP(C78,'[10]Mủ CN (tam ung)'!C139:AK200,35,0)</f>
        <v>77</v>
      </c>
      <c r="I78" s="2546">
        <f>+VLOOKUP(C78,[10]VCKD!D151:L237,9,0)</f>
        <v>0</v>
      </c>
      <c r="J78" s="2546">
        <f t="shared" si="0"/>
        <v>30.8</v>
      </c>
      <c r="K78" s="2546">
        <f t="shared" si="1"/>
        <v>0</v>
      </c>
      <c r="L78" s="2545" t="str">
        <f>+VLOOKUP(C78,[10]THKT!B134:Z220,25,0)</f>
        <v>A</v>
      </c>
      <c r="M78" s="3006">
        <f t="shared" si="2"/>
        <v>129374.16800000001</v>
      </c>
      <c r="N78" s="2688">
        <v>0</v>
      </c>
      <c r="O78" s="2688">
        <v>0</v>
      </c>
      <c r="P78" s="2689">
        <v>0</v>
      </c>
      <c r="Q78" s="2546">
        <v>0</v>
      </c>
      <c r="R78" s="2546">
        <f t="shared" si="3"/>
        <v>129374.16800000001</v>
      </c>
      <c r="S78" s="2546"/>
      <c r="T78" s="2546"/>
      <c r="U78" s="2546">
        <f t="shared" si="4"/>
        <v>129374.16800000001</v>
      </c>
      <c r="V78" s="2546"/>
    </row>
    <row r="79" spans="1:22" ht="23.25">
      <c r="A79" s="2545">
        <v>64</v>
      </c>
      <c r="B79" s="2545" t="s">
        <v>1805</v>
      </c>
      <c r="C79" s="2546" t="s">
        <v>1205</v>
      </c>
      <c r="D79" s="2546" t="s">
        <v>1571</v>
      </c>
      <c r="E79" s="2546"/>
      <c r="F79" s="2547">
        <f>+VLOOKUP(C79,[10]VCKD!D152:H238,5,0)</f>
        <v>0</v>
      </c>
      <c r="G79" s="2546">
        <f>+VLOOKUP(C79,[10]VCKD!D152:J238,7,0)</f>
        <v>0</v>
      </c>
      <c r="H79" s="2546">
        <f>+VLOOKUP(C79,'[10]Mủ CN (tam ung)'!C140:AK201,35,0)</f>
        <v>72</v>
      </c>
      <c r="I79" s="2546">
        <f>+VLOOKUP(C79,[10]VCKD!D152:L238,9,0)</f>
        <v>0</v>
      </c>
      <c r="J79" s="2546">
        <f t="shared" si="0"/>
        <v>28.8</v>
      </c>
      <c r="K79" s="2546">
        <f t="shared" si="1"/>
        <v>0</v>
      </c>
      <c r="L79" s="2545" t="str">
        <f>+VLOOKUP(C79,[10]THKT!B135:Z221,25,0)</f>
        <v>B</v>
      </c>
      <c r="M79" s="3006">
        <f t="shared" si="2"/>
        <v>115023.74400000001</v>
      </c>
      <c r="N79" s="2688">
        <v>0</v>
      </c>
      <c r="O79" s="2688">
        <v>0</v>
      </c>
      <c r="P79" s="2689">
        <v>0</v>
      </c>
      <c r="Q79" s="2546">
        <v>0</v>
      </c>
      <c r="R79" s="2546">
        <f t="shared" si="3"/>
        <v>115023.74400000001</v>
      </c>
      <c r="S79" s="2546"/>
      <c r="T79" s="2546"/>
      <c r="U79" s="2546">
        <f t="shared" si="4"/>
        <v>115023.74400000001</v>
      </c>
      <c r="V79" s="2546"/>
    </row>
    <row r="80" spans="1:22" ht="23.25">
      <c r="A80" s="2545">
        <v>65</v>
      </c>
      <c r="B80" s="2545" t="s">
        <v>1806</v>
      </c>
      <c r="C80" s="2546" t="s">
        <v>1206</v>
      </c>
      <c r="D80" s="2546" t="s">
        <v>1571</v>
      </c>
      <c r="E80" s="2546"/>
      <c r="F80" s="2547">
        <f>+VLOOKUP(C80,[10]VCKD!D153:H239,5,0)</f>
        <v>0</v>
      </c>
      <c r="G80" s="2546">
        <f>+VLOOKUP(C80,[10]VCKD!D153:J239,7,0)</f>
        <v>0</v>
      </c>
      <c r="H80" s="2546">
        <f>+VLOOKUP(C80,'[10]Mủ CN (tam ung)'!C141:AK202,35,0)</f>
        <v>59</v>
      </c>
      <c r="I80" s="2546">
        <f>+VLOOKUP(C80,[10]VCKD!D153:L239,9,0)</f>
        <v>0</v>
      </c>
      <c r="J80" s="2546">
        <f t="shared" si="0"/>
        <v>23.6</v>
      </c>
      <c r="K80" s="2546">
        <f t="shared" si="1"/>
        <v>0</v>
      </c>
      <c r="L80" s="2545" t="str">
        <f>+VLOOKUP(C80,[10]THKT!B136:Z222,25,0)</f>
        <v>A</v>
      </c>
      <c r="M80" s="3006">
        <f t="shared" si="2"/>
        <v>99130.856</v>
      </c>
      <c r="N80" s="2688">
        <v>0</v>
      </c>
      <c r="O80" s="2688">
        <v>0</v>
      </c>
      <c r="P80" s="2689">
        <v>0</v>
      </c>
      <c r="Q80" s="2546">
        <v>0</v>
      </c>
      <c r="R80" s="2546">
        <f t="shared" si="3"/>
        <v>99130.856</v>
      </c>
      <c r="S80" s="2546"/>
      <c r="T80" s="2546"/>
      <c r="U80" s="2546">
        <f t="shared" si="4"/>
        <v>99130.856</v>
      </c>
      <c r="V80" s="2546"/>
    </row>
    <row r="81" spans="1:22" ht="23.25">
      <c r="A81" s="2545">
        <v>66</v>
      </c>
      <c r="B81" s="2545" t="s">
        <v>1807</v>
      </c>
      <c r="C81" s="2546" t="s">
        <v>1207</v>
      </c>
      <c r="D81" s="2546" t="s">
        <v>1571</v>
      </c>
      <c r="E81" s="2546"/>
      <c r="F81" s="2547">
        <f>+VLOOKUP(C81,[10]VCKD!D154:H240,5,0)</f>
        <v>0</v>
      </c>
      <c r="G81" s="2546">
        <f>+VLOOKUP(C81,[10]VCKD!D154:J240,7,0)</f>
        <v>0</v>
      </c>
      <c r="H81" s="2546">
        <f>+VLOOKUP(C81,'[10]Mủ CN (tam ung)'!C142:AK203,35,0)</f>
        <v>59</v>
      </c>
      <c r="I81" s="2546">
        <f>+VLOOKUP(C81,[10]VCKD!D154:L240,9,0)</f>
        <v>0</v>
      </c>
      <c r="J81" s="2546">
        <f t="shared" ref="J81:J97" si="5">+H81*0.4</f>
        <v>23.6</v>
      </c>
      <c r="K81" s="2546">
        <f t="shared" ref="K81:K97" si="6">+I81*0.5</f>
        <v>0</v>
      </c>
      <c r="L81" s="2545" t="str">
        <f>+VLOOKUP(C81,[10]THKT!B137:Z223,25,0)</f>
        <v>A</v>
      </c>
      <c r="M81" s="3006">
        <f t="shared" ref="M81:M97" si="7">J81*IF(L81="A",(6.1*$D$11),IF(L81="B",(5.8*$D$11),IF(L81="C",(5.5*$D$11),IF(L81="D",(5.2*$D$11)))))</f>
        <v>99130.856</v>
      </c>
      <c r="N81" s="2688">
        <v>0</v>
      </c>
      <c r="O81" s="2688">
        <v>0</v>
      </c>
      <c r="P81" s="2689">
        <v>0</v>
      </c>
      <c r="Q81" s="2546">
        <v>0</v>
      </c>
      <c r="R81" s="2546">
        <f t="shared" ref="R81:R97" si="8">+G81+M81+Q81</f>
        <v>99130.856</v>
      </c>
      <c r="S81" s="2546"/>
      <c r="T81" s="2546"/>
      <c r="U81" s="2546">
        <f t="shared" ref="U81:U97" si="9">+R81</f>
        <v>99130.856</v>
      </c>
      <c r="V81" s="2546"/>
    </row>
    <row r="82" spans="1:22" ht="23.25">
      <c r="A82" s="2545">
        <v>67</v>
      </c>
      <c r="B82" s="2545" t="s">
        <v>1808</v>
      </c>
      <c r="C82" s="2546" t="s">
        <v>567</v>
      </c>
      <c r="D82" s="2546" t="str">
        <f>'[3]CNKT '!D60</f>
        <v>CNKT</v>
      </c>
      <c r="E82" s="2546"/>
      <c r="F82" s="2547">
        <f>+VLOOKUP(C82,[10]VCKD!D155:H241,5,0)</f>
        <v>0</v>
      </c>
      <c r="G82" s="2546">
        <f>+VLOOKUP(C82,[10]VCKD!D155:J241,7,0)</f>
        <v>0</v>
      </c>
      <c r="H82" s="2546">
        <f>+VLOOKUP(C82,'[10]Mủ CN (tam ung)'!C143:AK204,35,0)</f>
        <v>44</v>
      </c>
      <c r="I82" s="2546">
        <f>+VLOOKUP(C82,[10]VCKD!D155:L241,9,0)</f>
        <v>0</v>
      </c>
      <c r="J82" s="2546">
        <f t="shared" si="5"/>
        <v>17.600000000000001</v>
      </c>
      <c r="K82" s="2546">
        <f t="shared" si="6"/>
        <v>0</v>
      </c>
      <c r="L82" s="2545" t="str">
        <f>+VLOOKUP(C82,[10]THKT!B138:Z224,25,0)</f>
        <v>A</v>
      </c>
      <c r="M82" s="3006">
        <f t="shared" si="7"/>
        <v>73928.096000000005</v>
      </c>
      <c r="N82" s="2688">
        <v>0</v>
      </c>
      <c r="O82" s="2688">
        <v>0</v>
      </c>
      <c r="P82" s="2689">
        <v>0</v>
      </c>
      <c r="Q82" s="2546">
        <v>0</v>
      </c>
      <c r="R82" s="2546">
        <f t="shared" si="8"/>
        <v>73928.096000000005</v>
      </c>
      <c r="S82" s="2546"/>
      <c r="T82" s="2546"/>
      <c r="U82" s="2546">
        <f t="shared" si="9"/>
        <v>73928.096000000005</v>
      </c>
      <c r="V82" s="2546"/>
    </row>
    <row r="83" spans="1:22" ht="23.25">
      <c r="A83" s="2545">
        <v>68</v>
      </c>
      <c r="B83" s="2545" t="s">
        <v>1809</v>
      </c>
      <c r="C83" s="2546" t="s">
        <v>1512</v>
      </c>
      <c r="D83" s="2546" t="str">
        <f>'[3]CNKT '!D61</f>
        <v>CNKT</v>
      </c>
      <c r="E83" s="2546"/>
      <c r="F83" s="2547">
        <f>+VLOOKUP(C83,[10]VCKD!D156:H242,5,0)</f>
        <v>0</v>
      </c>
      <c r="G83" s="2546">
        <f>+VLOOKUP(C83,[10]VCKD!D156:J242,7,0)</f>
        <v>0</v>
      </c>
      <c r="H83" s="2546">
        <f>+VLOOKUP(C83,'[10]Mủ CN (tam ung)'!C144:AK205,35,0)</f>
        <v>88</v>
      </c>
      <c r="I83" s="2546">
        <f>+VLOOKUP(C83,[10]VCKD!D156:L242,9,0)</f>
        <v>0</v>
      </c>
      <c r="J83" s="2546">
        <f t="shared" si="5"/>
        <v>35.200000000000003</v>
      </c>
      <c r="K83" s="2546">
        <f t="shared" si="6"/>
        <v>0</v>
      </c>
      <c r="L83" s="2545" t="str">
        <f>+VLOOKUP(C83,[10]THKT!B139:Z225,25,0)</f>
        <v>B</v>
      </c>
      <c r="M83" s="3006">
        <f t="shared" si="7"/>
        <v>140584.576</v>
      </c>
      <c r="N83" s="2688">
        <v>0</v>
      </c>
      <c r="O83" s="2688">
        <v>0</v>
      </c>
      <c r="P83" s="2689">
        <v>0</v>
      </c>
      <c r="Q83" s="2546">
        <v>0</v>
      </c>
      <c r="R83" s="2546">
        <f t="shared" si="8"/>
        <v>140584.576</v>
      </c>
      <c r="S83" s="2546"/>
      <c r="T83" s="2546"/>
      <c r="U83" s="2546">
        <f t="shared" si="9"/>
        <v>140584.576</v>
      </c>
      <c r="V83" s="2546"/>
    </row>
    <row r="84" spans="1:22" ht="23.25">
      <c r="A84" s="2545">
        <v>69</v>
      </c>
      <c r="B84" s="2545" t="s">
        <v>1810</v>
      </c>
      <c r="C84" s="2546" t="s">
        <v>1210</v>
      </c>
      <c r="D84" s="2546" t="str">
        <f>'[3]CNKT '!D62</f>
        <v>CNKT</v>
      </c>
      <c r="E84" s="2546"/>
      <c r="F84" s="2547">
        <f>+VLOOKUP(C84,[10]VCKD!D157:H243,5,0)</f>
        <v>0</v>
      </c>
      <c r="G84" s="2546">
        <f>+VLOOKUP(C84,[10]VCKD!D157:J243,7,0)</f>
        <v>0</v>
      </c>
      <c r="H84" s="2546">
        <f>+VLOOKUP(C84,'[10]Mủ CN (tam ung)'!C145:AK206,35,0)</f>
        <v>40</v>
      </c>
      <c r="I84" s="2546">
        <f>+VLOOKUP(C84,[10]VCKD!D157:L243,9,0)</f>
        <v>0</v>
      </c>
      <c r="J84" s="2546">
        <f t="shared" si="5"/>
        <v>16</v>
      </c>
      <c r="K84" s="2546">
        <f t="shared" si="6"/>
        <v>0</v>
      </c>
      <c r="L84" s="2545" t="str">
        <f>+VLOOKUP(C84,[10]THKT!B140:Z226,25,0)</f>
        <v>A</v>
      </c>
      <c r="M84" s="3006">
        <f t="shared" si="7"/>
        <v>67207.360000000001</v>
      </c>
      <c r="N84" s="2688">
        <v>0</v>
      </c>
      <c r="O84" s="2688">
        <v>0</v>
      </c>
      <c r="P84" s="2689">
        <v>0</v>
      </c>
      <c r="Q84" s="2546">
        <v>0</v>
      </c>
      <c r="R84" s="2546">
        <f t="shared" si="8"/>
        <v>67207.360000000001</v>
      </c>
      <c r="S84" s="2546"/>
      <c r="T84" s="2546"/>
      <c r="U84" s="2546">
        <f t="shared" si="9"/>
        <v>67207.360000000001</v>
      </c>
      <c r="V84" s="2546"/>
    </row>
    <row r="85" spans="1:22" ht="23.25">
      <c r="A85" s="2545">
        <v>70</v>
      </c>
      <c r="B85" s="2545" t="s">
        <v>1811</v>
      </c>
      <c r="C85" s="2546" t="s">
        <v>1541</v>
      </c>
      <c r="D85" s="2546" t="str">
        <f>'[3]CNKT '!D63</f>
        <v>CNKT</v>
      </c>
      <c r="E85" s="2546"/>
      <c r="F85" s="2547">
        <f>+VLOOKUP(C85,[10]VCKD!D158:H244,5,0)</f>
        <v>0</v>
      </c>
      <c r="G85" s="2546">
        <f>+VLOOKUP(C85,[10]VCKD!D158:J244,7,0)</f>
        <v>0</v>
      </c>
      <c r="H85" s="2546">
        <f>+VLOOKUP(C85,'[10]Mủ CN (tam ung)'!C146:AK207,35,0)</f>
        <v>40</v>
      </c>
      <c r="I85" s="2546">
        <f>+VLOOKUP(C85,[10]VCKD!D158:L244,9,0)</f>
        <v>0</v>
      </c>
      <c r="J85" s="2546">
        <f t="shared" si="5"/>
        <v>16</v>
      </c>
      <c r="K85" s="2546">
        <f t="shared" si="6"/>
        <v>0</v>
      </c>
      <c r="L85" s="2545" t="str">
        <f>+VLOOKUP(C85,[10]THKT!B141:Z227,25,0)</f>
        <v>A</v>
      </c>
      <c r="M85" s="3006">
        <f t="shared" si="7"/>
        <v>67207.360000000001</v>
      </c>
      <c r="N85" s="2688">
        <v>0</v>
      </c>
      <c r="O85" s="2688">
        <v>0</v>
      </c>
      <c r="P85" s="2689">
        <v>0</v>
      </c>
      <c r="Q85" s="2546">
        <v>0</v>
      </c>
      <c r="R85" s="2546">
        <f t="shared" si="8"/>
        <v>67207.360000000001</v>
      </c>
      <c r="S85" s="2546"/>
      <c r="T85" s="2546"/>
      <c r="U85" s="2546">
        <f t="shared" si="9"/>
        <v>67207.360000000001</v>
      </c>
      <c r="V85" s="2546"/>
    </row>
    <row r="86" spans="1:22" ht="23.25">
      <c r="A86" s="2545">
        <v>71</v>
      </c>
      <c r="B86" s="2545" t="s">
        <v>1812</v>
      </c>
      <c r="C86" s="2546" t="s">
        <v>1513</v>
      </c>
      <c r="D86" s="2546" t="str">
        <f>'[3]CNKT '!D64</f>
        <v>CNKT</v>
      </c>
      <c r="E86" s="2546"/>
      <c r="F86" s="2547">
        <f>+VLOOKUP(C86,[10]VCKD!D159:H245,5,0)</f>
        <v>0</v>
      </c>
      <c r="G86" s="2546">
        <f>+VLOOKUP(C86,[10]VCKD!D159:J245,7,0)</f>
        <v>0</v>
      </c>
      <c r="H86" s="2546">
        <f>+VLOOKUP(C86,'[10]Mủ CN (tam ung)'!C147:AK208,35,0)</f>
        <v>57</v>
      </c>
      <c r="I86" s="2546">
        <f>+VLOOKUP(C86,[10]VCKD!D159:L245,9,0)</f>
        <v>0</v>
      </c>
      <c r="J86" s="2546">
        <f t="shared" si="5"/>
        <v>22.8</v>
      </c>
      <c r="K86" s="2546">
        <f t="shared" si="6"/>
        <v>0</v>
      </c>
      <c r="L86" s="2545" t="str">
        <f>+VLOOKUP(C86,[10]THKT!B142:Z228,25,0)</f>
        <v>A</v>
      </c>
      <c r="M86" s="3006">
        <f t="shared" si="7"/>
        <v>95770.487999999998</v>
      </c>
      <c r="N86" s="2688">
        <v>0</v>
      </c>
      <c r="O86" s="2688">
        <v>0</v>
      </c>
      <c r="P86" s="2689">
        <v>0</v>
      </c>
      <c r="Q86" s="2546">
        <v>0</v>
      </c>
      <c r="R86" s="2546">
        <f t="shared" si="8"/>
        <v>95770.487999999998</v>
      </c>
      <c r="S86" s="2546"/>
      <c r="T86" s="2546"/>
      <c r="U86" s="2546">
        <f t="shared" si="9"/>
        <v>95770.487999999998</v>
      </c>
      <c r="V86" s="2546"/>
    </row>
    <row r="87" spans="1:22" ht="23.25">
      <c r="A87" s="2545">
        <v>72</v>
      </c>
      <c r="B87" s="2545" t="s">
        <v>1813</v>
      </c>
      <c r="C87" s="2546" t="s">
        <v>1514</v>
      </c>
      <c r="D87" s="2546" t="str">
        <f>'[3]CNKT '!D65</f>
        <v>CNKT</v>
      </c>
      <c r="E87" s="2546"/>
      <c r="F87" s="2547">
        <f>+VLOOKUP(C87,[10]VCKD!D160:H246,5,0)</f>
        <v>0</v>
      </c>
      <c r="G87" s="2546">
        <f>+VLOOKUP(C87,[10]VCKD!D160:J246,7,0)</f>
        <v>0</v>
      </c>
      <c r="H87" s="2546">
        <f>+VLOOKUP(C87,'[10]Mủ CN (tam ung)'!C148:AK209,35,0)</f>
        <v>59</v>
      </c>
      <c r="I87" s="2546">
        <f>+VLOOKUP(C87,[10]VCKD!D160:L246,9,0)</f>
        <v>0</v>
      </c>
      <c r="J87" s="2546">
        <f t="shared" si="5"/>
        <v>23.6</v>
      </c>
      <c r="K87" s="2546">
        <f t="shared" si="6"/>
        <v>0</v>
      </c>
      <c r="L87" s="2545" t="str">
        <f>+VLOOKUP(C87,[10]THKT!B143:Z229,25,0)</f>
        <v>B</v>
      </c>
      <c r="M87" s="3006">
        <f t="shared" si="7"/>
        <v>94255.568000000014</v>
      </c>
      <c r="N87" s="2688">
        <v>0</v>
      </c>
      <c r="O87" s="2688">
        <v>0</v>
      </c>
      <c r="P87" s="2689">
        <v>0</v>
      </c>
      <c r="Q87" s="2546">
        <v>0</v>
      </c>
      <c r="R87" s="2546">
        <f t="shared" si="8"/>
        <v>94255.568000000014</v>
      </c>
      <c r="S87" s="2546"/>
      <c r="T87" s="2546"/>
      <c r="U87" s="2546">
        <f t="shared" si="9"/>
        <v>94255.568000000014</v>
      </c>
      <c r="V87" s="2546"/>
    </row>
    <row r="88" spans="1:22" ht="23.25">
      <c r="A88" s="2545">
        <v>73</v>
      </c>
      <c r="B88" s="2545">
        <f>[3]TONGHOPCONGDOI!B69</f>
        <v>0</v>
      </c>
      <c r="C88" s="2546" t="s">
        <v>1303</v>
      </c>
      <c r="D88" s="2546" t="str">
        <f>'[3]CNKT '!D66</f>
        <v>CNKT</v>
      </c>
      <c r="E88" s="2546"/>
      <c r="F88" s="2547">
        <f>+VLOOKUP(C88,[10]VCKD!D161:H247,5,0)</f>
        <v>0</v>
      </c>
      <c r="G88" s="2546">
        <f>+VLOOKUP(C88,[10]VCKD!D161:J247,7,0)</f>
        <v>0</v>
      </c>
      <c r="H88" s="2546">
        <f>+VLOOKUP(C88,'[10]Mủ CN (tam ung)'!C149:AK210,35,0)</f>
        <v>83</v>
      </c>
      <c r="I88" s="2546">
        <f>+VLOOKUP(C88,[10]VCKD!D161:L247,9,0)</f>
        <v>0</v>
      </c>
      <c r="J88" s="2546">
        <f t="shared" si="5"/>
        <v>33.200000000000003</v>
      </c>
      <c r="K88" s="2546">
        <f t="shared" si="6"/>
        <v>0</v>
      </c>
      <c r="L88" s="2545" t="str">
        <f>+VLOOKUP(C88,[10]THKT!B144:Z230,25,0)</f>
        <v>B</v>
      </c>
      <c r="M88" s="3006">
        <f t="shared" si="7"/>
        <v>132596.81600000002</v>
      </c>
      <c r="N88" s="2688">
        <v>0</v>
      </c>
      <c r="O88" s="2688">
        <v>0</v>
      </c>
      <c r="P88" s="2689">
        <v>0</v>
      </c>
      <c r="Q88" s="2546">
        <v>0</v>
      </c>
      <c r="R88" s="2546">
        <f t="shared" si="8"/>
        <v>132596.81600000002</v>
      </c>
      <c r="S88" s="2546"/>
      <c r="T88" s="2546"/>
      <c r="U88" s="2546">
        <f t="shared" si="9"/>
        <v>132596.81600000002</v>
      </c>
      <c r="V88" s="2546"/>
    </row>
    <row r="89" spans="1:22" ht="23.25">
      <c r="A89" s="2545">
        <v>74</v>
      </c>
      <c r="B89" s="2545" t="s">
        <v>1814</v>
      </c>
      <c r="C89" s="2546" t="s">
        <v>850</v>
      </c>
      <c r="D89" s="2546" t="str">
        <f>'[3]CNKT '!D67</f>
        <v>CNKT</v>
      </c>
      <c r="E89" s="2546"/>
      <c r="F89" s="2547">
        <f>+VLOOKUP(C89,[10]VCKD!D162:H248,5,0)</f>
        <v>0</v>
      </c>
      <c r="G89" s="2546">
        <f>+VLOOKUP(C89,[10]VCKD!D162:J248,7,0)</f>
        <v>0</v>
      </c>
      <c r="H89" s="2546">
        <f>+VLOOKUP(C89,'[10]Mủ CN (tam ung)'!C150:AK211,35,0)</f>
        <v>61</v>
      </c>
      <c r="I89" s="2546">
        <f>+VLOOKUP(C89,[10]VCKD!D162:L248,9,0)</f>
        <v>0</v>
      </c>
      <c r="J89" s="2546">
        <f t="shared" si="5"/>
        <v>24.400000000000002</v>
      </c>
      <c r="K89" s="2546">
        <f t="shared" si="6"/>
        <v>0</v>
      </c>
      <c r="L89" s="2545" t="str">
        <f>+VLOOKUP(C89,[10]THKT!B145:Z231,25,0)</f>
        <v>A</v>
      </c>
      <c r="M89" s="3006">
        <f t="shared" si="7"/>
        <v>102491.22400000002</v>
      </c>
      <c r="N89" s="2688">
        <v>0</v>
      </c>
      <c r="O89" s="2688">
        <v>0</v>
      </c>
      <c r="P89" s="2689">
        <v>0</v>
      </c>
      <c r="Q89" s="2546">
        <v>0</v>
      </c>
      <c r="R89" s="2546">
        <f t="shared" si="8"/>
        <v>102491.22400000002</v>
      </c>
      <c r="S89" s="2546"/>
      <c r="T89" s="2546"/>
      <c r="U89" s="2546">
        <f t="shared" si="9"/>
        <v>102491.22400000002</v>
      </c>
      <c r="V89" s="2546"/>
    </row>
    <row r="90" spans="1:22" ht="23.25">
      <c r="A90" s="2545">
        <v>75</v>
      </c>
      <c r="B90" s="2545" t="s">
        <v>1515</v>
      </c>
      <c r="C90" s="2546" t="s">
        <v>1515</v>
      </c>
      <c r="D90" s="2546" t="str">
        <f>'[3]CNKT '!D68</f>
        <v>CNKT</v>
      </c>
      <c r="E90" s="2546"/>
      <c r="F90" s="2547">
        <f>+VLOOKUP(C90,[10]VCKD!D163:H249,5,0)</f>
        <v>0</v>
      </c>
      <c r="G90" s="2546">
        <f>+VLOOKUP(C90,[10]VCKD!D163:J249,7,0)</f>
        <v>0</v>
      </c>
      <c r="H90" s="2546">
        <f>+VLOOKUP(C90,'[10]Mủ CN (tam ung)'!C151:AK212,35,0)</f>
        <v>40</v>
      </c>
      <c r="I90" s="2546">
        <f>+VLOOKUP(C90,[10]VCKD!D163:L249,9,0)</f>
        <v>0</v>
      </c>
      <c r="J90" s="2546">
        <f t="shared" si="5"/>
        <v>16</v>
      </c>
      <c r="K90" s="2546">
        <f t="shared" si="6"/>
        <v>0</v>
      </c>
      <c r="L90" s="2545" t="str">
        <f>+VLOOKUP(C90,[10]THKT!B146:Z232,25,0)</f>
        <v>B</v>
      </c>
      <c r="M90" s="3006">
        <f t="shared" si="7"/>
        <v>63902.080000000002</v>
      </c>
      <c r="N90" s="2688">
        <v>0</v>
      </c>
      <c r="O90" s="2688">
        <v>0</v>
      </c>
      <c r="P90" s="2689">
        <v>0</v>
      </c>
      <c r="Q90" s="2546">
        <v>0</v>
      </c>
      <c r="R90" s="2546">
        <f t="shared" si="8"/>
        <v>63902.080000000002</v>
      </c>
      <c r="S90" s="2546"/>
      <c r="T90" s="2546"/>
      <c r="U90" s="2546">
        <f t="shared" si="9"/>
        <v>63902.080000000002</v>
      </c>
      <c r="V90" s="2546"/>
    </row>
    <row r="91" spans="1:22" ht="23.25">
      <c r="A91" s="2545">
        <v>76</v>
      </c>
      <c r="B91" s="2545" t="s">
        <v>1815</v>
      </c>
      <c r="C91" s="2546" t="s">
        <v>1516</v>
      </c>
      <c r="D91" s="2546" t="str">
        <f>'[3]CNKT '!D69</f>
        <v>CNKT</v>
      </c>
      <c r="E91" s="2546"/>
      <c r="F91" s="2547">
        <f>+VLOOKUP(C91,[10]VCKD!D164:H250,5,0)</f>
        <v>0</v>
      </c>
      <c r="G91" s="2546">
        <f>+VLOOKUP(C91,[10]VCKD!D164:J250,7,0)</f>
        <v>0</v>
      </c>
      <c r="H91" s="2546">
        <f>+VLOOKUP(C91,'[10]Mủ CN (tam ung)'!C152:AK213,35,0)</f>
        <v>40</v>
      </c>
      <c r="I91" s="2546">
        <f>+VLOOKUP(C91,[10]VCKD!D164:L250,9,0)</f>
        <v>0</v>
      </c>
      <c r="J91" s="2546">
        <f t="shared" si="5"/>
        <v>16</v>
      </c>
      <c r="K91" s="2546">
        <f t="shared" si="6"/>
        <v>0</v>
      </c>
      <c r="L91" s="2545" t="str">
        <f>+VLOOKUP(C91,[10]THKT!B147:Z233,25,0)</f>
        <v>A</v>
      </c>
      <c r="M91" s="3006">
        <f t="shared" si="7"/>
        <v>67207.360000000001</v>
      </c>
      <c r="N91" s="2688">
        <v>0</v>
      </c>
      <c r="O91" s="2688">
        <v>0</v>
      </c>
      <c r="P91" s="2689">
        <v>0</v>
      </c>
      <c r="Q91" s="2546">
        <v>0</v>
      </c>
      <c r="R91" s="2546">
        <f t="shared" si="8"/>
        <v>67207.360000000001</v>
      </c>
      <c r="S91" s="2546"/>
      <c r="T91" s="2546"/>
      <c r="U91" s="2546">
        <f t="shared" si="9"/>
        <v>67207.360000000001</v>
      </c>
      <c r="V91" s="2546"/>
    </row>
    <row r="92" spans="1:22" ht="23.25">
      <c r="A92" s="2545">
        <v>77</v>
      </c>
      <c r="B92" s="2545" t="s">
        <v>1816</v>
      </c>
      <c r="C92" s="2546" t="s">
        <v>288</v>
      </c>
      <c r="D92" s="2546" t="str">
        <f>'[3]CNKT '!D70</f>
        <v>CNKT</v>
      </c>
      <c r="E92" s="2546"/>
      <c r="F92" s="2547">
        <f>+VLOOKUP(C92,[10]VCKD!D165:H251,5,0)</f>
        <v>0</v>
      </c>
      <c r="G92" s="2546">
        <f>+VLOOKUP(C92,[10]VCKD!D165:J251,7,0)</f>
        <v>0</v>
      </c>
      <c r="H92" s="2546">
        <f>+VLOOKUP(C92,'[10]Mủ CN (tam ung)'!C153:AK214,35,0)</f>
        <v>57</v>
      </c>
      <c r="I92" s="2546">
        <f>+VLOOKUP(C92,[10]VCKD!D165:L251,9,0)</f>
        <v>0</v>
      </c>
      <c r="J92" s="2546">
        <f t="shared" si="5"/>
        <v>22.8</v>
      </c>
      <c r="K92" s="2546">
        <f t="shared" si="6"/>
        <v>0</v>
      </c>
      <c r="L92" s="2545" t="str">
        <f>+VLOOKUP(C92,[10]THKT!B148:Z234,25,0)</f>
        <v>A</v>
      </c>
      <c r="M92" s="3006">
        <f t="shared" si="7"/>
        <v>95770.487999999998</v>
      </c>
      <c r="N92" s="2688">
        <v>0</v>
      </c>
      <c r="O92" s="2688">
        <v>0</v>
      </c>
      <c r="P92" s="2689">
        <v>0</v>
      </c>
      <c r="Q92" s="2546">
        <v>0</v>
      </c>
      <c r="R92" s="2546">
        <f t="shared" si="8"/>
        <v>95770.487999999998</v>
      </c>
      <c r="S92" s="2546"/>
      <c r="T92" s="2546"/>
      <c r="U92" s="2546">
        <f t="shared" si="9"/>
        <v>95770.487999999998</v>
      </c>
      <c r="V92" s="2546"/>
    </row>
    <row r="93" spans="1:22" ht="23.25">
      <c r="A93" s="2545">
        <v>78</v>
      </c>
      <c r="B93" s="2545" t="s">
        <v>1817</v>
      </c>
      <c r="C93" s="2546" t="s">
        <v>1215</v>
      </c>
      <c r="D93" s="2546" t="str">
        <f>'[3]CNKT '!D71</f>
        <v>CNKT</v>
      </c>
      <c r="E93" s="2546"/>
      <c r="F93" s="2547">
        <f>+VLOOKUP(C93,[10]VCKD!D166:H252,5,0)</f>
        <v>0</v>
      </c>
      <c r="G93" s="2546">
        <f>+VLOOKUP(C93,[10]VCKD!D166:J252,7,0)</f>
        <v>0</v>
      </c>
      <c r="H93" s="2546">
        <f>+VLOOKUP(C93,'[10]Mủ CN (tam ung)'!C154:AK215,35,0)</f>
        <v>51</v>
      </c>
      <c r="I93" s="2546">
        <f>+VLOOKUP(C93,[10]VCKD!D166:L252,9,0)</f>
        <v>0</v>
      </c>
      <c r="J93" s="2546">
        <f t="shared" si="5"/>
        <v>20.400000000000002</v>
      </c>
      <c r="K93" s="2546">
        <f t="shared" si="6"/>
        <v>0</v>
      </c>
      <c r="L93" s="2545" t="str">
        <f>+VLOOKUP(C93,[10]THKT!B149:Z235,25,0)</f>
        <v>B</v>
      </c>
      <c r="M93" s="3006">
        <f t="shared" si="7"/>
        <v>81475.152000000016</v>
      </c>
      <c r="N93" s="2688">
        <v>0</v>
      </c>
      <c r="O93" s="2688">
        <v>0</v>
      </c>
      <c r="P93" s="2689">
        <v>0</v>
      </c>
      <c r="Q93" s="2546">
        <v>0</v>
      </c>
      <c r="R93" s="2546">
        <f t="shared" si="8"/>
        <v>81475.152000000016</v>
      </c>
      <c r="S93" s="2546"/>
      <c r="T93" s="2546"/>
      <c r="U93" s="2546">
        <f t="shared" si="9"/>
        <v>81475.152000000016</v>
      </c>
      <c r="V93" s="2546"/>
    </row>
    <row r="94" spans="1:22" ht="23.25">
      <c r="A94" s="2545">
        <v>79</v>
      </c>
      <c r="B94" s="2545" t="s">
        <v>1818</v>
      </c>
      <c r="C94" s="2546" t="s">
        <v>1189</v>
      </c>
      <c r="D94" s="2546" t="str">
        <f>'[3]CNKT '!D72</f>
        <v>CNKT</v>
      </c>
      <c r="E94" s="2546"/>
      <c r="F94" s="2547">
        <f>+VLOOKUP(C94,[10]VCKD!D167:H253,5,0)</f>
        <v>0</v>
      </c>
      <c r="G94" s="2546">
        <f>+VLOOKUP(C94,[10]VCKD!D167:J253,7,0)</f>
        <v>0</v>
      </c>
      <c r="H94" s="2546">
        <f>+VLOOKUP(C94,'[10]Mủ CN (tam ung)'!C155:AK216,35,0)</f>
        <v>142</v>
      </c>
      <c r="I94" s="2546">
        <f>+VLOOKUP(C94,[10]VCKD!D167:L253,9,0)</f>
        <v>0</v>
      </c>
      <c r="J94" s="2546">
        <f t="shared" si="5"/>
        <v>56.800000000000004</v>
      </c>
      <c r="K94" s="2546">
        <f t="shared" si="6"/>
        <v>0</v>
      </c>
      <c r="L94" s="2545" t="str">
        <f>+VLOOKUP(C94,[10]THKT!B150:Z236,25,0)</f>
        <v>B</v>
      </c>
      <c r="M94" s="3006">
        <f t="shared" si="7"/>
        <v>226852.38400000002</v>
      </c>
      <c r="N94" s="2688">
        <v>0</v>
      </c>
      <c r="O94" s="2688">
        <v>0</v>
      </c>
      <c r="P94" s="2689">
        <v>0</v>
      </c>
      <c r="Q94" s="2546">
        <v>0</v>
      </c>
      <c r="R94" s="2546">
        <f t="shared" si="8"/>
        <v>226852.38400000002</v>
      </c>
      <c r="S94" s="2546"/>
      <c r="T94" s="2546"/>
      <c r="U94" s="2546">
        <f t="shared" si="9"/>
        <v>226852.38400000002</v>
      </c>
      <c r="V94" s="2546"/>
    </row>
    <row r="95" spans="1:22" ht="23.25">
      <c r="A95" s="2545">
        <v>80</v>
      </c>
      <c r="B95" s="2545" t="s">
        <v>1819</v>
      </c>
      <c r="C95" s="2546" t="s">
        <v>1542</v>
      </c>
      <c r="D95" s="2546" t="str">
        <f>'[3]CNKT '!D73</f>
        <v>CNKT</v>
      </c>
      <c r="E95" s="2546"/>
      <c r="F95" s="2547">
        <f>+VLOOKUP(C95,[10]VCKD!D168:H254,5,0)</f>
        <v>0</v>
      </c>
      <c r="G95" s="2546">
        <f>+VLOOKUP(C95,[10]VCKD!D168:J254,7,0)</f>
        <v>0</v>
      </c>
      <c r="H95" s="2546">
        <f>+VLOOKUP(C95,'[10]Mủ CN (tam ung)'!C156:AK217,35,0)</f>
        <v>74</v>
      </c>
      <c r="I95" s="2546">
        <f>+VLOOKUP(C95,[10]VCKD!D168:L254,9,0)</f>
        <v>0</v>
      </c>
      <c r="J95" s="2546">
        <f t="shared" si="5"/>
        <v>29.6</v>
      </c>
      <c r="K95" s="2546">
        <f t="shared" si="6"/>
        <v>0</v>
      </c>
      <c r="L95" s="2545" t="str">
        <f>+VLOOKUP(C95,[10]THKT!B151:Z237,25,0)</f>
        <v>A</v>
      </c>
      <c r="M95" s="3006">
        <f t="shared" si="7"/>
        <v>124333.61600000001</v>
      </c>
      <c r="N95" s="2688">
        <v>0</v>
      </c>
      <c r="O95" s="2688">
        <v>0</v>
      </c>
      <c r="P95" s="2689">
        <v>0</v>
      </c>
      <c r="Q95" s="2546">
        <v>0</v>
      </c>
      <c r="R95" s="2546">
        <f t="shared" si="8"/>
        <v>124333.61600000001</v>
      </c>
      <c r="S95" s="2546"/>
      <c r="T95" s="2546"/>
      <c r="U95" s="2546">
        <f t="shared" si="9"/>
        <v>124333.61600000001</v>
      </c>
      <c r="V95" s="2546"/>
    </row>
    <row r="96" spans="1:22" ht="23.25">
      <c r="A96" s="2545">
        <v>81</v>
      </c>
      <c r="B96" s="2545" t="s">
        <v>1820</v>
      </c>
      <c r="C96" s="2546" t="s">
        <v>1543</v>
      </c>
      <c r="D96" s="2546" t="str">
        <f>'[3]CNKT '!D74</f>
        <v>CNKT</v>
      </c>
      <c r="E96" s="2546"/>
      <c r="F96" s="2547">
        <f>+VLOOKUP(C96,[10]VCKD!D169:H255,5,0)</f>
        <v>0</v>
      </c>
      <c r="G96" s="2546">
        <f>+VLOOKUP(C96,[10]VCKD!D169:J255,7,0)</f>
        <v>0</v>
      </c>
      <c r="H96" s="2546">
        <f>+VLOOKUP(C96,'[10]Mủ CN (tam ung)'!C157:AK218,35,0)</f>
        <v>116</v>
      </c>
      <c r="I96" s="2546">
        <f>+VLOOKUP(C96,[10]VCKD!D169:L255,9,0)</f>
        <v>0</v>
      </c>
      <c r="J96" s="2546">
        <f t="shared" si="5"/>
        <v>46.400000000000006</v>
      </c>
      <c r="K96" s="2546">
        <f t="shared" si="6"/>
        <v>0</v>
      </c>
      <c r="L96" s="2545" t="str">
        <f>+VLOOKUP(C96,[10]THKT!B152:Z238,25,0)</f>
        <v>A</v>
      </c>
      <c r="M96" s="3006">
        <f t="shared" si="7"/>
        <v>194901.34400000001</v>
      </c>
      <c r="N96" s="2688">
        <v>0</v>
      </c>
      <c r="O96" s="2688">
        <v>0</v>
      </c>
      <c r="P96" s="2689">
        <v>0</v>
      </c>
      <c r="Q96" s="2546">
        <v>0</v>
      </c>
      <c r="R96" s="2546">
        <f t="shared" si="8"/>
        <v>194901.34400000001</v>
      </c>
      <c r="S96" s="2546"/>
      <c r="T96" s="2546"/>
      <c r="U96" s="2546">
        <f t="shared" si="9"/>
        <v>194901.34400000001</v>
      </c>
      <c r="V96" s="2546"/>
    </row>
    <row r="97" spans="1:22" ht="23.25">
      <c r="A97" s="2545">
        <v>82</v>
      </c>
      <c r="B97" s="2545" t="s">
        <v>1821</v>
      </c>
      <c r="C97" s="2546" t="s">
        <v>1544</v>
      </c>
      <c r="D97" s="2546" t="str">
        <f>'[3]CNKT '!D76</f>
        <v>CNKT</v>
      </c>
      <c r="E97" s="2546"/>
      <c r="F97" s="2547">
        <f>+VLOOKUP(C97,[10]VCKD!D171:H257,5,0)</f>
        <v>0</v>
      </c>
      <c r="G97" s="2546">
        <f>+VLOOKUP(C97,[10]VCKD!D171:J257,7,0)</f>
        <v>0</v>
      </c>
      <c r="H97" s="2546">
        <f>+VLOOKUP(C97,'[10]Mủ CN (tam ung)'!C159:AK220,35,0)</f>
        <v>127</v>
      </c>
      <c r="I97" s="2546">
        <f>+VLOOKUP(C97,[10]VCKD!D171:L257,9,0)</f>
        <v>0</v>
      </c>
      <c r="J97" s="2546">
        <f t="shared" si="5"/>
        <v>50.800000000000004</v>
      </c>
      <c r="K97" s="2546">
        <f t="shared" si="6"/>
        <v>0</v>
      </c>
      <c r="L97" s="2545" t="str">
        <f>+VLOOKUP(C97,[10]THKT!B153:Z239,25,0)</f>
        <v>A</v>
      </c>
      <c r="M97" s="3006">
        <f t="shared" si="7"/>
        <v>213383.36800000002</v>
      </c>
      <c r="N97" s="2688">
        <v>0</v>
      </c>
      <c r="O97" s="2688">
        <v>0</v>
      </c>
      <c r="P97" s="2689">
        <v>0</v>
      </c>
      <c r="Q97" s="2546">
        <v>0</v>
      </c>
      <c r="R97" s="2546">
        <f t="shared" si="8"/>
        <v>213383.36800000002</v>
      </c>
      <c r="S97" s="2546"/>
      <c r="T97" s="2546"/>
      <c r="U97" s="2546">
        <f t="shared" si="9"/>
        <v>213383.36800000002</v>
      </c>
      <c r="V97" s="2546"/>
    </row>
    <row r="98" spans="1:22" ht="22.5">
      <c r="A98" s="3973" t="s">
        <v>61</v>
      </c>
      <c r="B98" s="3974"/>
      <c r="C98" s="3974"/>
      <c r="D98" s="3975"/>
      <c r="E98" s="3202"/>
      <c r="F98" s="2550">
        <f>SUM(F16:F97)</f>
        <v>0</v>
      </c>
      <c r="G98" s="2550">
        <f>SUM(G16:G97)</f>
        <v>0</v>
      </c>
      <c r="H98" s="2550">
        <f>SUM(H16:H97)</f>
        <v>6742</v>
      </c>
      <c r="I98" s="2550"/>
      <c r="J98" s="2550">
        <f>SUM(J16:J97)</f>
        <v>2696.8000000000011</v>
      </c>
      <c r="K98" s="2550"/>
      <c r="L98" s="2550"/>
      <c r="M98" s="2550">
        <f t="shared" ref="M98:S98" si="10">SUM(M16:M97)</f>
        <v>11223518.944000004</v>
      </c>
      <c r="N98" s="2550">
        <f t="shared" si="10"/>
        <v>0</v>
      </c>
      <c r="O98" s="2550">
        <f t="shared" si="10"/>
        <v>0</v>
      </c>
      <c r="P98" s="2550">
        <f t="shared" si="10"/>
        <v>0</v>
      </c>
      <c r="Q98" s="2550">
        <f t="shared" si="10"/>
        <v>0</v>
      </c>
      <c r="R98" s="2550">
        <f t="shared" si="10"/>
        <v>11223518.944000004</v>
      </c>
      <c r="S98" s="2550">
        <f t="shared" si="10"/>
        <v>0</v>
      </c>
      <c r="T98" s="2550"/>
      <c r="U98" s="2550">
        <f>SUM(U16:U97)</f>
        <v>11223518.944000004</v>
      </c>
      <c r="V98" s="2552"/>
    </row>
    <row r="99" spans="1:22" ht="22.5">
      <c r="A99" s="3976" t="s">
        <v>1951</v>
      </c>
      <c r="B99" s="3976"/>
      <c r="C99" s="3976"/>
      <c r="D99" s="3976"/>
      <c r="E99" s="3976"/>
      <c r="F99" s="3976"/>
      <c r="G99" s="3976"/>
      <c r="H99" s="3976"/>
      <c r="I99" s="3976"/>
      <c r="J99" s="3976"/>
      <c r="K99" s="3976"/>
      <c r="L99" s="3976"/>
      <c r="M99" s="3976"/>
      <c r="N99" s="3976"/>
      <c r="O99" s="3976"/>
      <c r="P99" s="3976"/>
      <c r="Q99" s="3976"/>
      <c r="R99" s="3976"/>
      <c r="S99" s="3976"/>
      <c r="T99" s="3976"/>
      <c r="U99" s="3976"/>
      <c r="V99" s="3976"/>
    </row>
    <row r="100" spans="1:22" ht="25.5">
      <c r="A100" s="2553"/>
      <c r="B100" s="2553"/>
      <c r="C100" s="2553"/>
      <c r="D100" s="2553"/>
      <c r="E100" s="2553"/>
      <c r="F100" s="2553"/>
      <c r="G100" s="2553"/>
      <c r="H100" s="2553"/>
      <c r="I100" s="2553"/>
      <c r="J100" s="2553"/>
      <c r="K100" s="2553"/>
      <c r="L100" s="2553"/>
      <c r="M100" s="2553"/>
      <c r="N100" s="2553"/>
      <c r="O100" s="2553"/>
      <c r="P100" s="2553"/>
      <c r="Q100" s="2553"/>
      <c r="R100" s="2553"/>
      <c r="S100" s="2553"/>
      <c r="T100" s="2553"/>
      <c r="U100" s="2553"/>
      <c r="V100" s="2553"/>
    </row>
    <row r="101" spans="1:22" ht="26.25">
      <c r="A101" s="2554"/>
      <c r="B101" s="2555"/>
      <c r="C101" s="2556"/>
      <c r="D101" s="2557"/>
      <c r="E101" s="2557"/>
      <c r="F101" s="2558"/>
      <c r="G101" s="2559"/>
      <c r="H101" s="2559"/>
      <c r="I101" s="2559"/>
      <c r="J101" s="2560"/>
      <c r="K101" s="2560"/>
      <c r="L101" s="2561"/>
      <c r="M101" s="2562"/>
      <c r="N101" s="2563"/>
      <c r="O101" s="2563"/>
      <c r="P101" s="2563"/>
      <c r="Q101" s="2559"/>
      <c r="R101" s="3977" t="s">
        <v>1890</v>
      </c>
      <c r="S101" s="3977"/>
      <c r="T101" s="3977"/>
      <c r="U101" s="3977"/>
      <c r="V101" s="3977"/>
    </row>
    <row r="102" spans="1:22" ht="23.25">
      <c r="A102" s="2516"/>
      <c r="B102" s="3200"/>
      <c r="C102" s="2518"/>
      <c r="D102" s="2564"/>
      <c r="E102" s="2564"/>
      <c r="F102" s="2565"/>
      <c r="G102" s="2519"/>
      <c r="H102" s="2519"/>
      <c r="I102" s="2519"/>
      <c r="J102" s="2521"/>
      <c r="K102" s="2521"/>
      <c r="L102" s="2522"/>
      <c r="M102" s="2523"/>
      <c r="N102" s="2566"/>
      <c r="O102" s="2566"/>
      <c r="P102" s="2566"/>
      <c r="Q102" s="2519"/>
      <c r="R102" s="2519"/>
      <c r="S102" s="2567"/>
      <c r="T102" s="2567"/>
      <c r="U102" s="2567"/>
      <c r="V102" s="2519"/>
    </row>
    <row r="103" spans="1:22" ht="23.25">
      <c r="A103" s="2516"/>
      <c r="B103" s="3200"/>
      <c r="C103" s="2518"/>
      <c r="D103" s="2564"/>
      <c r="E103" s="2564"/>
      <c r="F103" s="2565"/>
      <c r="G103" s="2519"/>
      <c r="H103" s="2519"/>
      <c r="I103" s="2519"/>
      <c r="J103" s="2521"/>
      <c r="K103" s="2521"/>
      <c r="L103" s="2522"/>
      <c r="M103" s="2523"/>
      <c r="N103" s="2566"/>
      <c r="O103" s="2566"/>
      <c r="P103" s="2566"/>
      <c r="Q103" s="2519"/>
      <c r="R103" s="2519"/>
      <c r="S103" s="2567"/>
      <c r="T103" s="2567"/>
      <c r="U103" s="2567"/>
      <c r="V103" s="2519"/>
    </row>
    <row r="104" spans="1:22" ht="22.5">
      <c r="A104" s="3962" t="s">
        <v>502</v>
      </c>
      <c r="B104" s="3962"/>
      <c r="C104" s="3962"/>
      <c r="D104" s="3962"/>
      <c r="E104" s="3962"/>
      <c r="F104" s="3962"/>
      <c r="G104" s="3962" t="s">
        <v>1598</v>
      </c>
      <c r="H104" s="3962"/>
      <c r="I104" s="3962"/>
      <c r="J104" s="3962"/>
      <c r="K104" s="3962"/>
      <c r="L104" s="3962"/>
      <c r="M104" s="3962" t="s">
        <v>513</v>
      </c>
      <c r="N104" s="3962"/>
      <c r="O104" s="3962"/>
      <c r="P104" s="3962"/>
      <c r="Q104" s="3962"/>
      <c r="R104" s="3962" t="s">
        <v>1599</v>
      </c>
      <c r="S104" s="3962"/>
      <c r="T104" s="3962"/>
      <c r="U104" s="3962"/>
      <c r="V104" s="3962"/>
    </row>
    <row r="105" spans="1:22" ht="22.5">
      <c r="A105" s="2529"/>
      <c r="B105" s="2568"/>
      <c r="C105" s="3194"/>
      <c r="D105" s="3194"/>
      <c r="E105" s="3194"/>
      <c r="F105" s="3194"/>
      <c r="G105" s="3194"/>
      <c r="H105" s="3194"/>
      <c r="I105" s="3194"/>
      <c r="J105" s="2569"/>
      <c r="K105" s="2569"/>
      <c r="L105" s="3194"/>
      <c r="M105" s="2528"/>
      <c r="N105" s="2568"/>
      <c r="O105" s="2528"/>
      <c r="P105" s="2528"/>
      <c r="Q105" s="2570"/>
      <c r="R105" s="3194"/>
      <c r="S105" s="3194"/>
      <c r="T105" s="3194"/>
      <c r="U105" s="3194"/>
      <c r="V105" s="2568"/>
    </row>
    <row r="106" spans="1:22" ht="22.5">
      <c r="A106" s="2529"/>
      <c r="B106" s="2568"/>
      <c r="C106" s="3194"/>
      <c r="D106" s="3194"/>
      <c r="E106" s="3194"/>
      <c r="F106" s="3194"/>
      <c r="G106" s="3194"/>
      <c r="H106" s="3194"/>
      <c r="I106" s="3194"/>
      <c r="J106" s="2569"/>
      <c r="K106" s="2569"/>
      <c r="L106" s="3194"/>
      <c r="M106" s="2528"/>
      <c r="N106" s="2568"/>
      <c r="O106" s="2528"/>
      <c r="P106" s="2528"/>
      <c r="Q106" s="2570"/>
      <c r="R106" s="3194"/>
      <c r="S106" s="3194"/>
      <c r="T106" s="3194"/>
      <c r="U106" s="3194"/>
      <c r="V106" s="2568"/>
    </row>
    <row r="107" spans="1:22" ht="22.5">
      <c r="A107" s="2529"/>
      <c r="B107" s="2568"/>
      <c r="C107" s="3194"/>
      <c r="D107" s="3194"/>
      <c r="E107" s="3194"/>
      <c r="F107" s="3194"/>
      <c r="G107" s="3194"/>
      <c r="H107" s="3194"/>
      <c r="I107" s="3194"/>
      <c r="J107" s="2569"/>
      <c r="K107" s="2569"/>
      <c r="L107" s="3194"/>
      <c r="M107" s="2568"/>
      <c r="N107" s="2568"/>
      <c r="O107" s="2528"/>
      <c r="P107" s="2528"/>
      <c r="Q107" s="2570"/>
      <c r="R107" s="3194"/>
      <c r="S107" s="3194"/>
      <c r="T107" s="3194"/>
      <c r="U107" s="3194"/>
      <c r="V107" s="2568"/>
    </row>
    <row r="108" spans="1:22" ht="22.5">
      <c r="A108" s="2529"/>
      <c r="B108" s="2568"/>
      <c r="C108" s="3194"/>
      <c r="D108" s="3194"/>
      <c r="E108" s="3194"/>
      <c r="F108" s="3194"/>
      <c r="G108" s="3194"/>
      <c r="H108" s="3194"/>
      <c r="I108" s="3194"/>
      <c r="J108" s="2569"/>
      <c r="K108" s="2569"/>
      <c r="L108" s="3194"/>
      <c r="M108" s="2571"/>
      <c r="N108" s="2568"/>
      <c r="O108" s="2528"/>
      <c r="P108" s="2528"/>
      <c r="Q108" s="2528"/>
      <c r="R108" s="3194"/>
      <c r="S108" s="3194"/>
      <c r="T108" s="3194"/>
      <c r="U108" s="3194"/>
      <c r="V108" s="2568"/>
    </row>
    <row r="109" spans="1:22" ht="22.5">
      <c r="A109" s="2529"/>
      <c r="B109" s="2568"/>
      <c r="C109" s="3194"/>
      <c r="D109" s="3194"/>
      <c r="E109" s="3194"/>
      <c r="F109" s="3203"/>
      <c r="G109" s="3194"/>
      <c r="H109" s="3194"/>
      <c r="I109" s="3194"/>
      <c r="J109" s="2569"/>
      <c r="K109" s="2569"/>
      <c r="L109" s="3194"/>
      <c r="M109" s="2528"/>
      <c r="N109" s="2568"/>
      <c r="O109" s="2528"/>
      <c r="P109" s="2528"/>
      <c r="Q109" s="2570"/>
      <c r="R109" s="3194"/>
      <c r="S109" s="3194"/>
      <c r="T109" s="3194"/>
      <c r="U109" s="3194"/>
      <c r="V109" s="2568"/>
    </row>
    <row r="110" spans="1:22" ht="22.5">
      <c r="A110" s="2529"/>
      <c r="B110" s="2568"/>
      <c r="C110" s="3194"/>
      <c r="D110" s="3203"/>
      <c r="E110" s="3203"/>
      <c r="F110" s="3201"/>
      <c r="G110" s="3194"/>
      <c r="H110" s="3194"/>
      <c r="I110" s="3194"/>
      <c r="J110" s="2569"/>
      <c r="K110" s="2569"/>
      <c r="L110" s="3194"/>
      <c r="M110" s="2528"/>
      <c r="N110" s="2568"/>
      <c r="O110" s="2528"/>
      <c r="P110" s="2528"/>
      <c r="Q110" s="2570"/>
      <c r="R110" s="3194"/>
      <c r="S110" s="3194"/>
      <c r="T110" s="3194"/>
      <c r="U110" s="3194"/>
      <c r="V110" s="2568"/>
    </row>
    <row r="111" spans="1:22" ht="22.5">
      <c r="A111" s="2529"/>
      <c r="B111" s="2568"/>
      <c r="C111" s="3194"/>
      <c r="D111" s="3194"/>
      <c r="E111" s="3194"/>
      <c r="F111" s="3194"/>
      <c r="G111" s="2568"/>
      <c r="H111" s="2568"/>
      <c r="I111" s="2568"/>
      <c r="J111" s="2528"/>
      <c r="K111" s="2528"/>
      <c r="L111" s="2528"/>
      <c r="M111" s="2528"/>
      <c r="N111" s="3962"/>
      <c r="O111" s="3962"/>
      <c r="P111" s="3962"/>
      <c r="Q111" s="3962"/>
      <c r="R111" s="2568"/>
      <c r="S111" s="2568"/>
      <c r="T111" s="2568"/>
      <c r="U111" s="3194"/>
      <c r="V111" s="2528"/>
    </row>
    <row r="112" spans="1:22" ht="22.5">
      <c r="A112" s="3991" t="s">
        <v>1901</v>
      </c>
      <c r="B112" s="3991"/>
      <c r="C112" s="3991"/>
      <c r="D112" s="3991"/>
      <c r="E112" s="3991"/>
      <c r="F112" s="3991"/>
      <c r="G112" s="3962" t="s">
        <v>1853</v>
      </c>
      <c r="H112" s="3962"/>
      <c r="I112" s="3962"/>
      <c r="J112" s="3962"/>
      <c r="K112" s="3962"/>
      <c r="L112" s="3962"/>
      <c r="M112" s="2528"/>
      <c r="N112" s="2568"/>
      <c r="O112" s="2528"/>
      <c r="P112" s="2528"/>
      <c r="Q112" s="2570"/>
      <c r="R112" s="3978" t="s">
        <v>533</v>
      </c>
      <c r="S112" s="3978"/>
      <c r="T112" s="3978"/>
      <c r="U112" s="3978"/>
      <c r="V112" s="3978"/>
    </row>
    <row r="113" spans="1:22" ht="23.25">
      <c r="A113" s="2529"/>
      <c r="B113" s="2568"/>
      <c r="C113" s="3194"/>
      <c r="D113" s="3203"/>
      <c r="E113" s="3203"/>
      <c r="F113" s="2571"/>
      <c r="G113" s="3208"/>
      <c r="H113" s="3208"/>
      <c r="I113" s="3208"/>
      <c r="J113" s="2569"/>
      <c r="K113" s="2569"/>
      <c r="L113" s="3194"/>
      <c r="M113" s="2571"/>
      <c r="N113" s="2568"/>
      <c r="O113" s="2528"/>
      <c r="P113" s="2528"/>
      <c r="Q113" s="2519"/>
      <c r="R113" s="2571"/>
      <c r="S113" s="2528"/>
      <c r="T113" s="2528"/>
      <c r="U113" s="2528"/>
      <c r="V113" s="2568"/>
    </row>
    <row r="114" spans="1:22" ht="23.25">
      <c r="A114" s="2516"/>
      <c r="B114" s="2519"/>
      <c r="C114" s="2519"/>
      <c r="D114" s="2519"/>
      <c r="E114" s="2519"/>
      <c r="F114" s="2566"/>
      <c r="G114" s="2566"/>
      <c r="H114" s="2566"/>
      <c r="I114" s="2566"/>
      <c r="J114" s="2574"/>
      <c r="K114" s="2574"/>
      <c r="L114" s="2574"/>
      <c r="M114" s="2566"/>
      <c r="N114" s="2519"/>
      <c r="O114" s="2519"/>
      <c r="P114" s="2519"/>
      <c r="Q114" s="2519"/>
      <c r="R114" s="2519"/>
      <c r="S114" s="2519"/>
      <c r="T114" s="2519"/>
      <c r="U114" s="2519"/>
      <c r="V114" s="2519"/>
    </row>
  </sheetData>
  <mergeCells count="34">
    <mergeCell ref="A9:V9"/>
    <mergeCell ref="A2:V2"/>
    <mergeCell ref="A3:V3"/>
    <mergeCell ref="A4:V4"/>
    <mergeCell ref="A6:J6"/>
    <mergeCell ref="A7:J7"/>
    <mergeCell ref="A10:V10"/>
    <mergeCell ref="C12:F12"/>
    <mergeCell ref="U12:V12"/>
    <mergeCell ref="A13:A15"/>
    <mergeCell ref="B13:B15"/>
    <mergeCell ref="C13:C15"/>
    <mergeCell ref="D13:D15"/>
    <mergeCell ref="E13:E15"/>
    <mergeCell ref="F13:Q13"/>
    <mergeCell ref="R13:R15"/>
    <mergeCell ref="S13:S15"/>
    <mergeCell ref="T13:T15"/>
    <mergeCell ref="U13:U15"/>
    <mergeCell ref="V13:V15"/>
    <mergeCell ref="F14:G14"/>
    <mergeCell ref="H14:M14"/>
    <mergeCell ref="N14:Q14"/>
    <mergeCell ref="N111:Q111"/>
    <mergeCell ref="A112:F112"/>
    <mergeCell ref="G112:L112"/>
    <mergeCell ref="R112:V112"/>
    <mergeCell ref="A98:D98"/>
    <mergeCell ref="A99:V99"/>
    <mergeCell ref="R101:V101"/>
    <mergeCell ref="A104:F104"/>
    <mergeCell ref="G104:L104"/>
    <mergeCell ref="M104:Q104"/>
    <mergeCell ref="R104:V10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Y139"/>
  <sheetViews>
    <sheetView topLeftCell="A34" zoomScale="71" zoomScaleNormal="71" workbookViewId="0">
      <selection activeCell="M18" sqref="M18"/>
    </sheetView>
  </sheetViews>
  <sheetFormatPr defaultColWidth="9.42578125" defaultRowHeight="23.25"/>
  <cols>
    <col min="1" max="1" width="8.42578125" style="2516" customWidth="1"/>
    <col min="2" max="2" width="20.5703125" style="2934" customWidth="1"/>
    <col min="3" max="3" width="19.85546875" style="2518" customWidth="1"/>
    <col min="4" max="4" width="15.5703125" style="2519" customWidth="1"/>
    <col min="5" max="5" width="19.5703125" style="2519" customWidth="1"/>
    <col min="6" max="6" width="19.28515625" style="2520" hidden="1" customWidth="1"/>
    <col min="7" max="7" width="19.42578125" style="2519" hidden="1" customWidth="1"/>
    <col min="8" max="8" width="14.85546875" style="2519" customWidth="1"/>
    <col min="9" max="9" width="20" style="3042" customWidth="1"/>
    <col min="10" max="10" width="12.42578125" style="2522" customWidth="1"/>
    <col min="11" max="12" width="22.140625" style="2523" customWidth="1"/>
    <col min="13" max="13" width="26.42578125" style="2523" customWidth="1"/>
    <col min="14" max="14" width="11.85546875" style="2519" hidden="1" customWidth="1"/>
    <col min="15" max="15" width="14.85546875" style="2519" hidden="1" customWidth="1"/>
    <col min="16" max="16" width="16.7109375" style="2519" hidden="1" customWidth="1"/>
    <col min="17" max="17" width="19.5703125" style="2519" hidden="1" customWidth="1"/>
    <col min="18" max="18" width="23.42578125" style="2519" customWidth="1"/>
    <col min="19" max="19" width="16.7109375" style="2519" hidden="1" customWidth="1"/>
    <col min="20" max="20" width="16.7109375" style="2519" customWidth="1"/>
    <col min="21" max="21" width="24.28515625" style="2519" customWidth="1"/>
    <col min="22" max="22" width="22.7109375" style="2519" hidden="1" customWidth="1"/>
    <col min="23" max="23" width="19.7109375" style="2519" customWidth="1"/>
    <col min="24" max="24" width="22.7109375" style="2519" bestFit="1" customWidth="1"/>
    <col min="25" max="25" width="18.85546875" style="2519" bestFit="1" customWidth="1"/>
    <col min="26" max="26" width="21.5703125" style="2519" bestFit="1" customWidth="1"/>
    <col min="27" max="30" width="9.42578125" style="2519"/>
    <col min="31" max="31" width="9.5703125" style="2519" bestFit="1" customWidth="1"/>
    <col min="32" max="16384" width="9.42578125" style="2519"/>
  </cols>
  <sheetData>
    <row r="2" spans="1:25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  <c r="V2" s="3958"/>
      <c r="W2" s="3958"/>
    </row>
    <row r="3" spans="1:25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  <c r="V3" s="3958"/>
      <c r="W3" s="3958"/>
    </row>
    <row r="4" spans="1:25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  <c r="V4" s="3960"/>
      <c r="W4" s="3960"/>
    </row>
    <row r="5" spans="1:25">
      <c r="A5" s="2930"/>
      <c r="B5" s="2930"/>
      <c r="C5" s="2930"/>
      <c r="D5" s="2930"/>
      <c r="E5" s="2930"/>
      <c r="F5" s="2930"/>
      <c r="G5" s="2930"/>
      <c r="H5" s="2930"/>
      <c r="I5" s="3035"/>
      <c r="J5" s="2930"/>
      <c r="K5" s="2930"/>
      <c r="L5" s="3199"/>
      <c r="M5" s="3199"/>
      <c r="N5" s="2930"/>
      <c r="O5" s="2930"/>
      <c r="P5" s="2930"/>
      <c r="Q5" s="2930"/>
      <c r="R5" s="2930"/>
      <c r="S5" s="2930"/>
      <c r="T5" s="2930"/>
      <c r="U5" s="2930"/>
      <c r="V5" s="2930"/>
      <c r="W5" s="2930"/>
    </row>
    <row r="6" spans="1:25" ht="25.5" customHeight="1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2525"/>
      <c r="K6" s="2525"/>
      <c r="L6" s="2525"/>
      <c r="M6" s="2525"/>
      <c r="N6" s="2525"/>
      <c r="O6" s="2525"/>
      <c r="P6" s="2525"/>
      <c r="Q6" s="2526"/>
      <c r="R6" s="2526"/>
      <c r="S6" s="2526"/>
      <c r="T6" s="2526"/>
      <c r="U6" s="2526"/>
    </row>
    <row r="7" spans="1:25">
      <c r="A7" s="3962" t="s">
        <v>1896</v>
      </c>
      <c r="B7" s="3962"/>
      <c r="C7" s="3962"/>
      <c r="D7" s="3962"/>
      <c r="E7" s="3962"/>
      <c r="F7" s="3962"/>
      <c r="G7" s="3962"/>
      <c r="H7" s="3962"/>
      <c r="I7" s="3962"/>
      <c r="J7" s="2525"/>
      <c r="K7" s="2525"/>
      <c r="L7" s="2525"/>
      <c r="M7" s="2525"/>
      <c r="N7" s="2525"/>
      <c r="O7" s="2525"/>
      <c r="P7" s="2525"/>
      <c r="Q7" s="2526"/>
      <c r="R7" s="2526"/>
      <c r="S7" s="2526"/>
      <c r="T7" s="2526"/>
      <c r="U7" s="2526"/>
    </row>
    <row r="8" spans="1:25" ht="22.5" customHeight="1">
      <c r="A8" s="2925"/>
      <c r="B8" s="2925"/>
      <c r="C8" s="2925"/>
      <c r="D8" s="2925"/>
      <c r="E8" s="2925"/>
      <c r="F8" s="2925"/>
      <c r="G8" s="2925"/>
      <c r="H8" s="2925"/>
      <c r="I8" s="3036"/>
      <c r="J8" s="2525"/>
      <c r="K8" s="2525"/>
      <c r="L8" s="2525"/>
      <c r="M8" s="2525"/>
      <c r="N8" s="2525"/>
      <c r="O8" s="2525"/>
      <c r="P8" s="2525"/>
      <c r="Q8" s="2526"/>
      <c r="R8" s="2526"/>
      <c r="S8" s="2526"/>
      <c r="T8" s="2526"/>
      <c r="U8" s="2526"/>
    </row>
    <row r="9" spans="1:25" s="2528" customFormat="1" ht="30.75" customHeight="1">
      <c r="A9" s="3963" t="s">
        <v>1954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  <c r="V9" s="3963"/>
      <c r="W9" s="3963"/>
    </row>
    <row r="10" spans="1:25" s="2528" customFormat="1" ht="15.75" customHeight="1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  <c r="V10" s="3962"/>
      <c r="W10" s="3962"/>
    </row>
    <row r="11" spans="1:25" s="2528" customFormat="1" ht="0.75" customHeight="1">
      <c r="A11" s="2529"/>
      <c r="B11" s="2925"/>
      <c r="C11" s="2577"/>
      <c r="D11" s="3007">
        <f>+'Đội 2 (truy lãnh)'!D11</f>
        <v>680.72</v>
      </c>
      <c r="E11" s="2577"/>
      <c r="F11" s="2577"/>
      <c r="G11" s="2530"/>
      <c r="H11" s="2530"/>
      <c r="I11" s="3036"/>
      <c r="J11" s="2925"/>
      <c r="K11" s="2925"/>
      <c r="L11" s="3194"/>
      <c r="M11" s="3194"/>
      <c r="N11" s="2925"/>
      <c r="O11" s="2925"/>
      <c r="P11" s="2925"/>
      <c r="Q11" s="2925"/>
      <c r="R11" s="2925"/>
      <c r="S11" s="2925"/>
      <c r="T11" s="2925"/>
      <c r="U11" s="2925"/>
      <c r="X11" s="2528">
        <f>'[3]Bảng CC vn'!AK10</f>
        <v>25</v>
      </c>
    </row>
    <row r="12" spans="1:25" ht="21.75" customHeight="1">
      <c r="A12" s="2532"/>
      <c r="B12" s="2932"/>
      <c r="C12" s="4480" t="s">
        <v>1589</v>
      </c>
      <c r="D12" s="4480"/>
      <c r="E12" s="4480"/>
      <c r="F12" s="4480"/>
      <c r="G12" s="2534"/>
      <c r="H12" s="2534"/>
      <c r="I12" s="3037"/>
      <c r="J12" s="2536"/>
      <c r="K12" s="2537"/>
      <c r="L12" s="2537"/>
      <c r="M12" s="2537"/>
      <c r="N12" s="2538"/>
      <c r="O12" s="2538"/>
      <c r="P12" s="2538"/>
      <c r="Q12" s="2538"/>
      <c r="R12" s="2538"/>
      <c r="S12" s="2538"/>
      <c r="T12" s="2538"/>
      <c r="U12" s="2538"/>
      <c r="W12" s="2539" t="s">
        <v>1590</v>
      </c>
    </row>
    <row r="13" spans="1:25" s="2925" customFormat="1" ht="27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8" t="s">
        <v>1657</v>
      </c>
      <c r="S13" s="3968" t="s">
        <v>1585</v>
      </c>
      <c r="T13" s="3951" t="s">
        <v>1603</v>
      </c>
      <c r="U13" s="3968" t="s">
        <v>1570</v>
      </c>
      <c r="V13" s="3950" t="s">
        <v>1592</v>
      </c>
      <c r="W13" s="3950" t="s">
        <v>92</v>
      </c>
    </row>
    <row r="14" spans="1:25" s="2925" customFormat="1" ht="72.75" customHeight="1">
      <c r="A14" s="3965"/>
      <c r="B14" s="3965"/>
      <c r="C14" s="3966"/>
      <c r="D14" s="3965"/>
      <c r="E14" s="3950"/>
      <c r="F14" s="3994" t="s">
        <v>1659</v>
      </c>
      <c r="G14" s="3995"/>
      <c r="H14" s="4481" t="s">
        <v>183</v>
      </c>
      <c r="I14" s="3998"/>
      <c r="J14" s="3998"/>
      <c r="K14" s="3998"/>
      <c r="L14" s="3998"/>
      <c r="M14" s="3999"/>
      <c r="N14" s="3968" t="s">
        <v>1900</v>
      </c>
      <c r="O14" s="3968"/>
      <c r="P14" s="3968"/>
      <c r="Q14" s="3968"/>
      <c r="R14" s="3968"/>
      <c r="S14" s="3968"/>
      <c r="T14" s="3972"/>
      <c r="U14" s="3968"/>
      <c r="V14" s="3950"/>
      <c r="W14" s="3950"/>
      <c r="X14" s="2925" t="s">
        <v>819</v>
      </c>
      <c r="Y14" s="3193">
        <f>+'Đội 2 (truy lãnh)'!AA15</f>
        <v>0.43429611090000003</v>
      </c>
    </row>
    <row r="15" spans="1:25" s="2935" customFormat="1" ht="89.25" customHeight="1">
      <c r="A15" s="3965"/>
      <c r="B15" s="3965"/>
      <c r="C15" s="3966"/>
      <c r="D15" s="3965"/>
      <c r="E15" s="3950"/>
      <c r="F15" s="2540" t="s">
        <v>1593</v>
      </c>
      <c r="G15" s="2927" t="s">
        <v>14</v>
      </c>
      <c r="H15" s="2927" t="s">
        <v>1594</v>
      </c>
      <c r="I15" s="3038" t="s">
        <v>1897</v>
      </c>
      <c r="J15" s="2928" t="s">
        <v>1595</v>
      </c>
      <c r="K15" s="2928" t="s">
        <v>1084</v>
      </c>
      <c r="L15" s="3196" t="s">
        <v>1957</v>
      </c>
      <c r="M15" s="3196" t="s">
        <v>1956</v>
      </c>
      <c r="N15" s="2928" t="s">
        <v>1596</v>
      </c>
      <c r="O15" s="2928" t="s">
        <v>1597</v>
      </c>
      <c r="P15" s="2928" t="s">
        <v>1656</v>
      </c>
      <c r="Q15" s="2928" t="s">
        <v>1254</v>
      </c>
      <c r="R15" s="3968"/>
      <c r="S15" s="3968"/>
      <c r="T15" s="3952"/>
      <c r="U15" s="3968"/>
      <c r="V15" s="3950"/>
      <c r="W15" s="3950"/>
    </row>
    <row r="16" spans="1:25" s="2935" customFormat="1" ht="39" customHeight="1">
      <c r="A16" s="2545">
        <v>1</v>
      </c>
      <c r="B16" s="2545" t="s">
        <v>1822</v>
      </c>
      <c r="C16" s="2546" t="s">
        <v>1216</v>
      </c>
      <c r="D16" s="2546" t="str">
        <f>'[3]CNKT '!D16</f>
        <v>CNKT</v>
      </c>
      <c r="E16" s="2546"/>
      <c r="F16" s="2586">
        <v>0</v>
      </c>
      <c r="G16" s="2546">
        <v>0</v>
      </c>
      <c r="H16" s="2546">
        <f>+VLOOKUP(C16,'Mủ CN (tam ung)'!C143:AK169,35,0)</f>
        <v>80</v>
      </c>
      <c r="I16" s="3039">
        <f>+H16*$Y$14</f>
        <v>34.743688872</v>
      </c>
      <c r="J16" s="2545" t="e">
        <f>+VLOOKUP(C16,#REF!,37,0)</f>
        <v>#REF!</v>
      </c>
      <c r="K16" s="3006" t="e">
        <f>I16*IF(J16="A",(6.1*$D$11),IF(J16="B",(5.8*$D$11),IF(J16="C",(5.5*$D$11),IF(J16="D",(5.2*$D$11)))))</f>
        <v>#REF!</v>
      </c>
      <c r="L16" s="3006">
        <f>+VLOOKUP(C16,'Đội 3 tư'!C16:K42,9,0)</f>
        <v>134414.72</v>
      </c>
      <c r="M16" s="3006" t="e">
        <f>+K16-L16</f>
        <v>#REF!</v>
      </c>
      <c r="N16" s="2546">
        <v>0</v>
      </c>
      <c r="O16" s="2548">
        <v>0</v>
      </c>
      <c r="P16" s="2548">
        <v>0</v>
      </c>
      <c r="Q16" s="2546">
        <v>0</v>
      </c>
      <c r="R16" s="2546" t="e">
        <f>+M16</f>
        <v>#REF!</v>
      </c>
      <c r="S16" s="2546"/>
      <c r="T16" s="2546" t="e">
        <f>+VLOOKUP(C16,VCKD!C218:U218,24,0)</f>
        <v>#N/A</v>
      </c>
      <c r="U16" s="2546" t="e">
        <f>+R16-T16</f>
        <v>#REF!</v>
      </c>
      <c r="V16" s="2546"/>
      <c r="W16" s="2546"/>
    </row>
    <row r="17" spans="1:23" s="2935" customFormat="1" ht="39" customHeight="1">
      <c r="A17" s="2545">
        <v>2</v>
      </c>
      <c r="B17" s="2545" t="s">
        <v>1823</v>
      </c>
      <c r="C17" s="2546" t="s">
        <v>351</v>
      </c>
      <c r="D17" s="2546" t="str">
        <f>'[3]CNKT '!D17</f>
        <v>CNKT</v>
      </c>
      <c r="E17" s="2546"/>
      <c r="F17" s="2586">
        <v>0</v>
      </c>
      <c r="G17" s="2546">
        <v>0</v>
      </c>
      <c r="H17" s="2546">
        <f>+VLOOKUP(C17,'Mủ CN (tam ung)'!C144:AK170,35,0)</f>
        <v>45</v>
      </c>
      <c r="I17" s="3039">
        <f t="shared" ref="I17:I42" si="0">+H17*$Y$14</f>
        <v>19.5433249905</v>
      </c>
      <c r="J17" s="2545" t="e">
        <f>+VLOOKUP(C17,#REF!,37,0)</f>
        <v>#REF!</v>
      </c>
      <c r="K17" s="3006" t="e">
        <f t="shared" ref="K17:K36" si="1">I17*IF(J17="A",(6.1*$D$11),IF(J17="B",(5.8*$D$11),IF(J17="C",(5.5*$D$11),IF(J17="D",(5.2*$D$11)))))</f>
        <v>#REF!</v>
      </c>
      <c r="L17" s="3006">
        <f>+VLOOKUP(C17,'Đội 3 tư'!C17:K43,9,0)</f>
        <v>71889.84</v>
      </c>
      <c r="M17" s="3006" t="e">
        <f t="shared" ref="M17:M42" si="2">+K17-L17</f>
        <v>#REF!</v>
      </c>
      <c r="N17" s="2546">
        <v>0</v>
      </c>
      <c r="O17" s="2548">
        <v>0</v>
      </c>
      <c r="P17" s="2548">
        <v>0</v>
      </c>
      <c r="Q17" s="2546">
        <v>0</v>
      </c>
      <c r="R17" s="2546" t="e">
        <f t="shared" ref="R17:R42" si="3">+M17</f>
        <v>#REF!</v>
      </c>
      <c r="S17" s="2546"/>
      <c r="T17" s="2546" t="e">
        <f>+VLOOKUP(C17,VCKD!C218:U219,24,0)</f>
        <v>#N/A</v>
      </c>
      <c r="U17" s="2546" t="e">
        <f t="shared" ref="U17:U42" si="4">+R17-T17</f>
        <v>#REF!</v>
      </c>
      <c r="V17" s="2546"/>
      <c r="W17" s="2546"/>
    </row>
    <row r="18" spans="1:23" s="2935" customFormat="1" ht="39" customHeight="1">
      <c r="A18" s="2545">
        <v>3</v>
      </c>
      <c r="B18" s="2545" t="s">
        <v>1825</v>
      </c>
      <c r="C18" s="2546" t="s">
        <v>1218</v>
      </c>
      <c r="D18" s="2546" t="str">
        <f>'[3]CNKT '!D19</f>
        <v>CNKT</v>
      </c>
      <c r="E18" s="2546"/>
      <c r="F18" s="2586">
        <v>0</v>
      </c>
      <c r="G18" s="2546">
        <v>0</v>
      </c>
      <c r="H18" s="2546">
        <f>+VLOOKUP(C18,'Mủ CN (tam ung)'!C145:AK172,35,0)</f>
        <v>50</v>
      </c>
      <c r="I18" s="3039">
        <f t="shared" si="0"/>
        <v>21.714805545000001</v>
      </c>
      <c r="J18" s="2545" t="e">
        <f>+VLOOKUP(C18,#REF!,37,0)</f>
        <v>#REF!</v>
      </c>
      <c r="K18" s="3006" t="e">
        <f t="shared" si="1"/>
        <v>#REF!</v>
      </c>
      <c r="L18" s="3006">
        <f>+VLOOKUP(C18,'Đội 3 tư'!C18:K44,9,0)</f>
        <v>84009.2</v>
      </c>
      <c r="M18" s="3006" t="e">
        <f t="shared" si="2"/>
        <v>#REF!</v>
      </c>
      <c r="N18" s="2546">
        <v>0</v>
      </c>
      <c r="O18" s="2548">
        <v>0</v>
      </c>
      <c r="P18" s="2548">
        <v>0</v>
      </c>
      <c r="Q18" s="2546">
        <v>0</v>
      </c>
      <c r="R18" s="2546" t="e">
        <f t="shared" si="3"/>
        <v>#REF!</v>
      </c>
      <c r="S18" s="2546"/>
      <c r="T18" s="2546" t="e">
        <f>+VLOOKUP(C18,VCKD!C218:U221,24,0)</f>
        <v>#N/A</v>
      </c>
      <c r="U18" s="2546" t="e">
        <f t="shared" si="4"/>
        <v>#REF!</v>
      </c>
      <c r="V18" s="2546"/>
      <c r="W18" s="2546"/>
    </row>
    <row r="19" spans="1:23" s="2935" customFormat="1" ht="39" customHeight="1">
      <c r="A19" s="2545">
        <v>4</v>
      </c>
      <c r="B19" s="2545" t="s">
        <v>1826</v>
      </c>
      <c r="C19" s="2546" t="s">
        <v>1517</v>
      </c>
      <c r="D19" s="2546" t="str">
        <f>'[3]CNKT '!D20</f>
        <v>CNKT</v>
      </c>
      <c r="E19" s="2546"/>
      <c r="F19" s="2586">
        <v>0</v>
      </c>
      <c r="G19" s="2546">
        <v>0</v>
      </c>
      <c r="H19" s="2546">
        <f>+VLOOKUP(C19,'Mủ CN (tam ung)'!C146:AK173,35,0)</f>
        <v>55</v>
      </c>
      <c r="I19" s="3039">
        <f t="shared" si="0"/>
        <v>23.886286099500001</v>
      </c>
      <c r="J19" s="2545" t="e">
        <f>+VLOOKUP(C19,#REF!,37,0)</f>
        <v>#REF!</v>
      </c>
      <c r="K19" s="3006" t="e">
        <f t="shared" si="1"/>
        <v>#REF!</v>
      </c>
      <c r="L19" s="3006">
        <f>+VLOOKUP(C19,'Đội 3 tư'!C19:K45,9,0)</f>
        <v>87865.36</v>
      </c>
      <c r="M19" s="3006" t="e">
        <f t="shared" si="2"/>
        <v>#REF!</v>
      </c>
      <c r="N19" s="2546">
        <v>0</v>
      </c>
      <c r="O19" s="2548">
        <v>0</v>
      </c>
      <c r="P19" s="2548">
        <v>0</v>
      </c>
      <c r="Q19" s="2546">
        <v>0</v>
      </c>
      <c r="R19" s="2546" t="e">
        <f t="shared" si="3"/>
        <v>#REF!</v>
      </c>
      <c r="S19" s="2546"/>
      <c r="T19" s="2546" t="e">
        <f>+VLOOKUP(C19,VCKD!C218:U222,24,0)</f>
        <v>#N/A</v>
      </c>
      <c r="U19" s="2546" t="e">
        <f t="shared" si="4"/>
        <v>#REF!</v>
      </c>
      <c r="V19" s="2546"/>
      <c r="W19" s="2546"/>
    </row>
    <row r="20" spans="1:23" s="2935" customFormat="1" ht="39" customHeight="1">
      <c r="A20" s="2545">
        <v>5</v>
      </c>
      <c r="B20" s="2545" t="s">
        <v>1827</v>
      </c>
      <c r="C20" s="2546" t="s">
        <v>1217</v>
      </c>
      <c r="D20" s="2546" t="str">
        <f>'[3]CNKT '!D21</f>
        <v>CNKT</v>
      </c>
      <c r="E20" s="2546"/>
      <c r="F20" s="2586">
        <v>0</v>
      </c>
      <c r="G20" s="2546">
        <v>0</v>
      </c>
      <c r="H20" s="2546">
        <f>+VLOOKUP(C20,'Mủ CN (tam ung)'!C147:AK174,35,0)</f>
        <v>35</v>
      </c>
      <c r="I20" s="3039">
        <f t="shared" si="0"/>
        <v>15.200363881500001</v>
      </c>
      <c r="J20" s="2545" t="e">
        <f>+VLOOKUP(C20,#REF!,37,0)</f>
        <v>#REF!</v>
      </c>
      <c r="K20" s="3006" t="e">
        <f t="shared" si="1"/>
        <v>#REF!</v>
      </c>
      <c r="L20" s="3006">
        <f>+VLOOKUP(C20,'Đội 3 tư'!C20:K46,9,0)</f>
        <v>58806.44</v>
      </c>
      <c r="M20" s="3006" t="e">
        <f t="shared" si="2"/>
        <v>#REF!</v>
      </c>
      <c r="N20" s="2546">
        <v>0</v>
      </c>
      <c r="O20" s="2548">
        <v>0</v>
      </c>
      <c r="P20" s="2548">
        <v>0</v>
      </c>
      <c r="Q20" s="2546">
        <v>0</v>
      </c>
      <c r="R20" s="2546" t="e">
        <f t="shared" si="3"/>
        <v>#REF!</v>
      </c>
      <c r="S20" s="2546"/>
      <c r="T20" s="2546" t="e">
        <f>+VLOOKUP(C20,VCKD!C218:U223,24,0)</f>
        <v>#N/A</v>
      </c>
      <c r="U20" s="2546" t="e">
        <f t="shared" si="4"/>
        <v>#REF!</v>
      </c>
      <c r="V20" s="2546"/>
      <c r="W20" s="2546"/>
    </row>
    <row r="21" spans="1:23" s="2935" customFormat="1" ht="39" customHeight="1">
      <c r="A21" s="2545">
        <v>6</v>
      </c>
      <c r="B21" s="2545" t="s">
        <v>1828</v>
      </c>
      <c r="C21" s="2546" t="s">
        <v>1545</v>
      </c>
      <c r="D21" s="2546" t="str">
        <f>'[3]CNKT '!D22</f>
        <v>CNKT</v>
      </c>
      <c r="E21" s="2546"/>
      <c r="F21" s="2586">
        <v>0</v>
      </c>
      <c r="G21" s="2546">
        <v>0</v>
      </c>
      <c r="H21" s="2546">
        <f>+VLOOKUP(C21,'Mủ CN (tam ung)'!C148:AK175,35,0)</f>
        <v>43</v>
      </c>
      <c r="I21" s="3039">
        <f t="shared" si="0"/>
        <v>18.6747327687</v>
      </c>
      <c r="J21" s="2545" t="e">
        <f>+VLOOKUP(C21,#REF!,37,0)</f>
        <v>#REF!</v>
      </c>
      <c r="K21" s="3006" t="e">
        <f t="shared" si="1"/>
        <v>#REF!</v>
      </c>
      <c r="L21" s="3006">
        <f>+VLOOKUP(C21,'Đội 3 tư'!C21:K47,9,0)</f>
        <v>68694.736000000004</v>
      </c>
      <c r="M21" s="3006" t="e">
        <f t="shared" si="2"/>
        <v>#REF!</v>
      </c>
      <c r="N21" s="2546">
        <v>0</v>
      </c>
      <c r="O21" s="2548">
        <v>0</v>
      </c>
      <c r="P21" s="2548">
        <v>0</v>
      </c>
      <c r="Q21" s="2546">
        <v>0</v>
      </c>
      <c r="R21" s="2546" t="e">
        <f t="shared" si="3"/>
        <v>#REF!</v>
      </c>
      <c r="S21" s="2546"/>
      <c r="T21" s="2546" t="e">
        <f>+VLOOKUP(C21,VCKD!C218:U224,24,0)</f>
        <v>#N/A</v>
      </c>
      <c r="U21" s="2546" t="e">
        <f t="shared" si="4"/>
        <v>#REF!</v>
      </c>
      <c r="V21" s="2546"/>
      <c r="W21" s="2546"/>
    </row>
    <row r="22" spans="1:23" s="2935" customFormat="1" ht="39" customHeight="1">
      <c r="A22" s="2545">
        <v>7</v>
      </c>
      <c r="B22" s="2545" t="s">
        <v>1829</v>
      </c>
      <c r="C22" s="2546" t="s">
        <v>152</v>
      </c>
      <c r="D22" s="2546" t="str">
        <f>'[3]CNKT '!D23</f>
        <v>CNKT</v>
      </c>
      <c r="E22" s="2546"/>
      <c r="F22" s="2586">
        <v>0</v>
      </c>
      <c r="G22" s="2546">
        <v>0</v>
      </c>
      <c r="H22" s="2546">
        <f>+VLOOKUP(C22,'Mủ CN (tam ung)'!C149:AK176,35,0)</f>
        <v>42</v>
      </c>
      <c r="I22" s="3039">
        <f t="shared" si="0"/>
        <v>18.2404366578</v>
      </c>
      <c r="J22" s="2545" t="e">
        <f>+VLOOKUP(C22,#REF!,37,0)</f>
        <v>#REF!</v>
      </c>
      <c r="K22" s="3006" t="e">
        <f t="shared" si="1"/>
        <v>#REF!</v>
      </c>
      <c r="L22" s="3006">
        <f>+VLOOKUP(C22,'Đội 3 tư'!C22:K48,9,0)</f>
        <v>70567.728000000003</v>
      </c>
      <c r="M22" s="3006" t="e">
        <f t="shared" si="2"/>
        <v>#REF!</v>
      </c>
      <c r="N22" s="2546">
        <v>0</v>
      </c>
      <c r="O22" s="2548">
        <v>0</v>
      </c>
      <c r="P22" s="2548">
        <v>0</v>
      </c>
      <c r="Q22" s="2546">
        <v>0</v>
      </c>
      <c r="R22" s="2546" t="e">
        <f t="shared" si="3"/>
        <v>#REF!</v>
      </c>
      <c r="S22" s="2546"/>
      <c r="T22" s="2546" t="e">
        <f>+VLOOKUP(C22,VCKD!C218:U225,24,0)</f>
        <v>#N/A</v>
      </c>
      <c r="U22" s="2546" t="e">
        <f t="shared" si="4"/>
        <v>#REF!</v>
      </c>
      <c r="V22" s="2546"/>
      <c r="W22" s="2546"/>
    </row>
    <row r="23" spans="1:23" s="2935" customFormat="1" ht="39" customHeight="1">
      <c r="A23" s="2545">
        <v>8</v>
      </c>
      <c r="B23" s="2545" t="s">
        <v>1830</v>
      </c>
      <c r="C23" s="2546" t="s">
        <v>571</v>
      </c>
      <c r="D23" s="2546" t="str">
        <f>'[3]CNKT '!D24</f>
        <v>CNKT</v>
      </c>
      <c r="E23" s="2546"/>
      <c r="F23" s="2586">
        <v>0</v>
      </c>
      <c r="G23" s="2546">
        <v>0</v>
      </c>
      <c r="H23" s="2546">
        <f>+VLOOKUP(C23,'Mủ CN (tam ung)'!C150:AK177,35,0)</f>
        <v>54</v>
      </c>
      <c r="I23" s="3039">
        <f t="shared" si="0"/>
        <v>23.451989988600001</v>
      </c>
      <c r="J23" s="2545" t="e">
        <f>+VLOOKUP(C23,#REF!,37,0)</f>
        <v>#REF!</v>
      </c>
      <c r="K23" s="3006" t="e">
        <f t="shared" si="1"/>
        <v>#REF!</v>
      </c>
      <c r="L23" s="3006">
        <f>+VLOOKUP(C23,'Đội 3 tư'!C23:K49,9,0)</f>
        <v>86267.808000000005</v>
      </c>
      <c r="M23" s="3006" t="e">
        <f t="shared" si="2"/>
        <v>#REF!</v>
      </c>
      <c r="N23" s="2546">
        <v>0</v>
      </c>
      <c r="O23" s="2548">
        <v>0</v>
      </c>
      <c r="P23" s="2548">
        <v>0</v>
      </c>
      <c r="Q23" s="2546">
        <v>0</v>
      </c>
      <c r="R23" s="2546" t="e">
        <f t="shared" si="3"/>
        <v>#REF!</v>
      </c>
      <c r="S23" s="2546"/>
      <c r="T23" s="2546" t="e">
        <f>+VLOOKUP(C23,VCKD!C218:U226,24,0)</f>
        <v>#N/A</v>
      </c>
      <c r="U23" s="2546" t="e">
        <f t="shared" si="4"/>
        <v>#REF!</v>
      </c>
      <c r="V23" s="2546"/>
      <c r="W23" s="2546"/>
    </row>
    <row r="24" spans="1:23" s="2935" customFormat="1" ht="39" customHeight="1">
      <c r="A24" s="2545">
        <v>9</v>
      </c>
      <c r="B24" s="2545" t="s">
        <v>1831</v>
      </c>
      <c r="C24" s="2546" t="s">
        <v>1219</v>
      </c>
      <c r="D24" s="2546" t="str">
        <f>'[3]CNKT '!D25</f>
        <v>CNKT</v>
      </c>
      <c r="E24" s="2546"/>
      <c r="F24" s="2586">
        <v>0</v>
      </c>
      <c r="G24" s="2546">
        <v>0</v>
      </c>
      <c r="H24" s="2546">
        <f>+VLOOKUP(C24,'Mủ CN (tam ung)'!C151:AK178,35,0)</f>
        <v>39</v>
      </c>
      <c r="I24" s="3039">
        <f t="shared" si="0"/>
        <v>16.9375483251</v>
      </c>
      <c r="J24" s="2545" t="e">
        <f>+VLOOKUP(C24,#REF!,37,0)</f>
        <v>#REF!</v>
      </c>
      <c r="K24" s="3006" t="e">
        <f t="shared" si="1"/>
        <v>#REF!</v>
      </c>
      <c r="L24" s="3006">
        <f>+VLOOKUP(C24,'Đội 3 tư'!C24:K50,9,0)</f>
        <v>62304.528000000006</v>
      </c>
      <c r="M24" s="3006" t="e">
        <f t="shared" si="2"/>
        <v>#REF!</v>
      </c>
      <c r="N24" s="2546">
        <v>0</v>
      </c>
      <c r="O24" s="2548">
        <v>0</v>
      </c>
      <c r="P24" s="2548">
        <v>0</v>
      </c>
      <c r="Q24" s="2546">
        <v>0</v>
      </c>
      <c r="R24" s="2546" t="e">
        <f t="shared" si="3"/>
        <v>#REF!</v>
      </c>
      <c r="S24" s="2546"/>
      <c r="T24" s="2546" t="e">
        <f>+VLOOKUP(C24,VCKD!C218:U227,24,0)</f>
        <v>#N/A</v>
      </c>
      <c r="U24" s="2546" t="e">
        <f t="shared" si="4"/>
        <v>#REF!</v>
      </c>
      <c r="V24" s="2546"/>
      <c r="W24" s="2546"/>
    </row>
    <row r="25" spans="1:23" s="2935" customFormat="1" ht="39" customHeight="1">
      <c r="A25" s="2545">
        <v>10</v>
      </c>
      <c r="B25" s="2545" t="s">
        <v>1832</v>
      </c>
      <c r="C25" s="2546" t="s">
        <v>853</v>
      </c>
      <c r="D25" s="2546" t="str">
        <f>'[3]CNKT '!D26</f>
        <v>CNKT</v>
      </c>
      <c r="E25" s="2546"/>
      <c r="F25" s="2586">
        <v>0</v>
      </c>
      <c r="G25" s="2546">
        <v>0</v>
      </c>
      <c r="H25" s="2546">
        <f>+VLOOKUP(C25,'Mủ CN (tam ung)'!C152:AK179,35,0)</f>
        <v>49</v>
      </c>
      <c r="I25" s="3039">
        <f t="shared" si="0"/>
        <v>21.280509434100001</v>
      </c>
      <c r="J25" s="2545" t="e">
        <f>+VLOOKUP(C25,#REF!,37,0)</f>
        <v>#REF!</v>
      </c>
      <c r="K25" s="3006" t="e">
        <f t="shared" si="1"/>
        <v>#REF!</v>
      </c>
      <c r="L25" s="3006">
        <f>+VLOOKUP(C25,'Đội 3 tư'!C25:K51,9,0)</f>
        <v>78280.04800000001</v>
      </c>
      <c r="M25" s="3006" t="e">
        <f t="shared" si="2"/>
        <v>#REF!</v>
      </c>
      <c r="N25" s="2546">
        <v>0</v>
      </c>
      <c r="O25" s="2548">
        <v>0</v>
      </c>
      <c r="P25" s="2548">
        <v>0</v>
      </c>
      <c r="Q25" s="2546">
        <v>0</v>
      </c>
      <c r="R25" s="2546" t="e">
        <f t="shared" si="3"/>
        <v>#REF!</v>
      </c>
      <c r="S25" s="2546"/>
      <c r="T25" s="2546" t="e">
        <f>+VLOOKUP(C25,VCKD!C218:U228,24,0)</f>
        <v>#N/A</v>
      </c>
      <c r="U25" s="2546" t="e">
        <f t="shared" si="4"/>
        <v>#REF!</v>
      </c>
      <c r="V25" s="2546"/>
      <c r="W25" s="2546"/>
    </row>
    <row r="26" spans="1:23" s="2935" customFormat="1" ht="39" customHeight="1">
      <c r="A26" s="2545">
        <v>11</v>
      </c>
      <c r="B26" s="2545" t="s">
        <v>1833</v>
      </c>
      <c r="C26" s="2546" t="s">
        <v>1220</v>
      </c>
      <c r="D26" s="2546" t="str">
        <f>'[3]CNKT '!D27</f>
        <v>CNKT</v>
      </c>
      <c r="E26" s="2546"/>
      <c r="F26" s="2586">
        <v>0</v>
      </c>
      <c r="G26" s="2546">
        <v>0</v>
      </c>
      <c r="H26" s="2546">
        <f>+VLOOKUP(C26,'Mủ CN (tam ung)'!C153:AK180,35,0)</f>
        <v>51</v>
      </c>
      <c r="I26" s="3039">
        <f t="shared" si="0"/>
        <v>22.149101655900001</v>
      </c>
      <c r="J26" s="2545" t="e">
        <f>+VLOOKUP(C26,#REF!,37,0)</f>
        <v>#REF!</v>
      </c>
      <c r="K26" s="3006" t="e">
        <f t="shared" si="1"/>
        <v>#REF!</v>
      </c>
      <c r="L26" s="3006">
        <f>+VLOOKUP(C26,'Đội 3 tư'!C26:K52,9,0)</f>
        <v>85689.384000000005</v>
      </c>
      <c r="M26" s="3006" t="e">
        <f t="shared" si="2"/>
        <v>#REF!</v>
      </c>
      <c r="N26" s="2546">
        <v>0</v>
      </c>
      <c r="O26" s="2548">
        <v>0</v>
      </c>
      <c r="P26" s="2548">
        <v>0</v>
      </c>
      <c r="Q26" s="2546">
        <v>0</v>
      </c>
      <c r="R26" s="2546" t="e">
        <f t="shared" si="3"/>
        <v>#REF!</v>
      </c>
      <c r="S26" s="2546"/>
      <c r="T26" s="2546" t="e">
        <f>+VLOOKUP(C26,VCKD!C218:U229,24,0)</f>
        <v>#N/A</v>
      </c>
      <c r="U26" s="2546" t="e">
        <f t="shared" si="4"/>
        <v>#REF!</v>
      </c>
      <c r="V26" s="2546"/>
      <c r="W26" s="2546"/>
    </row>
    <row r="27" spans="1:23" s="2935" customFormat="1" ht="39" customHeight="1">
      <c r="A27" s="2545">
        <v>12</v>
      </c>
      <c r="B27" s="2545" t="s">
        <v>1834</v>
      </c>
      <c r="C27" s="2546" t="s">
        <v>1221</v>
      </c>
      <c r="D27" s="2546" t="str">
        <f>'[3]CNKT '!D28</f>
        <v>CNKT</v>
      </c>
      <c r="E27" s="2546"/>
      <c r="F27" s="2586">
        <v>0</v>
      </c>
      <c r="G27" s="2546">
        <v>0</v>
      </c>
      <c r="H27" s="2546">
        <f>+VLOOKUP(C27,'Mủ CN (tam ung)'!C154:AK181,35,0)</f>
        <v>82</v>
      </c>
      <c r="I27" s="3039">
        <f t="shared" si="0"/>
        <v>35.6122810938</v>
      </c>
      <c r="J27" s="2545" t="e">
        <f>+VLOOKUP(C27,#REF!,37,0)</f>
        <v>#REF!</v>
      </c>
      <c r="K27" s="3006" t="e">
        <f t="shared" si="1"/>
        <v>#REF!</v>
      </c>
      <c r="L27" s="3006">
        <f>+VLOOKUP(C27,'Đội 3 tư'!C27:K53,9,0)</f>
        <v>137775.08800000002</v>
      </c>
      <c r="M27" s="3006" t="e">
        <f t="shared" si="2"/>
        <v>#REF!</v>
      </c>
      <c r="N27" s="2546">
        <v>0</v>
      </c>
      <c r="O27" s="2548">
        <v>0</v>
      </c>
      <c r="P27" s="2548">
        <v>0</v>
      </c>
      <c r="Q27" s="2546">
        <v>0</v>
      </c>
      <c r="R27" s="2546" t="e">
        <f t="shared" si="3"/>
        <v>#REF!</v>
      </c>
      <c r="S27" s="2546"/>
      <c r="T27" s="2546" t="e">
        <f>+VLOOKUP(C27,VCKD!C218:U230,24,0)</f>
        <v>#N/A</v>
      </c>
      <c r="U27" s="2546" t="e">
        <f t="shared" si="4"/>
        <v>#REF!</v>
      </c>
      <c r="V27" s="2546"/>
      <c r="W27" s="2546"/>
    </row>
    <row r="28" spans="1:23" s="2935" customFormat="1" ht="39" customHeight="1">
      <c r="A28" s="2545">
        <v>13</v>
      </c>
      <c r="B28" s="2545" t="s">
        <v>1836</v>
      </c>
      <c r="C28" s="2546" t="s">
        <v>1223</v>
      </c>
      <c r="D28" s="2546" t="str">
        <f>'[3]CNKT '!D30</f>
        <v>CNKT</v>
      </c>
      <c r="E28" s="2546"/>
      <c r="F28" s="2586">
        <v>0</v>
      </c>
      <c r="G28" s="2546">
        <v>0</v>
      </c>
      <c r="H28" s="2546">
        <f>+VLOOKUP(C28,'Mủ CN (tam ung)'!C155:AK183,35,0)</f>
        <v>45</v>
      </c>
      <c r="I28" s="3039">
        <f t="shared" si="0"/>
        <v>19.5433249905</v>
      </c>
      <c r="J28" s="2545" t="e">
        <f>+VLOOKUP(C28,#REF!,37,0)</f>
        <v>#REF!</v>
      </c>
      <c r="K28" s="3006" t="e">
        <f t="shared" si="1"/>
        <v>#REF!</v>
      </c>
      <c r="L28" s="3006">
        <f>+VLOOKUP(C28,'Đội 3 tư'!C28:K54,9,0)</f>
        <v>75608.28</v>
      </c>
      <c r="M28" s="3006" t="e">
        <f t="shared" si="2"/>
        <v>#REF!</v>
      </c>
      <c r="N28" s="2546">
        <v>0</v>
      </c>
      <c r="O28" s="2548">
        <v>0</v>
      </c>
      <c r="P28" s="2548">
        <v>0</v>
      </c>
      <c r="Q28" s="2546">
        <v>0</v>
      </c>
      <c r="R28" s="2546" t="e">
        <f t="shared" si="3"/>
        <v>#REF!</v>
      </c>
      <c r="S28" s="2546"/>
      <c r="T28" s="2546" t="e">
        <f>+VLOOKUP(C28,VCKD!C218:U232,24,0)</f>
        <v>#N/A</v>
      </c>
      <c r="U28" s="2546" t="e">
        <f t="shared" si="4"/>
        <v>#REF!</v>
      </c>
      <c r="V28" s="2546"/>
      <c r="W28" s="2546"/>
    </row>
    <row r="29" spans="1:23" s="2935" customFormat="1" ht="39" customHeight="1">
      <c r="A29" s="2545">
        <v>14</v>
      </c>
      <c r="B29" s="2545" t="s">
        <v>1837</v>
      </c>
      <c r="C29" s="2546" t="s">
        <v>1224</v>
      </c>
      <c r="D29" s="2546" t="str">
        <f>'[3]CNKT '!D31</f>
        <v>CNKT</v>
      </c>
      <c r="E29" s="2546"/>
      <c r="F29" s="2586">
        <v>0</v>
      </c>
      <c r="G29" s="2546">
        <v>0</v>
      </c>
      <c r="H29" s="2546">
        <f>+VLOOKUP(C29,'Mủ CN (tam ung)'!C156:AK184,35,0)</f>
        <v>64</v>
      </c>
      <c r="I29" s="3039">
        <f t="shared" si="0"/>
        <v>27.794951097600002</v>
      </c>
      <c r="J29" s="2545" t="e">
        <f>+VLOOKUP(C29,#REF!,37,0)</f>
        <v>#REF!</v>
      </c>
      <c r="K29" s="3006" t="e">
        <f t="shared" si="1"/>
        <v>#REF!</v>
      </c>
      <c r="L29" s="3006">
        <f>+VLOOKUP(C29,'Đội 3 tư'!C29:K55,9,0)</f>
        <v>107531.77600000001</v>
      </c>
      <c r="M29" s="3006" t="e">
        <f t="shared" si="2"/>
        <v>#REF!</v>
      </c>
      <c r="N29" s="2546">
        <v>0</v>
      </c>
      <c r="O29" s="2548">
        <v>0</v>
      </c>
      <c r="P29" s="2548">
        <v>0</v>
      </c>
      <c r="Q29" s="2546">
        <v>0</v>
      </c>
      <c r="R29" s="2546" t="e">
        <f t="shared" si="3"/>
        <v>#REF!</v>
      </c>
      <c r="S29" s="2546"/>
      <c r="T29" s="2546" t="e">
        <f>+VLOOKUP(C29,VCKD!C218:U233,24,0)</f>
        <v>#N/A</v>
      </c>
      <c r="U29" s="2546" t="e">
        <f t="shared" si="4"/>
        <v>#REF!</v>
      </c>
      <c r="V29" s="2546"/>
      <c r="W29" s="2546"/>
    </row>
    <row r="30" spans="1:23" s="2935" customFormat="1" ht="39" customHeight="1">
      <c r="A30" s="2545">
        <v>15</v>
      </c>
      <c r="B30" s="2545" t="s">
        <v>1838</v>
      </c>
      <c r="C30" s="2546" t="s">
        <v>1546</v>
      </c>
      <c r="D30" s="2546" t="str">
        <f>'[3]CNKT '!D32</f>
        <v>CNKT</v>
      </c>
      <c r="E30" s="2546"/>
      <c r="F30" s="2586">
        <v>0</v>
      </c>
      <c r="G30" s="2546">
        <v>0</v>
      </c>
      <c r="H30" s="2546">
        <f>+VLOOKUP(C30,'Mủ CN (tam ung)'!C157:AK185,35,0)</f>
        <v>42</v>
      </c>
      <c r="I30" s="3039">
        <f t="shared" si="0"/>
        <v>18.2404366578</v>
      </c>
      <c r="J30" s="2545" t="e">
        <f>+VLOOKUP(C30,#REF!,37,0)</f>
        <v>#REF!</v>
      </c>
      <c r="K30" s="3006" t="e">
        <f t="shared" si="1"/>
        <v>#REF!</v>
      </c>
      <c r="L30" s="3006">
        <f>+VLOOKUP(C30,'Đội 3 tư'!C30:K56,9,0)</f>
        <v>67097.184000000008</v>
      </c>
      <c r="M30" s="3006" t="e">
        <f t="shared" si="2"/>
        <v>#REF!</v>
      </c>
      <c r="N30" s="2546">
        <v>0</v>
      </c>
      <c r="O30" s="2548">
        <v>0</v>
      </c>
      <c r="P30" s="2548">
        <v>0</v>
      </c>
      <c r="Q30" s="2546">
        <v>0</v>
      </c>
      <c r="R30" s="2546" t="e">
        <f t="shared" si="3"/>
        <v>#REF!</v>
      </c>
      <c r="S30" s="2546"/>
      <c r="T30" s="2546" t="e">
        <f>+VLOOKUP(C30,VCKD!C218:U234,24,0)</f>
        <v>#N/A</v>
      </c>
      <c r="U30" s="2546" t="e">
        <f t="shared" si="4"/>
        <v>#REF!</v>
      </c>
      <c r="V30" s="2546"/>
      <c r="W30" s="2546"/>
    </row>
    <row r="31" spans="1:23" s="2935" customFormat="1" ht="39" customHeight="1">
      <c r="A31" s="2545">
        <v>16</v>
      </c>
      <c r="B31" s="2545" t="s">
        <v>1839</v>
      </c>
      <c r="C31" s="2546" t="s">
        <v>1226</v>
      </c>
      <c r="D31" s="2546" t="str">
        <f>'[3]CNKT '!D33</f>
        <v>CNKT</v>
      </c>
      <c r="E31" s="2546"/>
      <c r="F31" s="2586">
        <v>0</v>
      </c>
      <c r="G31" s="2546">
        <v>0</v>
      </c>
      <c r="H31" s="2546">
        <f>+VLOOKUP(C31,'Mủ CN (tam ung)'!C158:AK186,35,0)</f>
        <v>65</v>
      </c>
      <c r="I31" s="3039">
        <f t="shared" si="0"/>
        <v>28.229247208500002</v>
      </c>
      <c r="J31" s="2545" t="e">
        <f>+VLOOKUP(C31,#REF!,37,0)</f>
        <v>#REF!</v>
      </c>
      <c r="K31" s="3006" t="e">
        <f t="shared" si="1"/>
        <v>#REF!</v>
      </c>
      <c r="L31" s="3006">
        <f>+VLOOKUP(C31,'Đội 3 tư'!C31:K57,9,0)</f>
        <v>103840.88</v>
      </c>
      <c r="M31" s="3006" t="e">
        <f t="shared" si="2"/>
        <v>#REF!</v>
      </c>
      <c r="N31" s="2546">
        <v>0</v>
      </c>
      <c r="O31" s="2548">
        <v>0</v>
      </c>
      <c r="P31" s="2548">
        <v>0</v>
      </c>
      <c r="Q31" s="2546">
        <v>0</v>
      </c>
      <c r="R31" s="2546" t="e">
        <f t="shared" si="3"/>
        <v>#REF!</v>
      </c>
      <c r="S31" s="2546"/>
      <c r="T31" s="2546" t="e">
        <f>+VLOOKUP(C31,VCKD!C218:U235,24,0)</f>
        <v>#N/A</v>
      </c>
      <c r="U31" s="2546" t="e">
        <f t="shared" si="4"/>
        <v>#REF!</v>
      </c>
      <c r="V31" s="2546"/>
      <c r="W31" s="2546"/>
    </row>
    <row r="32" spans="1:23" s="2935" customFormat="1" ht="39" customHeight="1">
      <c r="A32" s="2545">
        <v>17</v>
      </c>
      <c r="B32" s="2545" t="s">
        <v>1840</v>
      </c>
      <c r="C32" s="2546" t="s">
        <v>861</v>
      </c>
      <c r="D32" s="2546" t="str">
        <f>'[3]CNKT '!D34</f>
        <v>CNKT</v>
      </c>
      <c r="E32" s="2546"/>
      <c r="F32" s="2586">
        <v>0</v>
      </c>
      <c r="G32" s="2546">
        <v>0</v>
      </c>
      <c r="H32" s="2546">
        <f>+VLOOKUP(C32,'Mủ CN (tam ung)'!C159:AK187,35,0)</f>
        <v>47</v>
      </c>
      <c r="I32" s="3039">
        <f t="shared" si="0"/>
        <v>20.411917212300001</v>
      </c>
      <c r="J32" s="2545" t="e">
        <f>+VLOOKUP(C32,#REF!,37,0)</f>
        <v>#REF!</v>
      </c>
      <c r="K32" s="3006" t="e">
        <f t="shared" si="1"/>
        <v>#REF!</v>
      </c>
      <c r="L32" s="3006">
        <f>+VLOOKUP(C32,'Đội 3 tư'!C32:K58,9,0)</f>
        <v>78968.648000000001</v>
      </c>
      <c r="M32" s="3006" t="e">
        <f t="shared" si="2"/>
        <v>#REF!</v>
      </c>
      <c r="N32" s="2546">
        <v>0</v>
      </c>
      <c r="O32" s="2548">
        <v>0</v>
      </c>
      <c r="P32" s="2548">
        <v>0</v>
      </c>
      <c r="Q32" s="2546">
        <v>0</v>
      </c>
      <c r="R32" s="2546" t="e">
        <f t="shared" si="3"/>
        <v>#REF!</v>
      </c>
      <c r="S32" s="2546"/>
      <c r="T32" s="2546" t="e">
        <f>+VLOOKUP(C32,VCKD!C218:U236,24,0)</f>
        <v>#N/A</v>
      </c>
      <c r="U32" s="2546" t="e">
        <f t="shared" si="4"/>
        <v>#REF!</v>
      </c>
      <c r="V32" s="2546"/>
      <c r="W32" s="2546"/>
    </row>
    <row r="33" spans="1:25" s="2935" customFormat="1" ht="39" customHeight="1">
      <c r="A33" s="2545">
        <v>18</v>
      </c>
      <c r="B33" s="2545" t="s">
        <v>1841</v>
      </c>
      <c r="C33" s="2546" t="s">
        <v>486</v>
      </c>
      <c r="D33" s="2546" t="str">
        <f>'[3]CNKT '!D35</f>
        <v>CNKT</v>
      </c>
      <c r="E33" s="2546"/>
      <c r="F33" s="2586">
        <v>0</v>
      </c>
      <c r="G33" s="2546">
        <v>0</v>
      </c>
      <c r="H33" s="2546">
        <f>+VLOOKUP(C33,'Mủ CN (tam ung)'!C160:AK188,35,0)</f>
        <v>84</v>
      </c>
      <c r="I33" s="3039">
        <f t="shared" si="0"/>
        <v>36.4808733156</v>
      </c>
      <c r="J33" s="2545" t="e">
        <f>+VLOOKUP(C33,#REF!,37,0)</f>
        <v>#REF!</v>
      </c>
      <c r="K33" s="3006" t="e">
        <f t="shared" si="1"/>
        <v>#REF!</v>
      </c>
      <c r="L33" s="3006">
        <f>+VLOOKUP(C33,'Đội 3 tư'!C33:K59,9,0)</f>
        <v>141135.45600000001</v>
      </c>
      <c r="M33" s="3006" t="e">
        <f t="shared" si="2"/>
        <v>#REF!</v>
      </c>
      <c r="N33" s="2546">
        <v>0</v>
      </c>
      <c r="O33" s="2548">
        <v>0</v>
      </c>
      <c r="P33" s="2548">
        <v>0</v>
      </c>
      <c r="Q33" s="2546">
        <v>0</v>
      </c>
      <c r="R33" s="2546" t="e">
        <f t="shared" si="3"/>
        <v>#REF!</v>
      </c>
      <c r="S33" s="2546"/>
      <c r="T33" s="2546" t="e">
        <f>+VLOOKUP(C33,VCKD!C218:U237,24,0)</f>
        <v>#N/A</v>
      </c>
      <c r="U33" s="2546" t="e">
        <f t="shared" si="4"/>
        <v>#REF!</v>
      </c>
      <c r="V33" s="2546"/>
      <c r="W33" s="2546"/>
    </row>
    <row r="34" spans="1:25" s="2935" customFormat="1" ht="39" customHeight="1">
      <c r="A34" s="2545">
        <v>19</v>
      </c>
      <c r="B34" s="2545" t="s">
        <v>1842</v>
      </c>
      <c r="C34" s="2546" t="s">
        <v>836</v>
      </c>
      <c r="D34" s="2546" t="str">
        <f>'[3]CNKT '!D36</f>
        <v>CNKT</v>
      </c>
      <c r="E34" s="2546"/>
      <c r="F34" s="2586">
        <v>0</v>
      </c>
      <c r="G34" s="2546">
        <v>0</v>
      </c>
      <c r="H34" s="2546">
        <f>+VLOOKUP(C34,'Mủ CN (tam ung)'!C161:AK189,35,0)</f>
        <v>73</v>
      </c>
      <c r="I34" s="3039">
        <f t="shared" si="0"/>
        <v>31.703616095700003</v>
      </c>
      <c r="J34" s="2545" t="e">
        <f>+VLOOKUP(C34,#REF!,37,0)</f>
        <v>#REF!</v>
      </c>
      <c r="K34" s="3006" t="e">
        <f t="shared" si="1"/>
        <v>#REF!</v>
      </c>
      <c r="L34" s="3006">
        <f>+VLOOKUP(C34,'Đội 3 tư'!C34:K60,9,0)</f>
        <v>122653.43200000002</v>
      </c>
      <c r="M34" s="3006" t="e">
        <f t="shared" si="2"/>
        <v>#REF!</v>
      </c>
      <c r="N34" s="2546">
        <v>0</v>
      </c>
      <c r="O34" s="2548">
        <v>0</v>
      </c>
      <c r="P34" s="2548">
        <v>0</v>
      </c>
      <c r="Q34" s="2546">
        <v>0</v>
      </c>
      <c r="R34" s="2546" t="e">
        <f t="shared" si="3"/>
        <v>#REF!</v>
      </c>
      <c r="S34" s="2546"/>
      <c r="T34" s="2546" t="e">
        <f>+VLOOKUP(C34,VCKD!C218:U238,24,0)</f>
        <v>#N/A</v>
      </c>
      <c r="U34" s="2546" t="e">
        <f t="shared" si="4"/>
        <v>#REF!</v>
      </c>
      <c r="V34" s="2546"/>
      <c r="W34" s="2546"/>
    </row>
    <row r="35" spans="1:25" s="2935" customFormat="1" ht="39" customHeight="1">
      <c r="A35" s="2545">
        <v>20</v>
      </c>
      <c r="B35" s="2545" t="s">
        <v>1844</v>
      </c>
      <c r="C35" s="2546" t="s">
        <v>1228</v>
      </c>
      <c r="D35" s="2546" t="str">
        <f>'[3]CNKT '!D38</f>
        <v>CNKT</v>
      </c>
      <c r="E35" s="2546"/>
      <c r="F35" s="2586">
        <v>0</v>
      </c>
      <c r="G35" s="2546">
        <v>0</v>
      </c>
      <c r="H35" s="2546">
        <f>+VLOOKUP(C35,'Mủ CN (tam ung)'!C162:AK191,35,0)</f>
        <v>57</v>
      </c>
      <c r="I35" s="3039">
        <f t="shared" si="0"/>
        <v>24.754878321300001</v>
      </c>
      <c r="J35" s="2545" t="e">
        <f>+VLOOKUP(C35,#REF!,37,0)</f>
        <v>#REF!</v>
      </c>
      <c r="K35" s="3006" t="e">
        <f t="shared" si="1"/>
        <v>#REF!</v>
      </c>
      <c r="L35" s="3006">
        <f>+VLOOKUP(C35,'Đội 3 tư'!C35:K61,9,0)</f>
        <v>95770.487999999998</v>
      </c>
      <c r="M35" s="3006" t="e">
        <f t="shared" si="2"/>
        <v>#REF!</v>
      </c>
      <c r="N35" s="2546">
        <v>0</v>
      </c>
      <c r="O35" s="2548">
        <v>0</v>
      </c>
      <c r="P35" s="2548">
        <v>0</v>
      </c>
      <c r="Q35" s="2546">
        <v>0</v>
      </c>
      <c r="R35" s="2546" t="e">
        <f t="shared" si="3"/>
        <v>#REF!</v>
      </c>
      <c r="S35" s="2546"/>
      <c r="T35" s="2546" t="e">
        <f>+VLOOKUP(C35,VCKD!C218:U240,24,0)</f>
        <v>#N/A</v>
      </c>
      <c r="U35" s="2546" t="e">
        <f t="shared" si="4"/>
        <v>#REF!</v>
      </c>
      <c r="V35" s="2546"/>
      <c r="W35" s="2546"/>
    </row>
    <row r="36" spans="1:25" s="2935" customFormat="1" ht="39" customHeight="1">
      <c r="A36" s="2545">
        <v>21</v>
      </c>
      <c r="B36" s="2545" t="s">
        <v>1845</v>
      </c>
      <c r="C36" s="2546" t="s">
        <v>1229</v>
      </c>
      <c r="D36" s="2546" t="str">
        <f>'[3]CNKT '!D39</f>
        <v>CNKT</v>
      </c>
      <c r="E36" s="2546"/>
      <c r="F36" s="2586">
        <v>0</v>
      </c>
      <c r="G36" s="2546">
        <v>0</v>
      </c>
      <c r="H36" s="2546">
        <f>+VLOOKUP(C36,'Mủ CN (tam ung)'!C163:AK192,35,0)</f>
        <v>60</v>
      </c>
      <c r="I36" s="3039">
        <f t="shared" si="0"/>
        <v>26.057766654000002</v>
      </c>
      <c r="J36" s="2545" t="e">
        <f>+VLOOKUP(C36,#REF!,37,0)</f>
        <v>#REF!</v>
      </c>
      <c r="K36" s="3006" t="e">
        <f t="shared" si="1"/>
        <v>#REF!</v>
      </c>
      <c r="L36" s="3006">
        <f>+VLOOKUP(C36,'Đội 3 tư'!C36:K62,9,0)</f>
        <v>100811.04000000001</v>
      </c>
      <c r="M36" s="3006" t="e">
        <f t="shared" si="2"/>
        <v>#REF!</v>
      </c>
      <c r="N36" s="2546">
        <v>0</v>
      </c>
      <c r="O36" s="2548">
        <v>0</v>
      </c>
      <c r="P36" s="2548">
        <v>0</v>
      </c>
      <c r="Q36" s="2546">
        <v>0</v>
      </c>
      <c r="R36" s="2546" t="e">
        <f t="shared" si="3"/>
        <v>#REF!</v>
      </c>
      <c r="S36" s="2546"/>
      <c r="T36" s="2546" t="e">
        <f>+VLOOKUP(C36,VCKD!C218:U241,24,0)</f>
        <v>#N/A</v>
      </c>
      <c r="U36" s="2546" t="e">
        <f t="shared" si="4"/>
        <v>#REF!</v>
      </c>
      <c r="V36" s="2546"/>
      <c r="W36" s="2546"/>
    </row>
    <row r="37" spans="1:25" s="2935" customFormat="1" ht="39" customHeight="1">
      <c r="A37" s="2545">
        <v>22</v>
      </c>
      <c r="B37" s="2545" t="s">
        <v>1846</v>
      </c>
      <c r="C37" s="2546" t="s">
        <v>1518</v>
      </c>
      <c r="D37" s="2546" t="str">
        <f>'[3]CNKT '!D40</f>
        <v>CNKT</v>
      </c>
      <c r="E37" s="2546"/>
      <c r="F37" s="2586">
        <v>0</v>
      </c>
      <c r="G37" s="2546">
        <v>0</v>
      </c>
      <c r="H37" s="2546">
        <f>+VLOOKUP(C37,'Mủ CN (tam ung)'!C164:AK193,35,0)</f>
        <v>103</v>
      </c>
      <c r="I37" s="3039">
        <f t="shared" si="0"/>
        <v>44.732499422700002</v>
      </c>
      <c r="J37" s="2545" t="e">
        <f>+VLOOKUP(C37,#REF!,37,0)</f>
        <v>#REF!</v>
      </c>
      <c r="K37" s="3006" t="e">
        <f t="shared" ref="K37:K42" si="5">I37*IF(J37="A",(6.7*$D$11),IF(J37="B",(6.4*$D$11),IF(J37="C",(6.1*$D$11),IF(J37="D",(5.8*$D$11)))))</f>
        <v>#REF!</v>
      </c>
      <c r="L37" s="3006">
        <f>+VLOOKUP(C37,'Đội 3 tư'!C37:K63,9,0)</f>
        <v>181570.04800000001</v>
      </c>
      <c r="M37" s="3006" t="e">
        <f t="shared" si="2"/>
        <v>#REF!</v>
      </c>
      <c r="N37" s="2546">
        <v>0</v>
      </c>
      <c r="O37" s="2548">
        <v>0</v>
      </c>
      <c r="P37" s="2548">
        <v>0</v>
      </c>
      <c r="Q37" s="2546">
        <v>0</v>
      </c>
      <c r="R37" s="2546" t="e">
        <f t="shared" si="3"/>
        <v>#REF!</v>
      </c>
      <c r="S37" s="2546"/>
      <c r="T37" s="2546" t="e">
        <f>+VLOOKUP(C37,VCKD!C218:U242,24,0)</f>
        <v>#N/A</v>
      </c>
      <c r="U37" s="2546" t="e">
        <f t="shared" si="4"/>
        <v>#REF!</v>
      </c>
      <c r="V37" s="2546"/>
      <c r="W37" s="2546"/>
      <c r="X37" s="2935">
        <v>1</v>
      </c>
    </row>
    <row r="38" spans="1:25" s="2935" customFormat="1" ht="39" customHeight="1">
      <c r="A38" s="2545">
        <v>23</v>
      </c>
      <c r="B38" s="2545" t="s">
        <v>1847</v>
      </c>
      <c r="C38" s="2546" t="s">
        <v>1519</v>
      </c>
      <c r="D38" s="2546" t="str">
        <f>'[3]CNKT '!D41</f>
        <v>CNKT</v>
      </c>
      <c r="E38" s="2546"/>
      <c r="F38" s="2586">
        <v>0</v>
      </c>
      <c r="G38" s="2546">
        <v>0</v>
      </c>
      <c r="H38" s="2546">
        <f>+VLOOKUP(C38,'Mủ CN (tam ung)'!C165:AK194,35,0)</f>
        <v>44</v>
      </c>
      <c r="I38" s="3039">
        <f t="shared" si="0"/>
        <v>19.1090288796</v>
      </c>
      <c r="J38" s="2545" t="e">
        <f>+VLOOKUP(C38,#REF!,37,0)</f>
        <v>#REF!</v>
      </c>
      <c r="K38" s="3006" t="e">
        <f t="shared" si="5"/>
        <v>#REF!</v>
      </c>
      <c r="L38" s="3006">
        <f>+VLOOKUP(C38,'Đội 3 tư'!C38:K64,9,0)</f>
        <v>81199.712</v>
      </c>
      <c r="M38" s="3006" t="e">
        <f t="shared" si="2"/>
        <v>#REF!</v>
      </c>
      <c r="N38" s="2546">
        <v>0</v>
      </c>
      <c r="O38" s="2548">
        <v>0</v>
      </c>
      <c r="P38" s="2548">
        <v>0</v>
      </c>
      <c r="Q38" s="2546">
        <v>0</v>
      </c>
      <c r="R38" s="2546" t="e">
        <f t="shared" si="3"/>
        <v>#REF!</v>
      </c>
      <c r="S38" s="2546"/>
      <c r="T38" s="2546" t="e">
        <f>+VLOOKUP(C38,VCKD!C218:U243,24,0)</f>
        <v>#N/A</v>
      </c>
      <c r="U38" s="2546" t="e">
        <f t="shared" si="4"/>
        <v>#REF!</v>
      </c>
      <c r="V38" s="2546"/>
      <c r="W38" s="2546"/>
      <c r="X38" s="2935">
        <v>2</v>
      </c>
    </row>
    <row r="39" spans="1:25" s="2935" customFormat="1" ht="39" customHeight="1">
      <c r="A39" s="2545">
        <v>24</v>
      </c>
      <c r="B39" s="2545" t="s">
        <v>1848</v>
      </c>
      <c r="C39" s="2546" t="s">
        <v>1520</v>
      </c>
      <c r="D39" s="2546" t="str">
        <f>'[3]CNKT '!D42</f>
        <v>CNKT</v>
      </c>
      <c r="E39" s="2546"/>
      <c r="F39" s="2586">
        <v>0</v>
      </c>
      <c r="G39" s="2546">
        <v>0</v>
      </c>
      <c r="H39" s="2546">
        <f>+VLOOKUP(C39,'Mủ CN (tam ung)'!C166:AK195,35,0)</f>
        <v>104</v>
      </c>
      <c r="I39" s="3039">
        <f t="shared" si="0"/>
        <v>45.166795533600002</v>
      </c>
      <c r="J39" s="2545" t="e">
        <f>+VLOOKUP(C39,#REF!,37,0)</f>
        <v>#REF!</v>
      </c>
      <c r="K39" s="3006" t="e">
        <f t="shared" si="5"/>
        <v>#REF!</v>
      </c>
      <c r="L39" s="3006">
        <f>+VLOOKUP(C39,'Đội 3 tư'!C39:K65,9,0)</f>
        <v>183332.864</v>
      </c>
      <c r="M39" s="3006" t="e">
        <f t="shared" si="2"/>
        <v>#REF!</v>
      </c>
      <c r="N39" s="2546">
        <v>0</v>
      </c>
      <c r="O39" s="2548">
        <v>0</v>
      </c>
      <c r="P39" s="2548">
        <v>0</v>
      </c>
      <c r="Q39" s="2546">
        <v>0</v>
      </c>
      <c r="R39" s="2546" t="e">
        <f t="shared" si="3"/>
        <v>#REF!</v>
      </c>
      <c r="S39" s="2546"/>
      <c r="T39" s="2546" t="e">
        <f>+VLOOKUP(C39,VCKD!C218:U244,24,0)</f>
        <v>#N/A</v>
      </c>
      <c r="U39" s="2546" t="e">
        <f t="shared" si="4"/>
        <v>#REF!</v>
      </c>
      <c r="V39" s="2546"/>
      <c r="W39" s="2546"/>
      <c r="X39" s="2935">
        <v>3</v>
      </c>
    </row>
    <row r="40" spans="1:25" s="2935" customFormat="1" ht="39" customHeight="1">
      <c r="A40" s="2545">
        <v>25</v>
      </c>
      <c r="B40" s="2545" t="s">
        <v>1849</v>
      </c>
      <c r="C40" s="2546" t="s">
        <v>1521</v>
      </c>
      <c r="D40" s="2546" t="str">
        <f>'[3]CNKT '!D43</f>
        <v>CNKT</v>
      </c>
      <c r="E40" s="2546"/>
      <c r="F40" s="2586">
        <v>0</v>
      </c>
      <c r="G40" s="2546">
        <v>0</v>
      </c>
      <c r="H40" s="2546">
        <f>+VLOOKUP(C40,'Mủ CN (tam ung)'!C167:AK196,35,0)</f>
        <v>90</v>
      </c>
      <c r="I40" s="3039">
        <f t="shared" si="0"/>
        <v>39.086649981000001</v>
      </c>
      <c r="J40" s="2545" t="e">
        <f>+VLOOKUP(C40,#REF!,37,0)</f>
        <v>#REF!</v>
      </c>
      <c r="K40" s="3006" t="e">
        <f t="shared" si="5"/>
        <v>#REF!</v>
      </c>
      <c r="L40" s="3006">
        <f>+VLOOKUP(C40,'Đội 3 tư'!C40:K66,9,0)</f>
        <v>166090.32</v>
      </c>
      <c r="M40" s="3006" t="e">
        <f t="shared" si="2"/>
        <v>#REF!</v>
      </c>
      <c r="N40" s="2546">
        <v>0</v>
      </c>
      <c r="O40" s="2548">
        <v>0</v>
      </c>
      <c r="P40" s="2548">
        <v>0</v>
      </c>
      <c r="Q40" s="2546">
        <v>0</v>
      </c>
      <c r="R40" s="2546" t="e">
        <f t="shared" si="3"/>
        <v>#REF!</v>
      </c>
      <c r="S40" s="2546"/>
      <c r="T40" s="2546" t="e">
        <f>+VLOOKUP(C40,VCKD!C218:U245,24,0)</f>
        <v>#N/A</v>
      </c>
      <c r="U40" s="2546" t="e">
        <f t="shared" si="4"/>
        <v>#REF!</v>
      </c>
      <c r="V40" s="2546"/>
      <c r="W40" s="2546"/>
      <c r="X40" s="3201">
        <v>4</v>
      </c>
    </row>
    <row r="41" spans="1:25" s="2935" customFormat="1" ht="39" customHeight="1">
      <c r="A41" s="2545">
        <v>26</v>
      </c>
      <c r="B41" s="2545" t="s">
        <v>1850</v>
      </c>
      <c r="C41" s="2546" t="s">
        <v>1522</v>
      </c>
      <c r="D41" s="2546" t="str">
        <f>'[3]CNKT '!D44</f>
        <v>CNKT</v>
      </c>
      <c r="E41" s="2546"/>
      <c r="F41" s="2586">
        <v>0</v>
      </c>
      <c r="G41" s="2546">
        <v>0</v>
      </c>
      <c r="H41" s="2546">
        <f>+VLOOKUP(C41,'Mủ CN (tam ung)'!C168:AK197,35,0)</f>
        <v>108</v>
      </c>
      <c r="I41" s="3039">
        <f t="shared" si="0"/>
        <v>46.903979977200002</v>
      </c>
      <c r="J41" s="2545" t="e">
        <f>+VLOOKUP(C41,#REF!,37,0)</f>
        <v>#REF!</v>
      </c>
      <c r="K41" s="3006" t="e">
        <f t="shared" si="5"/>
        <v>#REF!</v>
      </c>
      <c r="L41" s="3006">
        <f>+VLOOKUP(C41,'Đội 3 tư'!C41:K67,9,0)</f>
        <v>199308.38400000002</v>
      </c>
      <c r="M41" s="3006" t="e">
        <f t="shared" si="2"/>
        <v>#REF!</v>
      </c>
      <c r="N41" s="2546">
        <v>0</v>
      </c>
      <c r="O41" s="2548">
        <v>0</v>
      </c>
      <c r="P41" s="2548">
        <v>0</v>
      </c>
      <c r="Q41" s="2546">
        <v>0</v>
      </c>
      <c r="R41" s="2546" t="e">
        <f t="shared" si="3"/>
        <v>#REF!</v>
      </c>
      <c r="S41" s="2546"/>
      <c r="T41" s="2546" t="e">
        <f>+VLOOKUP(C41,VCKD!C218:U246,24,0)</f>
        <v>#N/A</v>
      </c>
      <c r="U41" s="2546" t="e">
        <f t="shared" si="4"/>
        <v>#REF!</v>
      </c>
      <c r="V41" s="2546"/>
      <c r="W41" s="2546"/>
      <c r="X41" s="3201">
        <v>5</v>
      </c>
    </row>
    <row r="42" spans="1:25" s="2935" customFormat="1" ht="39" customHeight="1">
      <c r="A42" s="2545">
        <v>27</v>
      </c>
      <c r="B42" s="2545" t="s">
        <v>1851</v>
      </c>
      <c r="C42" s="2546" t="s">
        <v>1230</v>
      </c>
      <c r="D42" s="2546" t="str">
        <f>'[3]CNKT '!D45</f>
        <v>CNKT</v>
      </c>
      <c r="E42" s="2546"/>
      <c r="F42" s="2586">
        <v>0</v>
      </c>
      <c r="G42" s="2546">
        <v>0</v>
      </c>
      <c r="H42" s="2546">
        <f>+VLOOKUP(C42,'Mủ CN (tam ung)'!C169:AK198,35,0)</f>
        <v>89</v>
      </c>
      <c r="I42" s="3039">
        <f t="shared" si="0"/>
        <v>38.652353870100001</v>
      </c>
      <c r="J42" s="2545" t="e">
        <f>+VLOOKUP(C42,#REF!,37,0)</f>
        <v>#REF!</v>
      </c>
      <c r="K42" s="3006" t="e">
        <f t="shared" si="5"/>
        <v>#REF!</v>
      </c>
      <c r="L42" s="3006">
        <f>+VLOOKUP(C42,'Đội 3 tư'!C42:K68,9,0)</f>
        <v>164244.872</v>
      </c>
      <c r="M42" s="3006" t="e">
        <f t="shared" si="2"/>
        <v>#REF!</v>
      </c>
      <c r="N42" s="2546">
        <v>0</v>
      </c>
      <c r="O42" s="2548">
        <v>0</v>
      </c>
      <c r="P42" s="2548">
        <v>0</v>
      </c>
      <c r="Q42" s="2546">
        <v>0</v>
      </c>
      <c r="R42" s="2546" t="e">
        <f t="shared" si="3"/>
        <v>#REF!</v>
      </c>
      <c r="S42" s="2546"/>
      <c r="T42" s="2546" t="e">
        <f>+VLOOKUP(C42,VCKD!C218:U247,24,0)</f>
        <v>#N/A</v>
      </c>
      <c r="U42" s="2546" t="e">
        <f t="shared" si="4"/>
        <v>#REF!</v>
      </c>
      <c r="V42" s="2546"/>
      <c r="W42" s="2546"/>
      <c r="X42" s="3201">
        <v>6</v>
      </c>
    </row>
    <row r="43" spans="1:25" s="2935" customFormat="1" ht="39" customHeight="1">
      <c r="A43" s="3973" t="s">
        <v>61</v>
      </c>
      <c r="B43" s="3974"/>
      <c r="C43" s="3974"/>
      <c r="D43" s="3975"/>
      <c r="E43" s="2931"/>
      <c r="F43" s="2588">
        <f>SUM(F16:F42)</f>
        <v>0</v>
      </c>
      <c r="G43" s="2550">
        <f>SUM(G16:G42)</f>
        <v>0</v>
      </c>
      <c r="H43" s="2550">
        <f>SUM(H16:H42)</f>
        <v>1700</v>
      </c>
      <c r="I43" s="3103">
        <f>SUM(I16:I42)</f>
        <v>738.30338853000001</v>
      </c>
      <c r="J43" s="2550"/>
      <c r="K43" s="2550" t="e">
        <f>SUM(K16:K42)</f>
        <v>#REF!</v>
      </c>
      <c r="L43" s="2550">
        <f>SUM(L16:L42)</f>
        <v>2895728.264</v>
      </c>
      <c r="M43" s="2550" t="e">
        <f>SUM(M16:M42)</f>
        <v>#REF!</v>
      </c>
      <c r="N43" s="2550">
        <f>SUM(N16:N42)</f>
        <v>0</v>
      </c>
      <c r="O43" s="2550">
        <f>SUM(O16:O42)</f>
        <v>0</v>
      </c>
      <c r="P43" s="2550"/>
      <c r="Q43" s="2550">
        <f>SUM(Q16:Q42)</f>
        <v>0</v>
      </c>
      <c r="R43" s="2550" t="e">
        <f>SUM(R16:R42)</f>
        <v>#REF!</v>
      </c>
      <c r="S43" s="2550">
        <f>SUM(S16:S42)</f>
        <v>0</v>
      </c>
      <c r="T43" s="2550"/>
      <c r="U43" s="2550" t="e">
        <f>SUM(U16:U42)</f>
        <v>#REF!</v>
      </c>
      <c r="V43" s="2929"/>
      <c r="W43" s="2552"/>
      <c r="Y43" s="2935">
        <f>+X43/30</f>
        <v>0</v>
      </c>
    </row>
    <row r="44" spans="1:25" ht="39" customHeight="1">
      <c r="A44" s="3976" t="s">
        <v>1960</v>
      </c>
      <c r="B44" s="3976"/>
      <c r="C44" s="3976"/>
      <c r="D44" s="3976"/>
      <c r="E44" s="3976"/>
      <c r="F44" s="3976"/>
      <c r="G44" s="3976"/>
      <c r="H44" s="3976"/>
      <c r="I44" s="3976"/>
      <c r="J44" s="3976"/>
      <c r="K44" s="3976"/>
      <c r="L44" s="3976"/>
      <c r="M44" s="3976"/>
      <c r="N44" s="3976"/>
      <c r="O44" s="3976"/>
      <c r="P44" s="3976"/>
      <c r="Q44" s="3976"/>
      <c r="R44" s="3976"/>
      <c r="S44" s="3976"/>
      <c r="T44" s="3976"/>
      <c r="U44" s="3976"/>
      <c r="V44" s="3976"/>
      <c r="W44" s="3976"/>
    </row>
    <row r="45" spans="1:25" ht="25.5">
      <c r="A45" s="2553"/>
      <c r="B45" s="2553"/>
      <c r="C45" s="2553"/>
      <c r="D45" s="2553"/>
      <c r="E45" s="2553"/>
      <c r="F45" s="2553"/>
      <c r="G45" s="2553"/>
      <c r="H45" s="2553"/>
      <c r="I45" s="3040"/>
      <c r="J45" s="2553"/>
      <c r="K45" s="2553"/>
      <c r="L45" s="2553"/>
      <c r="M45" s="2553"/>
      <c r="N45" s="2553"/>
      <c r="O45" s="2553"/>
      <c r="P45" s="2553"/>
      <c r="Q45" s="2553"/>
      <c r="R45" s="2553"/>
      <c r="S45" s="2553"/>
      <c r="T45" s="2553"/>
      <c r="U45" s="2553"/>
      <c r="V45" s="2553"/>
      <c r="W45" s="2553"/>
    </row>
    <row r="46" spans="1:25" ht="26.25">
      <c r="A46" s="2554"/>
      <c r="B46" s="2555"/>
      <c r="C46" s="2556"/>
      <c r="D46" s="2557"/>
      <c r="E46" s="2557"/>
      <c r="F46" s="2558"/>
      <c r="G46" s="2559"/>
      <c r="H46" s="2559"/>
      <c r="I46" s="3041"/>
      <c r="J46" s="2561"/>
      <c r="K46" s="2562"/>
      <c r="L46" s="2562"/>
      <c r="M46" s="2562"/>
      <c r="N46" s="2563"/>
      <c r="O46" s="2563"/>
      <c r="P46" s="2563"/>
      <c r="Q46" s="2559"/>
      <c r="R46" s="3977" t="s">
        <v>1936</v>
      </c>
      <c r="S46" s="3977"/>
      <c r="T46" s="3977"/>
      <c r="U46" s="3977"/>
      <c r="V46" s="3977"/>
      <c r="W46" s="3977"/>
    </row>
    <row r="47" spans="1:25" hidden="1">
      <c r="D47" s="2564"/>
      <c r="E47" s="2564"/>
      <c r="F47" s="2565"/>
      <c r="N47" s="2566"/>
      <c r="O47" s="2566"/>
      <c r="P47" s="2566"/>
      <c r="S47" s="2567"/>
      <c r="T47" s="2567"/>
      <c r="U47" s="2567"/>
    </row>
    <row r="48" spans="1:25" hidden="1">
      <c r="D48" s="2564"/>
      <c r="E48" s="2564"/>
      <c r="F48" s="2565"/>
      <c r="N48" s="2566"/>
      <c r="O48" s="2566"/>
      <c r="P48" s="2566"/>
      <c r="S48" s="2567"/>
      <c r="T48" s="2567"/>
      <c r="U48" s="2567"/>
    </row>
    <row r="49" spans="1:23" s="2568" customFormat="1" ht="22.5">
      <c r="A49" s="3962" t="s">
        <v>502</v>
      </c>
      <c r="B49" s="3962"/>
      <c r="C49" s="3962"/>
      <c r="D49" s="3962"/>
      <c r="E49" s="3962"/>
      <c r="F49" s="3962"/>
      <c r="G49" s="3962" t="s">
        <v>1598</v>
      </c>
      <c r="H49" s="3962"/>
      <c r="I49" s="3962"/>
      <c r="J49" s="3962"/>
      <c r="K49" s="3962"/>
      <c r="L49" s="3962" t="s">
        <v>513</v>
      </c>
      <c r="M49" s="3962"/>
      <c r="N49" s="3962" t="s">
        <v>513</v>
      </c>
      <c r="O49" s="3962"/>
      <c r="P49" s="3962"/>
      <c r="Q49" s="3962"/>
      <c r="R49" s="3962" t="s">
        <v>1599</v>
      </c>
      <c r="S49" s="3962"/>
      <c r="T49" s="3962"/>
      <c r="U49" s="3962"/>
      <c r="V49" s="3962"/>
      <c r="W49" s="3962"/>
    </row>
    <row r="50" spans="1:23" s="2568" customFormat="1" ht="22.5">
      <c r="A50" s="2529"/>
      <c r="C50" s="2925"/>
      <c r="D50" s="2925"/>
      <c r="E50" s="2925"/>
      <c r="F50" s="2925"/>
      <c r="G50" s="2925"/>
      <c r="H50" s="2925"/>
      <c r="I50" s="3043"/>
      <c r="J50" s="2925"/>
      <c r="K50" s="2528"/>
      <c r="L50" s="2528"/>
      <c r="M50" s="2528"/>
      <c r="O50" s="2528"/>
      <c r="P50" s="2528"/>
      <c r="Q50" s="2570"/>
      <c r="R50" s="2925"/>
      <c r="S50" s="2925"/>
      <c r="T50" s="2925"/>
      <c r="U50" s="2925"/>
    </row>
    <row r="51" spans="1:23" s="2568" customFormat="1" ht="22.5">
      <c r="A51" s="2529"/>
      <c r="C51" s="2925"/>
      <c r="D51" s="2925"/>
      <c r="E51" s="2925"/>
      <c r="F51" s="2925"/>
      <c r="G51" s="2925"/>
      <c r="H51" s="2925"/>
      <c r="I51" s="3043"/>
      <c r="J51" s="2925"/>
      <c r="K51" s="2528"/>
      <c r="L51" s="2528"/>
      <c r="M51" s="2528"/>
      <c r="O51" s="2528"/>
      <c r="P51" s="2528"/>
      <c r="Q51" s="2570"/>
      <c r="R51" s="2925"/>
      <c r="S51" s="2925"/>
      <c r="T51" s="2925"/>
      <c r="U51" s="2925"/>
    </row>
    <row r="52" spans="1:23" s="2568" customFormat="1" ht="22.5">
      <c r="A52" s="2529"/>
      <c r="C52" s="2925"/>
      <c r="D52" s="2925"/>
      <c r="E52" s="2925"/>
      <c r="F52" s="2925"/>
      <c r="G52" s="2925"/>
      <c r="H52" s="2925"/>
      <c r="I52" s="3043"/>
      <c r="J52" s="2925"/>
      <c r="K52" s="2528"/>
      <c r="L52" s="2528"/>
      <c r="M52" s="2528"/>
      <c r="O52" s="2528"/>
      <c r="P52" s="2528"/>
      <c r="Q52" s="2570"/>
      <c r="R52" s="2925"/>
      <c r="S52" s="2925"/>
      <c r="T52" s="2925"/>
      <c r="U52" s="2925"/>
    </row>
    <row r="53" spans="1:23" s="2568" customFormat="1" ht="22.5">
      <c r="A53" s="2529"/>
      <c r="C53" s="2925"/>
      <c r="D53" s="2925"/>
      <c r="E53" s="2925"/>
      <c r="F53" s="2925"/>
      <c r="G53" s="2925"/>
      <c r="H53" s="3206">
        <f>+'Đội 1 (Truy lãnh)'!H62</f>
        <v>5805</v>
      </c>
      <c r="I53" s="3212">
        <f>+'Đội 1 (Truy lãnh)'!J62+'Đội 2 (truy lãnh)'!J98</f>
        <v>5449.1133034623008</v>
      </c>
      <c r="J53" s="2925"/>
      <c r="K53" s="2571"/>
      <c r="L53" s="3214"/>
      <c r="M53" s="2571"/>
      <c r="O53" s="2528"/>
      <c r="P53" s="2528"/>
      <c r="Q53" s="2528"/>
      <c r="R53" s="2925"/>
      <c r="S53" s="2925"/>
      <c r="T53" s="2925"/>
      <c r="U53" s="2925"/>
    </row>
    <row r="54" spans="1:23" s="2568" customFormat="1" ht="22.5">
      <c r="A54" s="2529"/>
      <c r="C54" s="2925"/>
      <c r="D54" s="2925"/>
      <c r="E54" s="2925"/>
      <c r="F54" s="2933"/>
      <c r="G54" s="2925"/>
      <c r="H54" s="3206">
        <f>+'Đội 2 (truy lãnh)'!H98</f>
        <v>6742</v>
      </c>
      <c r="I54" s="3213">
        <f>+I53+I43</f>
        <v>6187.4166919923009</v>
      </c>
      <c r="J54" s="2925"/>
      <c r="K54" s="2528"/>
      <c r="L54" s="2528"/>
      <c r="M54" s="3021"/>
      <c r="O54" s="2528"/>
      <c r="P54" s="2528"/>
      <c r="Q54" s="2570"/>
      <c r="R54" s="2925"/>
      <c r="S54" s="2925"/>
      <c r="T54" s="2925"/>
      <c r="U54" s="2925"/>
    </row>
    <row r="55" spans="1:23" s="2568" customFormat="1" ht="22.5">
      <c r="A55" s="2529"/>
      <c r="C55" s="2925"/>
      <c r="D55" s="2933"/>
      <c r="E55" s="2933"/>
      <c r="F55" s="2935"/>
      <c r="G55" s="2925"/>
      <c r="H55" s="3206">
        <f>+H54+H53+H43</f>
        <v>14247</v>
      </c>
      <c r="I55" s="3212"/>
      <c r="J55" s="2925"/>
      <c r="K55" s="2528"/>
      <c r="L55" s="2528"/>
      <c r="M55" s="2528"/>
      <c r="O55" s="2528"/>
      <c r="P55" s="2528"/>
      <c r="Q55" s="2570"/>
      <c r="R55" s="2925"/>
      <c r="S55" s="2925"/>
      <c r="T55" s="2925"/>
      <c r="U55" s="2925"/>
    </row>
    <row r="56" spans="1:23" s="2568" customFormat="1" ht="22.5">
      <c r="A56" s="2529"/>
      <c r="C56" s="2925"/>
      <c r="D56" s="2925"/>
      <c r="E56" s="2925"/>
      <c r="F56" s="2925"/>
      <c r="I56" s="3044"/>
      <c r="J56" s="2528"/>
      <c r="K56" s="2528"/>
      <c r="L56" s="2528"/>
      <c r="M56" s="2528"/>
      <c r="N56" s="3962"/>
      <c r="O56" s="3962"/>
      <c r="P56" s="3962"/>
      <c r="Q56" s="3962"/>
      <c r="U56" s="3962"/>
      <c r="V56" s="3962"/>
      <c r="W56" s="2528"/>
    </row>
    <row r="57" spans="1:23" s="2568" customFormat="1" ht="22.5">
      <c r="A57" s="2529"/>
      <c r="C57" s="2925"/>
      <c r="D57" s="2925"/>
      <c r="E57" s="2925"/>
      <c r="F57" s="2571"/>
      <c r="G57" s="2925"/>
      <c r="H57" s="2925"/>
      <c r="I57" s="3043"/>
      <c r="J57" s="2925"/>
      <c r="K57" s="2528"/>
      <c r="L57" s="2528"/>
      <c r="M57" s="2528"/>
      <c r="O57" s="2528"/>
      <c r="P57" s="2528"/>
      <c r="Q57" s="2570"/>
      <c r="R57" s="2933"/>
      <c r="S57" s="2925"/>
      <c r="T57" s="2925"/>
      <c r="U57" s="2925"/>
    </row>
    <row r="58" spans="1:23" s="2568" customFormat="1">
      <c r="A58" s="3991" t="s">
        <v>1901</v>
      </c>
      <c r="B58" s="3991"/>
      <c r="C58" s="3991"/>
      <c r="D58" s="3991"/>
      <c r="E58" s="3991"/>
      <c r="F58" s="3991"/>
      <c r="G58" s="3996" t="s">
        <v>1853</v>
      </c>
      <c r="H58" s="3996"/>
      <c r="I58" s="3996"/>
      <c r="J58" s="3996"/>
      <c r="K58" s="3996"/>
      <c r="L58" s="3208"/>
      <c r="M58" s="3208"/>
      <c r="O58" s="2528"/>
      <c r="P58" s="2528"/>
      <c r="Q58" s="2519"/>
      <c r="R58" s="3978" t="s">
        <v>533</v>
      </c>
      <c r="S58" s="3978"/>
      <c r="T58" s="3978"/>
      <c r="U58" s="3978"/>
      <c r="V58" s="3978"/>
      <c r="W58" s="3978"/>
    </row>
    <row r="59" spans="1:23">
      <c r="B59" s="2519"/>
      <c r="C59" s="2519"/>
      <c r="F59" s="2566"/>
      <c r="G59" s="2566"/>
      <c r="H59" s="2566"/>
      <c r="I59" s="2574"/>
      <c r="J59" s="2574"/>
      <c r="K59" s="2566"/>
      <c r="L59" s="2566"/>
      <c r="M59" s="2566"/>
    </row>
    <row r="60" spans="1:23">
      <c r="B60" s="2519"/>
      <c r="C60" s="2519"/>
      <c r="F60" s="2566"/>
      <c r="G60" s="2575"/>
      <c r="H60" s="2575"/>
      <c r="I60" s="2574"/>
      <c r="J60" s="2574"/>
      <c r="K60" s="2576"/>
      <c r="L60" s="2576"/>
      <c r="M60" s="2576"/>
      <c r="N60" s="3986"/>
      <c r="O60" s="3986"/>
      <c r="P60" s="2937"/>
      <c r="Q60" s="2577"/>
      <c r="R60" s="2577"/>
    </row>
    <row r="61" spans="1:23">
      <c r="B61" s="2519"/>
      <c r="C61" s="2519"/>
      <c r="F61" s="2566"/>
      <c r="G61" s="2575"/>
      <c r="H61" s="2575"/>
      <c r="I61" s="2574"/>
      <c r="J61" s="2574"/>
      <c r="K61" s="2576"/>
      <c r="L61" s="2576"/>
      <c r="M61" s="2576"/>
      <c r="N61" s="2937"/>
      <c r="O61" s="2937"/>
      <c r="P61" s="2937"/>
      <c r="Q61" s="2577"/>
      <c r="R61" s="2577"/>
    </row>
    <row r="62" spans="1:23">
      <c r="B62" s="2519"/>
      <c r="C62" s="2519"/>
      <c r="F62" s="2566"/>
      <c r="G62" s="2575"/>
      <c r="H62" s="2575"/>
      <c r="I62" s="2574"/>
      <c r="J62" s="2574"/>
      <c r="K62" s="2576"/>
      <c r="L62" s="2576"/>
      <c r="M62" s="2576"/>
      <c r="N62" s="2937"/>
      <c r="O62" s="2937"/>
      <c r="P62" s="2937"/>
      <c r="Q62" s="2577"/>
      <c r="R62" s="2577"/>
    </row>
    <row r="63" spans="1:23">
      <c r="B63" s="2519"/>
      <c r="C63" s="2519"/>
      <c r="F63" s="2566"/>
      <c r="G63" s="2575"/>
      <c r="H63" s="2575"/>
      <c r="I63" s="2574"/>
      <c r="J63" s="2574"/>
      <c r="K63" s="2576"/>
      <c r="L63" s="2576"/>
      <c r="M63" s="2576"/>
      <c r="N63" s="2937"/>
      <c r="O63" s="2937"/>
      <c r="P63" s="2937"/>
      <c r="Q63" s="2577"/>
      <c r="R63" s="2577"/>
    </row>
    <row r="64" spans="1:23">
      <c r="B64" s="2519"/>
      <c r="C64" s="2519"/>
      <c r="F64" s="2566"/>
      <c r="G64" s="2575"/>
      <c r="H64" s="2575"/>
      <c r="I64" s="2574"/>
      <c r="J64" s="2574"/>
      <c r="K64" s="2576"/>
      <c r="L64" s="2576"/>
      <c r="M64" s="2576"/>
      <c r="N64" s="2937"/>
      <c r="O64" s="2937"/>
      <c r="P64" s="2937"/>
      <c r="Q64" s="2577"/>
      <c r="R64" s="2577"/>
    </row>
    <row r="65" spans="1:18">
      <c r="B65" s="2519"/>
      <c r="C65" s="2519"/>
      <c r="F65" s="2566"/>
      <c r="G65" s="2575"/>
      <c r="H65" s="2575"/>
      <c r="I65" s="2574"/>
      <c r="J65" s="2574"/>
      <c r="K65" s="2576"/>
      <c r="L65" s="2576"/>
      <c r="M65" s="2576"/>
      <c r="N65" s="2937"/>
      <c r="O65" s="2937"/>
      <c r="P65" s="2937"/>
      <c r="Q65" s="2577"/>
      <c r="R65" s="2577"/>
    </row>
    <row r="66" spans="1:18">
      <c r="B66" s="2519"/>
      <c r="C66" s="2519"/>
      <c r="F66" s="2566"/>
      <c r="G66" s="2575"/>
      <c r="H66" s="2575"/>
      <c r="I66" s="2574"/>
      <c r="J66" s="2574"/>
      <c r="K66" s="2576"/>
      <c r="L66" s="2576"/>
      <c r="M66" s="2576"/>
      <c r="N66" s="2937"/>
      <c r="O66" s="2937"/>
      <c r="P66" s="2937"/>
      <c r="Q66" s="2577"/>
      <c r="R66" s="2577"/>
    </row>
    <row r="67" spans="1:18">
      <c r="B67" s="2519"/>
      <c r="C67" s="2519"/>
      <c r="F67" s="2566"/>
      <c r="G67" s="2575"/>
      <c r="H67" s="2575"/>
      <c r="I67" s="2574"/>
      <c r="J67" s="2574"/>
      <c r="K67" s="2576"/>
      <c r="L67" s="2576"/>
      <c r="M67" s="2576"/>
      <c r="N67" s="2937"/>
      <c r="O67" s="2937"/>
      <c r="P67" s="2937"/>
      <c r="Q67" s="2577"/>
      <c r="R67" s="2577"/>
    </row>
    <row r="68" spans="1:18">
      <c r="B68" s="2519"/>
      <c r="C68" s="2519"/>
      <c r="F68" s="2566"/>
      <c r="G68" s="2575"/>
      <c r="H68" s="2575"/>
      <c r="I68" s="2574"/>
      <c r="J68" s="2574"/>
      <c r="K68" s="2576"/>
      <c r="L68" s="2576"/>
      <c r="M68" s="2576"/>
      <c r="N68" s="2937"/>
      <c r="O68" s="2937"/>
      <c r="P68" s="2937"/>
      <c r="Q68" s="2577"/>
      <c r="R68" s="2577"/>
    </row>
    <row r="69" spans="1:18">
      <c r="B69" s="2519"/>
      <c r="C69" s="2519"/>
      <c r="F69" s="2566"/>
      <c r="G69" s="2575"/>
      <c r="H69" s="2575"/>
      <c r="I69" s="2574"/>
      <c r="J69" s="2574"/>
      <c r="K69" s="2576"/>
      <c r="L69" s="2576"/>
      <c r="M69" s="2576"/>
      <c r="N69" s="2937"/>
      <c r="O69" s="2937"/>
      <c r="P69" s="2937"/>
      <c r="Q69" s="2577"/>
      <c r="R69" s="2577"/>
    </row>
    <row r="70" spans="1:18">
      <c r="B70" s="2519"/>
      <c r="C70" s="2519"/>
      <c r="F70" s="2566"/>
      <c r="G70" s="2575"/>
      <c r="H70" s="2575"/>
      <c r="I70" s="2574"/>
      <c r="J70" s="2574"/>
      <c r="K70" s="2576"/>
      <c r="L70" s="2576"/>
      <c r="M70" s="2576"/>
      <c r="N70" s="2937"/>
      <c r="O70" s="2937"/>
      <c r="P70" s="2937"/>
      <c r="Q70" s="2577"/>
      <c r="R70" s="2577"/>
    </row>
    <row r="71" spans="1:18">
      <c r="B71" s="2519"/>
      <c r="C71" s="2519"/>
      <c r="F71" s="2566"/>
      <c r="G71" s="2575"/>
      <c r="H71" s="2575"/>
      <c r="I71" s="2574"/>
      <c r="J71" s="2574"/>
      <c r="K71" s="2576"/>
      <c r="L71" s="2576"/>
      <c r="M71" s="2576"/>
      <c r="N71" s="2937"/>
      <c r="O71" s="2937"/>
      <c r="P71" s="2937"/>
      <c r="Q71" s="2577"/>
      <c r="R71" s="2577"/>
    </row>
    <row r="72" spans="1:18">
      <c r="B72" s="2519"/>
      <c r="C72" s="2519"/>
      <c r="F72" s="2566"/>
      <c r="G72" s="2575"/>
      <c r="H72" s="2575"/>
      <c r="I72" s="2574"/>
      <c r="J72" s="2574"/>
      <c r="K72" s="2576"/>
      <c r="L72" s="2576"/>
      <c r="M72" s="2576"/>
      <c r="N72" s="2937"/>
      <c r="O72" s="2937"/>
      <c r="P72" s="2937"/>
      <c r="Q72" s="2577"/>
      <c r="R72" s="2577"/>
    </row>
    <row r="73" spans="1:18">
      <c r="B73" s="2519"/>
      <c r="C73" s="2519"/>
      <c r="F73" s="2566"/>
      <c r="G73" s="2575"/>
      <c r="H73" s="2575"/>
      <c r="I73" s="2574"/>
      <c r="J73" s="2574"/>
      <c r="K73" s="2576"/>
      <c r="L73" s="2576"/>
      <c r="M73" s="2576"/>
      <c r="N73" s="2937"/>
      <c r="O73" s="2937"/>
      <c r="P73" s="2937"/>
      <c r="Q73" s="2577"/>
      <c r="R73" s="2577"/>
    </row>
    <row r="74" spans="1:18">
      <c r="A74" s="2519"/>
      <c r="B74" s="2519"/>
      <c r="C74" s="2519"/>
      <c r="F74" s="2566"/>
      <c r="G74" s="2575"/>
      <c r="H74" s="2575"/>
      <c r="I74" s="2574"/>
      <c r="J74" s="2574"/>
      <c r="K74" s="2576"/>
      <c r="L74" s="2576"/>
      <c r="M74" s="2576"/>
      <c r="N74" s="2937"/>
      <c r="O74" s="2937"/>
      <c r="P74" s="2937"/>
      <c r="Q74" s="2577"/>
      <c r="R74" s="2577"/>
    </row>
    <row r="75" spans="1:18">
      <c r="A75" s="2519"/>
      <c r="B75" s="2519"/>
      <c r="C75" s="2519"/>
      <c r="F75" s="2566"/>
      <c r="G75" s="2575"/>
      <c r="H75" s="2575"/>
      <c r="I75" s="2574"/>
      <c r="J75" s="2574"/>
      <c r="K75" s="2576"/>
      <c r="L75" s="2576"/>
      <c r="M75" s="2576"/>
      <c r="N75" s="2937"/>
      <c r="O75" s="2937"/>
      <c r="P75" s="2937"/>
      <c r="Q75" s="2577"/>
      <c r="R75" s="2577"/>
    </row>
    <row r="76" spans="1:18">
      <c r="A76" s="2519"/>
      <c r="B76" s="2519"/>
      <c r="C76" s="2519"/>
      <c r="F76" s="2566"/>
      <c r="G76" s="2575"/>
      <c r="H76" s="2575"/>
      <c r="I76" s="2574"/>
      <c r="J76" s="2574"/>
      <c r="K76" s="2576"/>
      <c r="L76" s="2576"/>
      <c r="M76" s="2576"/>
      <c r="N76" s="2937"/>
      <c r="O76" s="2937"/>
      <c r="P76" s="2937"/>
      <c r="Q76" s="2577"/>
      <c r="R76" s="2577"/>
    </row>
    <row r="77" spans="1:18">
      <c r="A77" s="2519"/>
      <c r="B77" s="2519"/>
      <c r="C77" s="2519"/>
      <c r="F77" s="2566"/>
      <c r="G77" s="2575"/>
      <c r="H77" s="2575"/>
      <c r="I77" s="2574"/>
      <c r="J77" s="2574"/>
      <c r="K77" s="2576"/>
      <c r="L77" s="2576"/>
      <c r="M77" s="2576"/>
      <c r="N77" s="2937"/>
      <c r="O77" s="2937"/>
      <c r="P77" s="2937"/>
      <c r="Q77" s="2577"/>
      <c r="R77" s="2577"/>
    </row>
    <row r="78" spans="1:18">
      <c r="A78" s="2519"/>
      <c r="B78" s="2519"/>
      <c r="C78" s="2519"/>
      <c r="F78" s="2566"/>
      <c r="G78" s="2575"/>
      <c r="H78" s="2575"/>
      <c r="I78" s="2574"/>
      <c r="J78" s="2574"/>
      <c r="K78" s="2576"/>
      <c r="L78" s="2576"/>
      <c r="M78" s="2576"/>
      <c r="N78" s="2937"/>
      <c r="O78" s="2937"/>
      <c r="P78" s="2937"/>
      <c r="Q78" s="2577"/>
      <c r="R78" s="2577"/>
    </row>
    <row r="79" spans="1:18">
      <c r="A79" s="2519"/>
      <c r="B79" s="2519"/>
      <c r="C79" s="2519"/>
      <c r="F79" s="2566"/>
      <c r="G79" s="2575"/>
      <c r="H79" s="2575"/>
      <c r="I79" s="2574"/>
      <c r="J79" s="2574"/>
      <c r="K79" s="2576"/>
      <c r="L79" s="2576"/>
      <c r="M79" s="2576"/>
      <c r="N79" s="2937"/>
      <c r="O79" s="2937"/>
      <c r="P79" s="2937"/>
      <c r="Q79" s="2577"/>
      <c r="R79" s="2577"/>
    </row>
    <row r="80" spans="1:18">
      <c r="A80" s="2519"/>
      <c r="B80" s="2519"/>
      <c r="C80" s="2519"/>
      <c r="F80" s="2566"/>
      <c r="G80" s="2575"/>
      <c r="H80" s="2575"/>
      <c r="I80" s="2574"/>
      <c r="J80" s="2574"/>
      <c r="K80" s="2576"/>
      <c r="L80" s="2576"/>
      <c r="M80" s="2576"/>
      <c r="N80" s="2937"/>
      <c r="O80" s="2937"/>
      <c r="P80" s="2937"/>
      <c r="Q80" s="2577"/>
      <c r="R80" s="2577"/>
    </row>
    <row r="81" spans="1:21">
      <c r="A81" s="2519"/>
      <c r="B81" s="2519"/>
      <c r="C81" s="2519"/>
      <c r="F81" s="2566"/>
      <c r="G81" s="2575"/>
      <c r="H81" s="2575"/>
      <c r="I81" s="2574"/>
      <c r="J81" s="2574"/>
      <c r="K81" s="2576"/>
      <c r="L81" s="2576"/>
      <c r="M81" s="2576"/>
      <c r="N81" s="2937"/>
      <c r="O81" s="2937"/>
      <c r="P81" s="2937"/>
      <c r="Q81" s="2577"/>
      <c r="R81" s="2577"/>
    </row>
    <row r="82" spans="1:21">
      <c r="A82" s="2519"/>
      <c r="B82" s="2519"/>
      <c r="C82" s="2519"/>
      <c r="F82" s="2566"/>
      <c r="G82" s="2575"/>
      <c r="H82" s="2575"/>
      <c r="I82" s="2574"/>
      <c r="J82" s="2574"/>
      <c r="K82" s="2576"/>
      <c r="L82" s="2576"/>
      <c r="M82" s="2576"/>
      <c r="N82" s="2937"/>
      <c r="O82" s="2937"/>
      <c r="P82" s="2937"/>
      <c r="Q82" s="2577"/>
      <c r="R82" s="2577"/>
    </row>
    <row r="83" spans="1:21">
      <c r="A83" s="2519"/>
      <c r="B83" s="2519"/>
      <c r="C83" s="2519"/>
      <c r="F83" s="2566"/>
      <c r="G83" s="2575"/>
      <c r="H83" s="2575"/>
      <c r="I83" s="2574"/>
      <c r="J83" s="2574"/>
      <c r="K83" s="2576"/>
      <c r="L83" s="2576"/>
      <c r="M83" s="2576"/>
      <c r="N83" s="2937"/>
      <c r="O83" s="2937"/>
      <c r="P83" s="2937"/>
      <c r="Q83" s="2577"/>
      <c r="R83" s="2577"/>
    </row>
    <row r="84" spans="1:21">
      <c r="A84" s="2519"/>
      <c r="B84" s="2519"/>
      <c r="C84" s="2519"/>
      <c r="F84" s="2566"/>
      <c r="G84" s="2575"/>
      <c r="H84" s="2575"/>
      <c r="I84" s="2574"/>
      <c r="J84" s="2574"/>
      <c r="K84" s="2576"/>
      <c r="L84" s="2576"/>
      <c r="M84" s="2576"/>
      <c r="N84" s="2937"/>
      <c r="O84" s="2937"/>
      <c r="P84" s="2937"/>
      <c r="Q84" s="2577"/>
      <c r="R84" s="2577"/>
    </row>
    <row r="85" spans="1:21">
      <c r="A85" s="2519"/>
      <c r="B85" s="2519"/>
      <c r="C85" s="2519"/>
      <c r="F85" s="2566"/>
      <c r="G85" s="2575"/>
      <c r="H85" s="2575"/>
      <c r="I85" s="2574"/>
      <c r="J85" s="2574"/>
      <c r="K85" s="2576"/>
      <c r="L85" s="2576"/>
      <c r="M85" s="2576"/>
      <c r="N85" s="2937"/>
      <c r="O85" s="2937"/>
      <c r="P85" s="2937"/>
      <c r="Q85" s="2577"/>
      <c r="R85" s="2577"/>
    </row>
    <row r="86" spans="1:21">
      <c r="A86" s="2519"/>
      <c r="B86" s="2519"/>
      <c r="C86" s="2519"/>
      <c r="F86" s="2566"/>
      <c r="G86" s="2575"/>
      <c r="H86" s="2575"/>
      <c r="I86" s="2574"/>
      <c r="J86" s="2574"/>
      <c r="K86" s="2576"/>
      <c r="L86" s="2576"/>
      <c r="M86" s="2576"/>
      <c r="N86" s="2937"/>
      <c r="O86" s="2937"/>
      <c r="P86" s="2937"/>
      <c r="Q86" s="2577"/>
      <c r="R86" s="2577"/>
    </row>
    <row r="87" spans="1:21">
      <c r="A87" s="2519"/>
      <c r="B87" s="2519"/>
      <c r="C87" s="2519"/>
      <c r="F87" s="2566"/>
      <c r="G87" s="2575"/>
      <c r="H87" s="2575"/>
      <c r="I87" s="2574"/>
      <c r="J87" s="2574"/>
      <c r="K87" s="2576"/>
      <c r="L87" s="2576"/>
      <c r="M87" s="2576"/>
      <c r="N87" s="2937"/>
      <c r="O87" s="2937"/>
      <c r="P87" s="2937"/>
      <c r="Q87" s="2577"/>
      <c r="R87" s="2577"/>
    </row>
    <row r="88" spans="1:21">
      <c r="A88" s="2519"/>
      <c r="B88" s="2519"/>
      <c r="C88" s="2519"/>
      <c r="F88" s="2566"/>
      <c r="G88" s="2575"/>
      <c r="H88" s="2575"/>
      <c r="I88" s="2574"/>
      <c r="J88" s="2574"/>
      <c r="K88" s="2576"/>
      <c r="L88" s="2576"/>
      <c r="M88" s="2576"/>
      <c r="N88" s="2937"/>
      <c r="O88" s="2937"/>
      <c r="P88" s="2937"/>
      <c r="Q88" s="2577"/>
      <c r="R88" s="2577"/>
    </row>
    <row r="89" spans="1:21">
      <c r="A89" s="2519"/>
      <c r="B89" s="2519"/>
      <c r="C89" s="2519"/>
      <c r="F89" s="2566"/>
      <c r="G89" s="2575"/>
      <c r="H89" s="2575"/>
      <c r="I89" s="2574"/>
      <c r="J89" s="2574"/>
      <c r="K89" s="2576"/>
      <c r="L89" s="2576"/>
      <c r="M89" s="2576"/>
      <c r="N89" s="2937"/>
      <c r="O89" s="2937"/>
      <c r="P89" s="2937"/>
      <c r="Q89" s="2577"/>
      <c r="R89" s="2577"/>
    </row>
    <row r="90" spans="1:21">
      <c r="A90" s="2519"/>
      <c r="B90" s="2519"/>
      <c r="C90" s="2519"/>
      <c r="F90" s="2566"/>
      <c r="G90" s="2575"/>
      <c r="H90" s="2575"/>
      <c r="I90" s="2574"/>
      <c r="J90" s="2574"/>
      <c r="K90" s="2576"/>
      <c r="L90" s="2576"/>
      <c r="M90" s="2576"/>
      <c r="N90" s="2937"/>
      <c r="O90" s="2937"/>
      <c r="P90" s="2937"/>
      <c r="Q90" s="2577"/>
      <c r="R90" s="2577"/>
    </row>
    <row r="91" spans="1:21">
      <c r="A91" s="2519"/>
      <c r="B91" s="2519"/>
      <c r="C91" s="2519"/>
      <c r="F91" s="2566"/>
      <c r="G91" s="2575"/>
      <c r="H91" s="2575"/>
      <c r="I91" s="2574"/>
      <c r="J91" s="2574"/>
      <c r="K91" s="2576"/>
      <c r="L91" s="2576"/>
      <c r="M91" s="2576"/>
      <c r="N91" s="2937"/>
      <c r="O91" s="2937"/>
      <c r="P91" s="2937"/>
      <c r="Q91" s="2577"/>
      <c r="R91" s="2577"/>
    </row>
    <row r="92" spans="1:21">
      <c r="A92" s="2519"/>
      <c r="B92" s="2519"/>
      <c r="C92" s="2519"/>
      <c r="F92" s="2566"/>
      <c r="G92" s="2575"/>
      <c r="H92" s="2575"/>
      <c r="I92" s="2574"/>
      <c r="J92" s="2574"/>
      <c r="K92" s="2576"/>
      <c r="L92" s="2576"/>
      <c r="M92" s="2576"/>
      <c r="N92" s="2937"/>
      <c r="O92" s="2937"/>
      <c r="P92" s="2937"/>
      <c r="Q92" s="2577"/>
      <c r="R92" s="2577"/>
    </row>
    <row r="93" spans="1:21">
      <c r="A93" s="2519"/>
      <c r="B93" s="2519"/>
      <c r="C93" s="2519"/>
      <c r="F93" s="2566"/>
      <c r="I93" s="2574"/>
      <c r="J93" s="2574"/>
      <c r="K93" s="2519"/>
      <c r="L93" s="2519"/>
      <c r="M93" s="2519"/>
      <c r="Q93" s="2579"/>
    </row>
    <row r="94" spans="1:21">
      <c r="A94" s="2519"/>
      <c r="B94" s="2519"/>
      <c r="C94" s="2566"/>
      <c r="F94" s="2580"/>
      <c r="I94" s="2574"/>
      <c r="J94" s="2574"/>
      <c r="K94" s="2519"/>
      <c r="L94" s="2519"/>
      <c r="M94" s="2519"/>
      <c r="N94" s="2577"/>
      <c r="O94" s="2577"/>
      <c r="P94" s="2577"/>
      <c r="S94" s="2577"/>
      <c r="T94" s="2577"/>
      <c r="U94" s="2577"/>
    </row>
    <row r="95" spans="1:21">
      <c r="A95" s="2519"/>
      <c r="B95" s="2519"/>
      <c r="C95" s="2519"/>
      <c r="D95" s="2566"/>
      <c r="E95" s="2566"/>
      <c r="F95" s="2566"/>
      <c r="J95" s="2934"/>
      <c r="K95" s="2519"/>
      <c r="L95" s="2519"/>
      <c r="M95" s="2519"/>
      <c r="S95" s="2577"/>
      <c r="T95" s="2577"/>
      <c r="U95" s="2577"/>
    </row>
    <row r="96" spans="1:21">
      <c r="A96" s="2519"/>
      <c r="B96" s="2519"/>
      <c r="C96" s="2566" t="e">
        <f>#REF!+#REF!+#REF!+#REF!</f>
        <v>#REF!</v>
      </c>
      <c r="D96" s="2581"/>
      <c r="E96" s="2581"/>
      <c r="F96" s="3989" t="s">
        <v>1600</v>
      </c>
      <c r="G96" s="2566">
        <f>SUMIF(J16:J43,"A",I16:I43)</f>
        <v>0</v>
      </c>
      <c r="H96" s="2566"/>
      <c r="I96" s="2574">
        <f>G96*2500</f>
        <v>0</v>
      </c>
      <c r="J96" s="2574"/>
      <c r="K96" s="2575"/>
      <c r="L96" s="2575"/>
      <c r="M96" s="2575"/>
      <c r="O96" s="2519">
        <f>7.2+0.6+21+5+70</f>
        <v>103.8</v>
      </c>
    </row>
    <row r="97" spans="1:21">
      <c r="A97" s="2519"/>
      <c r="B97" s="2519"/>
      <c r="C97" s="2519"/>
      <c r="F97" s="3989"/>
      <c r="G97" s="2566">
        <f>SUMIF(J16:J43,"B",I16:I43)</f>
        <v>0</v>
      </c>
      <c r="H97" s="2566"/>
      <c r="I97" s="2574">
        <f>G97*2400</f>
        <v>0</v>
      </c>
      <c r="J97" s="2574"/>
      <c r="K97" s="2566"/>
      <c r="L97" s="2566"/>
      <c r="M97" s="2566"/>
    </row>
    <row r="98" spans="1:21">
      <c r="A98" s="2519"/>
      <c r="B98" s="2519"/>
      <c r="C98" s="2519"/>
      <c r="F98" s="3989"/>
      <c r="G98" s="2566">
        <f>SUMIF(J16:J43,"C",I16:I43)</f>
        <v>0</v>
      </c>
      <c r="H98" s="2566"/>
      <c r="I98" s="2574">
        <f>G98*2300</f>
        <v>0</v>
      </c>
      <c r="J98" s="2574"/>
      <c r="K98" s="2519"/>
      <c r="L98" s="2519"/>
      <c r="M98" s="2519"/>
      <c r="N98" s="2576"/>
      <c r="O98" s="2576"/>
      <c r="P98" s="2576"/>
      <c r="Q98" s="2576"/>
      <c r="U98" s="2566"/>
    </row>
    <row r="99" spans="1:21">
      <c r="A99" s="2519"/>
      <c r="B99" s="2519"/>
      <c r="C99" s="2519"/>
      <c r="F99" s="3989"/>
      <c r="G99" s="2566">
        <f>SUMIF(J16:J43,"D",I16:I43)</f>
        <v>0</v>
      </c>
      <c r="H99" s="2566"/>
      <c r="I99" s="2574">
        <f>G99*2200</f>
        <v>0</v>
      </c>
      <c r="J99" s="2574"/>
      <c r="K99" s="2519"/>
      <c r="L99" s="2519"/>
      <c r="M99" s="2519"/>
      <c r="N99" s="2937"/>
      <c r="O99" s="2937"/>
      <c r="P99" s="2937"/>
      <c r="Q99" s="2937"/>
      <c r="U99" s="2566"/>
    </row>
    <row r="100" spans="1:21">
      <c r="A100" s="2519"/>
      <c r="B100" s="2519"/>
      <c r="C100" s="2519"/>
      <c r="F100" s="2566"/>
      <c r="G100" s="2566"/>
      <c r="H100" s="2566"/>
      <c r="I100" s="2574"/>
      <c r="J100" s="2574"/>
      <c r="K100" s="2519"/>
      <c r="L100" s="2519"/>
      <c r="M100" s="2519"/>
      <c r="N100" s="2937"/>
      <c r="O100" s="2937"/>
      <c r="P100" s="2937"/>
      <c r="Q100" s="2937"/>
      <c r="U100" s="2566"/>
    </row>
    <row r="101" spans="1:21">
      <c r="A101" s="2519"/>
      <c r="B101" s="2519"/>
      <c r="C101" s="2519"/>
      <c r="F101" s="2566"/>
      <c r="G101" s="2566"/>
      <c r="H101" s="2566"/>
      <c r="I101" s="2574"/>
      <c r="J101" s="2574"/>
      <c r="K101" s="2519"/>
      <c r="L101" s="2519"/>
      <c r="M101" s="2519"/>
      <c r="N101" s="2937"/>
      <c r="O101" s="2937"/>
      <c r="P101" s="2937"/>
      <c r="Q101" s="2937"/>
      <c r="U101" s="2566"/>
    </row>
    <row r="102" spans="1:21">
      <c r="A102" s="2519"/>
      <c r="B102" s="2519"/>
      <c r="C102" s="2519"/>
      <c r="F102" s="2566"/>
      <c r="G102" s="2566"/>
      <c r="H102" s="2566"/>
      <c r="I102" s="2574"/>
      <c r="J102" s="2574"/>
      <c r="K102" s="2519"/>
      <c r="L102" s="2519"/>
      <c r="M102" s="2519"/>
      <c r="N102" s="2937"/>
      <c r="O102" s="2937"/>
      <c r="P102" s="2937"/>
      <c r="Q102" s="2937"/>
      <c r="U102" s="2566"/>
    </row>
    <row r="103" spans="1:21">
      <c r="A103" s="2519"/>
      <c r="B103" s="2519"/>
      <c r="C103" s="2519"/>
      <c r="F103" s="2566"/>
      <c r="G103" s="2566"/>
      <c r="H103" s="2566"/>
      <c r="I103" s="2574"/>
      <c r="J103" s="2574"/>
      <c r="K103" s="2519"/>
      <c r="L103" s="2519"/>
      <c r="M103" s="2519"/>
      <c r="N103" s="2937"/>
      <c r="O103" s="2937"/>
      <c r="P103" s="2937"/>
      <c r="Q103" s="2937"/>
      <c r="U103" s="2566"/>
    </row>
    <row r="104" spans="1:21">
      <c r="A104" s="2519"/>
      <c r="B104" s="2519"/>
      <c r="C104" s="2519"/>
      <c r="F104" s="2566"/>
      <c r="G104" s="2566"/>
      <c r="H104" s="2566"/>
      <c r="I104" s="2574"/>
      <c r="J104" s="2574"/>
      <c r="K104" s="2519"/>
      <c r="L104" s="2519"/>
      <c r="M104" s="2519"/>
      <c r="N104" s="2937"/>
      <c r="O104" s="2937"/>
      <c r="P104" s="2937"/>
      <c r="Q104" s="2937"/>
      <c r="U104" s="2566"/>
    </row>
    <row r="105" spans="1:21">
      <c r="A105" s="2519"/>
      <c r="B105" s="2519"/>
      <c r="C105" s="2519"/>
      <c r="F105" s="2566"/>
      <c r="G105" s="2566"/>
      <c r="H105" s="2566"/>
      <c r="I105" s="2574"/>
      <c r="J105" s="2574"/>
      <c r="K105" s="2519"/>
      <c r="L105" s="2519"/>
      <c r="M105" s="2519"/>
      <c r="N105" s="2937"/>
      <c r="O105" s="2937"/>
      <c r="P105" s="2937"/>
      <c r="Q105" s="2937"/>
      <c r="U105" s="2566"/>
    </row>
    <row r="106" spans="1:21">
      <c r="B106" s="2519"/>
      <c r="C106" s="2519"/>
      <c r="F106" s="2519"/>
      <c r="G106" s="2519">
        <f>SUM(G96:G104)</f>
        <v>0</v>
      </c>
      <c r="I106" s="2574">
        <f>SUM(I96:I104)</f>
        <v>0</v>
      </c>
      <c r="J106" s="2574"/>
      <c r="K106" s="2519"/>
      <c r="L106" s="2519"/>
      <c r="M106" s="2519"/>
      <c r="N106" s="3961" t="e">
        <f>I106+I116+G121</f>
        <v>#REF!</v>
      </c>
      <c r="O106" s="3961"/>
      <c r="P106" s="2934"/>
      <c r="Q106" s="2519" t="e">
        <f>N106-#REF!</f>
        <v>#REF!</v>
      </c>
    </row>
    <row r="107" spans="1:21">
      <c r="B107" s="2519"/>
      <c r="C107" s="2519"/>
      <c r="F107" s="2519"/>
      <c r="I107" s="3027"/>
      <c r="J107" s="2936"/>
      <c r="K107" s="2519"/>
      <c r="L107" s="2519"/>
      <c r="M107" s="2519"/>
      <c r="O107" s="2577"/>
      <c r="P107" s="2577"/>
      <c r="Q107" s="2577"/>
    </row>
    <row r="108" spans="1:21">
      <c r="B108" s="2519"/>
      <c r="C108" s="2519"/>
      <c r="F108" s="2566"/>
      <c r="G108" s="2519">
        <v>5422</v>
      </c>
      <c r="I108" s="2574">
        <f>G108*30000</f>
        <v>162660000</v>
      </c>
      <c r="J108" s="2574"/>
      <c r="K108" s="2519"/>
      <c r="L108" s="2519"/>
      <c r="M108" s="2519"/>
    </row>
    <row r="109" spans="1:21">
      <c r="B109" s="2519"/>
      <c r="C109" s="2519"/>
      <c r="F109" s="2566"/>
      <c r="G109" s="2519">
        <v>20</v>
      </c>
      <c r="I109" s="2574">
        <f>G109*60000</f>
        <v>1200000</v>
      </c>
      <c r="J109" s="2574"/>
      <c r="K109" s="2519"/>
      <c r="L109" s="2519"/>
      <c r="M109" s="2519"/>
    </row>
    <row r="110" spans="1:21">
      <c r="B110" s="2519"/>
      <c r="C110" s="2519"/>
      <c r="F110" s="2566"/>
      <c r="G110" s="2519">
        <v>230</v>
      </c>
      <c r="I110" s="2574">
        <f>G110*80000</f>
        <v>18400000</v>
      </c>
      <c r="J110" s="2574"/>
      <c r="K110" s="2519"/>
      <c r="L110" s="2519"/>
      <c r="M110" s="2519"/>
    </row>
    <row r="111" spans="1:21">
      <c r="A111" s="2519"/>
      <c r="G111" s="2519">
        <v>998</v>
      </c>
      <c r="I111" s="2574">
        <f>G111*50000</f>
        <v>49900000</v>
      </c>
      <c r="J111" s="2574"/>
      <c r="U111" s="2577"/>
    </row>
    <row r="112" spans="1:21">
      <c r="A112" s="2519"/>
      <c r="G112" s="2519">
        <v>2</v>
      </c>
      <c r="I112" s="2574">
        <f>G112*80000</f>
        <v>160000</v>
      </c>
      <c r="J112" s="2574"/>
      <c r="U112" s="2577"/>
    </row>
    <row r="113" spans="1:21">
      <c r="A113" s="2519"/>
      <c r="G113" s="2519">
        <v>89</v>
      </c>
      <c r="I113" s="2574">
        <f>G113*100000</f>
        <v>8900000</v>
      </c>
      <c r="J113" s="2574"/>
      <c r="U113" s="2934"/>
    </row>
    <row r="114" spans="1:21">
      <c r="A114" s="2519"/>
      <c r="G114" s="2519">
        <v>301.56000000000006</v>
      </c>
      <c r="I114" s="2574">
        <f>G114*25000</f>
        <v>7539000.0000000019</v>
      </c>
      <c r="J114" s="2574"/>
      <c r="U114" s="2934"/>
    </row>
    <row r="115" spans="1:21">
      <c r="A115" s="2519"/>
      <c r="G115" s="2519">
        <v>2965</v>
      </c>
      <c r="I115" s="2574">
        <f>G115*20000</f>
        <v>59300000</v>
      </c>
      <c r="J115" s="2574"/>
      <c r="U115" s="2934"/>
    </row>
    <row r="116" spans="1:21">
      <c r="A116" s="2519"/>
      <c r="B116" s="2926"/>
      <c r="G116" s="2519">
        <f>SUM(G108:G115)</f>
        <v>10027.560000000001</v>
      </c>
      <c r="I116" s="3990">
        <f>SUM(I108:I115)</f>
        <v>308059000</v>
      </c>
      <c r="J116" s="3990"/>
      <c r="Q116" s="2934"/>
      <c r="R116" s="2577"/>
    </row>
    <row r="117" spans="1:21">
      <c r="A117" s="2519"/>
      <c r="B117" s="2584"/>
      <c r="G117" s="2566" t="e">
        <f>#REF!+#REF!+#REF!+F43</f>
        <v>#REF!</v>
      </c>
      <c r="H117" s="2566"/>
      <c r="I117" s="2574" t="e">
        <f>G117*25000</f>
        <v>#REF!</v>
      </c>
      <c r="J117" s="2574"/>
    </row>
    <row r="118" spans="1:21">
      <c r="A118" s="2519"/>
      <c r="B118" s="2584"/>
      <c r="F118" s="2577" t="s">
        <v>1601</v>
      </c>
      <c r="G118" s="2519" t="e">
        <f>#REF!+#REF!</f>
        <v>#REF!</v>
      </c>
      <c r="I118" s="2574" t="e">
        <f>#REF!+#REF!</f>
        <v>#REF!</v>
      </c>
      <c r="J118" s="2585"/>
    </row>
    <row r="119" spans="1:21">
      <c r="A119" s="2519"/>
      <c r="B119" s="2584"/>
      <c r="G119" s="2519" t="e">
        <f>#REF!</f>
        <v>#REF!</v>
      </c>
      <c r="I119" s="2574" t="e">
        <f>#REF!</f>
        <v>#REF!</v>
      </c>
      <c r="J119" s="2585"/>
    </row>
    <row r="120" spans="1:21">
      <c r="A120" s="2519"/>
      <c r="G120" s="2519" t="e">
        <f>#REF!+#REF!+#REF!+#REF!</f>
        <v>#REF!</v>
      </c>
      <c r="I120" s="2574" t="e">
        <f>#REF!+#REF!+#REF!+#REF!</f>
        <v>#REF!</v>
      </c>
      <c r="J120" s="2585"/>
    </row>
    <row r="121" spans="1:21">
      <c r="A121" s="2519"/>
      <c r="G121" s="3990" t="e">
        <f>SUM(I117:J120)</f>
        <v>#REF!</v>
      </c>
      <c r="H121" s="3990"/>
      <c r="I121" s="3990"/>
      <c r="J121" s="2585"/>
      <c r="K121" s="2523" t="e">
        <f>G121-#REF!</f>
        <v>#REF!</v>
      </c>
    </row>
    <row r="123" spans="1:21">
      <c r="A123" s="2519"/>
      <c r="I123" s="3979" t="e">
        <f>+#REF!+#REF!+#REF!+#REF!+1000000</f>
        <v>#REF!</v>
      </c>
      <c r="J123" s="3979"/>
    </row>
    <row r="125" spans="1:21">
      <c r="A125" s="2519"/>
      <c r="G125" s="2566"/>
      <c r="H125" s="2566"/>
      <c r="I125" s="2574"/>
    </row>
    <row r="126" spans="1:21">
      <c r="A126" s="2519"/>
      <c r="N126" s="2566"/>
    </row>
    <row r="130" spans="1:17">
      <c r="A130" s="2519"/>
      <c r="G130" s="2566">
        <v>2551.8899999999994</v>
      </c>
      <c r="H130" s="2566"/>
    </row>
    <row r="131" spans="1:17">
      <c r="A131" s="2519"/>
      <c r="B131" s="2519"/>
      <c r="C131" s="2519"/>
      <c r="F131" s="2519"/>
      <c r="G131" s="2566" t="e">
        <f>+G117-G130</f>
        <v>#REF!</v>
      </c>
      <c r="H131" s="2566"/>
    </row>
    <row r="137" spans="1:17">
      <c r="A137" s="2519"/>
      <c r="B137" s="2519"/>
      <c r="C137" s="2519"/>
      <c r="F137" s="2519"/>
      <c r="J137" s="2522">
        <v>1678</v>
      </c>
      <c r="K137" s="2523">
        <v>1573</v>
      </c>
      <c r="N137" s="2519">
        <v>1187</v>
      </c>
      <c r="O137" s="2519">
        <v>1183</v>
      </c>
      <c r="Q137" s="2519">
        <f>SUM(J137:O137)</f>
        <v>5621</v>
      </c>
    </row>
    <row r="138" spans="1:17">
      <c r="A138" s="2519"/>
      <c r="B138" s="2519"/>
      <c r="C138" s="2519"/>
      <c r="F138" s="2519"/>
      <c r="J138" s="2522">
        <v>257</v>
      </c>
      <c r="K138" s="2523">
        <v>244</v>
      </c>
      <c r="N138" s="2519">
        <v>183</v>
      </c>
      <c r="O138" s="2519">
        <v>182</v>
      </c>
      <c r="Q138" s="2519">
        <f>SUM(J138:O138)</f>
        <v>866</v>
      </c>
    </row>
    <row r="139" spans="1:17">
      <c r="A139" s="2519"/>
      <c r="B139" s="2519"/>
      <c r="C139" s="2519"/>
      <c r="F139" s="2519"/>
      <c r="J139" s="2522">
        <v>1935</v>
      </c>
      <c r="K139" s="2523">
        <v>1817</v>
      </c>
      <c r="N139" s="2519">
        <v>1370</v>
      </c>
      <c r="O139" s="2519">
        <v>1365</v>
      </c>
      <c r="Q139" s="2519">
        <f>SUM(J139:O139)</f>
        <v>6487</v>
      </c>
    </row>
  </sheetData>
  <autoFilter ref="A15:Y44"/>
  <mergeCells count="42">
    <mergeCell ref="A9:W9"/>
    <mergeCell ref="A2:W2"/>
    <mergeCell ref="A3:W3"/>
    <mergeCell ref="A4:W4"/>
    <mergeCell ref="A6:I6"/>
    <mergeCell ref="A7:I7"/>
    <mergeCell ref="A10:W10"/>
    <mergeCell ref="C12:F12"/>
    <mergeCell ref="A13:A15"/>
    <mergeCell ref="B13:B15"/>
    <mergeCell ref="C13:C15"/>
    <mergeCell ref="D13:D15"/>
    <mergeCell ref="E13:E15"/>
    <mergeCell ref="F13:Q13"/>
    <mergeCell ref="R13:R15"/>
    <mergeCell ref="S13:S15"/>
    <mergeCell ref="T13:T15"/>
    <mergeCell ref="U13:U15"/>
    <mergeCell ref="V13:V15"/>
    <mergeCell ref="W13:W15"/>
    <mergeCell ref="F14:G14"/>
    <mergeCell ref="A58:F58"/>
    <mergeCell ref="G58:K58"/>
    <mergeCell ref="R58:W58"/>
    <mergeCell ref="N14:Q14"/>
    <mergeCell ref="A43:D43"/>
    <mergeCell ref="A44:W44"/>
    <mergeCell ref="R46:W46"/>
    <mergeCell ref="A49:F49"/>
    <mergeCell ref="G49:K49"/>
    <mergeCell ref="N49:Q49"/>
    <mergeCell ref="R49:W49"/>
    <mergeCell ref="N60:O60"/>
    <mergeCell ref="N56:Q56"/>
    <mergeCell ref="H14:M14"/>
    <mergeCell ref="L49:M49"/>
    <mergeCell ref="U56:V56"/>
    <mergeCell ref="I123:J123"/>
    <mergeCell ref="F96:F99"/>
    <mergeCell ref="N106:O106"/>
    <mergeCell ref="I116:J116"/>
    <mergeCell ref="G121:I121"/>
  </mergeCells>
  <pageMargins left="0.15748031496062992" right="0.15748031496062992" top="0.51181102362204722" bottom="0.23622047244094491" header="0.31496062992125984" footer="0.15748031496062992"/>
  <pageSetup paperSize="9" scale="4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39"/>
  <sheetViews>
    <sheetView topLeftCell="A35" zoomScale="90" zoomScaleNormal="90" workbookViewId="0">
      <selection activeCell="K17" sqref="K17"/>
    </sheetView>
  </sheetViews>
  <sheetFormatPr defaultColWidth="9.42578125" defaultRowHeight="23.25"/>
  <cols>
    <col min="1" max="1" width="8.42578125" style="2516" customWidth="1"/>
    <col min="2" max="2" width="20.5703125" style="3200" customWidth="1"/>
    <col min="3" max="3" width="19.85546875" style="2518" customWidth="1"/>
    <col min="4" max="4" width="15.5703125" style="2519" customWidth="1"/>
    <col min="5" max="5" width="19.5703125" style="2519" customWidth="1"/>
    <col min="6" max="6" width="19.28515625" style="2520" customWidth="1"/>
    <col min="7" max="7" width="19.42578125" style="2519" customWidth="1"/>
    <col min="8" max="8" width="14.85546875" style="2519" customWidth="1"/>
    <col min="9" max="9" width="15.5703125" style="3042" customWidth="1"/>
    <col min="10" max="10" width="12.42578125" style="2522" customWidth="1"/>
    <col min="11" max="11" width="22.140625" style="2523" customWidth="1"/>
    <col min="12" max="12" width="11.85546875" style="2519" customWidth="1"/>
    <col min="13" max="13" width="14.85546875" style="2519" customWidth="1"/>
    <col min="14" max="14" width="16.7109375" style="2519" customWidth="1"/>
    <col min="15" max="15" width="19.5703125" style="2519" customWidth="1"/>
    <col min="16" max="16" width="23.42578125" style="2519" customWidth="1"/>
    <col min="17" max="17" width="16.7109375" style="2519" hidden="1" customWidth="1"/>
    <col min="18" max="18" width="16.7109375" style="2519" customWidth="1"/>
    <col min="19" max="19" width="24.28515625" style="2519" customWidth="1"/>
    <col min="20" max="20" width="22.7109375" style="2519" hidden="1" customWidth="1"/>
    <col min="21" max="21" width="19.7109375" style="2519" customWidth="1"/>
    <col min="22" max="22" width="22.7109375" style="2519" bestFit="1" customWidth="1"/>
    <col min="23" max="23" width="18.85546875" style="2519" bestFit="1" customWidth="1"/>
    <col min="24" max="24" width="21.5703125" style="2519" bestFit="1" customWidth="1"/>
    <col min="25" max="28" width="9.42578125" style="2519"/>
    <col min="29" max="29" width="9.5703125" style="2519" bestFit="1" customWidth="1"/>
    <col min="30" max="16384" width="9.42578125" style="2519"/>
  </cols>
  <sheetData>
    <row r="2" spans="1:22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  <c r="T2" s="3958"/>
      <c r="U2" s="3958"/>
    </row>
    <row r="3" spans="1:22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  <c r="T3" s="3958"/>
      <c r="U3" s="3958"/>
    </row>
    <row r="4" spans="1:22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  <c r="T4" s="3960"/>
      <c r="U4" s="3960"/>
    </row>
    <row r="5" spans="1:22">
      <c r="A5" s="3199"/>
      <c r="B5" s="3199"/>
      <c r="C5" s="3199"/>
      <c r="D5" s="3199"/>
      <c r="E5" s="3199"/>
      <c r="F5" s="3199"/>
      <c r="G5" s="3199"/>
      <c r="H5" s="3199"/>
      <c r="I5" s="3035"/>
      <c r="J5" s="3199"/>
      <c r="K5" s="3199"/>
      <c r="L5" s="3199"/>
      <c r="M5" s="3199"/>
      <c r="N5" s="3199"/>
      <c r="O5" s="3199"/>
      <c r="P5" s="3199"/>
      <c r="Q5" s="3199"/>
      <c r="R5" s="3199"/>
      <c r="S5" s="3199"/>
      <c r="T5" s="3199"/>
      <c r="U5" s="3199"/>
    </row>
    <row r="6" spans="1:22" ht="25.5" customHeight="1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2525"/>
      <c r="K6" s="2525"/>
      <c r="L6" s="2525"/>
      <c r="M6" s="2525"/>
      <c r="N6" s="2525"/>
      <c r="O6" s="2526"/>
      <c r="P6" s="2526"/>
      <c r="Q6" s="2526"/>
      <c r="R6" s="2526"/>
      <c r="S6" s="2526"/>
    </row>
    <row r="7" spans="1:22">
      <c r="A7" s="3962" t="s">
        <v>1896</v>
      </c>
      <c r="B7" s="3962"/>
      <c r="C7" s="3962"/>
      <c r="D7" s="3962"/>
      <c r="E7" s="3962"/>
      <c r="F7" s="3962"/>
      <c r="G7" s="3962"/>
      <c r="H7" s="3962"/>
      <c r="I7" s="3962"/>
      <c r="J7" s="2525"/>
      <c r="K7" s="2525"/>
      <c r="L7" s="2525"/>
      <c r="M7" s="2525"/>
      <c r="N7" s="2525"/>
      <c r="O7" s="2526"/>
      <c r="P7" s="2526"/>
      <c r="Q7" s="2526"/>
      <c r="R7" s="2526"/>
      <c r="S7" s="2526"/>
    </row>
    <row r="8" spans="1:22" ht="22.5" customHeight="1">
      <c r="A8" s="3194"/>
      <c r="B8" s="3194"/>
      <c r="C8" s="3194"/>
      <c r="D8" s="3194"/>
      <c r="E8" s="3194"/>
      <c r="F8" s="3194"/>
      <c r="G8" s="3194"/>
      <c r="H8" s="3194"/>
      <c r="I8" s="3036"/>
      <c r="J8" s="2525"/>
      <c r="K8" s="2525"/>
      <c r="L8" s="2525"/>
      <c r="M8" s="2525"/>
      <c r="N8" s="2525"/>
      <c r="O8" s="2526"/>
      <c r="P8" s="2526"/>
      <c r="Q8" s="2526"/>
      <c r="R8" s="2526"/>
      <c r="S8" s="2526"/>
    </row>
    <row r="9" spans="1:22" s="2528" customFormat="1" ht="30.75" customHeight="1">
      <c r="A9" s="3963" t="s">
        <v>1952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  <c r="T9" s="3963"/>
      <c r="U9" s="3963"/>
    </row>
    <row r="10" spans="1:22" s="2528" customFormat="1" ht="15.75" customHeight="1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  <c r="T10" s="3962"/>
      <c r="U10" s="3962"/>
    </row>
    <row r="11" spans="1:22" s="2528" customFormat="1" ht="15.75" hidden="1" customHeight="1">
      <c r="A11" s="2529"/>
      <c r="B11" s="3194"/>
      <c r="C11" s="2577"/>
      <c r="D11" s="2577">
        <f>+'[10]Đội 2 (tu)'!D11</f>
        <v>688.6</v>
      </c>
      <c r="E11" s="2577"/>
      <c r="F11" s="2577"/>
      <c r="G11" s="2530"/>
      <c r="H11" s="2530"/>
      <c r="I11" s="3036"/>
      <c r="J11" s="3194"/>
      <c r="K11" s="3194"/>
      <c r="L11" s="3194"/>
      <c r="M11" s="3194"/>
      <c r="N11" s="3194"/>
      <c r="O11" s="3194"/>
      <c r="P11" s="3194"/>
      <c r="Q11" s="3194"/>
      <c r="R11" s="3194"/>
      <c r="S11" s="3194"/>
      <c r="V11" s="2528">
        <f>'[3]Bảng CC vn'!AK10</f>
        <v>25</v>
      </c>
    </row>
    <row r="12" spans="1:22" ht="21.75" customHeight="1">
      <c r="A12" s="2532"/>
      <c r="B12" s="2932"/>
      <c r="C12" s="4480" t="s">
        <v>1589</v>
      </c>
      <c r="D12" s="4480"/>
      <c r="E12" s="4480"/>
      <c r="F12" s="4480"/>
      <c r="G12" s="2534"/>
      <c r="H12" s="2534"/>
      <c r="I12" s="3037"/>
      <c r="J12" s="2536"/>
      <c r="K12" s="2537"/>
      <c r="L12" s="2538"/>
      <c r="M12" s="2538"/>
      <c r="N12" s="2538"/>
      <c r="O12" s="2538"/>
      <c r="P12" s="2538"/>
      <c r="Q12" s="2538"/>
      <c r="R12" s="2538"/>
      <c r="S12" s="2538"/>
      <c r="U12" s="2539" t="s">
        <v>1590</v>
      </c>
    </row>
    <row r="13" spans="1:22" s="3194" customFormat="1" ht="27" customHeight="1">
      <c r="A13" s="3965" t="s">
        <v>0</v>
      </c>
      <c r="B13" s="3965" t="s">
        <v>1591</v>
      </c>
      <c r="C13" s="3966" t="s">
        <v>1</v>
      </c>
      <c r="D13" s="3965" t="s">
        <v>2</v>
      </c>
      <c r="E13" s="3950" t="s">
        <v>1592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8" t="s">
        <v>1657</v>
      </c>
      <c r="Q13" s="3968" t="s">
        <v>1585</v>
      </c>
      <c r="R13" s="3951" t="s">
        <v>1603</v>
      </c>
      <c r="S13" s="3968" t="s">
        <v>1570</v>
      </c>
      <c r="T13" s="3950" t="s">
        <v>1592</v>
      </c>
      <c r="U13" s="3950" t="s">
        <v>92</v>
      </c>
    </row>
    <row r="14" spans="1:22" s="3194" customFormat="1" ht="72.75" customHeight="1">
      <c r="A14" s="3965"/>
      <c r="B14" s="3965"/>
      <c r="C14" s="3966"/>
      <c r="D14" s="3965"/>
      <c r="E14" s="3950"/>
      <c r="F14" s="3994" t="s">
        <v>1659</v>
      </c>
      <c r="G14" s="3995"/>
      <c r="H14" s="4481" t="s">
        <v>183</v>
      </c>
      <c r="I14" s="3998"/>
      <c r="J14" s="3998"/>
      <c r="K14" s="3999"/>
      <c r="L14" s="3968" t="s">
        <v>1949</v>
      </c>
      <c r="M14" s="3968"/>
      <c r="N14" s="3968"/>
      <c r="O14" s="3968"/>
      <c r="P14" s="3968"/>
      <c r="Q14" s="3968"/>
      <c r="R14" s="3972"/>
      <c r="S14" s="3968"/>
      <c r="T14" s="3950"/>
      <c r="U14" s="3950"/>
    </row>
    <row r="15" spans="1:22" s="3201" customFormat="1" ht="162" customHeight="1">
      <c r="A15" s="3965"/>
      <c r="B15" s="3965"/>
      <c r="C15" s="3966"/>
      <c r="D15" s="3965"/>
      <c r="E15" s="3950"/>
      <c r="F15" s="2540" t="s">
        <v>1593</v>
      </c>
      <c r="G15" s="3195" t="s">
        <v>14</v>
      </c>
      <c r="H15" s="3195" t="s">
        <v>1594</v>
      </c>
      <c r="I15" s="3038" t="s">
        <v>1946</v>
      </c>
      <c r="J15" s="3196" t="s">
        <v>1595</v>
      </c>
      <c r="K15" s="3196" t="s">
        <v>1084</v>
      </c>
      <c r="L15" s="3196" t="s">
        <v>1596</v>
      </c>
      <c r="M15" s="3196" t="s">
        <v>1597</v>
      </c>
      <c r="N15" s="3196" t="s">
        <v>1656</v>
      </c>
      <c r="O15" s="3196" t="s">
        <v>1254</v>
      </c>
      <c r="P15" s="3968"/>
      <c r="Q15" s="3968"/>
      <c r="R15" s="3952"/>
      <c r="S15" s="3968"/>
      <c r="T15" s="3950"/>
      <c r="U15" s="3950"/>
    </row>
    <row r="16" spans="1:22" s="3201" customFormat="1" ht="39" customHeight="1">
      <c r="A16" s="2545">
        <v>1</v>
      </c>
      <c r="B16" s="2545" t="s">
        <v>1822</v>
      </c>
      <c r="C16" s="2546" t="s">
        <v>1216</v>
      </c>
      <c r="D16" s="2546" t="str">
        <f>'[3]CNKT '!D16</f>
        <v>CNKT</v>
      </c>
      <c r="E16" s="2546"/>
      <c r="F16" s="2586">
        <f>+VLOOKUP(C16,[10]VCKD!D175:H205,5,0)</f>
        <v>0</v>
      </c>
      <c r="G16" s="2546">
        <f>+VLOOKUP(C16,[10]VCKD!D175:J205,7,0)</f>
        <v>0</v>
      </c>
      <c r="H16" s="2546">
        <f>+VLOOKUP(C16,'[10]Mủ CN (tam ung)'!C162:AK191,35,0)</f>
        <v>80</v>
      </c>
      <c r="I16" s="3039">
        <f>+H16*0.4</f>
        <v>32</v>
      </c>
      <c r="J16" s="2545" t="str">
        <f>+VLOOKUP(C16,[10]THKT!B160:Z189,25,0)</f>
        <v>A</v>
      </c>
      <c r="K16" s="3006">
        <f>I16*IF(J16="A",(6.1*$D$11),IF(J16="B",(5.8*$D$11),IF(J16="C",(5.5*$D$11),IF(J16="D",(5.2*$D$11)))))</f>
        <v>134414.72</v>
      </c>
      <c r="L16" s="2546">
        <v>0</v>
      </c>
      <c r="M16" s="2548">
        <v>0</v>
      </c>
      <c r="N16" s="2548">
        <v>0</v>
      </c>
      <c r="O16" s="2546">
        <v>0</v>
      </c>
      <c r="P16" s="2546">
        <f t="shared" ref="P16:P42" si="0">+G16+K16+O16</f>
        <v>134414.72</v>
      </c>
      <c r="Q16" s="2546"/>
      <c r="R16" s="2546">
        <v>0</v>
      </c>
      <c r="S16" s="2546">
        <f>+P16-R16</f>
        <v>134414.72</v>
      </c>
      <c r="T16" s="2546"/>
      <c r="U16" s="2546"/>
    </row>
    <row r="17" spans="1:21" s="3201" customFormat="1" ht="39" customHeight="1">
      <c r="A17" s="2545">
        <v>2</v>
      </c>
      <c r="B17" s="2545" t="s">
        <v>1823</v>
      </c>
      <c r="C17" s="2546" t="s">
        <v>351</v>
      </c>
      <c r="D17" s="2546" t="str">
        <f>'[3]CNKT '!D17</f>
        <v>CNKT</v>
      </c>
      <c r="E17" s="2546"/>
      <c r="F17" s="2586">
        <f>+VLOOKUP(C17,[10]VCKD!D176:H206,5,0)</f>
        <v>0</v>
      </c>
      <c r="G17" s="2546">
        <f>+VLOOKUP(C17,[10]VCKD!D176:J206,7,0)</f>
        <v>0</v>
      </c>
      <c r="H17" s="2546">
        <f>+VLOOKUP(C17,'[10]Mủ CN (tam ung)'!C163:AK192,35,0)</f>
        <v>45</v>
      </c>
      <c r="I17" s="3039">
        <f t="shared" ref="I17:I42" si="1">+H17*0.4</f>
        <v>18</v>
      </c>
      <c r="J17" s="2545" t="str">
        <f>+VLOOKUP(C17,[10]THKT!B161:Z190,25,0)</f>
        <v>B</v>
      </c>
      <c r="K17" s="3006">
        <f t="shared" ref="K17:K36" si="2">I17*IF(J17="A",(6.1*$D$11),IF(J17="B",(5.8*$D$11),IF(J17="C",(5.5*$D$11),IF(J17="D",(5.2*$D$11)))))</f>
        <v>71889.84</v>
      </c>
      <c r="L17" s="2546">
        <v>0</v>
      </c>
      <c r="M17" s="2548">
        <v>0</v>
      </c>
      <c r="N17" s="2548">
        <v>0</v>
      </c>
      <c r="O17" s="2546">
        <v>0</v>
      </c>
      <c r="P17" s="2546">
        <f t="shared" si="0"/>
        <v>71889.84</v>
      </c>
      <c r="Q17" s="2546"/>
      <c r="R17" s="2546">
        <v>0</v>
      </c>
      <c r="S17" s="2546">
        <f t="shared" ref="S17:S42" si="3">+P17-R17</f>
        <v>71889.84</v>
      </c>
      <c r="T17" s="2546"/>
      <c r="U17" s="2546"/>
    </row>
    <row r="18" spans="1:21" s="3201" customFormat="1" ht="39" customHeight="1">
      <c r="A18" s="2545">
        <v>3</v>
      </c>
      <c r="B18" s="2545" t="s">
        <v>1825</v>
      </c>
      <c r="C18" s="2546" t="s">
        <v>1218</v>
      </c>
      <c r="D18" s="2546" t="str">
        <f>'[3]CNKT '!D19</f>
        <v>CNKT</v>
      </c>
      <c r="E18" s="2546"/>
      <c r="F18" s="2586">
        <f>+VLOOKUP(C18,[10]VCKD!D178:H208,5,0)</f>
        <v>0</v>
      </c>
      <c r="G18" s="2546">
        <f>+VLOOKUP(C18,[10]VCKD!D178:J208,7,0)</f>
        <v>0</v>
      </c>
      <c r="H18" s="2546">
        <f>+VLOOKUP(C18,'[10]Mủ CN (tam ung)'!C165:AK194,35,0)</f>
        <v>50</v>
      </c>
      <c r="I18" s="3039">
        <f t="shared" si="1"/>
        <v>20</v>
      </c>
      <c r="J18" s="2545" t="str">
        <f>+VLOOKUP(C18,[10]THKT!B162:Z191,25,0)</f>
        <v>A</v>
      </c>
      <c r="K18" s="3006">
        <f t="shared" si="2"/>
        <v>84009.2</v>
      </c>
      <c r="L18" s="2546">
        <v>0</v>
      </c>
      <c r="M18" s="2548">
        <v>0</v>
      </c>
      <c r="N18" s="2548">
        <v>0</v>
      </c>
      <c r="O18" s="2546">
        <v>0</v>
      </c>
      <c r="P18" s="2546">
        <f t="shared" si="0"/>
        <v>84009.2</v>
      </c>
      <c r="Q18" s="2546"/>
      <c r="R18" s="2546">
        <v>0</v>
      </c>
      <c r="S18" s="2546">
        <f t="shared" si="3"/>
        <v>84009.2</v>
      </c>
      <c r="T18" s="2546"/>
      <c r="U18" s="2546"/>
    </row>
    <row r="19" spans="1:21" s="3201" customFormat="1" ht="39" customHeight="1">
      <c r="A19" s="2545">
        <v>4</v>
      </c>
      <c r="B19" s="2545" t="s">
        <v>1826</v>
      </c>
      <c r="C19" s="2546" t="s">
        <v>1517</v>
      </c>
      <c r="D19" s="2546" t="str">
        <f>'[3]CNKT '!D20</f>
        <v>CNKT</v>
      </c>
      <c r="E19" s="2546"/>
      <c r="F19" s="2586">
        <f>+VLOOKUP(C19,[10]VCKD!D179:H209,5,0)</f>
        <v>0</v>
      </c>
      <c r="G19" s="2546">
        <f>+VLOOKUP(C19,[10]VCKD!D179:J209,7,0)</f>
        <v>0</v>
      </c>
      <c r="H19" s="2546">
        <f>+VLOOKUP(C19,'[10]Mủ CN (tam ung)'!C166:AK195,35,0)</f>
        <v>55</v>
      </c>
      <c r="I19" s="3039">
        <f t="shared" si="1"/>
        <v>22</v>
      </c>
      <c r="J19" s="2545" t="str">
        <f>+VLOOKUP(C19,[10]THKT!B163:Z192,25,0)</f>
        <v>B</v>
      </c>
      <c r="K19" s="3006">
        <f t="shared" si="2"/>
        <v>87865.36</v>
      </c>
      <c r="L19" s="2546">
        <v>0</v>
      </c>
      <c r="M19" s="2548">
        <v>0</v>
      </c>
      <c r="N19" s="2548">
        <v>0</v>
      </c>
      <c r="O19" s="2546">
        <v>0</v>
      </c>
      <c r="P19" s="2546">
        <f t="shared" si="0"/>
        <v>87865.36</v>
      </c>
      <c r="Q19" s="2546"/>
      <c r="R19" s="2546">
        <v>0</v>
      </c>
      <c r="S19" s="2546">
        <f t="shared" si="3"/>
        <v>87865.36</v>
      </c>
      <c r="T19" s="2546"/>
      <c r="U19" s="2546"/>
    </row>
    <row r="20" spans="1:21" s="3201" customFormat="1" ht="39" customHeight="1">
      <c r="A20" s="2545">
        <v>5</v>
      </c>
      <c r="B20" s="2545" t="s">
        <v>1827</v>
      </c>
      <c r="C20" s="2546" t="s">
        <v>1217</v>
      </c>
      <c r="D20" s="2546" t="str">
        <f>'[3]CNKT '!D21</f>
        <v>CNKT</v>
      </c>
      <c r="E20" s="2546"/>
      <c r="F20" s="2586">
        <f>+VLOOKUP(C20,[10]VCKD!D180:H210,5,0)</f>
        <v>0</v>
      </c>
      <c r="G20" s="2546">
        <f>+VLOOKUP(C20,[10]VCKD!D180:J210,7,0)</f>
        <v>0</v>
      </c>
      <c r="H20" s="2546">
        <f>+VLOOKUP(C20,'[10]Mủ CN (tam ung)'!C167:AK196,35,0)</f>
        <v>35</v>
      </c>
      <c r="I20" s="3039">
        <f t="shared" si="1"/>
        <v>14</v>
      </c>
      <c r="J20" s="2545" t="str">
        <f>+VLOOKUP(C20,[10]THKT!B164:Z193,25,0)</f>
        <v>A</v>
      </c>
      <c r="K20" s="3006">
        <f t="shared" si="2"/>
        <v>58806.44</v>
      </c>
      <c r="L20" s="2546">
        <v>0</v>
      </c>
      <c r="M20" s="2548">
        <v>0</v>
      </c>
      <c r="N20" s="2548">
        <v>0</v>
      </c>
      <c r="O20" s="2546">
        <v>0</v>
      </c>
      <c r="P20" s="2546">
        <f t="shared" si="0"/>
        <v>58806.44</v>
      </c>
      <c r="Q20" s="2546"/>
      <c r="R20" s="2546">
        <v>0</v>
      </c>
      <c r="S20" s="2546">
        <f t="shared" si="3"/>
        <v>58806.44</v>
      </c>
      <c r="T20" s="2546"/>
      <c r="U20" s="2546"/>
    </row>
    <row r="21" spans="1:21" s="3201" customFormat="1" ht="39" customHeight="1">
      <c r="A21" s="2545">
        <v>6</v>
      </c>
      <c r="B21" s="2545" t="s">
        <v>1828</v>
      </c>
      <c r="C21" s="2546" t="s">
        <v>1545</v>
      </c>
      <c r="D21" s="2546" t="str">
        <f>'[3]CNKT '!D22</f>
        <v>CNKT</v>
      </c>
      <c r="E21" s="2546"/>
      <c r="F21" s="2586">
        <f>+VLOOKUP(C21,[10]VCKD!D181:H211,5,0)</f>
        <v>0</v>
      </c>
      <c r="G21" s="2546">
        <f>+VLOOKUP(C21,[10]VCKD!D181:J211,7,0)</f>
        <v>0</v>
      </c>
      <c r="H21" s="2546">
        <f>+VLOOKUP(C21,'[10]Mủ CN (tam ung)'!C168:AK197,35,0)</f>
        <v>43</v>
      </c>
      <c r="I21" s="3039">
        <f t="shared" si="1"/>
        <v>17.2</v>
      </c>
      <c r="J21" s="2545" t="str">
        <f>+VLOOKUP(C21,[10]THKT!B165:Z194,25,0)</f>
        <v>B</v>
      </c>
      <c r="K21" s="3006">
        <f t="shared" si="2"/>
        <v>68694.736000000004</v>
      </c>
      <c r="L21" s="2546">
        <v>0</v>
      </c>
      <c r="M21" s="2548">
        <v>0</v>
      </c>
      <c r="N21" s="2548">
        <v>0</v>
      </c>
      <c r="O21" s="2546">
        <v>0</v>
      </c>
      <c r="P21" s="2546">
        <f t="shared" si="0"/>
        <v>68694.736000000004</v>
      </c>
      <c r="Q21" s="2546"/>
      <c r="R21" s="2546">
        <v>0</v>
      </c>
      <c r="S21" s="2546">
        <f t="shared" si="3"/>
        <v>68694.736000000004</v>
      </c>
      <c r="T21" s="2546"/>
      <c r="U21" s="2546"/>
    </row>
    <row r="22" spans="1:21" s="3201" customFormat="1" ht="39" customHeight="1">
      <c r="A22" s="2545">
        <v>7</v>
      </c>
      <c r="B22" s="2545" t="s">
        <v>1829</v>
      </c>
      <c r="C22" s="2546" t="s">
        <v>152</v>
      </c>
      <c r="D22" s="2546" t="str">
        <f>'[3]CNKT '!D23</f>
        <v>CNKT</v>
      </c>
      <c r="E22" s="2546"/>
      <c r="F22" s="2586">
        <f>+VLOOKUP(C22,[10]VCKD!D182:H212,5,0)</f>
        <v>0</v>
      </c>
      <c r="G22" s="2546">
        <f>+VLOOKUP(C22,[10]VCKD!D182:J212,7,0)</f>
        <v>0</v>
      </c>
      <c r="H22" s="2546">
        <f>+VLOOKUP(C22,'[10]Mủ CN (tam ung)'!C169:AK198,35,0)</f>
        <v>42</v>
      </c>
      <c r="I22" s="3039">
        <f t="shared" si="1"/>
        <v>16.8</v>
      </c>
      <c r="J22" s="2545" t="str">
        <f>+VLOOKUP(C22,[10]THKT!B166:Z195,25,0)</f>
        <v>A</v>
      </c>
      <c r="K22" s="3006">
        <f t="shared" si="2"/>
        <v>70567.728000000003</v>
      </c>
      <c r="L22" s="2546">
        <v>0</v>
      </c>
      <c r="M22" s="2548">
        <v>0</v>
      </c>
      <c r="N22" s="2548">
        <v>0</v>
      </c>
      <c r="O22" s="2546">
        <v>0</v>
      </c>
      <c r="P22" s="2546">
        <f t="shared" si="0"/>
        <v>70567.728000000003</v>
      </c>
      <c r="Q22" s="2546"/>
      <c r="R22" s="2546">
        <v>0</v>
      </c>
      <c r="S22" s="2546">
        <f t="shared" si="3"/>
        <v>70567.728000000003</v>
      </c>
      <c r="T22" s="2546"/>
      <c r="U22" s="2546"/>
    </row>
    <row r="23" spans="1:21" s="3201" customFormat="1" ht="39" customHeight="1">
      <c r="A23" s="2545">
        <v>8</v>
      </c>
      <c r="B23" s="2545" t="s">
        <v>1830</v>
      </c>
      <c r="C23" s="2546" t="s">
        <v>571</v>
      </c>
      <c r="D23" s="2546" t="str">
        <f>'[3]CNKT '!D24</f>
        <v>CNKT</v>
      </c>
      <c r="E23" s="2546"/>
      <c r="F23" s="2586">
        <f>+VLOOKUP(C23,[10]VCKD!D183:H213,5,0)</f>
        <v>0</v>
      </c>
      <c r="G23" s="2546">
        <f>+VLOOKUP(C23,[10]VCKD!D183:J213,7,0)</f>
        <v>0</v>
      </c>
      <c r="H23" s="2546">
        <f>+VLOOKUP(C23,'[10]Mủ CN (tam ung)'!C170:AK199,35,0)</f>
        <v>54</v>
      </c>
      <c r="I23" s="3039">
        <f t="shared" si="1"/>
        <v>21.6</v>
      </c>
      <c r="J23" s="2545" t="str">
        <f>+VLOOKUP(C23,[10]THKT!B167:Z196,25,0)</f>
        <v>B</v>
      </c>
      <c r="K23" s="3006">
        <f t="shared" si="2"/>
        <v>86267.808000000005</v>
      </c>
      <c r="L23" s="2546">
        <v>0</v>
      </c>
      <c r="M23" s="2548">
        <v>0</v>
      </c>
      <c r="N23" s="2548">
        <v>0</v>
      </c>
      <c r="O23" s="2546">
        <v>0</v>
      </c>
      <c r="P23" s="2546">
        <f t="shared" si="0"/>
        <v>86267.808000000005</v>
      </c>
      <c r="Q23" s="2546"/>
      <c r="R23" s="2546">
        <v>0</v>
      </c>
      <c r="S23" s="2546">
        <f t="shared" si="3"/>
        <v>86267.808000000005</v>
      </c>
      <c r="T23" s="2546"/>
      <c r="U23" s="2546"/>
    </row>
    <row r="24" spans="1:21" s="3201" customFormat="1" ht="39" customHeight="1">
      <c r="A24" s="2545">
        <v>9</v>
      </c>
      <c r="B24" s="2545" t="s">
        <v>1831</v>
      </c>
      <c r="C24" s="2546" t="s">
        <v>1219</v>
      </c>
      <c r="D24" s="2546" t="str">
        <f>'[3]CNKT '!D25</f>
        <v>CNKT</v>
      </c>
      <c r="E24" s="2546"/>
      <c r="F24" s="2586">
        <f>+VLOOKUP(C24,[10]VCKD!D184:H214,5,0)</f>
        <v>0</v>
      </c>
      <c r="G24" s="2546">
        <f>+VLOOKUP(C24,[10]VCKD!D184:J214,7,0)</f>
        <v>0</v>
      </c>
      <c r="H24" s="2546">
        <f>+VLOOKUP(C24,'[10]Mủ CN (tam ung)'!C171:AK200,35,0)</f>
        <v>39</v>
      </c>
      <c r="I24" s="3039">
        <f t="shared" si="1"/>
        <v>15.600000000000001</v>
      </c>
      <c r="J24" s="2545" t="str">
        <f>+VLOOKUP(C24,[10]THKT!B168:Z197,25,0)</f>
        <v>B</v>
      </c>
      <c r="K24" s="3006">
        <f t="shared" si="2"/>
        <v>62304.528000000006</v>
      </c>
      <c r="L24" s="2546">
        <v>0</v>
      </c>
      <c r="M24" s="2548">
        <v>0</v>
      </c>
      <c r="N24" s="2548">
        <v>0</v>
      </c>
      <c r="O24" s="2546">
        <v>0</v>
      </c>
      <c r="P24" s="2546">
        <f t="shared" si="0"/>
        <v>62304.528000000006</v>
      </c>
      <c r="Q24" s="2546"/>
      <c r="R24" s="2546">
        <v>0</v>
      </c>
      <c r="S24" s="2546">
        <f t="shared" si="3"/>
        <v>62304.528000000006</v>
      </c>
      <c r="T24" s="2546"/>
      <c r="U24" s="2546"/>
    </row>
    <row r="25" spans="1:21" s="3201" customFormat="1" ht="39" customHeight="1">
      <c r="A25" s="2545">
        <v>10</v>
      </c>
      <c r="B25" s="2545" t="s">
        <v>1832</v>
      </c>
      <c r="C25" s="2546" t="s">
        <v>853</v>
      </c>
      <c r="D25" s="2546" t="str">
        <f>'[3]CNKT '!D26</f>
        <v>CNKT</v>
      </c>
      <c r="E25" s="2546"/>
      <c r="F25" s="2586">
        <f>+VLOOKUP(C25,[10]VCKD!D185:H215,5,0)</f>
        <v>0</v>
      </c>
      <c r="G25" s="2546">
        <f>+VLOOKUP(C25,[10]VCKD!D185:J215,7,0)</f>
        <v>0</v>
      </c>
      <c r="H25" s="2546">
        <f>+VLOOKUP(C25,'[10]Mủ CN (tam ung)'!C172:AK201,35,0)</f>
        <v>49</v>
      </c>
      <c r="I25" s="3039">
        <f t="shared" si="1"/>
        <v>19.600000000000001</v>
      </c>
      <c r="J25" s="2545" t="str">
        <f>+VLOOKUP(C25,[10]THKT!B169:Z198,25,0)</f>
        <v>B</v>
      </c>
      <c r="K25" s="3006">
        <f t="shared" si="2"/>
        <v>78280.04800000001</v>
      </c>
      <c r="L25" s="2546">
        <v>0</v>
      </c>
      <c r="M25" s="2548">
        <v>0</v>
      </c>
      <c r="N25" s="2548">
        <v>0</v>
      </c>
      <c r="O25" s="2546">
        <v>0</v>
      </c>
      <c r="P25" s="2546">
        <f t="shared" si="0"/>
        <v>78280.04800000001</v>
      </c>
      <c r="Q25" s="2546"/>
      <c r="R25" s="2546">
        <v>0</v>
      </c>
      <c r="S25" s="2546">
        <f t="shared" si="3"/>
        <v>78280.04800000001</v>
      </c>
      <c r="T25" s="2546"/>
      <c r="U25" s="2546"/>
    </row>
    <row r="26" spans="1:21" s="3201" customFormat="1" ht="39" customHeight="1">
      <c r="A26" s="2545">
        <v>11</v>
      </c>
      <c r="B26" s="2545" t="s">
        <v>1833</v>
      </c>
      <c r="C26" s="2546" t="s">
        <v>1220</v>
      </c>
      <c r="D26" s="2546" t="str">
        <f>'[3]CNKT '!D27</f>
        <v>CNKT</v>
      </c>
      <c r="E26" s="2546"/>
      <c r="F26" s="2586">
        <f>+VLOOKUP(C26,[10]VCKD!D186:H216,5,0)</f>
        <v>0</v>
      </c>
      <c r="G26" s="2546">
        <f>+VLOOKUP(C26,[10]VCKD!D186:J216,7,0)</f>
        <v>0</v>
      </c>
      <c r="H26" s="2546">
        <f>+VLOOKUP(C26,'[10]Mủ CN (tam ung)'!C173:AK202,35,0)</f>
        <v>51</v>
      </c>
      <c r="I26" s="3039">
        <f t="shared" si="1"/>
        <v>20.400000000000002</v>
      </c>
      <c r="J26" s="2545" t="str">
        <f>+VLOOKUP(C26,[10]THKT!B170:Z199,25,0)</f>
        <v>A</v>
      </c>
      <c r="K26" s="3006">
        <f t="shared" si="2"/>
        <v>85689.384000000005</v>
      </c>
      <c r="L26" s="2546">
        <v>0</v>
      </c>
      <c r="M26" s="2548">
        <v>0</v>
      </c>
      <c r="N26" s="2548">
        <v>0</v>
      </c>
      <c r="O26" s="2546">
        <v>0</v>
      </c>
      <c r="P26" s="2546">
        <f t="shared" si="0"/>
        <v>85689.384000000005</v>
      </c>
      <c r="Q26" s="2546"/>
      <c r="R26" s="2546">
        <v>0</v>
      </c>
      <c r="S26" s="2546">
        <f t="shared" si="3"/>
        <v>85689.384000000005</v>
      </c>
      <c r="T26" s="2546"/>
      <c r="U26" s="2546"/>
    </row>
    <row r="27" spans="1:21" s="3201" customFormat="1" ht="39" customHeight="1">
      <c r="A27" s="2545">
        <v>12</v>
      </c>
      <c r="B27" s="2545" t="s">
        <v>1834</v>
      </c>
      <c r="C27" s="2546" t="s">
        <v>1221</v>
      </c>
      <c r="D27" s="2546" t="str">
        <f>'[3]CNKT '!D28</f>
        <v>CNKT</v>
      </c>
      <c r="E27" s="2546"/>
      <c r="F27" s="2586">
        <f>+VLOOKUP(C27,[10]VCKD!D187:H217,5,0)</f>
        <v>0</v>
      </c>
      <c r="G27" s="2546">
        <f>+VLOOKUP(C27,[10]VCKD!D187:J217,7,0)</f>
        <v>0</v>
      </c>
      <c r="H27" s="2546">
        <f>+VLOOKUP(C27,'[10]Mủ CN (tam ung)'!C174:AK203,35,0)</f>
        <v>82</v>
      </c>
      <c r="I27" s="3039">
        <f t="shared" si="1"/>
        <v>32.800000000000004</v>
      </c>
      <c r="J27" s="2545" t="str">
        <f>+VLOOKUP(C27,[10]THKT!B171:Z200,25,0)</f>
        <v>A</v>
      </c>
      <c r="K27" s="3006">
        <f t="shared" si="2"/>
        <v>137775.08800000002</v>
      </c>
      <c r="L27" s="2546">
        <v>0</v>
      </c>
      <c r="M27" s="2548">
        <v>0</v>
      </c>
      <c r="N27" s="2548">
        <v>0</v>
      </c>
      <c r="O27" s="2546">
        <v>0</v>
      </c>
      <c r="P27" s="2546">
        <f t="shared" si="0"/>
        <v>137775.08800000002</v>
      </c>
      <c r="Q27" s="2546"/>
      <c r="R27" s="2546">
        <v>0</v>
      </c>
      <c r="S27" s="2546">
        <f t="shared" si="3"/>
        <v>137775.08800000002</v>
      </c>
      <c r="T27" s="2546"/>
      <c r="U27" s="2546"/>
    </row>
    <row r="28" spans="1:21" s="3201" customFormat="1" ht="39" customHeight="1">
      <c r="A28" s="2545">
        <v>13</v>
      </c>
      <c r="B28" s="2545" t="s">
        <v>1836</v>
      </c>
      <c r="C28" s="2546" t="s">
        <v>1223</v>
      </c>
      <c r="D28" s="2546" t="str">
        <f>'[3]CNKT '!D30</f>
        <v>CNKT</v>
      </c>
      <c r="E28" s="2546"/>
      <c r="F28" s="2586">
        <f>+VLOOKUP(C28,[10]VCKD!D189:H219,5,0)</f>
        <v>0</v>
      </c>
      <c r="G28" s="2546">
        <f>+VLOOKUP(C28,[10]VCKD!D189:J219,7,0)</f>
        <v>0</v>
      </c>
      <c r="H28" s="2546">
        <f>+VLOOKUP(C28,'[10]Mủ CN (tam ung)'!C176:AK205,35,0)</f>
        <v>45</v>
      </c>
      <c r="I28" s="3039">
        <f t="shared" si="1"/>
        <v>18</v>
      </c>
      <c r="J28" s="2545" t="str">
        <f>+VLOOKUP(C28,[10]THKT!B172:Z201,25,0)</f>
        <v>A</v>
      </c>
      <c r="K28" s="3006">
        <f t="shared" si="2"/>
        <v>75608.28</v>
      </c>
      <c r="L28" s="2546">
        <v>0</v>
      </c>
      <c r="M28" s="2548">
        <v>0</v>
      </c>
      <c r="N28" s="2548">
        <v>0</v>
      </c>
      <c r="O28" s="2546">
        <v>0</v>
      </c>
      <c r="P28" s="2546">
        <f t="shared" si="0"/>
        <v>75608.28</v>
      </c>
      <c r="Q28" s="2546"/>
      <c r="R28" s="2546">
        <v>0</v>
      </c>
      <c r="S28" s="2546">
        <f t="shared" si="3"/>
        <v>75608.28</v>
      </c>
      <c r="T28" s="2546"/>
      <c r="U28" s="2546"/>
    </row>
    <row r="29" spans="1:21" s="3201" customFormat="1" ht="39" customHeight="1">
      <c r="A29" s="2545">
        <v>14</v>
      </c>
      <c r="B29" s="2545" t="s">
        <v>1837</v>
      </c>
      <c r="C29" s="2546" t="s">
        <v>1224</v>
      </c>
      <c r="D29" s="2546" t="str">
        <f>'[3]CNKT '!D31</f>
        <v>CNKT</v>
      </c>
      <c r="E29" s="2546"/>
      <c r="F29" s="2586">
        <f>+VLOOKUP(C29,[10]VCKD!D190:H220,5,0)</f>
        <v>0</v>
      </c>
      <c r="G29" s="2546">
        <f>+VLOOKUP(C29,[10]VCKD!D190:J220,7,0)</f>
        <v>0</v>
      </c>
      <c r="H29" s="2546">
        <f>+VLOOKUP(C29,'[10]Mủ CN (tam ung)'!C177:AK206,35,0)</f>
        <v>64</v>
      </c>
      <c r="I29" s="3039">
        <f t="shared" si="1"/>
        <v>25.6</v>
      </c>
      <c r="J29" s="2545" t="str">
        <f>+VLOOKUP(C29,[10]THKT!B173:Z202,25,0)</f>
        <v>A</v>
      </c>
      <c r="K29" s="3006">
        <f t="shared" si="2"/>
        <v>107531.77600000001</v>
      </c>
      <c r="L29" s="2546">
        <v>0</v>
      </c>
      <c r="M29" s="2548">
        <v>0</v>
      </c>
      <c r="N29" s="2548">
        <v>0</v>
      </c>
      <c r="O29" s="2546">
        <v>0</v>
      </c>
      <c r="P29" s="2546">
        <f t="shared" si="0"/>
        <v>107531.77600000001</v>
      </c>
      <c r="Q29" s="2546"/>
      <c r="R29" s="2546">
        <v>0</v>
      </c>
      <c r="S29" s="2546">
        <f t="shared" si="3"/>
        <v>107531.77600000001</v>
      </c>
      <c r="T29" s="2546"/>
      <c r="U29" s="2546"/>
    </row>
    <row r="30" spans="1:21" s="3201" customFormat="1" ht="39" customHeight="1">
      <c r="A30" s="2545">
        <v>15</v>
      </c>
      <c r="B30" s="2545" t="s">
        <v>1838</v>
      </c>
      <c r="C30" s="2546" t="s">
        <v>1546</v>
      </c>
      <c r="D30" s="2546" t="str">
        <f>'[3]CNKT '!D32</f>
        <v>CNKT</v>
      </c>
      <c r="E30" s="2546"/>
      <c r="F30" s="2586">
        <f>+VLOOKUP(C30,[10]VCKD!D191:H221,5,0)</f>
        <v>0</v>
      </c>
      <c r="G30" s="2546">
        <f>+VLOOKUP(C30,[10]VCKD!D191:J221,7,0)</f>
        <v>0</v>
      </c>
      <c r="H30" s="2546">
        <f>+VLOOKUP(C30,'[10]Mủ CN (tam ung)'!C178:AK207,35,0)</f>
        <v>42</v>
      </c>
      <c r="I30" s="3039">
        <f t="shared" si="1"/>
        <v>16.8</v>
      </c>
      <c r="J30" s="2545" t="str">
        <f>+VLOOKUP(C30,[10]THKT!B174:Z203,25,0)</f>
        <v>B</v>
      </c>
      <c r="K30" s="3006">
        <f t="shared" si="2"/>
        <v>67097.184000000008</v>
      </c>
      <c r="L30" s="2546">
        <v>0</v>
      </c>
      <c r="M30" s="2548">
        <v>0</v>
      </c>
      <c r="N30" s="2548">
        <v>0</v>
      </c>
      <c r="O30" s="2546">
        <v>0</v>
      </c>
      <c r="P30" s="2546">
        <f t="shared" si="0"/>
        <v>67097.184000000008</v>
      </c>
      <c r="Q30" s="2546"/>
      <c r="R30" s="2546">
        <v>0</v>
      </c>
      <c r="S30" s="2546">
        <f t="shared" si="3"/>
        <v>67097.184000000008</v>
      </c>
      <c r="T30" s="2546"/>
      <c r="U30" s="2546"/>
    </row>
    <row r="31" spans="1:21" s="3201" customFormat="1" ht="39" customHeight="1">
      <c r="A31" s="2545">
        <v>16</v>
      </c>
      <c r="B31" s="2545" t="s">
        <v>1839</v>
      </c>
      <c r="C31" s="2546" t="s">
        <v>1226</v>
      </c>
      <c r="D31" s="2546" t="str">
        <f>'[3]CNKT '!D33</f>
        <v>CNKT</v>
      </c>
      <c r="E31" s="2546"/>
      <c r="F31" s="2586">
        <f>+VLOOKUP(C31,[10]VCKD!D192:H222,5,0)</f>
        <v>0</v>
      </c>
      <c r="G31" s="2546">
        <f>+VLOOKUP(C31,[10]VCKD!D192:J222,7,0)</f>
        <v>0</v>
      </c>
      <c r="H31" s="2546">
        <f>+VLOOKUP(C31,'[10]Mủ CN (tam ung)'!C179:AK208,35,0)</f>
        <v>65</v>
      </c>
      <c r="I31" s="3039">
        <f t="shared" si="1"/>
        <v>26</v>
      </c>
      <c r="J31" s="2545" t="str">
        <f>+VLOOKUP(C31,[10]THKT!B175:Z204,25,0)</f>
        <v>B</v>
      </c>
      <c r="K31" s="3006">
        <f t="shared" si="2"/>
        <v>103840.88</v>
      </c>
      <c r="L31" s="2546">
        <v>0</v>
      </c>
      <c r="M31" s="2548">
        <v>0</v>
      </c>
      <c r="N31" s="2548">
        <v>0</v>
      </c>
      <c r="O31" s="2546">
        <v>0</v>
      </c>
      <c r="P31" s="2546">
        <f t="shared" si="0"/>
        <v>103840.88</v>
      </c>
      <c r="Q31" s="2546"/>
      <c r="R31" s="2546">
        <v>0</v>
      </c>
      <c r="S31" s="2546">
        <f t="shared" si="3"/>
        <v>103840.88</v>
      </c>
      <c r="T31" s="2546"/>
      <c r="U31" s="2546"/>
    </row>
    <row r="32" spans="1:21" s="3201" customFormat="1" ht="39" customHeight="1">
      <c r="A32" s="2545">
        <v>17</v>
      </c>
      <c r="B32" s="2545" t="s">
        <v>1840</v>
      </c>
      <c r="C32" s="2546" t="s">
        <v>861</v>
      </c>
      <c r="D32" s="2546" t="str">
        <f>'[3]CNKT '!D34</f>
        <v>CNKT</v>
      </c>
      <c r="E32" s="2546"/>
      <c r="F32" s="2586">
        <f>+VLOOKUP(C32,[10]VCKD!D193:H223,5,0)</f>
        <v>0</v>
      </c>
      <c r="G32" s="2546">
        <f>+VLOOKUP(C32,[10]VCKD!D193:J223,7,0)</f>
        <v>0</v>
      </c>
      <c r="H32" s="2546">
        <f>+VLOOKUP(C32,'[10]Mủ CN (tam ung)'!C180:AK209,35,0)</f>
        <v>47</v>
      </c>
      <c r="I32" s="3039">
        <f t="shared" si="1"/>
        <v>18.8</v>
      </c>
      <c r="J32" s="2545" t="str">
        <f>+VLOOKUP(C32,[10]THKT!B176:Z205,25,0)</f>
        <v>A</v>
      </c>
      <c r="K32" s="3006">
        <f t="shared" si="2"/>
        <v>78968.648000000001</v>
      </c>
      <c r="L32" s="2546">
        <v>0</v>
      </c>
      <c r="M32" s="2548">
        <v>0</v>
      </c>
      <c r="N32" s="2548">
        <v>0</v>
      </c>
      <c r="O32" s="2546">
        <v>0</v>
      </c>
      <c r="P32" s="2546">
        <f t="shared" si="0"/>
        <v>78968.648000000001</v>
      </c>
      <c r="Q32" s="2546"/>
      <c r="R32" s="2546">
        <v>0</v>
      </c>
      <c r="S32" s="2546">
        <f t="shared" si="3"/>
        <v>78968.648000000001</v>
      </c>
      <c r="T32" s="2546"/>
      <c r="U32" s="2546"/>
    </row>
    <row r="33" spans="1:23" s="3201" customFormat="1" ht="39" customHeight="1">
      <c r="A33" s="2545">
        <v>18</v>
      </c>
      <c r="B33" s="2545" t="s">
        <v>1841</v>
      </c>
      <c r="C33" s="2546" t="s">
        <v>486</v>
      </c>
      <c r="D33" s="2546" t="str">
        <f>'[3]CNKT '!D35</f>
        <v>CNKT</v>
      </c>
      <c r="E33" s="2546"/>
      <c r="F33" s="2586">
        <f>+VLOOKUP(C33,[10]VCKD!D194:H224,5,0)</f>
        <v>0</v>
      </c>
      <c r="G33" s="2546">
        <f>+VLOOKUP(C33,[10]VCKD!D194:J224,7,0)</f>
        <v>0</v>
      </c>
      <c r="H33" s="2546">
        <f>+VLOOKUP(C33,'[10]Mủ CN (tam ung)'!C181:AK210,35,0)</f>
        <v>84</v>
      </c>
      <c r="I33" s="3039">
        <f t="shared" si="1"/>
        <v>33.6</v>
      </c>
      <c r="J33" s="2545" t="str">
        <f>+VLOOKUP(C33,[10]THKT!B177:Z206,25,0)</f>
        <v>A</v>
      </c>
      <c r="K33" s="3006">
        <f t="shared" si="2"/>
        <v>141135.45600000001</v>
      </c>
      <c r="L33" s="2546">
        <v>0</v>
      </c>
      <c r="M33" s="2548">
        <v>0</v>
      </c>
      <c r="N33" s="2548">
        <v>0</v>
      </c>
      <c r="O33" s="2546">
        <v>0</v>
      </c>
      <c r="P33" s="2546">
        <f t="shared" si="0"/>
        <v>141135.45600000001</v>
      </c>
      <c r="Q33" s="2546"/>
      <c r="R33" s="2546">
        <v>0</v>
      </c>
      <c r="S33" s="2546">
        <f t="shared" si="3"/>
        <v>141135.45600000001</v>
      </c>
      <c r="T33" s="2546"/>
      <c r="U33" s="2546"/>
    </row>
    <row r="34" spans="1:23" s="3201" customFormat="1" ht="39" customHeight="1">
      <c r="A34" s="2545">
        <v>19</v>
      </c>
      <c r="B34" s="2545" t="s">
        <v>1842</v>
      </c>
      <c r="C34" s="2546" t="s">
        <v>836</v>
      </c>
      <c r="D34" s="2546" t="str">
        <f>'[3]CNKT '!D36</f>
        <v>CNKT</v>
      </c>
      <c r="E34" s="2546"/>
      <c r="F34" s="2586">
        <f>+VLOOKUP(C34,[10]VCKD!D195:H225,5,0)</f>
        <v>0</v>
      </c>
      <c r="G34" s="2546">
        <f>+VLOOKUP(C34,[10]VCKD!D195:J225,7,0)</f>
        <v>0</v>
      </c>
      <c r="H34" s="2546">
        <f>+VLOOKUP(C34,'[10]Mủ CN (tam ung)'!C182:AK211,35,0)</f>
        <v>73</v>
      </c>
      <c r="I34" s="3039">
        <f t="shared" si="1"/>
        <v>29.200000000000003</v>
      </c>
      <c r="J34" s="2545" t="str">
        <f>+VLOOKUP(C34,[10]THKT!B178:Z207,25,0)</f>
        <v>A</v>
      </c>
      <c r="K34" s="3006">
        <f t="shared" si="2"/>
        <v>122653.43200000002</v>
      </c>
      <c r="L34" s="2546">
        <v>0</v>
      </c>
      <c r="M34" s="2548">
        <v>0</v>
      </c>
      <c r="N34" s="2548">
        <v>0</v>
      </c>
      <c r="O34" s="2546">
        <v>0</v>
      </c>
      <c r="P34" s="2546">
        <f t="shared" si="0"/>
        <v>122653.43200000002</v>
      </c>
      <c r="Q34" s="2546"/>
      <c r="R34" s="2546">
        <v>0</v>
      </c>
      <c r="S34" s="2546">
        <f t="shared" si="3"/>
        <v>122653.43200000002</v>
      </c>
      <c r="T34" s="2546"/>
      <c r="U34" s="2546"/>
    </row>
    <row r="35" spans="1:23" s="3201" customFormat="1" ht="39" customHeight="1">
      <c r="A35" s="2545">
        <v>20</v>
      </c>
      <c r="B35" s="2545" t="s">
        <v>1844</v>
      </c>
      <c r="C35" s="2546" t="s">
        <v>1228</v>
      </c>
      <c r="D35" s="2546" t="str">
        <f>'[3]CNKT '!D38</f>
        <v>CNKT</v>
      </c>
      <c r="E35" s="2546"/>
      <c r="F35" s="2586">
        <f>+VLOOKUP(C35,[10]VCKD!D197:H227,5,0)</f>
        <v>0</v>
      </c>
      <c r="G35" s="2546">
        <f>+VLOOKUP(C35,[10]VCKD!D197:J227,7,0)</f>
        <v>0</v>
      </c>
      <c r="H35" s="2546">
        <f>+VLOOKUP(C35,'[10]Mủ CN (tam ung)'!C184:AK213,35,0)</f>
        <v>57</v>
      </c>
      <c r="I35" s="3039">
        <f t="shared" si="1"/>
        <v>22.8</v>
      </c>
      <c r="J35" s="2545" t="str">
        <f>+VLOOKUP(C35,[10]THKT!B179:Z208,25,0)</f>
        <v>A</v>
      </c>
      <c r="K35" s="3006">
        <f t="shared" si="2"/>
        <v>95770.487999999998</v>
      </c>
      <c r="L35" s="2546">
        <v>0</v>
      </c>
      <c r="M35" s="2548">
        <v>0</v>
      </c>
      <c r="N35" s="2548">
        <v>0</v>
      </c>
      <c r="O35" s="2546">
        <v>0</v>
      </c>
      <c r="P35" s="2546">
        <f t="shared" si="0"/>
        <v>95770.487999999998</v>
      </c>
      <c r="Q35" s="2546"/>
      <c r="R35" s="2546">
        <v>0</v>
      </c>
      <c r="S35" s="2546">
        <f t="shared" si="3"/>
        <v>95770.487999999998</v>
      </c>
      <c r="T35" s="2546"/>
      <c r="U35" s="2546"/>
    </row>
    <row r="36" spans="1:23" s="3201" customFormat="1" ht="39" customHeight="1">
      <c r="A36" s="2545">
        <v>21</v>
      </c>
      <c r="B36" s="2545" t="s">
        <v>1845</v>
      </c>
      <c r="C36" s="2546" t="s">
        <v>1229</v>
      </c>
      <c r="D36" s="2546" t="str">
        <f>'[3]CNKT '!D39</f>
        <v>CNKT</v>
      </c>
      <c r="E36" s="2546"/>
      <c r="F36" s="2586">
        <f>+VLOOKUP(C36,[10]VCKD!D198:H228,5,0)</f>
        <v>0</v>
      </c>
      <c r="G36" s="2546">
        <f>+VLOOKUP(C36,[10]VCKD!D198:J228,7,0)</f>
        <v>0</v>
      </c>
      <c r="H36" s="2546">
        <f>+VLOOKUP(C36,'[10]Mủ CN (tam ung)'!C185:AK214,35,0)</f>
        <v>60</v>
      </c>
      <c r="I36" s="3039">
        <f t="shared" si="1"/>
        <v>24</v>
      </c>
      <c r="J36" s="2545" t="str">
        <f>+VLOOKUP(C36,[10]THKT!B180:Z209,25,0)</f>
        <v>A</v>
      </c>
      <c r="K36" s="3006">
        <f t="shared" si="2"/>
        <v>100811.04000000001</v>
      </c>
      <c r="L36" s="2546">
        <v>0</v>
      </c>
      <c r="M36" s="2548">
        <v>0</v>
      </c>
      <c r="N36" s="2548">
        <v>0</v>
      </c>
      <c r="O36" s="2546">
        <v>0</v>
      </c>
      <c r="P36" s="2546">
        <f t="shared" si="0"/>
        <v>100811.04000000001</v>
      </c>
      <c r="Q36" s="2546"/>
      <c r="R36" s="2546">
        <v>0</v>
      </c>
      <c r="S36" s="2546">
        <f t="shared" si="3"/>
        <v>100811.04000000001</v>
      </c>
      <c r="T36" s="2546"/>
      <c r="U36" s="2546"/>
    </row>
    <row r="37" spans="1:23" s="3201" customFormat="1" ht="39" customHeight="1">
      <c r="A37" s="2545">
        <v>22</v>
      </c>
      <c r="B37" s="2545" t="s">
        <v>1846</v>
      </c>
      <c r="C37" s="2546" t="s">
        <v>1518</v>
      </c>
      <c r="D37" s="2546" t="str">
        <f>'[3]CNKT '!D40</f>
        <v>CNKT</v>
      </c>
      <c r="E37" s="2546"/>
      <c r="F37" s="2586">
        <f>+VLOOKUP(C37,[10]VCKD!D199:H229,5,0)</f>
        <v>0</v>
      </c>
      <c r="G37" s="2546">
        <f>+VLOOKUP(C37,[10]VCKD!D199:J229,7,0)</f>
        <v>0</v>
      </c>
      <c r="H37" s="2546">
        <f>+VLOOKUP(C37,'[10]Mủ CN (tam ung)'!C186:AK215,35,0)</f>
        <v>103</v>
      </c>
      <c r="I37" s="3039">
        <f t="shared" si="1"/>
        <v>41.2</v>
      </c>
      <c r="J37" s="2545" t="str">
        <f>+VLOOKUP(C37,[10]THKT!B181:Z210,25,0)</f>
        <v>B</v>
      </c>
      <c r="K37" s="3006">
        <f t="shared" ref="K37:K42" si="4">I37*IF(J37="A",(6.7*$D$11),IF(J37="B",(6.4*$D$11),IF(J37="C",(6.1*$D$11),IF(J37="D",(5.2*$D$11)))))</f>
        <v>181570.04800000001</v>
      </c>
      <c r="L37" s="2546">
        <v>0</v>
      </c>
      <c r="M37" s="2548">
        <v>0</v>
      </c>
      <c r="N37" s="2548">
        <v>0</v>
      </c>
      <c r="O37" s="2546">
        <v>0</v>
      </c>
      <c r="P37" s="2546">
        <f t="shared" si="0"/>
        <v>181570.04800000001</v>
      </c>
      <c r="Q37" s="2546"/>
      <c r="R37" s="2546">
        <v>0</v>
      </c>
      <c r="S37" s="2546">
        <f t="shared" si="3"/>
        <v>181570.04800000001</v>
      </c>
      <c r="T37" s="2546"/>
      <c r="U37" s="2546"/>
    </row>
    <row r="38" spans="1:23" s="3201" customFormat="1" ht="39" customHeight="1">
      <c r="A38" s="2545">
        <v>23</v>
      </c>
      <c r="B38" s="2545" t="s">
        <v>1847</v>
      </c>
      <c r="C38" s="2546" t="s">
        <v>1519</v>
      </c>
      <c r="D38" s="2546" t="str">
        <f>'[3]CNKT '!D41</f>
        <v>CNKT</v>
      </c>
      <c r="E38" s="2546"/>
      <c r="F38" s="2586">
        <f>+VLOOKUP(C38,[10]VCKD!D200:H230,5,0)</f>
        <v>0</v>
      </c>
      <c r="G38" s="2546">
        <f>+VLOOKUP(C38,[10]VCKD!D200:J230,7,0)</f>
        <v>0</v>
      </c>
      <c r="H38" s="2546">
        <f>+VLOOKUP(C38,'[10]Mủ CN (tam ung)'!C187:AK216,35,0)</f>
        <v>44</v>
      </c>
      <c r="I38" s="3039">
        <f t="shared" si="1"/>
        <v>17.600000000000001</v>
      </c>
      <c r="J38" s="2545" t="str">
        <f>+VLOOKUP(C38,[10]THKT!B182:Z211,25,0)</f>
        <v>A</v>
      </c>
      <c r="K38" s="3006">
        <f t="shared" si="4"/>
        <v>81199.712</v>
      </c>
      <c r="L38" s="2546">
        <v>0</v>
      </c>
      <c r="M38" s="2548">
        <v>0</v>
      </c>
      <c r="N38" s="2548">
        <v>0</v>
      </c>
      <c r="O38" s="2546">
        <v>0</v>
      </c>
      <c r="P38" s="2546">
        <f t="shared" si="0"/>
        <v>81199.712</v>
      </c>
      <c r="Q38" s="2546"/>
      <c r="R38" s="2546">
        <v>0</v>
      </c>
      <c r="S38" s="2546">
        <f t="shared" si="3"/>
        <v>81199.712</v>
      </c>
      <c r="T38" s="2546"/>
      <c r="U38" s="2546"/>
    </row>
    <row r="39" spans="1:23" s="3201" customFormat="1" ht="39" customHeight="1">
      <c r="A39" s="2545">
        <v>24</v>
      </c>
      <c r="B39" s="2545" t="s">
        <v>1848</v>
      </c>
      <c r="C39" s="2546" t="s">
        <v>1520</v>
      </c>
      <c r="D39" s="2546" t="str">
        <f>'[3]CNKT '!D42</f>
        <v>CNKT</v>
      </c>
      <c r="E39" s="2546"/>
      <c r="F39" s="2586">
        <f>+VLOOKUP(C39,[10]VCKD!D201:H231,5,0)</f>
        <v>0</v>
      </c>
      <c r="G39" s="2546">
        <f>+VLOOKUP(C39,[10]VCKD!D201:J231,7,0)</f>
        <v>0</v>
      </c>
      <c r="H39" s="2546">
        <f>+VLOOKUP(C39,'[10]Mủ CN (tam ung)'!C188:AK217,35,0)</f>
        <v>104</v>
      </c>
      <c r="I39" s="3039">
        <f t="shared" si="1"/>
        <v>41.6</v>
      </c>
      <c r="J39" s="2545" t="str">
        <f>+VLOOKUP(C39,[10]THKT!B183:Z212,25,0)</f>
        <v>B</v>
      </c>
      <c r="K39" s="3006">
        <f t="shared" si="4"/>
        <v>183332.864</v>
      </c>
      <c r="L39" s="2546">
        <v>0</v>
      </c>
      <c r="M39" s="2548">
        <v>0</v>
      </c>
      <c r="N39" s="2548">
        <v>0</v>
      </c>
      <c r="O39" s="2546">
        <v>0</v>
      </c>
      <c r="P39" s="2546">
        <f t="shared" si="0"/>
        <v>183332.864</v>
      </c>
      <c r="Q39" s="2546"/>
      <c r="R39" s="2546">
        <v>0</v>
      </c>
      <c r="S39" s="2546">
        <f t="shared" si="3"/>
        <v>183332.864</v>
      </c>
      <c r="T39" s="2546"/>
      <c r="U39" s="2546"/>
    </row>
    <row r="40" spans="1:23" s="3201" customFormat="1" ht="39" customHeight="1">
      <c r="A40" s="2545">
        <v>25</v>
      </c>
      <c r="B40" s="2545" t="s">
        <v>1849</v>
      </c>
      <c r="C40" s="2546" t="s">
        <v>1521</v>
      </c>
      <c r="D40" s="2546" t="str">
        <f>'[3]CNKT '!D43</f>
        <v>CNKT</v>
      </c>
      <c r="E40" s="2546"/>
      <c r="F40" s="2586">
        <f>+VLOOKUP(C40,[10]VCKD!D202:H232,5,0)</f>
        <v>0</v>
      </c>
      <c r="G40" s="2546">
        <f>+VLOOKUP(C40,[10]VCKD!D202:J232,7,0)</f>
        <v>0</v>
      </c>
      <c r="H40" s="2546">
        <f>+VLOOKUP(C40,'[10]Mủ CN (tam ung)'!C189:AK218,35,0)</f>
        <v>90</v>
      </c>
      <c r="I40" s="3039">
        <f t="shared" si="1"/>
        <v>36</v>
      </c>
      <c r="J40" s="2545" t="str">
        <f>+VLOOKUP(C40,[10]THKT!B184:Z213,25,0)</f>
        <v>A</v>
      </c>
      <c r="K40" s="3006">
        <f t="shared" si="4"/>
        <v>166090.32</v>
      </c>
      <c r="L40" s="2546">
        <v>0</v>
      </c>
      <c r="M40" s="2548">
        <v>0</v>
      </c>
      <c r="N40" s="2548">
        <v>0</v>
      </c>
      <c r="O40" s="2546">
        <v>0</v>
      </c>
      <c r="P40" s="2546">
        <f t="shared" si="0"/>
        <v>166090.32</v>
      </c>
      <c r="Q40" s="2546"/>
      <c r="R40" s="2546">
        <v>0</v>
      </c>
      <c r="S40" s="2546">
        <f t="shared" si="3"/>
        <v>166090.32</v>
      </c>
      <c r="T40" s="2546"/>
      <c r="U40" s="2546"/>
    </row>
    <row r="41" spans="1:23" s="3201" customFormat="1" ht="39" customHeight="1">
      <c r="A41" s="2545">
        <v>26</v>
      </c>
      <c r="B41" s="2545" t="s">
        <v>1850</v>
      </c>
      <c r="C41" s="2546" t="s">
        <v>1522</v>
      </c>
      <c r="D41" s="2546" t="str">
        <f>'[3]CNKT '!D44</f>
        <v>CNKT</v>
      </c>
      <c r="E41" s="2546"/>
      <c r="F41" s="2586">
        <f>+VLOOKUP(C41,[10]VCKD!D203:H233,5,0)</f>
        <v>0</v>
      </c>
      <c r="G41" s="2546">
        <f>+VLOOKUP(C41,[10]VCKD!D203:J233,7,0)</f>
        <v>0</v>
      </c>
      <c r="H41" s="2546">
        <f>+VLOOKUP(C41,'[10]Mủ CN (tam ung)'!C190:AK219,35,0)</f>
        <v>108</v>
      </c>
      <c r="I41" s="3039">
        <f t="shared" si="1"/>
        <v>43.2</v>
      </c>
      <c r="J41" s="2545" t="str">
        <f>+VLOOKUP(C41,[10]THKT!B185:Z214,25,0)</f>
        <v>A</v>
      </c>
      <c r="K41" s="3006">
        <f t="shared" si="4"/>
        <v>199308.38400000002</v>
      </c>
      <c r="L41" s="2546">
        <v>0</v>
      </c>
      <c r="M41" s="2548">
        <v>0</v>
      </c>
      <c r="N41" s="2548">
        <v>0</v>
      </c>
      <c r="O41" s="2546">
        <v>0</v>
      </c>
      <c r="P41" s="2546">
        <f t="shared" si="0"/>
        <v>199308.38400000002</v>
      </c>
      <c r="Q41" s="2546"/>
      <c r="R41" s="2546">
        <v>0</v>
      </c>
      <c r="S41" s="2546">
        <f t="shared" si="3"/>
        <v>199308.38400000002</v>
      </c>
      <c r="T41" s="2546"/>
      <c r="U41" s="2546"/>
    </row>
    <row r="42" spans="1:23" s="3201" customFormat="1" ht="39" customHeight="1">
      <c r="A42" s="2545">
        <v>27</v>
      </c>
      <c r="B42" s="2545" t="s">
        <v>1851</v>
      </c>
      <c r="C42" s="2546" t="s">
        <v>1230</v>
      </c>
      <c r="D42" s="2546" t="str">
        <f>'[3]CNKT '!D45</f>
        <v>CNKT</v>
      </c>
      <c r="E42" s="2546"/>
      <c r="F42" s="2586">
        <f>+VLOOKUP(C42,[10]VCKD!D204:H234,5,0)</f>
        <v>0</v>
      </c>
      <c r="G42" s="2546">
        <f>+VLOOKUP(C42,[10]VCKD!D204:J234,7,0)</f>
        <v>0</v>
      </c>
      <c r="H42" s="2546">
        <f>+VLOOKUP(C42,'[10]Mủ CN (tam ung)'!C191:AK220,35,0)</f>
        <v>89</v>
      </c>
      <c r="I42" s="3039">
        <f t="shared" si="1"/>
        <v>35.6</v>
      </c>
      <c r="J42" s="2545" t="str">
        <f>+VLOOKUP(C42,[10]THKT!B186:Z215,25,0)</f>
        <v>A</v>
      </c>
      <c r="K42" s="3006">
        <f t="shared" si="4"/>
        <v>164244.872</v>
      </c>
      <c r="L42" s="2546">
        <v>0</v>
      </c>
      <c r="M42" s="2548">
        <v>0</v>
      </c>
      <c r="N42" s="2548">
        <v>0</v>
      </c>
      <c r="O42" s="2546">
        <v>0</v>
      </c>
      <c r="P42" s="2546">
        <f t="shared" si="0"/>
        <v>164244.872</v>
      </c>
      <c r="Q42" s="2546"/>
      <c r="R42" s="2546">
        <v>0</v>
      </c>
      <c r="S42" s="2546">
        <f t="shared" si="3"/>
        <v>164244.872</v>
      </c>
      <c r="T42" s="2546"/>
      <c r="U42" s="2546"/>
    </row>
    <row r="43" spans="1:23" s="3201" customFormat="1" ht="39" customHeight="1">
      <c r="A43" s="3973" t="s">
        <v>61</v>
      </c>
      <c r="B43" s="3974"/>
      <c r="C43" s="3974"/>
      <c r="D43" s="3975"/>
      <c r="E43" s="3202"/>
      <c r="F43" s="2588">
        <f>SUM(F16:F42)</f>
        <v>0</v>
      </c>
      <c r="G43" s="2550">
        <f>SUM(G16:G42)</f>
        <v>0</v>
      </c>
      <c r="H43" s="2550">
        <f>SUM(H16:H42)</f>
        <v>1700</v>
      </c>
      <c r="I43" s="3209">
        <f>SUM(I16:I42)</f>
        <v>680.00000000000011</v>
      </c>
      <c r="J43" s="2550"/>
      <c r="K43" s="2550">
        <f>SUM(K16:K42)</f>
        <v>2895728.264</v>
      </c>
      <c r="L43" s="2550">
        <f>SUM(L16:L42)</f>
        <v>0</v>
      </c>
      <c r="M43" s="2550">
        <f>SUM(M16:M42)</f>
        <v>0</v>
      </c>
      <c r="N43" s="2550"/>
      <c r="O43" s="2550">
        <f>SUM(O16:O42)</f>
        <v>0</v>
      </c>
      <c r="P43" s="2550">
        <f>SUM(P16:P42)</f>
        <v>2895728.264</v>
      </c>
      <c r="Q43" s="2550">
        <f>SUM(Q16:Q42)</f>
        <v>0</v>
      </c>
      <c r="R43" s="2550"/>
      <c r="S43" s="2550">
        <f>SUM(S16:S42)</f>
        <v>2895728.264</v>
      </c>
      <c r="T43" s="3197"/>
      <c r="U43" s="2552"/>
      <c r="V43" s="3201">
        <f>+[10]VCKD!Y174</f>
        <v>154673014.16026446</v>
      </c>
      <c r="W43" s="3201">
        <f>+V43/30</f>
        <v>5155767.138675482</v>
      </c>
    </row>
    <row r="44" spans="1:23" ht="39" customHeight="1">
      <c r="A44" s="3976" t="s">
        <v>1953</v>
      </c>
      <c r="B44" s="3976"/>
      <c r="C44" s="3976"/>
      <c r="D44" s="3976"/>
      <c r="E44" s="3976"/>
      <c r="F44" s="3976"/>
      <c r="G44" s="3976"/>
      <c r="H44" s="3976"/>
      <c r="I44" s="3976"/>
      <c r="J44" s="3976"/>
      <c r="K44" s="3976"/>
      <c r="L44" s="3976"/>
      <c r="M44" s="3976"/>
      <c r="N44" s="3976"/>
      <c r="O44" s="3976"/>
      <c r="P44" s="3976"/>
      <c r="Q44" s="3976"/>
      <c r="R44" s="3976"/>
      <c r="S44" s="3976"/>
      <c r="T44" s="3976"/>
      <c r="U44" s="3976"/>
    </row>
    <row r="45" spans="1:23" ht="25.5">
      <c r="A45" s="2553"/>
      <c r="B45" s="2553"/>
      <c r="C45" s="2553"/>
      <c r="D45" s="2553"/>
      <c r="E45" s="2553"/>
      <c r="F45" s="2553"/>
      <c r="G45" s="2553"/>
      <c r="H45" s="2553"/>
      <c r="I45" s="3040"/>
      <c r="J45" s="2553"/>
      <c r="K45" s="2553"/>
      <c r="L45" s="2553"/>
      <c r="M45" s="2553"/>
      <c r="N45" s="2553"/>
      <c r="O45" s="2553"/>
      <c r="P45" s="2553"/>
      <c r="Q45" s="2553"/>
      <c r="R45" s="2553"/>
      <c r="S45" s="2553"/>
      <c r="T45" s="2553"/>
      <c r="U45" s="2553"/>
    </row>
    <row r="46" spans="1:23" ht="26.25">
      <c r="A46" s="2554"/>
      <c r="B46" s="2555"/>
      <c r="C46" s="2556"/>
      <c r="D46" s="2557"/>
      <c r="E46" s="2557"/>
      <c r="F46" s="2558"/>
      <c r="G46" s="2559"/>
      <c r="H46" s="2559"/>
      <c r="I46" s="3041"/>
      <c r="J46" s="2561"/>
      <c r="K46" s="2562"/>
      <c r="L46" s="2563"/>
      <c r="M46" s="2563"/>
      <c r="N46" s="2563"/>
      <c r="O46" s="2559"/>
      <c r="P46" s="3977" t="s">
        <v>1890</v>
      </c>
      <c r="Q46" s="3977"/>
      <c r="R46" s="3977"/>
      <c r="S46" s="3977"/>
      <c r="T46" s="3977"/>
      <c r="U46" s="3977"/>
    </row>
    <row r="47" spans="1:23" hidden="1">
      <c r="D47" s="2564"/>
      <c r="E47" s="2564"/>
      <c r="F47" s="2565"/>
      <c r="L47" s="2566"/>
      <c r="M47" s="2566"/>
      <c r="N47" s="2566"/>
      <c r="Q47" s="2567"/>
      <c r="R47" s="2567"/>
      <c r="S47" s="2567"/>
    </row>
    <row r="48" spans="1:23" hidden="1">
      <c r="D48" s="2564"/>
      <c r="E48" s="2564"/>
      <c r="F48" s="2565"/>
      <c r="L48" s="2566"/>
      <c r="M48" s="2566"/>
      <c r="N48" s="2566"/>
      <c r="Q48" s="2567"/>
      <c r="R48" s="2567"/>
      <c r="S48" s="2567"/>
    </row>
    <row r="49" spans="1:21" s="2568" customFormat="1" ht="22.5">
      <c r="A49" s="3962" t="s">
        <v>502</v>
      </c>
      <c r="B49" s="3962"/>
      <c r="C49" s="3962"/>
      <c r="D49" s="3962"/>
      <c r="E49" s="3962"/>
      <c r="F49" s="3962"/>
      <c r="G49" s="3962" t="s">
        <v>1598</v>
      </c>
      <c r="H49" s="3962"/>
      <c r="I49" s="3962"/>
      <c r="J49" s="3962"/>
      <c r="K49" s="3962"/>
      <c r="L49" s="3962" t="s">
        <v>513</v>
      </c>
      <c r="M49" s="3962"/>
      <c r="N49" s="3962"/>
      <c r="O49" s="3962"/>
      <c r="P49" s="3962" t="s">
        <v>1599</v>
      </c>
      <c r="Q49" s="3962"/>
      <c r="R49" s="3962"/>
      <c r="S49" s="3962"/>
      <c r="T49" s="3962"/>
      <c r="U49" s="3962"/>
    </row>
    <row r="50" spans="1:21" s="2568" customFormat="1" ht="22.5">
      <c r="A50" s="2529"/>
      <c r="C50" s="3194"/>
      <c r="D50" s="3194"/>
      <c r="E50" s="3194"/>
      <c r="F50" s="3194"/>
      <c r="G50" s="3194"/>
      <c r="H50" s="3194"/>
      <c r="I50" s="3043"/>
      <c r="J50" s="3194"/>
      <c r="K50" s="2528"/>
      <c r="M50" s="2528"/>
      <c r="N50" s="2528"/>
      <c r="O50" s="2570"/>
      <c r="P50" s="3194"/>
      <c r="Q50" s="3194"/>
      <c r="R50" s="3194"/>
      <c r="S50" s="3194"/>
    </row>
    <row r="51" spans="1:21" s="2568" customFormat="1" ht="22.5">
      <c r="A51" s="2529"/>
      <c r="C51" s="3194"/>
      <c r="D51" s="3194"/>
      <c r="E51" s="3194"/>
      <c r="F51" s="3194"/>
      <c r="G51" s="3194"/>
      <c r="H51" s="3194"/>
      <c r="I51" s="3043"/>
      <c r="J51" s="3194"/>
      <c r="K51" s="2528"/>
      <c r="M51" s="2528"/>
      <c r="N51" s="2528"/>
      <c r="O51" s="2570"/>
      <c r="P51" s="3194"/>
      <c r="Q51" s="3194"/>
      <c r="R51" s="3194"/>
      <c r="S51" s="3194"/>
    </row>
    <row r="52" spans="1:21" s="2568" customFormat="1" ht="22.5">
      <c r="A52" s="2529"/>
      <c r="C52" s="3194"/>
      <c r="D52" s="3194"/>
      <c r="E52" s="3194"/>
      <c r="F52" s="3194"/>
      <c r="G52" s="3194"/>
      <c r="H52" s="3194"/>
      <c r="I52" s="3043"/>
      <c r="J52" s="3194"/>
      <c r="K52" s="2528"/>
      <c r="M52" s="2528"/>
      <c r="N52" s="2528"/>
      <c r="O52" s="2570"/>
      <c r="P52" s="3194"/>
      <c r="Q52" s="3194"/>
      <c r="R52" s="3194"/>
      <c r="S52" s="3194"/>
    </row>
    <row r="53" spans="1:21" s="2568" customFormat="1" ht="22.5">
      <c r="A53" s="2529"/>
      <c r="C53" s="3194"/>
      <c r="D53" s="3194"/>
      <c r="E53" s="3194"/>
      <c r="F53" s="3194"/>
      <c r="G53" s="3194"/>
      <c r="H53" s="3194"/>
      <c r="I53" s="3043"/>
      <c r="J53" s="3194"/>
      <c r="K53" s="2571"/>
      <c r="M53" s="2528"/>
      <c r="N53" s="2528"/>
      <c r="O53" s="2528"/>
      <c r="P53" s="3194"/>
      <c r="Q53" s="3194"/>
      <c r="R53" s="3194"/>
      <c r="S53" s="3194"/>
    </row>
    <row r="54" spans="1:21" s="2568" customFormat="1" ht="22.5">
      <c r="A54" s="2529"/>
      <c r="C54" s="3194"/>
      <c r="D54" s="3194"/>
      <c r="E54" s="3194"/>
      <c r="F54" s="3203"/>
      <c r="G54" s="3194"/>
      <c r="H54" s="3194"/>
      <c r="I54" s="3043"/>
      <c r="J54" s="3194"/>
      <c r="K54" s="2528"/>
      <c r="M54" s="2528"/>
      <c r="N54" s="2528"/>
      <c r="O54" s="2570"/>
      <c r="P54" s="3194"/>
      <c r="Q54" s="3194"/>
      <c r="R54" s="3194"/>
      <c r="S54" s="3194"/>
    </row>
    <row r="55" spans="1:21" s="2568" customFormat="1" ht="22.5">
      <c r="A55" s="2529"/>
      <c r="C55" s="3194"/>
      <c r="D55" s="3203"/>
      <c r="E55" s="3203"/>
      <c r="F55" s="3201"/>
      <c r="G55" s="3194"/>
      <c r="H55" s="3194"/>
      <c r="I55" s="3043"/>
      <c r="J55" s="3194"/>
      <c r="K55" s="2528"/>
      <c r="M55" s="2528"/>
      <c r="N55" s="2528"/>
      <c r="O55" s="2570"/>
      <c r="P55" s="3194"/>
      <c r="Q55" s="3194"/>
      <c r="R55" s="3194"/>
      <c r="S55" s="3194"/>
    </row>
    <row r="56" spans="1:21" s="2568" customFormat="1" ht="22.5">
      <c r="A56" s="2529"/>
      <c r="C56" s="3194"/>
      <c r="D56" s="3194"/>
      <c r="E56" s="3194"/>
      <c r="F56" s="3194"/>
      <c r="I56" s="3044"/>
      <c r="J56" s="2528"/>
      <c r="K56" s="2528"/>
      <c r="L56" s="3962"/>
      <c r="M56" s="3962"/>
      <c r="N56" s="3962"/>
      <c r="O56" s="3962"/>
      <c r="S56" s="3962"/>
      <c r="T56" s="3962"/>
      <c r="U56" s="2528"/>
    </row>
    <row r="57" spans="1:21" s="2568" customFormat="1" ht="22.5">
      <c r="A57" s="2529"/>
      <c r="C57" s="3194"/>
      <c r="D57" s="3194"/>
      <c r="E57" s="3194"/>
      <c r="F57" s="2571"/>
      <c r="G57" s="3194"/>
      <c r="H57" s="3194"/>
      <c r="I57" s="3043"/>
      <c r="J57" s="3194"/>
      <c r="K57" s="2528"/>
      <c r="M57" s="2528"/>
      <c r="N57" s="2528"/>
      <c r="O57" s="2570"/>
      <c r="P57" s="3203"/>
      <c r="Q57" s="3194"/>
      <c r="R57" s="3194"/>
      <c r="S57" s="3194"/>
    </row>
    <row r="58" spans="1:21" s="2568" customFormat="1">
      <c r="A58" s="3991" t="s">
        <v>1901</v>
      </c>
      <c r="B58" s="3991"/>
      <c r="C58" s="3991"/>
      <c r="D58" s="3991"/>
      <c r="E58" s="3991"/>
      <c r="F58" s="3991"/>
      <c r="G58" s="3996" t="s">
        <v>1853</v>
      </c>
      <c r="H58" s="3996"/>
      <c r="I58" s="3996"/>
      <c r="J58" s="3996"/>
      <c r="K58" s="3996"/>
      <c r="M58" s="2528"/>
      <c r="N58" s="2528"/>
      <c r="O58" s="2519"/>
      <c r="P58" s="3978" t="s">
        <v>533</v>
      </c>
      <c r="Q58" s="3978"/>
      <c r="R58" s="3978"/>
      <c r="S58" s="3978"/>
      <c r="T58" s="3978"/>
      <c r="U58" s="3978"/>
    </row>
    <row r="59" spans="1:21">
      <c r="B59" s="2519"/>
      <c r="C59" s="2519"/>
      <c r="F59" s="2566"/>
      <c r="G59" s="2566"/>
      <c r="H59" s="2566"/>
      <c r="I59" s="2574"/>
      <c r="J59" s="2574"/>
      <c r="K59" s="2566"/>
    </row>
    <row r="60" spans="1:21">
      <c r="B60" s="2519"/>
      <c r="C60" s="2519"/>
      <c r="F60" s="2566"/>
      <c r="G60" s="2575"/>
      <c r="H60" s="2575"/>
      <c r="I60" s="2574"/>
      <c r="J60" s="2574"/>
      <c r="K60" s="2576"/>
      <c r="L60" s="3986"/>
      <c r="M60" s="3986"/>
      <c r="N60" s="3204"/>
      <c r="O60" s="2577"/>
      <c r="P60" s="2577"/>
    </row>
    <row r="61" spans="1:21">
      <c r="B61" s="2519"/>
      <c r="C61" s="2519"/>
      <c r="F61" s="2566"/>
      <c r="G61" s="2575"/>
      <c r="H61" s="2575"/>
      <c r="I61" s="2574"/>
      <c r="J61" s="2574"/>
      <c r="K61" s="2576">
        <f>+K43+'Đội 2 tu'!R98+'Đôi 1 tạm ứng'!M62</f>
        <v>23770058.840000004</v>
      </c>
      <c r="L61" s="3204"/>
      <c r="M61" s="3204"/>
      <c r="N61" s="3204"/>
      <c r="O61" s="2577"/>
      <c r="P61" s="2577"/>
    </row>
    <row r="62" spans="1:21">
      <c r="B62" s="2519"/>
      <c r="C62" s="2519"/>
      <c r="F62" s="2566"/>
      <c r="G62" s="2575"/>
      <c r="H62" s="2575"/>
      <c r="I62" s="2574"/>
      <c r="J62" s="2574"/>
      <c r="K62" s="2576"/>
      <c r="L62" s="3204"/>
      <c r="M62" s="3204"/>
      <c r="N62" s="3204"/>
      <c r="O62" s="2577"/>
      <c r="P62" s="2577"/>
    </row>
    <row r="63" spans="1:21">
      <c r="B63" s="2519"/>
      <c r="C63" s="2519"/>
      <c r="F63" s="2566"/>
      <c r="G63" s="2575"/>
      <c r="H63" s="2575"/>
      <c r="I63" s="2574"/>
      <c r="J63" s="2574"/>
      <c r="K63" s="2576"/>
      <c r="L63" s="3204"/>
      <c r="M63" s="3204"/>
      <c r="N63" s="3204"/>
      <c r="O63" s="2577"/>
      <c r="P63" s="2577"/>
    </row>
    <row r="64" spans="1:21">
      <c r="B64" s="2519"/>
      <c r="C64" s="2519"/>
      <c r="F64" s="2566"/>
      <c r="G64" s="2575"/>
      <c r="H64" s="2575"/>
      <c r="I64" s="2574"/>
      <c r="J64" s="2574"/>
      <c r="K64" s="2576"/>
      <c r="L64" s="3204"/>
      <c r="M64" s="3204"/>
      <c r="N64" s="3204"/>
      <c r="O64" s="2577"/>
      <c r="P64" s="2577"/>
    </row>
    <row r="65" spans="1:16">
      <c r="B65" s="2519"/>
      <c r="C65" s="2519"/>
      <c r="F65" s="2566"/>
      <c r="G65" s="2575"/>
      <c r="H65" s="2575"/>
      <c r="I65" s="2574"/>
      <c r="J65" s="2574"/>
      <c r="K65" s="2576"/>
      <c r="L65" s="3204"/>
      <c r="M65" s="3204"/>
      <c r="N65" s="3204"/>
      <c r="O65" s="2577"/>
      <c r="P65" s="2577"/>
    </row>
    <row r="66" spans="1:16">
      <c r="B66" s="2519"/>
      <c r="C66" s="2519"/>
      <c r="F66" s="2566"/>
      <c r="G66" s="2575"/>
      <c r="H66" s="2575"/>
      <c r="I66" s="2574"/>
      <c r="J66" s="2574"/>
      <c r="K66" s="2576"/>
      <c r="L66" s="3204"/>
      <c r="M66" s="3204"/>
      <c r="N66" s="3204"/>
      <c r="O66" s="2577"/>
      <c r="P66" s="2577"/>
    </row>
    <row r="67" spans="1:16">
      <c r="B67" s="2519"/>
      <c r="C67" s="2519"/>
      <c r="F67" s="2566"/>
      <c r="G67" s="2575"/>
      <c r="H67" s="2575"/>
      <c r="I67" s="2574"/>
      <c r="J67" s="2574"/>
      <c r="K67" s="2576"/>
      <c r="L67" s="3204"/>
      <c r="M67" s="3204"/>
      <c r="N67" s="3204"/>
      <c r="O67" s="2577"/>
      <c r="P67" s="2577"/>
    </row>
    <row r="68" spans="1:16">
      <c r="B68" s="2519"/>
      <c r="C68" s="2519"/>
      <c r="F68" s="2566"/>
      <c r="G68" s="2575"/>
      <c r="H68" s="2575"/>
      <c r="I68" s="2574"/>
      <c r="J68" s="2574"/>
      <c r="K68" s="2576"/>
      <c r="L68" s="3204"/>
      <c r="M68" s="3204"/>
      <c r="N68" s="3204"/>
      <c r="O68" s="2577"/>
      <c r="P68" s="2577"/>
    </row>
    <row r="69" spans="1:16">
      <c r="B69" s="2519"/>
      <c r="C69" s="2519"/>
      <c r="F69" s="2566"/>
      <c r="G69" s="2575"/>
      <c r="H69" s="2575"/>
      <c r="I69" s="2574"/>
      <c r="J69" s="2574"/>
      <c r="K69" s="2576"/>
      <c r="L69" s="3204"/>
      <c r="M69" s="3204"/>
      <c r="N69" s="3204"/>
      <c r="O69" s="2577"/>
      <c r="P69" s="2577"/>
    </row>
    <row r="70" spans="1:16">
      <c r="B70" s="2519"/>
      <c r="C70" s="2519"/>
      <c r="F70" s="2566"/>
      <c r="G70" s="2575"/>
      <c r="H70" s="2575"/>
      <c r="I70" s="2574"/>
      <c r="J70" s="2574"/>
      <c r="K70" s="2576"/>
      <c r="L70" s="3204"/>
      <c r="M70" s="3204"/>
      <c r="N70" s="3204"/>
      <c r="O70" s="2577"/>
      <c r="P70" s="2577"/>
    </row>
    <row r="71" spans="1:16">
      <c r="B71" s="2519"/>
      <c r="C71" s="2519"/>
      <c r="F71" s="2566"/>
      <c r="G71" s="2575"/>
      <c r="H71" s="2575"/>
      <c r="I71" s="2574"/>
      <c r="J71" s="2574"/>
      <c r="K71" s="2576"/>
      <c r="L71" s="3204"/>
      <c r="M71" s="3204"/>
      <c r="N71" s="3204"/>
      <c r="O71" s="2577"/>
      <c r="P71" s="2577"/>
    </row>
    <row r="72" spans="1:16">
      <c r="B72" s="2519"/>
      <c r="C72" s="2519"/>
      <c r="F72" s="2566"/>
      <c r="G72" s="2575"/>
      <c r="H72" s="2575"/>
      <c r="I72" s="2574"/>
      <c r="J72" s="2574"/>
      <c r="K72" s="2576"/>
      <c r="L72" s="3204"/>
      <c r="M72" s="3204"/>
      <c r="N72" s="3204"/>
      <c r="O72" s="2577"/>
      <c r="P72" s="2577"/>
    </row>
    <row r="73" spans="1:16">
      <c r="B73" s="2519"/>
      <c r="C73" s="2519"/>
      <c r="F73" s="2566"/>
      <c r="G73" s="2575"/>
      <c r="H73" s="2575"/>
      <c r="I73" s="2574"/>
      <c r="J73" s="2574"/>
      <c r="K73" s="2576"/>
      <c r="L73" s="3204"/>
      <c r="M73" s="3204"/>
      <c r="N73" s="3204"/>
      <c r="O73" s="2577"/>
      <c r="P73" s="2577"/>
    </row>
    <row r="74" spans="1:16">
      <c r="A74" s="2519"/>
      <c r="B74" s="2519"/>
      <c r="C74" s="2519"/>
      <c r="F74" s="2566"/>
      <c r="G74" s="2575"/>
      <c r="H74" s="2575"/>
      <c r="I74" s="2574"/>
      <c r="J74" s="2574"/>
      <c r="K74" s="2576"/>
      <c r="L74" s="3204"/>
      <c r="M74" s="3204"/>
      <c r="N74" s="3204"/>
      <c r="O74" s="2577"/>
      <c r="P74" s="2577"/>
    </row>
    <row r="75" spans="1:16">
      <c r="A75" s="2519"/>
      <c r="B75" s="2519"/>
      <c r="C75" s="2519"/>
      <c r="F75" s="2566"/>
      <c r="G75" s="2575"/>
      <c r="H75" s="2575"/>
      <c r="I75" s="2574"/>
      <c r="J75" s="2574"/>
      <c r="K75" s="2576"/>
      <c r="L75" s="3204"/>
      <c r="M75" s="3204"/>
      <c r="N75" s="3204"/>
      <c r="O75" s="2577"/>
      <c r="P75" s="2577"/>
    </row>
    <row r="76" spans="1:16">
      <c r="A76" s="2519"/>
      <c r="B76" s="2519"/>
      <c r="C76" s="2519"/>
      <c r="F76" s="2566"/>
      <c r="G76" s="2575"/>
      <c r="H76" s="2575"/>
      <c r="I76" s="2574"/>
      <c r="J76" s="2574"/>
      <c r="K76" s="2576"/>
      <c r="L76" s="3204"/>
      <c r="M76" s="3204"/>
      <c r="N76" s="3204"/>
      <c r="O76" s="2577"/>
      <c r="P76" s="2577"/>
    </row>
    <row r="77" spans="1:16">
      <c r="A77" s="2519"/>
      <c r="B77" s="2519"/>
      <c r="C77" s="2519"/>
      <c r="F77" s="2566"/>
      <c r="G77" s="2575"/>
      <c r="H77" s="2575"/>
      <c r="I77" s="2574"/>
      <c r="J77" s="2574"/>
      <c r="K77" s="2576"/>
      <c r="L77" s="3204"/>
      <c r="M77" s="3204"/>
      <c r="N77" s="3204"/>
      <c r="O77" s="2577"/>
      <c r="P77" s="2577"/>
    </row>
    <row r="78" spans="1:16">
      <c r="A78" s="2519"/>
      <c r="B78" s="2519"/>
      <c r="C78" s="2519"/>
      <c r="F78" s="2566"/>
      <c r="G78" s="2575"/>
      <c r="H78" s="2575"/>
      <c r="I78" s="2574"/>
      <c r="J78" s="2574"/>
      <c r="K78" s="2576"/>
      <c r="L78" s="3204"/>
      <c r="M78" s="3204"/>
      <c r="N78" s="3204"/>
      <c r="O78" s="2577"/>
      <c r="P78" s="2577"/>
    </row>
    <row r="79" spans="1:16">
      <c r="A79" s="2519"/>
      <c r="B79" s="2519"/>
      <c r="C79" s="2519"/>
      <c r="F79" s="2566"/>
      <c r="G79" s="2575"/>
      <c r="H79" s="2575"/>
      <c r="I79" s="2574"/>
      <c r="J79" s="2574"/>
      <c r="K79" s="2576"/>
      <c r="L79" s="3204"/>
      <c r="M79" s="3204"/>
      <c r="N79" s="3204"/>
      <c r="O79" s="2577"/>
      <c r="P79" s="2577"/>
    </row>
    <row r="80" spans="1:16">
      <c r="A80" s="2519"/>
      <c r="B80" s="2519"/>
      <c r="C80" s="2519"/>
      <c r="F80" s="2566"/>
      <c r="G80" s="2575"/>
      <c r="H80" s="2575"/>
      <c r="I80" s="2574"/>
      <c r="J80" s="2574"/>
      <c r="K80" s="2576"/>
      <c r="L80" s="3204"/>
      <c r="M80" s="3204"/>
      <c r="N80" s="3204"/>
      <c r="O80" s="2577"/>
      <c r="P80" s="2577"/>
    </row>
    <row r="81" spans="1:19">
      <c r="A81" s="2519"/>
      <c r="B81" s="2519"/>
      <c r="C81" s="2519"/>
      <c r="F81" s="2566"/>
      <c r="G81" s="2575"/>
      <c r="H81" s="2575"/>
      <c r="I81" s="2574"/>
      <c r="J81" s="2574"/>
      <c r="K81" s="2576"/>
      <c r="L81" s="3204"/>
      <c r="M81" s="3204"/>
      <c r="N81" s="3204"/>
      <c r="O81" s="2577"/>
      <c r="P81" s="2577"/>
    </row>
    <row r="82" spans="1:19">
      <c r="A82" s="2519"/>
      <c r="B82" s="2519"/>
      <c r="C82" s="2519"/>
      <c r="F82" s="2566"/>
      <c r="G82" s="2575"/>
      <c r="H82" s="2575"/>
      <c r="I82" s="2574"/>
      <c r="J82" s="2574"/>
      <c r="K82" s="2576"/>
      <c r="L82" s="3204"/>
      <c r="M82" s="3204"/>
      <c r="N82" s="3204"/>
      <c r="O82" s="2577"/>
      <c r="P82" s="2577"/>
    </row>
    <row r="83" spans="1:19">
      <c r="A83" s="2519"/>
      <c r="B83" s="2519"/>
      <c r="C83" s="2519"/>
      <c r="F83" s="2566"/>
      <c r="G83" s="2575"/>
      <c r="H83" s="2575"/>
      <c r="I83" s="2574"/>
      <c r="J83" s="2574"/>
      <c r="K83" s="2576"/>
      <c r="L83" s="3204"/>
      <c r="M83" s="3204"/>
      <c r="N83" s="3204"/>
      <c r="O83" s="2577"/>
      <c r="P83" s="2577"/>
    </row>
    <row r="84" spans="1:19">
      <c r="A84" s="2519"/>
      <c r="B84" s="2519"/>
      <c r="C84" s="2519"/>
      <c r="F84" s="2566"/>
      <c r="G84" s="2575"/>
      <c r="H84" s="2575"/>
      <c r="I84" s="2574"/>
      <c r="J84" s="2574"/>
      <c r="K84" s="2576"/>
      <c r="L84" s="3204"/>
      <c r="M84" s="3204"/>
      <c r="N84" s="3204"/>
      <c r="O84" s="2577"/>
      <c r="P84" s="2577"/>
    </row>
    <row r="85" spans="1:19">
      <c r="A85" s="2519"/>
      <c r="B85" s="2519"/>
      <c r="C85" s="2519"/>
      <c r="F85" s="2566"/>
      <c r="G85" s="2575"/>
      <c r="H85" s="2575"/>
      <c r="I85" s="2574"/>
      <c r="J85" s="2574"/>
      <c r="K85" s="2576"/>
      <c r="L85" s="3204"/>
      <c r="M85" s="3204"/>
      <c r="N85" s="3204"/>
      <c r="O85" s="2577"/>
      <c r="P85" s="2577"/>
    </row>
    <row r="86" spans="1:19">
      <c r="A86" s="2519"/>
      <c r="B86" s="2519"/>
      <c r="C86" s="2519"/>
      <c r="F86" s="2566"/>
      <c r="G86" s="2575"/>
      <c r="H86" s="2575"/>
      <c r="I86" s="2574"/>
      <c r="J86" s="2574"/>
      <c r="K86" s="2576"/>
      <c r="L86" s="3204"/>
      <c r="M86" s="3204"/>
      <c r="N86" s="3204"/>
      <c r="O86" s="2577"/>
      <c r="P86" s="2577"/>
    </row>
    <row r="87" spans="1:19">
      <c r="A87" s="2519"/>
      <c r="B87" s="2519"/>
      <c r="C87" s="2519"/>
      <c r="F87" s="2566"/>
      <c r="G87" s="2575"/>
      <c r="H87" s="2575"/>
      <c r="I87" s="2574"/>
      <c r="J87" s="2574"/>
      <c r="K87" s="2576"/>
      <c r="L87" s="3204"/>
      <c r="M87" s="3204"/>
      <c r="N87" s="3204"/>
      <c r="O87" s="2577"/>
      <c r="P87" s="2577"/>
    </row>
    <row r="88" spans="1:19">
      <c r="A88" s="2519"/>
      <c r="B88" s="2519"/>
      <c r="C88" s="2519"/>
      <c r="F88" s="2566"/>
      <c r="G88" s="2575"/>
      <c r="H88" s="2575"/>
      <c r="I88" s="2574"/>
      <c r="J88" s="2574"/>
      <c r="K88" s="2576"/>
      <c r="L88" s="3204"/>
      <c r="M88" s="3204"/>
      <c r="N88" s="3204"/>
      <c r="O88" s="2577"/>
      <c r="P88" s="2577"/>
    </row>
    <row r="89" spans="1:19">
      <c r="A89" s="2519"/>
      <c r="B89" s="2519"/>
      <c r="C89" s="2519"/>
      <c r="F89" s="2566"/>
      <c r="G89" s="2575"/>
      <c r="H89" s="2575"/>
      <c r="I89" s="2574"/>
      <c r="J89" s="2574"/>
      <c r="K89" s="2576"/>
      <c r="L89" s="3204"/>
      <c r="M89" s="3204"/>
      <c r="N89" s="3204"/>
      <c r="O89" s="2577"/>
      <c r="P89" s="2577"/>
    </row>
    <row r="90" spans="1:19">
      <c r="A90" s="2519"/>
      <c r="B90" s="2519"/>
      <c r="C90" s="2519"/>
      <c r="F90" s="2566"/>
      <c r="G90" s="2575"/>
      <c r="H90" s="2575"/>
      <c r="I90" s="2574"/>
      <c r="J90" s="2574"/>
      <c r="K90" s="2576"/>
      <c r="L90" s="3204"/>
      <c r="M90" s="3204"/>
      <c r="N90" s="3204"/>
      <c r="O90" s="2577"/>
      <c r="P90" s="2577"/>
    </row>
    <row r="91" spans="1:19">
      <c r="A91" s="2519"/>
      <c r="B91" s="2519"/>
      <c r="C91" s="2519"/>
      <c r="F91" s="2566"/>
      <c r="G91" s="2575"/>
      <c r="H91" s="2575"/>
      <c r="I91" s="2574"/>
      <c r="J91" s="2574"/>
      <c r="K91" s="2576"/>
      <c r="L91" s="3204"/>
      <c r="M91" s="3204"/>
      <c r="N91" s="3204"/>
      <c r="O91" s="2577"/>
      <c r="P91" s="2577"/>
    </row>
    <row r="92" spans="1:19">
      <c r="A92" s="2519"/>
      <c r="B92" s="2519"/>
      <c r="C92" s="2519"/>
      <c r="F92" s="2566"/>
      <c r="G92" s="2575"/>
      <c r="H92" s="2575"/>
      <c r="I92" s="2574"/>
      <c r="J92" s="2574"/>
      <c r="K92" s="2576"/>
      <c r="L92" s="3204"/>
      <c r="M92" s="3204"/>
      <c r="N92" s="3204"/>
      <c r="O92" s="2577"/>
      <c r="P92" s="2577"/>
    </row>
    <row r="93" spans="1:19">
      <c r="A93" s="2519"/>
      <c r="B93" s="2519"/>
      <c r="C93" s="2519"/>
      <c r="F93" s="2566"/>
      <c r="I93" s="2574"/>
      <c r="J93" s="2574"/>
      <c r="K93" s="2519"/>
      <c r="O93" s="2579"/>
    </row>
    <row r="94" spans="1:19">
      <c r="A94" s="2519"/>
      <c r="B94" s="2519"/>
      <c r="C94" s="2566"/>
      <c r="F94" s="2580"/>
      <c r="I94" s="2574"/>
      <c r="J94" s="2574"/>
      <c r="K94" s="2519"/>
      <c r="L94" s="2577"/>
      <c r="M94" s="2577"/>
      <c r="N94" s="2577"/>
      <c r="Q94" s="2577"/>
      <c r="R94" s="2577"/>
      <c r="S94" s="2577"/>
    </row>
    <row r="95" spans="1:19">
      <c r="A95" s="2519"/>
      <c r="B95" s="2519"/>
      <c r="C95" s="2519"/>
      <c r="D95" s="2566"/>
      <c r="E95" s="2566"/>
      <c r="F95" s="2566"/>
      <c r="J95" s="3200"/>
      <c r="K95" s="2519"/>
      <c r="Q95" s="2577"/>
      <c r="R95" s="2577"/>
      <c r="S95" s="2577"/>
    </row>
    <row r="96" spans="1:19">
      <c r="A96" s="2519"/>
      <c r="B96" s="2519"/>
      <c r="C96" s="2566" t="e">
        <f>#REF!+#REF!+#REF!+#REF!</f>
        <v>#REF!</v>
      </c>
      <c r="D96" s="2581"/>
      <c r="E96" s="2581"/>
      <c r="F96" s="3989" t="s">
        <v>1600</v>
      </c>
      <c r="G96" s="2566">
        <f>SUMIF(J16:J43,"A",I16:I43)</f>
        <v>440.40000000000003</v>
      </c>
      <c r="H96" s="2566"/>
      <c r="I96" s="2574">
        <f>G96*2500</f>
        <v>1101000</v>
      </c>
      <c r="J96" s="2574"/>
      <c r="K96" s="2575"/>
      <c r="M96" s="2519">
        <f>7.2+0.6+21+5+70</f>
        <v>103.8</v>
      </c>
    </row>
    <row r="97" spans="1:19">
      <c r="A97" s="2519"/>
      <c r="B97" s="2519"/>
      <c r="C97" s="2519"/>
      <c r="F97" s="3989"/>
      <c r="G97" s="2566">
        <f>SUMIF(J16:J43,"B",I16:I43)</f>
        <v>239.6</v>
      </c>
      <c r="H97" s="2566"/>
      <c r="I97" s="2574">
        <f>G97*2400</f>
        <v>575040</v>
      </c>
      <c r="J97" s="2574"/>
      <c r="K97" s="2566"/>
    </row>
    <row r="98" spans="1:19">
      <c r="A98" s="2519"/>
      <c r="B98" s="2519"/>
      <c r="C98" s="2519"/>
      <c r="F98" s="3989"/>
      <c r="G98" s="2566">
        <f>SUMIF(J16:J43,"C",I16:I43)</f>
        <v>0</v>
      </c>
      <c r="H98" s="2566"/>
      <c r="I98" s="2574">
        <f>G98*2300</f>
        <v>0</v>
      </c>
      <c r="J98" s="2574"/>
      <c r="K98" s="2519"/>
      <c r="L98" s="2576"/>
      <c r="M98" s="2576"/>
      <c r="N98" s="2576"/>
      <c r="O98" s="2576"/>
      <c r="S98" s="2566"/>
    </row>
    <row r="99" spans="1:19">
      <c r="A99" s="2519"/>
      <c r="B99" s="2519"/>
      <c r="C99" s="2519"/>
      <c r="F99" s="3989"/>
      <c r="G99" s="2566">
        <f>SUMIF(J16:J43,"D",I16:I43)</f>
        <v>0</v>
      </c>
      <c r="H99" s="2566"/>
      <c r="I99" s="2574">
        <f>G99*2200</f>
        <v>0</v>
      </c>
      <c r="J99" s="2574"/>
      <c r="K99" s="2519"/>
      <c r="L99" s="3204"/>
      <c r="M99" s="3204"/>
      <c r="N99" s="3204"/>
      <c r="O99" s="3204"/>
      <c r="S99" s="2566"/>
    </row>
    <row r="100" spans="1:19">
      <c r="A100" s="2519"/>
      <c r="B100" s="2519"/>
      <c r="C100" s="2519"/>
      <c r="F100" s="2566"/>
      <c r="G100" s="2566"/>
      <c r="H100" s="2566"/>
      <c r="I100" s="2574"/>
      <c r="J100" s="2574"/>
      <c r="K100" s="2519"/>
      <c r="L100" s="3204"/>
      <c r="M100" s="3204"/>
      <c r="N100" s="3204"/>
      <c r="O100" s="3204"/>
      <c r="S100" s="2566"/>
    </row>
    <row r="101" spans="1:19">
      <c r="A101" s="2519"/>
      <c r="B101" s="2519"/>
      <c r="C101" s="2519"/>
      <c r="F101" s="2566"/>
      <c r="G101" s="2566"/>
      <c r="H101" s="2566"/>
      <c r="I101" s="2574"/>
      <c r="J101" s="2574"/>
      <c r="K101" s="2519"/>
      <c r="L101" s="3204"/>
      <c r="M101" s="3204"/>
      <c r="N101" s="3204"/>
      <c r="O101" s="3204"/>
      <c r="S101" s="2566"/>
    </row>
    <row r="102" spans="1:19">
      <c r="A102" s="2519"/>
      <c r="B102" s="2519"/>
      <c r="C102" s="2519"/>
      <c r="F102" s="2566"/>
      <c r="G102" s="2566"/>
      <c r="H102" s="2566"/>
      <c r="I102" s="2574"/>
      <c r="J102" s="2574"/>
      <c r="K102" s="2519"/>
      <c r="L102" s="3204"/>
      <c r="M102" s="3204"/>
      <c r="N102" s="3204"/>
      <c r="O102" s="3204"/>
      <c r="S102" s="2566"/>
    </row>
    <row r="103" spans="1:19">
      <c r="A103" s="2519"/>
      <c r="B103" s="2519"/>
      <c r="C103" s="2519"/>
      <c r="F103" s="2566"/>
      <c r="G103" s="2566"/>
      <c r="H103" s="2566"/>
      <c r="I103" s="2574"/>
      <c r="J103" s="2574"/>
      <c r="K103" s="2519"/>
      <c r="L103" s="3204"/>
      <c r="M103" s="3204"/>
      <c r="N103" s="3204"/>
      <c r="O103" s="3204"/>
      <c r="S103" s="2566"/>
    </row>
    <row r="104" spans="1:19">
      <c r="A104" s="2519"/>
      <c r="B104" s="2519"/>
      <c r="C104" s="2519"/>
      <c r="F104" s="2566"/>
      <c r="G104" s="2566"/>
      <c r="H104" s="2566"/>
      <c r="I104" s="2574"/>
      <c r="J104" s="2574"/>
      <c r="K104" s="2519"/>
      <c r="L104" s="3204"/>
      <c r="M104" s="3204"/>
      <c r="N104" s="3204"/>
      <c r="O104" s="3204"/>
      <c r="S104" s="2566"/>
    </row>
    <row r="105" spans="1:19">
      <c r="A105" s="2519"/>
      <c r="B105" s="2519"/>
      <c r="C105" s="2519"/>
      <c r="F105" s="2566"/>
      <c r="G105" s="2566"/>
      <c r="H105" s="2566"/>
      <c r="I105" s="2574"/>
      <c r="J105" s="2574"/>
      <c r="K105" s="2519"/>
      <c r="L105" s="3204"/>
      <c r="M105" s="3204"/>
      <c r="N105" s="3204"/>
      <c r="O105" s="3204"/>
      <c r="S105" s="2566"/>
    </row>
    <row r="106" spans="1:19">
      <c r="B106" s="2519"/>
      <c r="C106" s="2519"/>
      <c r="F106" s="2519"/>
      <c r="G106" s="2519">
        <f>SUM(G96:G104)</f>
        <v>680</v>
      </c>
      <c r="I106" s="2574">
        <f>SUM(I96:I104)</f>
        <v>1676040</v>
      </c>
      <c r="J106" s="2574"/>
      <c r="K106" s="2519"/>
      <c r="L106" s="3961" t="e">
        <f>I106+I116+G121</f>
        <v>#REF!</v>
      </c>
      <c r="M106" s="3961"/>
      <c r="N106" s="3200"/>
      <c r="O106" s="2519" t="e">
        <f>L106-#REF!</f>
        <v>#REF!</v>
      </c>
    </row>
    <row r="107" spans="1:19">
      <c r="B107" s="2519"/>
      <c r="C107" s="2519"/>
      <c r="F107" s="2519"/>
      <c r="I107" s="3205"/>
      <c r="J107" s="3205"/>
      <c r="K107" s="2519"/>
      <c r="M107" s="2577"/>
      <c r="N107" s="2577"/>
      <c r="O107" s="2577"/>
    </row>
    <row r="108" spans="1:19">
      <c r="B108" s="2519"/>
      <c r="C108" s="2519"/>
      <c r="F108" s="2566"/>
      <c r="G108" s="2519">
        <v>5422</v>
      </c>
      <c r="I108" s="2574">
        <f>G108*30000</f>
        <v>162660000</v>
      </c>
      <c r="J108" s="2574"/>
      <c r="K108" s="2519"/>
    </row>
    <row r="109" spans="1:19">
      <c r="B109" s="2519"/>
      <c r="C109" s="2519"/>
      <c r="F109" s="2566"/>
      <c r="G109" s="2519">
        <v>20</v>
      </c>
      <c r="I109" s="2574">
        <f>G109*60000</f>
        <v>1200000</v>
      </c>
      <c r="J109" s="2574"/>
      <c r="K109" s="2519"/>
    </row>
    <row r="110" spans="1:19">
      <c r="B110" s="2519"/>
      <c r="C110" s="2519"/>
      <c r="F110" s="2566"/>
      <c r="G110" s="2519">
        <v>230</v>
      </c>
      <c r="I110" s="2574">
        <f>G110*80000</f>
        <v>18400000</v>
      </c>
      <c r="J110" s="2574"/>
      <c r="K110" s="2519"/>
    </row>
    <row r="111" spans="1:19">
      <c r="A111" s="2519"/>
      <c r="G111" s="2519">
        <v>998</v>
      </c>
      <c r="I111" s="2574">
        <f>G111*50000</f>
        <v>49900000</v>
      </c>
      <c r="J111" s="2574"/>
      <c r="S111" s="2577"/>
    </row>
    <row r="112" spans="1:19">
      <c r="A112" s="2519"/>
      <c r="G112" s="2519">
        <v>2</v>
      </c>
      <c r="I112" s="2574">
        <f>G112*80000</f>
        <v>160000</v>
      </c>
      <c r="J112" s="2574"/>
      <c r="S112" s="2577"/>
    </row>
    <row r="113" spans="1:19">
      <c r="A113" s="2519"/>
      <c r="G113" s="2519">
        <v>89</v>
      </c>
      <c r="I113" s="2574">
        <f>G113*100000</f>
        <v>8900000</v>
      </c>
      <c r="J113" s="2574"/>
      <c r="S113" s="3200"/>
    </row>
    <row r="114" spans="1:19">
      <c r="A114" s="2519"/>
      <c r="G114" s="2519">
        <v>301.56000000000006</v>
      </c>
      <c r="I114" s="2574">
        <f>G114*25000</f>
        <v>7539000.0000000019</v>
      </c>
      <c r="J114" s="2574"/>
      <c r="S114" s="3200"/>
    </row>
    <row r="115" spans="1:19">
      <c r="A115" s="2519"/>
      <c r="G115" s="2519">
        <v>2965</v>
      </c>
      <c r="I115" s="2574">
        <f>G115*20000</f>
        <v>59300000</v>
      </c>
      <c r="J115" s="2574"/>
      <c r="S115" s="3200"/>
    </row>
    <row r="116" spans="1:19">
      <c r="A116" s="2519"/>
      <c r="B116" s="2926"/>
      <c r="G116" s="2519">
        <f>SUM(G108:G115)</f>
        <v>10027.560000000001</v>
      </c>
      <c r="I116" s="3990">
        <f>SUM(I108:I115)</f>
        <v>308059000</v>
      </c>
      <c r="J116" s="3990"/>
      <c r="O116" s="3200"/>
      <c r="P116" s="2577"/>
    </row>
    <row r="117" spans="1:19">
      <c r="A117" s="2519"/>
      <c r="B117" s="2584"/>
      <c r="G117" s="2566" t="e">
        <f>#REF!+#REF!+#REF!+F43</f>
        <v>#REF!</v>
      </c>
      <c r="H117" s="2566"/>
      <c r="I117" s="2574" t="e">
        <f>G117*25000</f>
        <v>#REF!</v>
      </c>
      <c r="J117" s="2574"/>
    </row>
    <row r="118" spans="1:19">
      <c r="A118" s="2519"/>
      <c r="B118" s="2584"/>
      <c r="F118" s="2577" t="s">
        <v>1601</v>
      </c>
      <c r="G118" s="2519" t="e">
        <f>#REF!+#REF!</f>
        <v>#REF!</v>
      </c>
      <c r="I118" s="2574" t="e">
        <f>#REF!+#REF!</f>
        <v>#REF!</v>
      </c>
      <c r="J118" s="2585"/>
    </row>
    <row r="119" spans="1:19">
      <c r="A119" s="2519"/>
      <c r="B119" s="2584"/>
      <c r="G119" s="2519" t="e">
        <f>#REF!</f>
        <v>#REF!</v>
      </c>
      <c r="I119" s="2574" t="e">
        <f>#REF!</f>
        <v>#REF!</v>
      </c>
      <c r="J119" s="2585"/>
    </row>
    <row r="120" spans="1:19">
      <c r="A120" s="2519"/>
      <c r="G120" s="2519" t="e">
        <f>#REF!+#REF!+#REF!+#REF!</f>
        <v>#REF!</v>
      </c>
      <c r="I120" s="2574" t="e">
        <f>#REF!+#REF!+#REF!+#REF!</f>
        <v>#REF!</v>
      </c>
      <c r="J120" s="2585"/>
    </row>
    <row r="121" spans="1:19">
      <c r="A121" s="2519"/>
      <c r="G121" s="3990" t="e">
        <f>SUM(I117:J120)</f>
        <v>#REF!</v>
      </c>
      <c r="H121" s="3990"/>
      <c r="I121" s="3990"/>
      <c r="J121" s="2585"/>
      <c r="K121" s="2523" t="e">
        <f>G121-#REF!</f>
        <v>#REF!</v>
      </c>
    </row>
    <row r="123" spans="1:19">
      <c r="A123" s="2519"/>
      <c r="I123" s="3979" t="e">
        <f>+#REF!+#REF!+#REF!+#REF!+1000000</f>
        <v>#REF!</v>
      </c>
      <c r="J123" s="3979"/>
    </row>
    <row r="125" spans="1:19">
      <c r="A125" s="2519"/>
      <c r="G125" s="2566"/>
      <c r="H125" s="2566"/>
      <c r="I125" s="2574"/>
    </row>
    <row r="126" spans="1:19">
      <c r="A126" s="2519"/>
      <c r="L126" s="2566"/>
    </row>
    <row r="130" spans="1:15">
      <c r="A130" s="2519"/>
      <c r="G130" s="2566">
        <v>2551.8899999999994</v>
      </c>
      <c r="H130" s="2566"/>
    </row>
    <row r="131" spans="1:15">
      <c r="A131" s="2519"/>
      <c r="B131" s="2519"/>
      <c r="C131" s="2519"/>
      <c r="F131" s="2519"/>
      <c r="G131" s="2566" t="e">
        <f>+G117-G130</f>
        <v>#REF!</v>
      </c>
      <c r="H131" s="2566"/>
    </row>
    <row r="137" spans="1:15">
      <c r="A137" s="2519"/>
      <c r="B137" s="2519"/>
      <c r="C137" s="2519"/>
      <c r="F137" s="2519"/>
      <c r="J137" s="2522">
        <v>1678</v>
      </c>
      <c r="K137" s="2523">
        <v>1573</v>
      </c>
      <c r="L137" s="2519">
        <v>1187</v>
      </c>
      <c r="M137" s="2519">
        <v>1183</v>
      </c>
      <c r="O137" s="2519">
        <f>SUM(J137:M137)</f>
        <v>5621</v>
      </c>
    </row>
    <row r="138" spans="1:15">
      <c r="A138" s="2519"/>
      <c r="B138" s="2519"/>
      <c r="C138" s="2519"/>
      <c r="F138" s="2519"/>
      <c r="J138" s="2522">
        <v>257</v>
      </c>
      <c r="K138" s="2523">
        <v>244</v>
      </c>
      <c r="L138" s="2519">
        <v>183</v>
      </c>
      <c r="M138" s="2519">
        <v>182</v>
      </c>
      <c r="O138" s="2519">
        <f>SUM(J138:M138)</f>
        <v>866</v>
      </c>
    </row>
    <row r="139" spans="1:15">
      <c r="A139" s="2519"/>
      <c r="B139" s="2519"/>
      <c r="C139" s="2519"/>
      <c r="F139" s="2519"/>
      <c r="J139" s="2522">
        <v>1935</v>
      </c>
      <c r="K139" s="2523">
        <v>1817</v>
      </c>
      <c r="L139" s="2519">
        <v>1370</v>
      </c>
      <c r="M139" s="2519">
        <v>1365</v>
      </c>
      <c r="O139" s="2519">
        <f>SUM(J139:M139)</f>
        <v>6487</v>
      </c>
    </row>
  </sheetData>
  <mergeCells count="41">
    <mergeCell ref="A9:U9"/>
    <mergeCell ref="A2:U2"/>
    <mergeCell ref="A3:U3"/>
    <mergeCell ref="A4:U4"/>
    <mergeCell ref="A6:I6"/>
    <mergeCell ref="A7:I7"/>
    <mergeCell ref="A10:U10"/>
    <mergeCell ref="C12:F12"/>
    <mergeCell ref="A13:A15"/>
    <mergeCell ref="B13:B15"/>
    <mergeCell ref="C13:C15"/>
    <mergeCell ref="D13:D15"/>
    <mergeCell ref="E13:E15"/>
    <mergeCell ref="F13:O13"/>
    <mergeCell ref="P13:P15"/>
    <mergeCell ref="Q13:Q15"/>
    <mergeCell ref="R13:R15"/>
    <mergeCell ref="S13:S15"/>
    <mergeCell ref="T13:T15"/>
    <mergeCell ref="U13:U15"/>
    <mergeCell ref="F14:G14"/>
    <mergeCell ref="H14:K14"/>
    <mergeCell ref="L14:O14"/>
    <mergeCell ref="L60:M60"/>
    <mergeCell ref="A43:D43"/>
    <mergeCell ref="A44:U44"/>
    <mergeCell ref="P46:U46"/>
    <mergeCell ref="A49:F49"/>
    <mergeCell ref="G49:K49"/>
    <mergeCell ref="L49:O49"/>
    <mergeCell ref="P49:U49"/>
    <mergeCell ref="L56:O56"/>
    <mergeCell ref="S56:T56"/>
    <mergeCell ref="A58:F58"/>
    <mergeCell ref="G58:K58"/>
    <mergeCell ref="P58:U58"/>
    <mergeCell ref="F96:F99"/>
    <mergeCell ref="L106:M106"/>
    <mergeCell ref="I116:J116"/>
    <mergeCell ref="G121:I121"/>
    <mergeCell ref="I123:J12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54"/>
  <sheetViews>
    <sheetView topLeftCell="F5" zoomScale="85" zoomScaleNormal="85" workbookViewId="0">
      <selection activeCell="W28" sqref="W28"/>
    </sheetView>
  </sheetViews>
  <sheetFormatPr defaultColWidth="9.140625" defaultRowHeight="15.7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429" customWidth="1"/>
    <col min="6" max="6" width="9.85546875" style="429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376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429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>
      <c r="A1" s="4513" t="s">
        <v>80</v>
      </c>
      <c r="B1" s="4514"/>
      <c r="C1" s="4514"/>
      <c r="D1" s="4514"/>
      <c r="E1" s="4514"/>
      <c r="F1" s="4514"/>
      <c r="G1" s="78"/>
      <c r="H1" s="93"/>
      <c r="I1" s="93"/>
      <c r="J1" s="93"/>
      <c r="K1" s="93"/>
      <c r="L1" s="361"/>
      <c r="M1" s="361"/>
      <c r="N1" s="361"/>
      <c r="O1" s="361"/>
      <c r="P1" s="368"/>
      <c r="Q1" s="93"/>
      <c r="R1" s="4515" t="s">
        <v>23</v>
      </c>
      <c r="S1" s="4515"/>
      <c r="T1" s="4515"/>
      <c r="U1" s="4515"/>
      <c r="V1" s="4515"/>
      <c r="W1" s="4515"/>
      <c r="X1" s="4515"/>
      <c r="Y1" s="4515"/>
    </row>
    <row r="2" spans="1:43" ht="17.25">
      <c r="A2" s="4516"/>
      <c r="B2" s="4515"/>
      <c r="C2" s="4515"/>
      <c r="D2" s="4515"/>
      <c r="E2" s="4515"/>
      <c r="F2" s="4515"/>
      <c r="G2" s="81"/>
      <c r="H2" s="95"/>
      <c r="I2" s="95"/>
      <c r="J2" s="95"/>
      <c r="K2" s="95"/>
      <c r="L2" s="362"/>
      <c r="M2" s="362"/>
      <c r="N2" s="362"/>
      <c r="O2" s="362"/>
      <c r="P2" s="369"/>
      <c r="Q2" s="95"/>
      <c r="R2" s="4514" t="s">
        <v>45</v>
      </c>
      <c r="S2" s="4514"/>
      <c r="T2" s="4514"/>
      <c r="U2" s="4514"/>
      <c r="V2" s="4514"/>
      <c r="W2" s="4514"/>
      <c r="X2" s="4514"/>
      <c r="Y2" s="4514"/>
    </row>
    <row r="3" spans="1:43" ht="10.5" customHeight="1">
      <c r="A3" s="541"/>
      <c r="B3" s="96"/>
      <c r="C3" s="381"/>
      <c r="D3" s="381"/>
      <c r="G3" s="5"/>
      <c r="H3" s="6"/>
      <c r="I3" s="7"/>
      <c r="J3" s="6"/>
      <c r="K3" s="6"/>
      <c r="L3" s="7"/>
      <c r="M3" s="7"/>
      <c r="N3" s="7"/>
      <c r="O3" s="7"/>
      <c r="P3" s="370"/>
      <c r="Q3" s="6"/>
      <c r="R3" s="8"/>
      <c r="S3" s="8"/>
      <c r="T3" s="8"/>
      <c r="X3" s="98"/>
    </row>
    <row r="4" spans="1:43" s="99" customFormat="1" ht="25.9" customHeight="1">
      <c r="A4" s="4517" t="s">
        <v>473</v>
      </c>
      <c r="B4" s="4517"/>
      <c r="C4" s="4517"/>
      <c r="D4" s="4517"/>
      <c r="E4" s="4517"/>
      <c r="F4" s="4517"/>
      <c r="G4" s="4517"/>
      <c r="H4" s="4517"/>
      <c r="I4" s="4517"/>
      <c r="J4" s="4517"/>
      <c r="K4" s="4517"/>
      <c r="L4" s="4517"/>
      <c r="M4" s="4517"/>
      <c r="N4" s="4517"/>
      <c r="O4" s="4517"/>
      <c r="P4" s="4517"/>
      <c r="Q4" s="4517"/>
      <c r="R4" s="4517"/>
      <c r="S4" s="4517"/>
      <c r="T4" s="4517"/>
      <c r="U4" s="4517"/>
      <c r="V4" s="4517"/>
      <c r="W4" s="4517"/>
      <c r="X4" s="4517"/>
      <c r="Y4" s="4517"/>
      <c r="Z4" s="4517"/>
    </row>
    <row r="5" spans="1:43" s="99" customFormat="1" ht="26.25" customHeight="1">
      <c r="A5" s="4202" t="s">
        <v>91</v>
      </c>
      <c r="B5" s="4202"/>
      <c r="C5" s="4202"/>
      <c r="D5" s="4202"/>
      <c r="E5" s="4202"/>
      <c r="F5" s="4202"/>
      <c r="G5" s="4202"/>
      <c r="H5" s="4202"/>
      <c r="I5" s="4202"/>
      <c r="J5" s="4202"/>
      <c r="K5" s="4202"/>
      <c r="L5" s="4202"/>
      <c r="M5" s="4202"/>
      <c r="N5" s="4202"/>
      <c r="O5" s="4202"/>
      <c r="P5" s="4202"/>
      <c r="Q5" s="4202"/>
      <c r="R5" s="4202"/>
      <c r="S5" s="4202"/>
      <c r="T5" s="4202"/>
      <c r="U5" s="4202"/>
      <c r="V5" s="4202"/>
      <c r="W5" s="4202"/>
      <c r="X5" s="4202"/>
      <c r="Y5" s="4202"/>
      <c r="Z5" s="4202"/>
    </row>
    <row r="6" spans="1:43" s="99" customFormat="1" ht="18.75" customHeight="1">
      <c r="A6" s="304"/>
      <c r="B6" s="4199" t="s">
        <v>321</v>
      </c>
      <c r="C6" s="4199"/>
      <c r="D6" s="4200" t="e">
        <f>#REF!</f>
        <v>#REF!</v>
      </c>
      <c r="E6" s="4203"/>
      <c r="F6" s="542"/>
      <c r="G6" s="542"/>
      <c r="H6" s="542"/>
      <c r="I6" s="542"/>
      <c r="J6" s="542"/>
      <c r="K6" s="542"/>
      <c r="L6" s="304"/>
      <c r="M6" s="304"/>
      <c r="N6" s="304"/>
      <c r="O6" s="304"/>
      <c r="P6" s="371"/>
      <c r="Q6" s="542"/>
      <c r="R6" s="542"/>
      <c r="S6" s="542"/>
      <c r="T6" s="542"/>
      <c r="U6" s="542"/>
      <c r="V6" s="542"/>
      <c r="W6" s="542"/>
      <c r="X6" s="542"/>
      <c r="Y6" s="542"/>
      <c r="Z6" s="97"/>
    </row>
    <row r="7" spans="1:43" s="99" customFormat="1" ht="20.25" customHeight="1">
      <c r="A7" s="305"/>
      <c r="B7" s="4199" t="s">
        <v>322</v>
      </c>
      <c r="C7" s="4199"/>
      <c r="D7" s="4203" t="e">
        <f>#REF!</f>
        <v>#REF!</v>
      </c>
      <c r="E7" s="4203"/>
      <c r="F7" s="117"/>
      <c r="G7" s="117"/>
      <c r="H7" s="117"/>
      <c r="I7" s="117"/>
      <c r="J7" s="117"/>
      <c r="K7" s="117"/>
      <c r="L7" s="305"/>
      <c r="M7" s="305"/>
      <c r="N7" s="305"/>
      <c r="O7" s="305"/>
      <c r="P7" s="372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>
      <c r="A8" s="4204" t="s">
        <v>0</v>
      </c>
      <c r="B8" s="4508" t="s">
        <v>1</v>
      </c>
      <c r="C8" s="4509"/>
      <c r="D8" s="4204" t="s">
        <v>64</v>
      </c>
      <c r="E8" s="4510" t="s">
        <v>2</v>
      </c>
      <c r="F8" s="4503" t="s">
        <v>3</v>
      </c>
      <c r="G8" s="4431" t="s">
        <v>4</v>
      </c>
      <c r="H8" s="4432"/>
      <c r="I8" s="4432"/>
      <c r="J8" s="4432"/>
      <c r="K8" s="4432"/>
      <c r="L8" s="4432"/>
      <c r="M8" s="4432"/>
      <c r="N8" s="4432"/>
      <c r="O8" s="4432"/>
      <c r="P8" s="4432"/>
      <c r="Q8" s="4433"/>
      <c r="R8" s="4412" t="s">
        <v>5</v>
      </c>
      <c r="S8" s="4412" t="s">
        <v>6</v>
      </c>
      <c r="T8" s="4412" t="s">
        <v>497</v>
      </c>
      <c r="U8" s="4412" t="s">
        <v>7</v>
      </c>
      <c r="V8" s="4412" t="s">
        <v>8</v>
      </c>
      <c r="W8" s="4412" t="s">
        <v>78</v>
      </c>
      <c r="X8" s="4410" t="s">
        <v>9</v>
      </c>
      <c r="Y8" s="4505" t="s">
        <v>10</v>
      </c>
      <c r="Z8" s="4495" t="s">
        <v>11</v>
      </c>
      <c r="AB8" s="100">
        <v>26</v>
      </c>
    </row>
    <row r="9" spans="1:43" s="100" customFormat="1" ht="20.25" customHeight="1">
      <c r="A9" s="4204"/>
      <c r="B9" s="4509"/>
      <c r="C9" s="4509"/>
      <c r="D9" s="4204"/>
      <c r="E9" s="4511"/>
      <c r="F9" s="4495"/>
      <c r="G9" s="4497" t="s">
        <v>182</v>
      </c>
      <c r="H9" s="4498"/>
      <c r="I9" s="4498"/>
      <c r="J9" s="4498"/>
      <c r="K9" s="4499"/>
      <c r="L9" s="4500" t="s">
        <v>183</v>
      </c>
      <c r="M9" s="4501"/>
      <c r="N9" s="4502"/>
      <c r="O9" s="4500" t="s">
        <v>184</v>
      </c>
      <c r="P9" s="4501"/>
      <c r="Q9" s="4502"/>
      <c r="R9" s="4412"/>
      <c r="S9" s="4412"/>
      <c r="T9" s="4412"/>
      <c r="U9" s="4412"/>
      <c r="V9" s="4412"/>
      <c r="W9" s="4412"/>
      <c r="X9" s="4421"/>
      <c r="Y9" s="4506"/>
      <c r="Z9" s="4496"/>
    </row>
    <row r="10" spans="1:43" s="101" customFormat="1" ht="72.75" customHeight="1">
      <c r="A10" s="4205"/>
      <c r="B10" s="544" t="s">
        <v>15</v>
      </c>
      <c r="C10" s="382" t="s">
        <v>16</v>
      </c>
      <c r="D10" s="4204"/>
      <c r="E10" s="4512"/>
      <c r="F10" s="4504"/>
      <c r="G10" s="112" t="s">
        <v>12</v>
      </c>
      <c r="H10" s="113" t="s">
        <v>94</v>
      </c>
      <c r="I10" s="534" t="s">
        <v>13</v>
      </c>
      <c r="J10" s="103" t="s">
        <v>14</v>
      </c>
      <c r="K10" s="534" t="s">
        <v>444</v>
      </c>
      <c r="L10" s="536" t="s">
        <v>191</v>
      </c>
      <c r="M10" s="536" t="s">
        <v>189</v>
      </c>
      <c r="N10" s="536" t="s">
        <v>192</v>
      </c>
      <c r="O10" s="536" t="s">
        <v>193</v>
      </c>
      <c r="P10" s="373" t="s">
        <v>194</v>
      </c>
      <c r="Q10" s="535" t="s">
        <v>192</v>
      </c>
      <c r="R10" s="4412"/>
      <c r="S10" s="4412"/>
      <c r="T10" s="4412"/>
      <c r="U10" s="4428"/>
      <c r="V10" s="4412"/>
      <c r="W10" s="4412"/>
      <c r="X10" s="4411"/>
      <c r="Y10" s="4507"/>
      <c r="Z10" s="4496"/>
    </row>
    <row r="11" spans="1:43" s="102" customFormat="1" ht="60.75" customHeight="1">
      <c r="A11" s="119" t="s">
        <v>65</v>
      </c>
      <c r="B11" s="119" t="s">
        <v>66</v>
      </c>
      <c r="C11" s="119" t="s">
        <v>67</v>
      </c>
      <c r="D11" s="119" t="s">
        <v>116</v>
      </c>
      <c r="E11" s="119" t="s">
        <v>68</v>
      </c>
      <c r="F11" s="119" t="s">
        <v>114</v>
      </c>
      <c r="G11" s="119" t="s">
        <v>69</v>
      </c>
      <c r="H11" s="119" t="s">
        <v>230</v>
      </c>
      <c r="I11" s="119" t="s">
        <v>231</v>
      </c>
      <c r="J11" s="119" t="s">
        <v>72</v>
      </c>
      <c r="K11" s="119" t="s">
        <v>232</v>
      </c>
      <c r="L11" s="119" t="s">
        <v>185</v>
      </c>
      <c r="M11" s="119" t="s">
        <v>186</v>
      </c>
      <c r="N11" s="119" t="s">
        <v>72</v>
      </c>
      <c r="O11" s="119" t="s">
        <v>187</v>
      </c>
      <c r="P11" s="374" t="s">
        <v>188</v>
      </c>
      <c r="Q11" s="119" t="s">
        <v>72</v>
      </c>
      <c r="R11" s="119" t="s">
        <v>229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115</v>
      </c>
    </row>
    <row r="12" spans="1:43" s="545" customFormat="1" ht="15" customHeight="1">
      <c r="A12" s="543">
        <v>1</v>
      </c>
      <c r="B12" s="382">
        <v>2</v>
      </c>
      <c r="C12" s="543">
        <v>3</v>
      </c>
      <c r="D12" s="382">
        <v>4</v>
      </c>
      <c r="E12" s="543">
        <v>5</v>
      </c>
      <c r="F12" s="382">
        <v>6</v>
      </c>
      <c r="G12" s="543">
        <v>7</v>
      </c>
      <c r="H12" s="382">
        <v>8</v>
      </c>
      <c r="I12" s="543">
        <v>9</v>
      </c>
      <c r="J12" s="382">
        <v>10</v>
      </c>
      <c r="K12" s="543">
        <v>11</v>
      </c>
      <c r="L12" s="382">
        <v>12</v>
      </c>
      <c r="M12" s="543">
        <v>13</v>
      </c>
      <c r="N12" s="382">
        <v>14</v>
      </c>
      <c r="O12" s="543">
        <v>15</v>
      </c>
      <c r="P12" s="375">
        <v>16</v>
      </c>
      <c r="Q12" s="543">
        <v>17</v>
      </c>
      <c r="R12" s="382">
        <v>18</v>
      </c>
      <c r="S12" s="543">
        <v>19</v>
      </c>
      <c r="T12" s="543"/>
      <c r="U12" s="382">
        <v>20</v>
      </c>
      <c r="V12" s="543">
        <v>21</v>
      </c>
      <c r="W12" s="382">
        <v>22</v>
      </c>
      <c r="X12" s="382">
        <v>24</v>
      </c>
      <c r="Y12" s="543">
        <v>25</v>
      </c>
      <c r="Z12" s="382">
        <v>26</v>
      </c>
    </row>
    <row r="13" spans="1:43" s="105" customFormat="1" ht="18" customHeight="1">
      <c r="A13" s="4218" t="s">
        <v>453</v>
      </c>
      <c r="B13" s="4219"/>
      <c r="C13" s="4219"/>
      <c r="D13" s="4219"/>
      <c r="E13" s="4219"/>
      <c r="F13" s="4220"/>
      <c r="G13" s="357">
        <f>G15+G32</f>
        <v>47.279999999999994</v>
      </c>
      <c r="H13" s="363">
        <f>H15+H32</f>
        <v>200</v>
      </c>
      <c r="I13" s="363">
        <f>I15+I32</f>
        <v>0</v>
      </c>
      <c r="J13" s="363"/>
      <c r="K13" s="363" t="e">
        <f>K15+K32</f>
        <v>#REF!</v>
      </c>
      <c r="L13" s="357" t="e">
        <f t="shared" ref="L13:X13" si="0">L15+L32</f>
        <v>#REF!</v>
      </c>
      <c r="M13" s="363">
        <f t="shared" si="0"/>
        <v>0</v>
      </c>
      <c r="N13" s="363" t="e">
        <f t="shared" si="0"/>
        <v>#REF!</v>
      </c>
      <c r="O13" s="363" t="e">
        <f t="shared" si="0"/>
        <v>#REF!</v>
      </c>
      <c r="P13" s="363" t="e">
        <f t="shared" si="0"/>
        <v>#REF!</v>
      </c>
      <c r="Q13" s="363" t="e">
        <f t="shared" si="0"/>
        <v>#REF!</v>
      </c>
      <c r="R13" s="363" t="e">
        <f t="shared" si="0"/>
        <v>#REF!</v>
      </c>
      <c r="S13" s="363" t="e">
        <f t="shared" si="0"/>
        <v>#N/A</v>
      </c>
      <c r="T13" s="363"/>
      <c r="U13" s="363" t="e">
        <f t="shared" si="0"/>
        <v>#REF!</v>
      </c>
      <c r="V13" s="363" t="e">
        <f t="shared" si="0"/>
        <v>#REF!</v>
      </c>
      <c r="W13" s="363">
        <f t="shared" si="0"/>
        <v>0</v>
      </c>
      <c r="X13" s="363" t="e">
        <f t="shared" si="0"/>
        <v>#REF!</v>
      </c>
      <c r="Y13" s="104"/>
      <c r="Z13" s="264"/>
      <c r="AA13" s="120"/>
      <c r="AB13" s="120"/>
    </row>
    <row r="14" spans="1:43" s="245" customFormat="1" ht="18" customHeight="1">
      <c r="A14" s="445">
        <v>1</v>
      </c>
      <c r="B14" s="442" t="s">
        <v>443</v>
      </c>
      <c r="C14" s="465" t="s">
        <v>437</v>
      </c>
      <c r="D14" s="443" t="s">
        <v>338</v>
      </c>
      <c r="E14" s="444" t="s">
        <v>448</v>
      </c>
      <c r="F14" s="445" t="s">
        <v>157</v>
      </c>
      <c r="G14" s="104">
        <f>VLOOKUP(C14,'CC NT'!$C$7:$AI$25,33,0)</f>
        <v>26</v>
      </c>
      <c r="H14" s="446">
        <v>200</v>
      </c>
      <c r="I14" s="445" t="s">
        <v>17</v>
      </c>
      <c r="J14" s="104">
        <f>H14/$AB$8*G14</f>
        <v>200</v>
      </c>
      <c r="K14" s="447" t="e">
        <f>J14*$D$6</f>
        <v>#REF!</v>
      </c>
      <c r="L14" s="441"/>
      <c r="M14" s="441"/>
      <c r="N14" s="447"/>
      <c r="O14" s="441"/>
      <c r="P14" s="448"/>
      <c r="Q14" s="441"/>
      <c r="R14" s="447" t="e">
        <f>K14</f>
        <v>#REF!</v>
      </c>
      <c r="S14" s="447" t="e">
        <f>ROUND((VLOOKUP(C14,'HS bảo hiểm'!$B$7:$F$23,5,0)*2580000*0.105)*$D$7,0)</f>
        <v>#N/A</v>
      </c>
      <c r="T14" s="447"/>
      <c r="U14" s="447" t="e">
        <f>R14-S14</f>
        <v>#REF!</v>
      </c>
      <c r="V14" s="447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447"/>
      <c r="X14" s="447" t="e">
        <f>ROUND(U14-V14-W14,0)</f>
        <v>#REF!</v>
      </c>
      <c r="Y14" s="441"/>
      <c r="Z14" s="449" t="s">
        <v>202</v>
      </c>
      <c r="AA14" s="240"/>
      <c r="AB14" s="240"/>
      <c r="AC14" s="240"/>
      <c r="AD14" s="240"/>
      <c r="AE14" s="240"/>
      <c r="AF14" s="240"/>
      <c r="AG14" s="240"/>
      <c r="AH14" s="240"/>
      <c r="AI14" s="253"/>
      <c r="AJ14" s="241"/>
      <c r="AK14" s="242"/>
      <c r="AL14" s="242"/>
      <c r="AM14" s="243"/>
      <c r="AN14" s="244"/>
      <c r="AO14" s="244"/>
      <c r="AP14" s="244"/>
      <c r="AQ14" s="244"/>
    </row>
    <row r="15" spans="1:43" s="440" customFormat="1" ht="18" customHeight="1">
      <c r="A15" s="4488" t="s">
        <v>449</v>
      </c>
      <c r="B15" s="4489"/>
      <c r="C15" s="4489"/>
      <c r="D15" s="4489"/>
      <c r="E15" s="4489"/>
      <c r="F15" s="4490"/>
      <c r="G15" s="36">
        <f>SUM(G14)</f>
        <v>26</v>
      </c>
      <c r="H15" s="36">
        <f t="shared" ref="H15:X15" si="1">SUM(H14)</f>
        <v>200</v>
      </c>
      <c r="I15" s="36">
        <f t="shared" si="1"/>
        <v>0</v>
      </c>
      <c r="J15" s="36">
        <f t="shared" si="1"/>
        <v>200</v>
      </c>
      <c r="K15" s="36" t="e">
        <f t="shared" si="1"/>
        <v>#REF!</v>
      </c>
      <c r="L15" s="36">
        <f t="shared" si="1"/>
        <v>0</v>
      </c>
      <c r="M15" s="36">
        <f t="shared" si="1"/>
        <v>0</v>
      </c>
      <c r="N15" s="36">
        <f t="shared" si="1"/>
        <v>0</v>
      </c>
      <c r="O15" s="36">
        <f t="shared" si="1"/>
        <v>0</v>
      </c>
      <c r="P15" s="36">
        <f t="shared" si="1"/>
        <v>0</v>
      </c>
      <c r="Q15" s="36">
        <f t="shared" si="1"/>
        <v>0</v>
      </c>
      <c r="R15" s="36" t="e">
        <f t="shared" si="1"/>
        <v>#REF!</v>
      </c>
      <c r="S15" s="36" t="e">
        <f t="shared" si="1"/>
        <v>#N/A</v>
      </c>
      <c r="T15" s="36"/>
      <c r="U15" s="36" t="e">
        <f t="shared" si="1"/>
        <v>#REF!</v>
      </c>
      <c r="V15" s="36" t="e">
        <f t="shared" si="1"/>
        <v>#REF!</v>
      </c>
      <c r="W15" s="36">
        <f t="shared" si="1"/>
        <v>0</v>
      </c>
      <c r="X15" s="36" t="e">
        <f t="shared" si="1"/>
        <v>#REF!</v>
      </c>
      <c r="Y15" s="538"/>
      <c r="Z15" s="319"/>
      <c r="AA15" s="430"/>
      <c r="AB15" s="430"/>
      <c r="AC15" s="430"/>
      <c r="AD15" s="430"/>
      <c r="AE15" s="430"/>
      <c r="AF15" s="430"/>
      <c r="AG15" s="430"/>
      <c r="AH15" s="430"/>
      <c r="AI15" s="436"/>
      <c r="AJ15" s="437"/>
      <c r="AK15" s="438"/>
      <c r="AL15" s="438"/>
      <c r="AM15" s="439"/>
      <c r="AN15" s="296"/>
      <c r="AO15" s="296"/>
      <c r="AP15" s="296"/>
      <c r="AQ15" s="296"/>
    </row>
    <row r="16" spans="1:43" s="105" customFormat="1" ht="18" customHeight="1">
      <c r="A16" s="309">
        <v>1</v>
      </c>
      <c r="B16" s="310"/>
      <c r="C16" s="433" t="s">
        <v>276</v>
      </c>
      <c r="D16" s="311" t="e">
        <f>VLOOKUP($C$16:$C$31,'Tong luong NT'!#REF!,2,0)</f>
        <v>#REF!</v>
      </c>
      <c r="E16" s="472" t="s">
        <v>167</v>
      </c>
      <c r="F16" s="409" t="s">
        <v>157</v>
      </c>
      <c r="G16" s="360">
        <v>1.33</v>
      </c>
      <c r="H16" s="238">
        <v>25000</v>
      </c>
      <c r="I16" s="238" t="s">
        <v>355</v>
      </c>
      <c r="J16" s="238">
        <f>G16*H16</f>
        <v>33250</v>
      </c>
      <c r="K16" s="238">
        <f t="shared" ref="K16:K31" si="2">J16</f>
        <v>33250</v>
      </c>
      <c r="L16" s="380" t="e">
        <f>VLOOKUP($C$16:$C$31,#REF!,11,0)</f>
        <v>#REF!</v>
      </c>
      <c r="M16" s="366" t="e">
        <f>VLOOKUP($C$16:$C$31,#REF!,11,0)</f>
        <v>#REF!</v>
      </c>
      <c r="N16" s="366" t="e">
        <f>L16*IF(M16="A",1600,IF(M16="B",1500,IF(M16="C",1400)))</f>
        <v>#REF!</v>
      </c>
      <c r="O16" s="312" t="e">
        <f>VLOOKUP($C$16:$C$31,#REF!,15,0)</f>
        <v>#REF!</v>
      </c>
      <c r="P16" s="312" t="e">
        <f>VLOOKUP($C$16:$C$31,#REF!,16,0)</f>
        <v>#REF!</v>
      </c>
      <c r="Q16" s="238" t="e">
        <f>(O16*25000)+(P16*35000)</f>
        <v>#REF!</v>
      </c>
      <c r="R16" s="238" t="e">
        <f>J16+N16+Q16</f>
        <v>#REF!</v>
      </c>
      <c r="S16" s="238"/>
      <c r="T16" s="238"/>
      <c r="U16" s="238" t="e">
        <f t="shared" ref="U16:U25" si="3">R16-S16</f>
        <v>#REF!</v>
      </c>
      <c r="V16" s="238"/>
      <c r="W16" s="238"/>
      <c r="X16" s="239" t="e">
        <f t="shared" ref="X16:X27" si="4">U16-V16-W16</f>
        <v>#REF!</v>
      </c>
      <c r="Y16" s="238"/>
      <c r="Z16" s="312" t="s">
        <v>156</v>
      </c>
      <c r="AA16" s="120"/>
      <c r="AB16" s="120"/>
    </row>
    <row r="17" spans="1:28" s="105" customFormat="1" ht="18" customHeight="1">
      <c r="A17" s="307">
        <v>2</v>
      </c>
      <c r="B17" s="261"/>
      <c r="C17" s="431" t="s">
        <v>333</v>
      </c>
      <c r="D17" s="311" t="e">
        <f>VLOOKUP($C$16:$C$31,'Tong luong NT'!#REF!,2,0)</f>
        <v>#REF!</v>
      </c>
      <c r="E17" s="470" t="s">
        <v>167</v>
      </c>
      <c r="F17" s="237" t="s">
        <v>157</v>
      </c>
      <c r="G17" s="360">
        <v>1.33</v>
      </c>
      <c r="H17" s="47">
        <v>25000</v>
      </c>
      <c r="I17" s="47" t="s">
        <v>355</v>
      </c>
      <c r="J17" s="47">
        <f t="shared" ref="J17:J26" si="5">G17*H17</f>
        <v>33250</v>
      </c>
      <c r="K17" s="47">
        <f t="shared" si="2"/>
        <v>33250</v>
      </c>
      <c r="L17" s="380" t="e">
        <f>VLOOKUP($C$16:$C$31,#REF!,11,0)</f>
        <v>#REF!</v>
      </c>
      <c r="M17" s="366" t="e">
        <f>VLOOKUP($C$16:$C$31,#REF!,11,0)</f>
        <v>#REF!</v>
      </c>
      <c r="N17" s="365" t="e">
        <f>L17*IF(M17="A",1600,IF(M17="B",1500,IF(M17="C",1400)))</f>
        <v>#REF!</v>
      </c>
      <c r="O17" s="312" t="e">
        <f>VLOOKUP($C$16:$C$31,#REF!,15,0)</f>
        <v>#REF!</v>
      </c>
      <c r="P17" s="312" t="e">
        <f>VLOOKUP($C$16:$C$31,#REF!,16,0)</f>
        <v>#REF!</v>
      </c>
      <c r="Q17" s="238" t="e">
        <f t="shared" ref="Q17:Q31" si="6">(O17*25000)+(P17*35000)</f>
        <v>#REF!</v>
      </c>
      <c r="R17" s="47" t="e">
        <f t="shared" ref="R17:R25" si="7">J17+N17+Q17</f>
        <v>#REF!</v>
      </c>
      <c r="S17" s="47"/>
      <c r="T17" s="47"/>
      <c r="U17" s="47" t="e">
        <f t="shared" si="3"/>
        <v>#REF!</v>
      </c>
      <c r="V17" s="47"/>
      <c r="W17" s="47"/>
      <c r="X17" s="65" t="e">
        <f t="shared" si="4"/>
        <v>#REF!</v>
      </c>
      <c r="Y17" s="47"/>
      <c r="Z17" s="118" t="s">
        <v>156</v>
      </c>
      <c r="AA17" s="120"/>
      <c r="AB17" s="120"/>
    </row>
    <row r="18" spans="1:28" s="105" customFormat="1" ht="18" customHeight="1">
      <c r="A18" s="307">
        <v>3</v>
      </c>
      <c r="B18" s="261"/>
      <c r="C18" s="431" t="s">
        <v>334</v>
      </c>
      <c r="D18" s="311" t="e">
        <f>VLOOKUP($C$16:$C$31,'Tong luong NT'!#REF!,2,0)</f>
        <v>#REF!</v>
      </c>
      <c r="E18" s="470" t="s">
        <v>167</v>
      </c>
      <c r="F18" s="237" t="s">
        <v>157</v>
      </c>
      <c r="G18" s="360">
        <v>1.33</v>
      </c>
      <c r="H18" s="47">
        <v>25000</v>
      </c>
      <c r="I18" s="47" t="s">
        <v>355</v>
      </c>
      <c r="J18" s="47">
        <f t="shared" si="5"/>
        <v>33250</v>
      </c>
      <c r="K18" s="47">
        <f t="shared" si="2"/>
        <v>33250</v>
      </c>
      <c r="L18" s="380" t="e">
        <f>VLOOKUP($C$16:$C$31,#REF!,11,0)</f>
        <v>#REF!</v>
      </c>
      <c r="M18" s="366" t="e">
        <f>VLOOKUP($C$16:$C$31,#REF!,11,0)</f>
        <v>#REF!</v>
      </c>
      <c r="N18" s="365" t="e">
        <f t="shared" ref="N18:N31" si="8">L18*IF(M18="A",1600,IF(M18="B",1500,IF(M18="C",1400)))</f>
        <v>#REF!</v>
      </c>
      <c r="O18" s="312" t="e">
        <f>VLOOKUP($C$16:$C$31,#REF!,15,0)</f>
        <v>#REF!</v>
      </c>
      <c r="P18" s="312" t="e">
        <f>VLOOKUP($C$16:$C$31,#REF!,16,0)</f>
        <v>#REF!</v>
      </c>
      <c r="Q18" s="238" t="e">
        <f t="shared" si="6"/>
        <v>#REF!</v>
      </c>
      <c r="R18" s="47" t="e">
        <f t="shared" si="7"/>
        <v>#REF!</v>
      </c>
      <c r="S18" s="47"/>
      <c r="T18" s="47"/>
      <c r="U18" s="47" t="e">
        <f t="shared" si="3"/>
        <v>#REF!</v>
      </c>
      <c r="V18" s="47"/>
      <c r="W18" s="47"/>
      <c r="X18" s="65" t="e">
        <f t="shared" si="4"/>
        <v>#REF!</v>
      </c>
      <c r="Y18" s="47"/>
      <c r="Z18" s="118" t="s">
        <v>156</v>
      </c>
      <c r="AA18" s="120"/>
      <c r="AB18" s="120"/>
    </row>
    <row r="19" spans="1:28" s="105" customFormat="1" ht="18" customHeight="1">
      <c r="A19" s="307">
        <v>4</v>
      </c>
      <c r="B19" s="261"/>
      <c r="C19" s="164" t="s">
        <v>351</v>
      </c>
      <c r="D19" s="311" t="e">
        <f>VLOOKUP($C$16:$C$31,'Tong luong NT'!#REF!,2,0)</f>
        <v>#REF!</v>
      </c>
      <c r="E19" s="470" t="s">
        <v>167</v>
      </c>
      <c r="F19" s="237" t="s">
        <v>157</v>
      </c>
      <c r="G19" s="360">
        <v>1.33</v>
      </c>
      <c r="H19" s="47">
        <v>25000</v>
      </c>
      <c r="I19" s="47" t="s">
        <v>355</v>
      </c>
      <c r="J19" s="47">
        <f t="shared" si="5"/>
        <v>33250</v>
      </c>
      <c r="K19" s="47">
        <f t="shared" si="2"/>
        <v>33250</v>
      </c>
      <c r="L19" s="380" t="e">
        <f>VLOOKUP($C$16:$C$31,#REF!,11,0)</f>
        <v>#REF!</v>
      </c>
      <c r="M19" s="366" t="e">
        <f>VLOOKUP($C$16:$C$31,#REF!,11,0)</f>
        <v>#REF!</v>
      </c>
      <c r="N19" s="365" t="e">
        <f t="shared" si="8"/>
        <v>#REF!</v>
      </c>
      <c r="O19" s="312" t="e">
        <f>VLOOKUP($C$16:$C$31,#REF!,15,0)</f>
        <v>#REF!</v>
      </c>
      <c r="P19" s="312" t="e">
        <f>VLOOKUP($C$16:$C$31,#REF!,16,0)</f>
        <v>#REF!</v>
      </c>
      <c r="Q19" s="238" t="e">
        <f t="shared" si="6"/>
        <v>#REF!</v>
      </c>
      <c r="R19" s="47" t="e">
        <f t="shared" si="7"/>
        <v>#REF!</v>
      </c>
      <c r="S19" s="47"/>
      <c r="T19" s="47"/>
      <c r="U19" s="47" t="e">
        <f t="shared" si="3"/>
        <v>#REF!</v>
      </c>
      <c r="V19" s="47"/>
      <c r="W19" s="47"/>
      <c r="X19" s="65" t="e">
        <f t="shared" si="4"/>
        <v>#REF!</v>
      </c>
      <c r="Y19" s="47"/>
      <c r="Z19" s="118" t="s">
        <v>156</v>
      </c>
      <c r="AA19" s="120"/>
      <c r="AB19" s="120"/>
    </row>
    <row r="20" spans="1:28" s="105" customFormat="1" ht="18" customHeight="1">
      <c r="A20" s="307">
        <v>5</v>
      </c>
      <c r="B20" s="261"/>
      <c r="C20" s="431" t="s">
        <v>277</v>
      </c>
      <c r="D20" s="311" t="e">
        <f>VLOOKUP($C$16:$C$31,'Tong luong NT'!#REF!,2,0)</f>
        <v>#REF!</v>
      </c>
      <c r="E20" s="470" t="s">
        <v>167</v>
      </c>
      <c r="F20" s="237" t="s">
        <v>157</v>
      </c>
      <c r="G20" s="360">
        <v>1.33</v>
      </c>
      <c r="H20" s="47">
        <v>25000</v>
      </c>
      <c r="I20" s="47" t="s">
        <v>355</v>
      </c>
      <c r="J20" s="47">
        <f t="shared" si="5"/>
        <v>33250</v>
      </c>
      <c r="K20" s="47">
        <f t="shared" si="2"/>
        <v>33250</v>
      </c>
      <c r="L20" s="380" t="e">
        <f>VLOOKUP($C$16:$C$31,#REF!,11,0)</f>
        <v>#REF!</v>
      </c>
      <c r="M20" s="366" t="e">
        <f>VLOOKUP($C$16:$C$31,#REF!,11,0)</f>
        <v>#REF!</v>
      </c>
      <c r="N20" s="365" t="e">
        <f t="shared" si="8"/>
        <v>#REF!</v>
      </c>
      <c r="O20" s="312" t="e">
        <f>VLOOKUP($C$16:$C$31,#REF!,15,0)</f>
        <v>#REF!</v>
      </c>
      <c r="P20" s="312" t="e">
        <f>VLOOKUP($C$16:$C$31,#REF!,16,0)</f>
        <v>#REF!</v>
      </c>
      <c r="Q20" s="238" t="e">
        <f t="shared" si="6"/>
        <v>#REF!</v>
      </c>
      <c r="R20" s="47" t="e">
        <f t="shared" si="7"/>
        <v>#REF!</v>
      </c>
      <c r="S20" s="47"/>
      <c r="T20" s="47"/>
      <c r="U20" s="47" t="e">
        <f t="shared" si="3"/>
        <v>#REF!</v>
      </c>
      <c r="V20" s="47"/>
      <c r="W20" s="47"/>
      <c r="X20" s="65" t="e">
        <f t="shared" si="4"/>
        <v>#REF!</v>
      </c>
      <c r="Y20" s="47"/>
      <c r="Z20" s="118" t="s">
        <v>156</v>
      </c>
      <c r="AA20" s="120"/>
      <c r="AB20" s="120"/>
    </row>
    <row r="21" spans="1:28" s="105" customFormat="1" ht="18" customHeight="1">
      <c r="A21" s="307">
        <v>6</v>
      </c>
      <c r="B21" s="261"/>
      <c r="C21" s="431" t="s">
        <v>279</v>
      </c>
      <c r="D21" s="311" t="e">
        <f>VLOOKUP($C$16:$C$31,'Tong luong NT'!#REF!,2,0)</f>
        <v>#REF!</v>
      </c>
      <c r="E21" s="470" t="s">
        <v>167</v>
      </c>
      <c r="F21" s="237" t="s">
        <v>157</v>
      </c>
      <c r="G21" s="360">
        <v>1.33</v>
      </c>
      <c r="H21" s="47">
        <v>25000</v>
      </c>
      <c r="I21" s="47" t="s">
        <v>355</v>
      </c>
      <c r="J21" s="47">
        <f t="shared" si="5"/>
        <v>33250</v>
      </c>
      <c r="K21" s="47">
        <f t="shared" si="2"/>
        <v>33250</v>
      </c>
      <c r="L21" s="380" t="e">
        <f>VLOOKUP($C$16:$C$31,#REF!,11,0)</f>
        <v>#REF!</v>
      </c>
      <c r="M21" s="366" t="e">
        <f>VLOOKUP($C$16:$C$31,#REF!,11,0)</f>
        <v>#REF!</v>
      </c>
      <c r="N21" s="365" t="e">
        <f t="shared" si="8"/>
        <v>#REF!</v>
      </c>
      <c r="O21" s="312" t="e">
        <f>VLOOKUP($C$16:$C$31,#REF!,15,0)</f>
        <v>#REF!</v>
      </c>
      <c r="P21" s="312" t="e">
        <f>VLOOKUP($C$16:$C$31,#REF!,16,0)</f>
        <v>#REF!</v>
      </c>
      <c r="Q21" s="238" t="e">
        <f t="shared" si="6"/>
        <v>#REF!</v>
      </c>
      <c r="R21" s="47" t="e">
        <f t="shared" si="7"/>
        <v>#REF!</v>
      </c>
      <c r="S21" s="47"/>
      <c r="T21" s="47"/>
      <c r="U21" s="47" t="e">
        <f t="shared" si="3"/>
        <v>#REF!</v>
      </c>
      <c r="V21" s="47"/>
      <c r="W21" s="47"/>
      <c r="X21" s="65" t="e">
        <f t="shared" si="4"/>
        <v>#REF!</v>
      </c>
      <c r="Y21" s="47"/>
      <c r="Z21" s="118" t="s">
        <v>156</v>
      </c>
      <c r="AA21" s="120"/>
      <c r="AB21" s="120"/>
    </row>
    <row r="22" spans="1:28" s="105" customFormat="1" ht="18" customHeight="1">
      <c r="A22" s="307">
        <v>7</v>
      </c>
      <c r="B22" s="261"/>
      <c r="C22" s="431" t="s">
        <v>335</v>
      </c>
      <c r="D22" s="311" t="e">
        <f>VLOOKUP($C$16:$C$31,'Tong luong NT'!#REF!,2,0)</f>
        <v>#REF!</v>
      </c>
      <c r="E22" s="470" t="s">
        <v>167</v>
      </c>
      <c r="F22" s="237" t="s">
        <v>157</v>
      </c>
      <c r="G22" s="360">
        <v>1.33</v>
      </c>
      <c r="H22" s="47">
        <v>25000</v>
      </c>
      <c r="I22" s="47" t="s">
        <v>355</v>
      </c>
      <c r="J22" s="47">
        <f t="shared" si="5"/>
        <v>33250</v>
      </c>
      <c r="K22" s="47">
        <f t="shared" si="2"/>
        <v>33250</v>
      </c>
      <c r="L22" s="380" t="e">
        <f>VLOOKUP($C$16:$C$31,#REF!,11,0)</f>
        <v>#REF!</v>
      </c>
      <c r="M22" s="366" t="e">
        <f>VLOOKUP($C$16:$C$31,#REF!,11,0)</f>
        <v>#REF!</v>
      </c>
      <c r="N22" s="365" t="e">
        <f t="shared" si="8"/>
        <v>#REF!</v>
      </c>
      <c r="O22" s="312" t="e">
        <f>VLOOKUP($C$16:$C$31,#REF!,15,0)</f>
        <v>#REF!</v>
      </c>
      <c r="P22" s="312" t="e">
        <f>VLOOKUP($C$16:$C$31,#REF!,16,0)</f>
        <v>#REF!</v>
      </c>
      <c r="Q22" s="238" t="e">
        <f t="shared" si="6"/>
        <v>#REF!</v>
      </c>
      <c r="R22" s="47" t="e">
        <f t="shared" si="7"/>
        <v>#REF!</v>
      </c>
      <c r="S22" s="47"/>
      <c r="T22" s="47"/>
      <c r="U22" s="47" t="e">
        <f t="shared" si="3"/>
        <v>#REF!</v>
      </c>
      <c r="V22" s="47"/>
      <c r="W22" s="47"/>
      <c r="X22" s="65" t="e">
        <f t="shared" si="4"/>
        <v>#REF!</v>
      </c>
      <c r="Y22" s="47"/>
      <c r="Z22" s="118" t="s">
        <v>156</v>
      </c>
      <c r="AA22" s="120"/>
      <c r="AB22" s="120"/>
    </row>
    <row r="23" spans="1:28" s="105" customFormat="1" ht="18" customHeight="1">
      <c r="A23" s="307">
        <v>8</v>
      </c>
      <c r="B23" s="261"/>
      <c r="C23" s="431" t="s">
        <v>286</v>
      </c>
      <c r="D23" s="311" t="e">
        <f>VLOOKUP($C$16:$C$31,'Tong luong NT'!#REF!,2,0)</f>
        <v>#REF!</v>
      </c>
      <c r="E23" s="470" t="s">
        <v>167</v>
      </c>
      <c r="F23" s="237" t="s">
        <v>157</v>
      </c>
      <c r="G23" s="360">
        <v>1.33</v>
      </c>
      <c r="H23" s="47">
        <v>25000</v>
      </c>
      <c r="I23" s="47" t="s">
        <v>355</v>
      </c>
      <c r="J23" s="47">
        <f t="shared" si="5"/>
        <v>33250</v>
      </c>
      <c r="K23" s="47">
        <f t="shared" si="2"/>
        <v>33250</v>
      </c>
      <c r="L23" s="380" t="e">
        <f>VLOOKUP($C$16:$C$31,#REF!,11,0)</f>
        <v>#REF!</v>
      </c>
      <c r="M23" s="366" t="e">
        <f>VLOOKUP($C$16:$C$31,#REF!,11,0)</f>
        <v>#REF!</v>
      </c>
      <c r="N23" s="365" t="e">
        <f t="shared" si="8"/>
        <v>#REF!</v>
      </c>
      <c r="O23" s="312" t="e">
        <f>VLOOKUP($C$16:$C$31,#REF!,15,0)</f>
        <v>#REF!</v>
      </c>
      <c r="P23" s="312" t="e">
        <f>VLOOKUP($C$16:$C$31,#REF!,16,0)</f>
        <v>#REF!</v>
      </c>
      <c r="Q23" s="238" t="e">
        <f t="shared" si="6"/>
        <v>#REF!</v>
      </c>
      <c r="R23" s="47" t="e">
        <f t="shared" si="7"/>
        <v>#REF!</v>
      </c>
      <c r="S23" s="47"/>
      <c r="T23" s="47"/>
      <c r="U23" s="47" t="e">
        <f t="shared" si="3"/>
        <v>#REF!</v>
      </c>
      <c r="V23" s="47"/>
      <c r="W23" s="47"/>
      <c r="X23" s="65" t="e">
        <f t="shared" si="4"/>
        <v>#REF!</v>
      </c>
      <c r="Y23" s="47"/>
      <c r="Z23" s="118" t="s">
        <v>156</v>
      </c>
      <c r="AA23" s="120"/>
      <c r="AB23" s="120"/>
    </row>
    <row r="24" spans="1:28" s="105" customFormat="1" ht="18" customHeight="1">
      <c r="A24" s="307">
        <v>9</v>
      </c>
      <c r="B24" s="261"/>
      <c r="C24" s="431" t="s">
        <v>489</v>
      </c>
      <c r="D24" s="311"/>
      <c r="E24" s="470" t="s">
        <v>167</v>
      </c>
      <c r="F24" s="237" t="s">
        <v>157</v>
      </c>
      <c r="G24" s="360">
        <v>1.33</v>
      </c>
      <c r="H24" s="47">
        <v>25000</v>
      </c>
      <c r="I24" s="47" t="s">
        <v>355</v>
      </c>
      <c r="J24" s="47">
        <f t="shared" si="5"/>
        <v>33250</v>
      </c>
      <c r="K24" s="47">
        <f t="shared" si="2"/>
        <v>33250</v>
      </c>
      <c r="L24" s="380" t="e">
        <f>VLOOKUP($C$16:$C$31,#REF!,11,0)</f>
        <v>#REF!</v>
      </c>
      <c r="M24" s="366" t="e">
        <f>VLOOKUP($C$16:$C$31,#REF!,11,0)</f>
        <v>#REF!</v>
      </c>
      <c r="N24" s="365" t="e">
        <f>L24*IF(M24="A",1600,IF(M24="B",1500,IF(M24="C",1400)))</f>
        <v>#REF!</v>
      </c>
      <c r="O24" s="312" t="e">
        <f>VLOOKUP($C$16:$C$31,#REF!,15,0)</f>
        <v>#REF!</v>
      </c>
      <c r="P24" s="312" t="e">
        <f>VLOOKUP($C$16:$C$31,#REF!,16,0)</f>
        <v>#REF!</v>
      </c>
      <c r="Q24" s="238" t="e">
        <f t="shared" si="6"/>
        <v>#REF!</v>
      </c>
      <c r="R24" s="47" t="e">
        <f t="shared" si="7"/>
        <v>#REF!</v>
      </c>
      <c r="S24" s="47"/>
      <c r="T24" s="47"/>
      <c r="U24" s="47" t="e">
        <f t="shared" si="3"/>
        <v>#REF!</v>
      </c>
      <c r="V24" s="47"/>
      <c r="W24" s="47"/>
      <c r="X24" s="65" t="e">
        <f t="shared" si="4"/>
        <v>#REF!</v>
      </c>
      <c r="Y24" s="47"/>
      <c r="Z24" s="118" t="s">
        <v>156</v>
      </c>
      <c r="AA24" s="120"/>
      <c r="AB24" s="120"/>
    </row>
    <row r="25" spans="1:28" s="105" customFormat="1" ht="18" customHeight="1">
      <c r="A25" s="307">
        <v>10</v>
      </c>
      <c r="B25" s="261"/>
      <c r="C25" s="431" t="s">
        <v>352</v>
      </c>
      <c r="D25" s="311" t="e">
        <f>VLOOKUP($C$16:$C$31,'Tong luong NT'!#REF!,2,0)</f>
        <v>#REF!</v>
      </c>
      <c r="E25" s="470" t="s">
        <v>167</v>
      </c>
      <c r="F25" s="237" t="s">
        <v>157</v>
      </c>
      <c r="G25" s="360">
        <v>1.33</v>
      </c>
      <c r="H25" s="47">
        <v>25000</v>
      </c>
      <c r="I25" s="47" t="s">
        <v>355</v>
      </c>
      <c r="J25" s="47">
        <f t="shared" si="5"/>
        <v>33250</v>
      </c>
      <c r="K25" s="47">
        <f t="shared" si="2"/>
        <v>33250</v>
      </c>
      <c r="L25" s="380" t="e">
        <f>VLOOKUP($C$16:$C$31,#REF!,11,0)</f>
        <v>#REF!</v>
      </c>
      <c r="M25" s="366" t="e">
        <f>VLOOKUP($C$16:$C$31,#REF!,11,0)</f>
        <v>#REF!</v>
      </c>
      <c r="N25" s="365" t="e">
        <f t="shared" si="8"/>
        <v>#REF!</v>
      </c>
      <c r="O25" s="312" t="e">
        <f>VLOOKUP($C$16:$C$31,#REF!,15,0)</f>
        <v>#REF!</v>
      </c>
      <c r="P25" s="312" t="e">
        <f>VLOOKUP($C$16:$C$31,#REF!,16,0)</f>
        <v>#REF!</v>
      </c>
      <c r="Q25" s="238" t="e">
        <f t="shared" si="6"/>
        <v>#REF!</v>
      </c>
      <c r="R25" s="47" t="e">
        <f t="shared" si="7"/>
        <v>#REF!</v>
      </c>
      <c r="S25" s="47"/>
      <c r="T25" s="47"/>
      <c r="U25" s="47" t="e">
        <f t="shared" si="3"/>
        <v>#REF!</v>
      </c>
      <c r="V25" s="47"/>
      <c r="W25" s="47"/>
      <c r="X25" s="65" t="e">
        <f t="shared" si="4"/>
        <v>#REF!</v>
      </c>
      <c r="Y25" s="47"/>
      <c r="Z25" s="118" t="s">
        <v>156</v>
      </c>
      <c r="AA25" s="120"/>
      <c r="AB25" s="120"/>
    </row>
    <row r="26" spans="1:28" s="105" customFormat="1" ht="18" customHeight="1">
      <c r="A26" s="307">
        <v>11</v>
      </c>
      <c r="B26" s="261"/>
      <c r="C26" s="431" t="s">
        <v>278</v>
      </c>
      <c r="D26" s="311" t="e">
        <f>VLOOKUP($C$16:$C$31,'Tong luong NT'!#REF!,2,0)</f>
        <v>#REF!</v>
      </c>
      <c r="E26" s="470" t="s">
        <v>167</v>
      </c>
      <c r="F26" s="237" t="s">
        <v>157</v>
      </c>
      <c r="G26" s="360">
        <v>1.33</v>
      </c>
      <c r="H26" s="47">
        <v>25000</v>
      </c>
      <c r="I26" s="47" t="s">
        <v>355</v>
      </c>
      <c r="J26" s="47">
        <f t="shared" si="5"/>
        <v>33250</v>
      </c>
      <c r="K26" s="47">
        <f t="shared" si="2"/>
        <v>33250</v>
      </c>
      <c r="L26" s="380" t="e">
        <f>VLOOKUP($C$16:$C$31,#REF!,11,0)</f>
        <v>#REF!</v>
      </c>
      <c r="M26" s="366" t="e">
        <f>VLOOKUP($C$16:$C$31,#REF!,11,0)</f>
        <v>#REF!</v>
      </c>
      <c r="N26" s="365" t="e">
        <f t="shared" si="8"/>
        <v>#REF!</v>
      </c>
      <c r="O26" s="312" t="e">
        <f>VLOOKUP($C$16:$C$31,#REF!,15,0)</f>
        <v>#REF!</v>
      </c>
      <c r="P26" s="312" t="e">
        <f>VLOOKUP($C$16:$C$31,#REF!,16,0)</f>
        <v>#REF!</v>
      </c>
      <c r="Q26" s="238" t="e">
        <f t="shared" si="6"/>
        <v>#REF!</v>
      </c>
      <c r="R26" s="47" t="e">
        <f t="shared" ref="R26:R31" si="9">J26+N26+Q26</f>
        <v>#REF!</v>
      </c>
      <c r="S26" s="47"/>
      <c r="T26" s="47"/>
      <c r="U26" s="47" t="e">
        <f t="shared" ref="U26:U31" si="10">R26-S26</f>
        <v>#REF!</v>
      </c>
      <c r="V26" s="47"/>
      <c r="W26" s="47"/>
      <c r="X26" s="65" t="e">
        <f t="shared" si="4"/>
        <v>#REF!</v>
      </c>
      <c r="Y26" s="47"/>
      <c r="Z26" s="118" t="s">
        <v>156</v>
      </c>
      <c r="AA26" s="120"/>
      <c r="AB26" s="120"/>
    </row>
    <row r="27" spans="1:28" s="105" customFormat="1" ht="18" customHeight="1">
      <c r="A27" s="307">
        <v>12</v>
      </c>
      <c r="B27" s="261"/>
      <c r="C27" s="431" t="s">
        <v>275</v>
      </c>
      <c r="D27" s="311" t="e">
        <f>VLOOKUP($C$16:$C$31,'Tong luong NT'!#REF!,2,0)</f>
        <v>#REF!</v>
      </c>
      <c r="E27" s="470" t="s">
        <v>167</v>
      </c>
      <c r="F27" s="237" t="s">
        <v>157</v>
      </c>
      <c r="G27" s="360">
        <v>1.33</v>
      </c>
      <c r="H27" s="47">
        <v>25000</v>
      </c>
      <c r="I27" s="47" t="s">
        <v>355</v>
      </c>
      <c r="J27" s="47">
        <f>G27*H27</f>
        <v>33250</v>
      </c>
      <c r="K27" s="47">
        <f t="shared" si="2"/>
        <v>33250</v>
      </c>
      <c r="L27" s="380" t="e">
        <f>VLOOKUP($C$16:$C$31,#REF!,11,0)</f>
        <v>#REF!</v>
      </c>
      <c r="M27" s="366" t="e">
        <f>VLOOKUP($C$16:$C$31,#REF!,11,0)</f>
        <v>#REF!</v>
      </c>
      <c r="N27" s="365" t="e">
        <f t="shared" si="8"/>
        <v>#REF!</v>
      </c>
      <c r="O27" s="312" t="e">
        <f>VLOOKUP($C$16:$C$31,#REF!,15,0)</f>
        <v>#REF!</v>
      </c>
      <c r="P27" s="312" t="e">
        <f>VLOOKUP($C$16:$C$31,#REF!,16,0)</f>
        <v>#REF!</v>
      </c>
      <c r="Q27" s="47" t="e">
        <f t="shared" si="6"/>
        <v>#REF!</v>
      </c>
      <c r="R27" s="47" t="e">
        <f t="shared" si="9"/>
        <v>#REF!</v>
      </c>
      <c r="S27" s="47"/>
      <c r="T27" s="47"/>
      <c r="U27" s="47" t="e">
        <f t="shared" si="10"/>
        <v>#REF!</v>
      </c>
      <c r="V27" s="47"/>
      <c r="W27" s="47"/>
      <c r="X27" s="65" t="e">
        <f t="shared" si="4"/>
        <v>#REF!</v>
      </c>
      <c r="Y27" s="47"/>
      <c r="Z27" s="118" t="s">
        <v>156</v>
      </c>
      <c r="AA27" s="120"/>
      <c r="AB27" s="120"/>
    </row>
    <row r="28" spans="1:28" s="105" customFormat="1" ht="18" customHeight="1">
      <c r="A28" s="307">
        <v>13</v>
      </c>
      <c r="B28" s="261"/>
      <c r="C28" s="431" t="s">
        <v>417</v>
      </c>
      <c r="D28" s="311" t="e">
        <f>VLOOKUP($C$16:$C$31,'Tong luong NT'!#REF!,2,0)</f>
        <v>#REF!</v>
      </c>
      <c r="E28" s="470" t="s">
        <v>167</v>
      </c>
      <c r="F28" s="237" t="s">
        <v>157</v>
      </c>
      <c r="G28" s="360">
        <v>1.33</v>
      </c>
      <c r="H28" s="47">
        <v>25000</v>
      </c>
      <c r="I28" s="47" t="s">
        <v>355</v>
      </c>
      <c r="J28" s="47">
        <f>G28*H28</f>
        <v>33250</v>
      </c>
      <c r="K28" s="47">
        <f t="shared" si="2"/>
        <v>33250</v>
      </c>
      <c r="L28" s="380" t="e">
        <f>VLOOKUP($C$16:$C$31,#REF!,11,0)</f>
        <v>#REF!</v>
      </c>
      <c r="M28" s="366" t="e">
        <f>VLOOKUP($C$16:$C$31,#REF!,11,0)</f>
        <v>#REF!</v>
      </c>
      <c r="N28" s="365" t="e">
        <f t="shared" si="8"/>
        <v>#REF!</v>
      </c>
      <c r="O28" s="312" t="e">
        <f>VLOOKUP($C$16:$C$31,#REF!,15,0)</f>
        <v>#REF!</v>
      </c>
      <c r="P28" s="312" t="e">
        <f>VLOOKUP($C$16:$C$31,#REF!,16,0)</f>
        <v>#REF!</v>
      </c>
      <c r="Q28" s="47" t="e">
        <f t="shared" si="6"/>
        <v>#REF!</v>
      </c>
      <c r="R28" s="47" t="e">
        <f t="shared" si="9"/>
        <v>#REF!</v>
      </c>
      <c r="S28" s="47"/>
      <c r="T28" s="47"/>
      <c r="U28" s="47" t="e">
        <f t="shared" si="10"/>
        <v>#REF!</v>
      </c>
      <c r="V28" s="47"/>
      <c r="W28" s="47"/>
      <c r="X28" s="65" t="e">
        <f>U28-V28-W28</f>
        <v>#REF!</v>
      </c>
      <c r="Y28" s="47"/>
      <c r="Z28" s="118" t="s">
        <v>156</v>
      </c>
      <c r="AA28" s="120"/>
      <c r="AB28" s="120"/>
    </row>
    <row r="29" spans="1:28" s="105" customFormat="1" ht="18" customHeight="1">
      <c r="A29" s="307">
        <v>14</v>
      </c>
      <c r="B29" s="261"/>
      <c r="C29" s="431" t="s">
        <v>485</v>
      </c>
      <c r="D29" s="311" t="e">
        <f>VLOOKUP($C$16:$C$31,'Tong luong NT'!#REF!,2,0)</f>
        <v>#REF!</v>
      </c>
      <c r="E29" s="470" t="s">
        <v>167</v>
      </c>
      <c r="F29" s="237" t="s">
        <v>157</v>
      </c>
      <c r="G29" s="360">
        <v>1.33</v>
      </c>
      <c r="H29" s="47">
        <v>25000</v>
      </c>
      <c r="I29" s="47" t="s">
        <v>355</v>
      </c>
      <c r="J29" s="47">
        <f>G29*H29</f>
        <v>33250</v>
      </c>
      <c r="K29" s="47">
        <f t="shared" si="2"/>
        <v>33250</v>
      </c>
      <c r="L29" s="380" t="e">
        <f>VLOOKUP($C$16:$C$31,#REF!,11,0)</f>
        <v>#REF!</v>
      </c>
      <c r="M29" s="366" t="e">
        <f>VLOOKUP($C$16:$C$31,#REF!,11,0)</f>
        <v>#REF!</v>
      </c>
      <c r="N29" s="365" t="e">
        <f t="shared" si="8"/>
        <v>#REF!</v>
      </c>
      <c r="O29" s="312" t="e">
        <f>VLOOKUP($C$16:$C$31,#REF!,15,0)</f>
        <v>#REF!</v>
      </c>
      <c r="P29" s="312" t="e">
        <f>VLOOKUP($C$16:$C$31,#REF!,16,0)</f>
        <v>#REF!</v>
      </c>
      <c r="Q29" s="47" t="e">
        <f t="shared" si="6"/>
        <v>#REF!</v>
      </c>
      <c r="R29" s="47" t="e">
        <f t="shared" si="9"/>
        <v>#REF!</v>
      </c>
      <c r="S29" s="47"/>
      <c r="T29" s="47"/>
      <c r="U29" s="47" t="e">
        <f t="shared" si="10"/>
        <v>#REF!</v>
      </c>
      <c r="V29" s="47"/>
      <c r="W29" s="47"/>
      <c r="X29" s="65" t="e">
        <f>U29-V29-W29</f>
        <v>#REF!</v>
      </c>
      <c r="Y29" s="47"/>
      <c r="Z29" s="118" t="s">
        <v>156</v>
      </c>
      <c r="AA29" s="120"/>
      <c r="AB29" s="120"/>
    </row>
    <row r="30" spans="1:28" s="105" customFormat="1" ht="18" customHeight="1">
      <c r="A30" s="307">
        <v>15</v>
      </c>
      <c r="B30" s="261"/>
      <c r="C30" s="431" t="s">
        <v>353</v>
      </c>
      <c r="D30" s="311" t="e">
        <f>VLOOKUP($C$16:$C$31,'Tong luong NT'!#REF!,2,0)</f>
        <v>#REF!</v>
      </c>
      <c r="E30" s="470" t="s">
        <v>167</v>
      </c>
      <c r="F30" s="237" t="s">
        <v>157</v>
      </c>
      <c r="G30" s="360">
        <v>1.33</v>
      </c>
      <c r="H30" s="47">
        <v>25000</v>
      </c>
      <c r="I30" s="47" t="s">
        <v>355</v>
      </c>
      <c r="J30" s="47">
        <f>G30*H30</f>
        <v>33250</v>
      </c>
      <c r="K30" s="47">
        <f t="shared" si="2"/>
        <v>33250</v>
      </c>
      <c r="L30" s="380" t="e">
        <f>VLOOKUP($C$16:$C$31,#REF!,11,0)</f>
        <v>#REF!</v>
      </c>
      <c r="M30" s="366" t="e">
        <f>VLOOKUP($C$16:$C$31,#REF!,11,0)</f>
        <v>#REF!</v>
      </c>
      <c r="N30" s="365" t="e">
        <f t="shared" si="8"/>
        <v>#REF!</v>
      </c>
      <c r="O30" s="312" t="e">
        <f>VLOOKUP($C$16:$C$31,#REF!,15,0)</f>
        <v>#REF!</v>
      </c>
      <c r="P30" s="312" t="e">
        <f>VLOOKUP($C$16:$C$31,#REF!,16,0)</f>
        <v>#REF!</v>
      </c>
      <c r="Q30" s="47" t="e">
        <f t="shared" si="6"/>
        <v>#REF!</v>
      </c>
      <c r="R30" s="47" t="e">
        <f t="shared" si="9"/>
        <v>#REF!</v>
      </c>
      <c r="S30" s="47"/>
      <c r="T30" s="47"/>
      <c r="U30" s="47" t="e">
        <f t="shared" si="10"/>
        <v>#REF!</v>
      </c>
      <c r="V30" s="47"/>
      <c r="W30" s="47"/>
      <c r="X30" s="65" t="e">
        <f>U30-V30-W30</f>
        <v>#REF!</v>
      </c>
      <c r="Y30" s="47"/>
      <c r="Z30" s="118" t="s">
        <v>156</v>
      </c>
      <c r="AA30" s="120"/>
      <c r="AB30" s="120"/>
    </row>
    <row r="31" spans="1:28" s="105" customFormat="1" ht="18" customHeight="1">
      <c r="A31" s="307">
        <v>16</v>
      </c>
      <c r="B31" s="308"/>
      <c r="C31" s="533" t="s">
        <v>280</v>
      </c>
      <c r="D31" s="311" t="e">
        <f>VLOOKUP($C$16:$C$31,'Tong luong NT'!#REF!,2,0)</f>
        <v>#REF!</v>
      </c>
      <c r="E31" s="471" t="s">
        <v>167</v>
      </c>
      <c r="F31" s="410" t="s">
        <v>157</v>
      </c>
      <c r="G31" s="360">
        <v>1.33</v>
      </c>
      <c r="H31" s="232">
        <v>25000</v>
      </c>
      <c r="I31" s="232" t="s">
        <v>355</v>
      </c>
      <c r="J31" s="232">
        <f>G31*H31</f>
        <v>33250</v>
      </c>
      <c r="K31" s="232">
        <f t="shared" si="2"/>
        <v>33250</v>
      </c>
      <c r="L31" s="380" t="e">
        <f>VLOOKUP($C$16:$C$31,#REF!,11,0)</f>
        <v>#REF!</v>
      </c>
      <c r="M31" s="366" t="e">
        <f>VLOOKUP($C$16:$C$31,#REF!,11,0)</f>
        <v>#REF!</v>
      </c>
      <c r="N31" s="365" t="e">
        <f t="shared" si="8"/>
        <v>#REF!</v>
      </c>
      <c r="O31" s="312" t="e">
        <f>VLOOKUP($C$16:$C$31,#REF!,15,0)</f>
        <v>#REF!</v>
      </c>
      <c r="P31" s="312" t="e">
        <f>VLOOKUP($C$16:$C$31,#REF!,16,0)</f>
        <v>#REF!</v>
      </c>
      <c r="Q31" s="232" t="e">
        <f t="shared" si="6"/>
        <v>#REF!</v>
      </c>
      <c r="R31" s="232" t="e">
        <f t="shared" si="9"/>
        <v>#REF!</v>
      </c>
      <c r="S31" s="232"/>
      <c r="T31" s="232"/>
      <c r="U31" s="232" t="e">
        <f t="shared" si="10"/>
        <v>#REF!</v>
      </c>
      <c r="V31" s="232"/>
      <c r="W31" s="232"/>
      <c r="X31" s="266" t="e">
        <f>U31-V31-W31</f>
        <v>#REF!</v>
      </c>
      <c r="Y31" s="232"/>
      <c r="Z31" s="262" t="s">
        <v>156</v>
      </c>
      <c r="AA31" s="120"/>
      <c r="AB31" s="120"/>
    </row>
    <row r="32" spans="1:28" s="105" customFormat="1" ht="18" customHeight="1">
      <c r="A32" s="4491" t="s">
        <v>450</v>
      </c>
      <c r="B32" s="4491"/>
      <c r="C32" s="4491"/>
      <c r="D32" s="4491"/>
      <c r="E32" s="4491"/>
      <c r="F32" s="412"/>
      <c r="G32" s="357">
        <f>SUM(G16:G31)</f>
        <v>21.279999999999994</v>
      </c>
      <c r="H32" s="104"/>
      <c r="I32" s="104"/>
      <c r="J32" s="36">
        <f>SUM(J16:J31)</f>
        <v>532000</v>
      </c>
      <c r="K32" s="36">
        <f>SUM(K16:K31)</f>
        <v>532000</v>
      </c>
      <c r="L32" s="355" t="e">
        <f>SUM(L16:L31)</f>
        <v>#REF!</v>
      </c>
      <c r="M32" s="378"/>
      <c r="N32" s="36" t="e">
        <f t="shared" ref="N32:X32" si="11">SUM(N16:N31)</f>
        <v>#REF!</v>
      </c>
      <c r="O32" s="36" t="e">
        <f t="shared" si="11"/>
        <v>#REF!</v>
      </c>
      <c r="P32" s="36" t="e">
        <f t="shared" si="11"/>
        <v>#REF!</v>
      </c>
      <c r="Q32" s="36" t="e">
        <f>SUM(Q16:Q31)</f>
        <v>#REF!</v>
      </c>
      <c r="R32" s="36" t="e">
        <f t="shared" si="11"/>
        <v>#REF!</v>
      </c>
      <c r="S32" s="36">
        <f t="shared" si="11"/>
        <v>0</v>
      </c>
      <c r="T32" s="36"/>
      <c r="U32" s="36" t="e">
        <f t="shared" si="11"/>
        <v>#REF!</v>
      </c>
      <c r="V32" s="36">
        <f t="shared" si="11"/>
        <v>0</v>
      </c>
      <c r="W32" s="36">
        <f t="shared" si="11"/>
        <v>0</v>
      </c>
      <c r="X32" s="36" t="e">
        <f t="shared" si="11"/>
        <v>#REF!</v>
      </c>
      <c r="Y32" s="36"/>
      <c r="Z32" s="264"/>
      <c r="AA32" s="120"/>
      <c r="AB32" s="120"/>
    </row>
    <row r="33" spans="1:28" s="105" customFormat="1" ht="18" customHeight="1">
      <c r="A33" s="4224" t="s">
        <v>190</v>
      </c>
      <c r="B33" s="4225"/>
      <c r="C33" s="4225"/>
      <c r="D33" s="4225"/>
      <c r="E33" s="4225"/>
      <c r="F33" s="4492"/>
      <c r="G33" s="252">
        <f>+G13</f>
        <v>47.279999999999994</v>
      </c>
      <c r="H33" s="121"/>
      <c r="I33" s="121"/>
      <c r="J33" s="356"/>
      <c r="K33" s="356" t="e">
        <f>+K13</f>
        <v>#REF!</v>
      </c>
      <c r="L33" s="356" t="e">
        <f t="shared" ref="L33:X33" si="12">+L13</f>
        <v>#REF!</v>
      </c>
      <c r="M33" s="356">
        <f t="shared" si="12"/>
        <v>0</v>
      </c>
      <c r="N33" s="356" t="e">
        <f t="shared" si="12"/>
        <v>#REF!</v>
      </c>
      <c r="O33" s="356" t="e">
        <f t="shared" si="12"/>
        <v>#REF!</v>
      </c>
      <c r="P33" s="356" t="e">
        <f t="shared" si="12"/>
        <v>#REF!</v>
      </c>
      <c r="Q33" s="356" t="e">
        <f t="shared" si="12"/>
        <v>#REF!</v>
      </c>
      <c r="R33" s="356" t="e">
        <f t="shared" si="12"/>
        <v>#REF!</v>
      </c>
      <c r="S33" s="356" t="e">
        <f t="shared" si="12"/>
        <v>#N/A</v>
      </c>
      <c r="T33" s="356">
        <f t="shared" si="12"/>
        <v>0</v>
      </c>
      <c r="U33" s="356" t="e">
        <f t="shared" si="12"/>
        <v>#REF!</v>
      </c>
      <c r="V33" s="356" t="e">
        <f t="shared" si="12"/>
        <v>#REF!</v>
      </c>
      <c r="W33" s="356">
        <f t="shared" si="12"/>
        <v>0</v>
      </c>
      <c r="X33" s="356" t="e">
        <f t="shared" si="12"/>
        <v>#REF!</v>
      </c>
      <c r="Y33" s="356"/>
      <c r="Z33" s="246"/>
      <c r="AA33" s="120"/>
      <c r="AB33" s="120"/>
    </row>
    <row r="34" spans="1:28" s="105" customFormat="1" ht="21" customHeight="1">
      <c r="A34" s="4493" t="s">
        <v>498</v>
      </c>
      <c r="B34" s="4493"/>
      <c r="C34" s="4493"/>
      <c r="D34" s="4493"/>
      <c r="E34" s="4493"/>
      <c r="F34" s="4493"/>
      <c r="G34" s="4493"/>
      <c r="H34" s="4493"/>
      <c r="I34" s="4493"/>
      <c r="J34" s="4493"/>
      <c r="K34" s="4493"/>
      <c r="L34" s="4493"/>
      <c r="M34" s="4493"/>
      <c r="N34" s="4493"/>
      <c r="O34" s="4493"/>
      <c r="P34" s="4493"/>
      <c r="Q34" s="4493"/>
      <c r="R34" s="4493"/>
      <c r="S34" s="4493"/>
      <c r="T34" s="4493"/>
      <c r="U34" s="4493"/>
      <c r="V34" s="4493"/>
      <c r="W34" s="4493"/>
      <c r="X34" s="4493"/>
      <c r="Y34" s="4493"/>
      <c r="Z34" s="4493"/>
      <c r="AA34" s="120"/>
      <c r="AB34" s="120"/>
    </row>
    <row r="35" spans="1:28" ht="18" customHeight="1">
      <c r="G35" s="177"/>
      <c r="K35" s="108"/>
      <c r="L35" s="367"/>
      <c r="M35" s="367"/>
      <c r="N35" s="367"/>
      <c r="O35" s="367"/>
      <c r="Q35" s="108"/>
      <c r="R35" s="108"/>
      <c r="S35" s="108"/>
      <c r="T35" s="108"/>
      <c r="U35" s="108"/>
      <c r="V35" s="4494" t="s">
        <v>428</v>
      </c>
      <c r="W35" s="4494"/>
      <c r="X35" s="4494"/>
      <c r="Y35" s="4494"/>
      <c r="Z35" s="4494"/>
      <c r="AA35" s="108"/>
      <c r="AB35" s="109" t="e">
        <f>+R33-S33-T33-V33-W33</f>
        <v>#REF!</v>
      </c>
    </row>
    <row r="36" spans="1:28" s="519" customFormat="1" ht="18.75" customHeight="1">
      <c r="B36" s="4222" t="s">
        <v>19</v>
      </c>
      <c r="C36" s="4222"/>
      <c r="D36" s="4222"/>
      <c r="E36" s="4222"/>
      <c r="F36" s="4222"/>
      <c r="G36" s="520"/>
      <c r="H36" s="521"/>
      <c r="I36" s="4222" t="s">
        <v>117</v>
      </c>
      <c r="J36" s="4222"/>
      <c r="K36" s="4222"/>
      <c r="L36" s="4222"/>
      <c r="M36" s="539"/>
      <c r="N36" s="539"/>
      <c r="O36" s="4222" t="s">
        <v>93</v>
      </c>
      <c r="P36" s="4222"/>
      <c r="Q36" s="4222"/>
      <c r="R36" s="4222"/>
      <c r="S36" s="4222"/>
      <c r="T36" s="539"/>
      <c r="U36" s="521"/>
      <c r="V36" s="521"/>
      <c r="W36" s="4222" t="s">
        <v>21</v>
      </c>
      <c r="X36" s="4222"/>
      <c r="Y36" s="4222"/>
      <c r="Z36" s="539"/>
    </row>
    <row r="37" spans="1:28" s="522" customFormat="1" ht="18.75">
      <c r="C37" s="523"/>
      <c r="E37" s="540"/>
      <c r="F37" s="540"/>
      <c r="G37" s="524"/>
      <c r="L37" s="524"/>
      <c r="N37" s="523"/>
      <c r="P37" s="525"/>
      <c r="U37" s="523"/>
      <c r="Z37" s="540"/>
      <c r="AA37" s="523"/>
      <c r="AB37" s="523"/>
    </row>
    <row r="38" spans="1:28" s="522" customFormat="1" ht="18.75">
      <c r="C38" s="523"/>
      <c r="E38" s="540"/>
      <c r="F38" s="540"/>
      <c r="G38" s="524"/>
      <c r="L38" s="524"/>
      <c r="N38" s="523"/>
      <c r="P38" s="525"/>
      <c r="U38" s="523"/>
      <c r="Z38" s="540"/>
      <c r="AA38" s="523"/>
      <c r="AB38" s="523"/>
    </row>
    <row r="39" spans="1:28" s="522" customFormat="1" ht="18.75">
      <c r="C39" s="523"/>
      <c r="E39" s="540"/>
      <c r="F39" s="540"/>
      <c r="G39" s="524"/>
      <c r="L39" s="524"/>
      <c r="N39" s="523"/>
      <c r="P39" s="525"/>
      <c r="U39" s="523"/>
      <c r="Z39" s="540"/>
      <c r="AA39" s="523"/>
      <c r="AB39" s="523"/>
    </row>
    <row r="40" spans="1:28" s="522" customFormat="1" ht="18.75">
      <c r="C40" s="523"/>
      <c r="E40" s="540"/>
      <c r="F40" s="540"/>
      <c r="G40" s="4487"/>
      <c r="H40" s="4487"/>
      <c r="N40" s="523"/>
      <c r="P40" s="525"/>
      <c r="R40" s="523"/>
      <c r="S40" s="523"/>
      <c r="T40" s="523"/>
      <c r="U40" s="523"/>
      <c r="V40" s="523"/>
      <c r="W40" s="523"/>
      <c r="X40" s="523"/>
      <c r="Z40" s="540"/>
    </row>
    <row r="41" spans="1:28" s="522" customFormat="1" ht="18.75">
      <c r="C41" s="523"/>
      <c r="E41" s="540"/>
      <c r="F41" s="540"/>
      <c r="G41" s="4485"/>
      <c r="H41" s="4485"/>
      <c r="I41" s="4485"/>
      <c r="P41" s="525"/>
      <c r="Q41" s="526"/>
      <c r="R41" s="523"/>
      <c r="S41" s="523"/>
      <c r="T41" s="523"/>
      <c r="U41" s="523"/>
      <c r="V41" s="523"/>
      <c r="W41" s="523"/>
      <c r="X41" s="523"/>
      <c r="Z41" s="540"/>
    </row>
    <row r="42" spans="1:28" s="522" customFormat="1" ht="18.75">
      <c r="E42" s="540"/>
      <c r="F42" s="4485"/>
      <c r="G42" s="4485"/>
      <c r="H42" s="4486"/>
      <c r="I42" s="4486"/>
      <c r="J42" s="4486"/>
      <c r="L42" s="4482"/>
      <c r="M42" s="4482"/>
      <c r="N42" s="4482"/>
      <c r="O42" s="4482"/>
      <c r="P42" s="525"/>
      <c r="Q42" s="523"/>
      <c r="R42" s="523"/>
      <c r="S42" s="523"/>
      <c r="T42" s="523"/>
      <c r="U42" s="523"/>
      <c r="V42" s="523"/>
      <c r="W42" s="523"/>
      <c r="Z42" s="540"/>
    </row>
    <row r="43" spans="1:28" s="522" customFormat="1" ht="18.75">
      <c r="E43" s="540"/>
      <c r="F43" s="540"/>
      <c r="H43" s="4486"/>
      <c r="I43" s="4486"/>
      <c r="M43" s="4487"/>
      <c r="N43" s="4487"/>
      <c r="P43" s="525"/>
      <c r="R43" s="523"/>
      <c r="S43" s="523"/>
      <c r="T43" s="523"/>
      <c r="U43" s="4482"/>
      <c r="V43" s="4482"/>
      <c r="W43" s="523"/>
      <c r="Z43" s="540"/>
    </row>
    <row r="44" spans="1:28">
      <c r="M44" s="4483"/>
      <c r="N44" s="4483"/>
      <c r="P44" s="4198"/>
      <c r="Q44" s="4198"/>
      <c r="R44" s="4198"/>
      <c r="S44" s="110"/>
      <c r="T44" s="110"/>
      <c r="U44" s="110"/>
      <c r="V44" s="110"/>
      <c r="W44" s="4198" t="s">
        <v>34</v>
      </c>
      <c r="X44" s="4198"/>
      <c r="Y44" s="4198"/>
      <c r="Z44" s="247"/>
    </row>
    <row r="45" spans="1:28">
      <c r="M45" s="4483"/>
      <c r="N45" s="4483"/>
      <c r="U45" s="108"/>
    </row>
    <row r="46" spans="1:28">
      <c r="M46" s="4484"/>
      <c r="N46" s="4484"/>
    </row>
    <row r="48" spans="1:28">
      <c r="X48" s="4094"/>
      <c r="Y48" s="4094"/>
    </row>
    <row r="53" spans="7:10">
      <c r="G53" s="94">
        <f>+G4</f>
        <v>0</v>
      </c>
    </row>
    <row r="54" spans="7:10">
      <c r="J54" s="163"/>
    </row>
  </sheetData>
  <mergeCells count="53">
    <mergeCell ref="A5:Z5"/>
    <mergeCell ref="A1:F1"/>
    <mergeCell ref="R1:Y1"/>
    <mergeCell ref="A2:F2"/>
    <mergeCell ref="R2:Y2"/>
    <mergeCell ref="A4:Z4"/>
    <mergeCell ref="B6:C6"/>
    <mergeCell ref="D6:E6"/>
    <mergeCell ref="B7:C7"/>
    <mergeCell ref="D7:E7"/>
    <mergeCell ref="A8:A10"/>
    <mergeCell ref="B8:C9"/>
    <mergeCell ref="D8:D10"/>
    <mergeCell ref="E8:E10"/>
    <mergeCell ref="Z8:Z10"/>
    <mergeCell ref="G9:K9"/>
    <mergeCell ref="L9:N9"/>
    <mergeCell ref="O9:Q9"/>
    <mergeCell ref="F8:F10"/>
    <mergeCell ref="G8:Q8"/>
    <mergeCell ref="R8:R10"/>
    <mergeCell ref="S8:S10"/>
    <mergeCell ref="T8:T10"/>
    <mergeCell ref="U8:U10"/>
    <mergeCell ref="V8:V10"/>
    <mergeCell ref="W8:W10"/>
    <mergeCell ref="X8:X10"/>
    <mergeCell ref="Y8:Y10"/>
    <mergeCell ref="G41:I41"/>
    <mergeCell ref="A13:F13"/>
    <mergeCell ref="A15:F15"/>
    <mergeCell ref="A32:E32"/>
    <mergeCell ref="A33:F33"/>
    <mergeCell ref="A34:Z34"/>
    <mergeCell ref="V35:Z35"/>
    <mergeCell ref="B36:F36"/>
    <mergeCell ref="I36:L36"/>
    <mergeCell ref="O36:S36"/>
    <mergeCell ref="W36:Y36"/>
    <mergeCell ref="G40:H40"/>
    <mergeCell ref="F42:G42"/>
    <mergeCell ref="H42:J42"/>
    <mergeCell ref="L42:M42"/>
    <mergeCell ref="N42:O42"/>
    <mergeCell ref="H43:I43"/>
    <mergeCell ref="M43:N43"/>
    <mergeCell ref="X48:Y48"/>
    <mergeCell ref="U43:V43"/>
    <mergeCell ref="M44:N44"/>
    <mergeCell ref="P44:R44"/>
    <mergeCell ref="W44:Y44"/>
    <mergeCell ref="M45:N45"/>
    <mergeCell ref="M46:N46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58"/>
  <sheetViews>
    <sheetView topLeftCell="F22" zoomScale="85" zoomScaleNormal="85" workbookViewId="0">
      <selection activeCell="V40" sqref="V40"/>
    </sheetView>
  </sheetViews>
  <sheetFormatPr defaultColWidth="9.140625" defaultRowHeight="15.7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429" customWidth="1"/>
    <col min="6" max="6" width="9.85546875" style="429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376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429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28" ht="16.5">
      <c r="A1" s="4513" t="s">
        <v>80</v>
      </c>
      <c r="B1" s="4514"/>
      <c r="C1" s="4514"/>
      <c r="D1" s="4514"/>
      <c r="E1" s="4514"/>
      <c r="F1" s="4514"/>
      <c r="G1" s="78"/>
      <c r="H1" s="93"/>
      <c r="I1" s="93"/>
      <c r="J1" s="93"/>
      <c r="K1" s="93"/>
      <c r="L1" s="361"/>
      <c r="M1" s="361"/>
      <c r="N1" s="361"/>
      <c r="O1" s="361"/>
      <c r="P1" s="368"/>
      <c r="Q1" s="93"/>
      <c r="R1" s="4515" t="s">
        <v>23</v>
      </c>
      <c r="S1" s="4515"/>
      <c r="T1" s="4515"/>
      <c r="U1" s="4515"/>
      <c r="V1" s="4515"/>
      <c r="W1" s="4515"/>
      <c r="X1" s="4515"/>
      <c r="Y1" s="4515"/>
    </row>
    <row r="2" spans="1:28" ht="17.25">
      <c r="A2" s="4516"/>
      <c r="B2" s="4515"/>
      <c r="C2" s="4515"/>
      <c r="D2" s="4515"/>
      <c r="E2" s="4515"/>
      <c r="F2" s="4515"/>
      <c r="G2" s="81"/>
      <c r="H2" s="95"/>
      <c r="I2" s="95"/>
      <c r="J2" s="95"/>
      <c r="K2" s="95"/>
      <c r="L2" s="362"/>
      <c r="M2" s="362"/>
      <c r="N2" s="362"/>
      <c r="O2" s="362"/>
      <c r="P2" s="369"/>
      <c r="Q2" s="95"/>
      <c r="R2" s="4514" t="s">
        <v>45</v>
      </c>
      <c r="S2" s="4514"/>
      <c r="T2" s="4514"/>
      <c r="U2" s="4514"/>
      <c r="V2" s="4514"/>
      <c r="W2" s="4514"/>
      <c r="X2" s="4514"/>
      <c r="Y2" s="4514"/>
    </row>
    <row r="3" spans="1:28" ht="10.5" customHeight="1">
      <c r="A3" s="568"/>
      <c r="B3" s="96"/>
      <c r="C3" s="381"/>
      <c r="D3" s="381"/>
      <c r="G3" s="5"/>
      <c r="H3" s="6"/>
      <c r="I3" s="7"/>
      <c r="J3" s="6"/>
      <c r="K3" s="6"/>
      <c r="L3" s="7"/>
      <c r="M3" s="7"/>
      <c r="N3" s="7"/>
      <c r="O3" s="7"/>
      <c r="P3" s="370"/>
      <c r="Q3" s="6"/>
      <c r="R3" s="8"/>
      <c r="S3" s="8"/>
      <c r="T3" s="8"/>
      <c r="X3" s="98"/>
    </row>
    <row r="4" spans="1:28" s="99" customFormat="1" ht="25.9" customHeight="1">
      <c r="A4" s="4517" t="s">
        <v>473</v>
      </c>
      <c r="B4" s="4517"/>
      <c r="C4" s="4517"/>
      <c r="D4" s="4517"/>
      <c r="E4" s="4517"/>
      <c r="F4" s="4517"/>
      <c r="G4" s="4517"/>
      <c r="H4" s="4517"/>
      <c r="I4" s="4517"/>
      <c r="J4" s="4517"/>
      <c r="K4" s="4517"/>
      <c r="L4" s="4517"/>
      <c r="M4" s="4517"/>
      <c r="N4" s="4517"/>
      <c r="O4" s="4517"/>
      <c r="P4" s="4517"/>
      <c r="Q4" s="4517"/>
      <c r="R4" s="4517"/>
      <c r="S4" s="4517"/>
      <c r="T4" s="4517"/>
      <c r="U4" s="4517"/>
      <c r="V4" s="4517"/>
      <c r="W4" s="4517"/>
      <c r="X4" s="4517"/>
      <c r="Y4" s="4517"/>
      <c r="Z4" s="4517"/>
    </row>
    <row r="5" spans="1:28" s="99" customFormat="1" ht="26.25" customHeight="1">
      <c r="A5" s="4202" t="s">
        <v>91</v>
      </c>
      <c r="B5" s="4202"/>
      <c r="C5" s="4202"/>
      <c r="D5" s="4202"/>
      <c r="E5" s="4202"/>
      <c r="F5" s="4202"/>
      <c r="G5" s="4202"/>
      <c r="H5" s="4202"/>
      <c r="I5" s="4202"/>
      <c r="J5" s="4202"/>
      <c r="K5" s="4202"/>
      <c r="L5" s="4202"/>
      <c r="M5" s="4202"/>
      <c r="N5" s="4202"/>
      <c r="O5" s="4202"/>
      <c r="P5" s="4202"/>
      <c r="Q5" s="4202"/>
      <c r="R5" s="4202"/>
      <c r="S5" s="4202"/>
      <c r="T5" s="4202"/>
      <c r="U5" s="4202"/>
      <c r="V5" s="4202"/>
      <c r="W5" s="4202"/>
      <c r="X5" s="4202"/>
      <c r="Y5" s="4202"/>
      <c r="Z5" s="4202"/>
    </row>
    <row r="6" spans="1:28" s="99" customFormat="1" ht="18.75" customHeight="1">
      <c r="A6" s="304"/>
      <c r="B6" s="4199" t="s">
        <v>321</v>
      </c>
      <c r="C6" s="4199"/>
      <c r="D6" s="4200" t="e">
        <f>#REF!</f>
        <v>#REF!</v>
      </c>
      <c r="E6" s="4203"/>
      <c r="F6" s="565"/>
      <c r="G6" s="565"/>
      <c r="H6" s="565"/>
      <c r="I6" s="565"/>
      <c r="J6" s="565"/>
      <c r="K6" s="565"/>
      <c r="L6" s="304"/>
      <c r="M6" s="304"/>
      <c r="N6" s="304"/>
      <c r="O6" s="304"/>
      <c r="P6" s="371"/>
      <c r="Q6" s="565"/>
      <c r="R6" s="565"/>
      <c r="S6" s="565"/>
      <c r="T6" s="565"/>
      <c r="U6" s="565"/>
      <c r="V6" s="565"/>
      <c r="W6" s="565"/>
      <c r="X6" s="565"/>
      <c r="Y6" s="565"/>
      <c r="Z6" s="97"/>
    </row>
    <row r="7" spans="1:28" s="99" customFormat="1" ht="20.25" customHeight="1">
      <c r="A7" s="305"/>
      <c r="B7" s="4199" t="s">
        <v>322</v>
      </c>
      <c r="C7" s="4199"/>
      <c r="D7" s="4203" t="e">
        <f>#REF!</f>
        <v>#REF!</v>
      </c>
      <c r="E7" s="4203"/>
      <c r="F7" s="117"/>
      <c r="G7" s="117"/>
      <c r="H7" s="117"/>
      <c r="I7" s="117"/>
      <c r="J7" s="117"/>
      <c r="K7" s="117"/>
      <c r="L7" s="305"/>
      <c r="M7" s="305"/>
      <c r="N7" s="305"/>
      <c r="O7" s="305"/>
      <c r="P7" s="372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28" s="100" customFormat="1" ht="15.75" customHeight="1">
      <c r="A8" s="4204" t="s">
        <v>0</v>
      </c>
      <c r="B8" s="4508" t="s">
        <v>1</v>
      </c>
      <c r="C8" s="4509"/>
      <c r="D8" s="4204" t="s">
        <v>64</v>
      </c>
      <c r="E8" s="4510" t="s">
        <v>2</v>
      </c>
      <c r="F8" s="4503" t="s">
        <v>3</v>
      </c>
      <c r="G8" s="4431" t="s">
        <v>4</v>
      </c>
      <c r="H8" s="4432"/>
      <c r="I8" s="4432"/>
      <c r="J8" s="4432"/>
      <c r="K8" s="4432"/>
      <c r="L8" s="4432"/>
      <c r="M8" s="4432"/>
      <c r="N8" s="4432"/>
      <c r="O8" s="4432"/>
      <c r="P8" s="4432"/>
      <c r="Q8" s="4433"/>
      <c r="R8" s="4412" t="s">
        <v>5</v>
      </c>
      <c r="S8" s="4412" t="s">
        <v>6</v>
      </c>
      <c r="T8" s="4412" t="s">
        <v>497</v>
      </c>
      <c r="U8" s="4412" t="s">
        <v>7</v>
      </c>
      <c r="V8" s="4412" t="s">
        <v>8</v>
      </c>
      <c r="W8" s="4412" t="s">
        <v>78</v>
      </c>
      <c r="X8" s="4410" t="s">
        <v>9</v>
      </c>
      <c r="Y8" s="4505" t="s">
        <v>10</v>
      </c>
      <c r="Z8" s="4495" t="s">
        <v>11</v>
      </c>
      <c r="AB8" s="100">
        <v>26</v>
      </c>
    </row>
    <row r="9" spans="1:28" s="100" customFormat="1" ht="20.25" customHeight="1">
      <c r="A9" s="4204"/>
      <c r="B9" s="4509"/>
      <c r="C9" s="4509"/>
      <c r="D9" s="4204"/>
      <c r="E9" s="4511"/>
      <c r="F9" s="4495"/>
      <c r="G9" s="4497" t="s">
        <v>182</v>
      </c>
      <c r="H9" s="4498"/>
      <c r="I9" s="4498"/>
      <c r="J9" s="4498"/>
      <c r="K9" s="4499"/>
      <c r="L9" s="4500" t="s">
        <v>183</v>
      </c>
      <c r="M9" s="4501"/>
      <c r="N9" s="4502"/>
      <c r="O9" s="4500" t="s">
        <v>184</v>
      </c>
      <c r="P9" s="4501"/>
      <c r="Q9" s="4502"/>
      <c r="R9" s="4412"/>
      <c r="S9" s="4412"/>
      <c r="T9" s="4412"/>
      <c r="U9" s="4412"/>
      <c r="V9" s="4412"/>
      <c r="W9" s="4412"/>
      <c r="X9" s="4421"/>
      <c r="Y9" s="4506"/>
      <c r="Z9" s="4496"/>
    </row>
    <row r="10" spans="1:28" s="101" customFormat="1" ht="72.75" customHeight="1">
      <c r="A10" s="4205"/>
      <c r="B10" s="564" t="s">
        <v>15</v>
      </c>
      <c r="C10" s="382" t="s">
        <v>16</v>
      </c>
      <c r="D10" s="4204"/>
      <c r="E10" s="4512"/>
      <c r="F10" s="4504"/>
      <c r="G10" s="112" t="s">
        <v>12</v>
      </c>
      <c r="H10" s="113" t="s">
        <v>94</v>
      </c>
      <c r="I10" s="560" t="s">
        <v>13</v>
      </c>
      <c r="J10" s="103" t="s">
        <v>14</v>
      </c>
      <c r="K10" s="560" t="s">
        <v>444</v>
      </c>
      <c r="L10" s="561" t="s">
        <v>191</v>
      </c>
      <c r="M10" s="561" t="s">
        <v>189</v>
      </c>
      <c r="N10" s="561" t="s">
        <v>192</v>
      </c>
      <c r="O10" s="561" t="s">
        <v>193</v>
      </c>
      <c r="P10" s="373" t="s">
        <v>194</v>
      </c>
      <c r="Q10" s="559" t="s">
        <v>192</v>
      </c>
      <c r="R10" s="4412"/>
      <c r="S10" s="4412"/>
      <c r="T10" s="4412"/>
      <c r="U10" s="4428"/>
      <c r="V10" s="4412"/>
      <c r="W10" s="4412"/>
      <c r="X10" s="4411"/>
      <c r="Y10" s="4507"/>
      <c r="Z10" s="4496"/>
    </row>
    <row r="11" spans="1:28" s="102" customFormat="1" ht="60.75" customHeight="1">
      <c r="A11" s="119" t="s">
        <v>65</v>
      </c>
      <c r="B11" s="119" t="s">
        <v>66</v>
      </c>
      <c r="C11" s="119" t="s">
        <v>67</v>
      </c>
      <c r="D11" s="119" t="s">
        <v>116</v>
      </c>
      <c r="E11" s="119" t="s">
        <v>68</v>
      </c>
      <c r="F11" s="119" t="s">
        <v>114</v>
      </c>
      <c r="G11" s="119" t="s">
        <v>69</v>
      </c>
      <c r="H11" s="119" t="s">
        <v>230</v>
      </c>
      <c r="I11" s="119" t="s">
        <v>231</v>
      </c>
      <c r="J11" s="119" t="s">
        <v>72</v>
      </c>
      <c r="K11" s="119" t="s">
        <v>232</v>
      </c>
      <c r="L11" s="119" t="s">
        <v>185</v>
      </c>
      <c r="M11" s="119" t="s">
        <v>186</v>
      </c>
      <c r="N11" s="119" t="s">
        <v>72</v>
      </c>
      <c r="O11" s="119" t="s">
        <v>187</v>
      </c>
      <c r="P11" s="374" t="s">
        <v>188</v>
      </c>
      <c r="Q11" s="119" t="s">
        <v>72</v>
      </c>
      <c r="R11" s="119" t="s">
        <v>229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115</v>
      </c>
    </row>
    <row r="12" spans="1:28" s="570" customFormat="1" ht="15" customHeight="1">
      <c r="A12" s="563">
        <v>1</v>
      </c>
      <c r="B12" s="382">
        <v>2</v>
      </c>
      <c r="C12" s="563">
        <v>3</v>
      </c>
      <c r="D12" s="382">
        <v>4</v>
      </c>
      <c r="E12" s="563">
        <v>5</v>
      </c>
      <c r="F12" s="382">
        <v>6</v>
      </c>
      <c r="G12" s="563">
        <v>7</v>
      </c>
      <c r="H12" s="382">
        <v>8</v>
      </c>
      <c r="I12" s="563">
        <v>9</v>
      </c>
      <c r="J12" s="382">
        <v>10</v>
      </c>
      <c r="K12" s="563">
        <v>11</v>
      </c>
      <c r="L12" s="382">
        <v>12</v>
      </c>
      <c r="M12" s="563">
        <v>13</v>
      </c>
      <c r="N12" s="382">
        <v>14</v>
      </c>
      <c r="O12" s="563">
        <v>15</v>
      </c>
      <c r="P12" s="375">
        <v>16</v>
      </c>
      <c r="Q12" s="563">
        <v>17</v>
      </c>
      <c r="R12" s="382">
        <v>18</v>
      </c>
      <c r="S12" s="563">
        <v>19</v>
      </c>
      <c r="T12" s="563"/>
      <c r="U12" s="382">
        <v>20</v>
      </c>
      <c r="V12" s="563">
        <v>21</v>
      </c>
      <c r="W12" s="382">
        <v>22</v>
      </c>
      <c r="X12" s="382">
        <v>24</v>
      </c>
      <c r="Y12" s="563">
        <v>25</v>
      </c>
      <c r="Z12" s="382">
        <v>26</v>
      </c>
    </row>
    <row r="13" spans="1:28" s="570" customFormat="1" ht="15" customHeight="1">
      <c r="A13" s="4218" t="s">
        <v>451</v>
      </c>
      <c r="B13" s="4219"/>
      <c r="C13" s="4219"/>
      <c r="D13" s="4219"/>
      <c r="E13" s="4219"/>
      <c r="F13" s="4220"/>
      <c r="G13" s="357">
        <f>G37</f>
        <v>30.589999999999982</v>
      </c>
      <c r="H13" s="363"/>
      <c r="I13" s="363"/>
      <c r="J13" s="363"/>
      <c r="K13" s="363">
        <f>K37</f>
        <v>764750</v>
      </c>
      <c r="L13" s="379" t="e">
        <f t="shared" ref="L13:Q13" si="0">L37</f>
        <v>#REF!</v>
      </c>
      <c r="M13" s="363" t="e">
        <f t="shared" si="0"/>
        <v>#REF!</v>
      </c>
      <c r="N13" s="363" t="e">
        <f t="shared" si="0"/>
        <v>#REF!</v>
      </c>
      <c r="O13" s="363" t="e">
        <f t="shared" si="0"/>
        <v>#REF!</v>
      </c>
      <c r="P13" s="363" t="e">
        <f t="shared" si="0"/>
        <v>#REF!</v>
      </c>
      <c r="Q13" s="363" t="e">
        <f t="shared" si="0"/>
        <v>#REF!</v>
      </c>
      <c r="R13" s="363" t="e">
        <f>R37</f>
        <v>#REF!</v>
      </c>
      <c r="S13" s="363">
        <f t="shared" ref="S13:X13" si="1">S37</f>
        <v>0</v>
      </c>
      <c r="T13" s="363">
        <f t="shared" si="1"/>
        <v>0</v>
      </c>
      <c r="U13" s="363" t="e">
        <f t="shared" si="1"/>
        <v>#REF!</v>
      </c>
      <c r="V13" s="363">
        <f t="shared" si="1"/>
        <v>0</v>
      </c>
      <c r="W13" s="363">
        <f t="shared" si="1"/>
        <v>0</v>
      </c>
      <c r="X13" s="363" t="e">
        <f t="shared" si="1"/>
        <v>#REF!</v>
      </c>
      <c r="Y13" s="563"/>
      <c r="Z13" s="382"/>
    </row>
    <row r="14" spans="1:28" s="101" customFormat="1" ht="18" customHeight="1">
      <c r="A14" s="306">
        <v>1</v>
      </c>
      <c r="B14" s="259"/>
      <c r="C14" s="164" t="s">
        <v>328</v>
      </c>
      <c r="D14" s="498" t="e">
        <f>VLOOKUP(C14,'Tong luong NT'!#REF!,2,0)</f>
        <v>#REF!</v>
      </c>
      <c r="E14" s="469" t="s">
        <v>167</v>
      </c>
      <c r="F14" s="411" t="s">
        <v>157</v>
      </c>
      <c r="G14" s="358">
        <v>1.33</v>
      </c>
      <c r="H14" s="46">
        <v>25000</v>
      </c>
      <c r="I14" s="46" t="s">
        <v>355</v>
      </c>
      <c r="J14" s="46">
        <f>G14*H14</f>
        <v>33250</v>
      </c>
      <c r="K14" s="46">
        <f>J14</f>
        <v>33250</v>
      </c>
      <c r="L14" s="380" t="e">
        <f>VLOOKUP($C$14:$C$36,#REF!,11,0)</f>
        <v>#REF!</v>
      </c>
      <c r="M14" s="364" t="e">
        <f>VLOOKUP(C14,#REF!,11,0)</f>
        <v>#REF!</v>
      </c>
      <c r="N14" s="364" t="e">
        <f>L14*IF(M14="A",1600,IF(M14="B",1500,IF(M14="C",1400)))</f>
        <v>#REF!</v>
      </c>
      <c r="O14" s="364" t="e">
        <f>VLOOKUP($C$14:$C$36,#REF!,15,0)</f>
        <v>#REF!</v>
      </c>
      <c r="P14" s="364" t="e">
        <f>VLOOKUP($C$14:$C$36,#REF!,16,0)</f>
        <v>#REF!</v>
      </c>
      <c r="Q14" s="46" t="e">
        <f>(O14*25000)+(P14*35000)</f>
        <v>#REF!</v>
      </c>
      <c r="R14" s="46" t="e">
        <f>J14+N14+Q14</f>
        <v>#REF!</v>
      </c>
      <c r="S14" s="46"/>
      <c r="T14" s="46"/>
      <c r="U14" s="46" t="e">
        <f t="shared" ref="U14:U36" si="2">R14-S14</f>
        <v>#REF!</v>
      </c>
      <c r="V14" s="254"/>
      <c r="W14" s="254"/>
      <c r="X14" s="64" t="e">
        <f>U14-V14-W14</f>
        <v>#REF!</v>
      </c>
      <c r="Y14" s="255"/>
      <c r="Z14" s="263" t="s">
        <v>156</v>
      </c>
    </row>
    <row r="15" spans="1:28" s="101" customFormat="1" ht="18" customHeight="1">
      <c r="A15" s="307">
        <v>2</v>
      </c>
      <c r="B15" s="260"/>
      <c r="C15" s="431" t="s">
        <v>293</v>
      </c>
      <c r="D15" s="307" t="e">
        <f>VLOOKUP(C15,'Tong luong NT'!#REF!,2,0)</f>
        <v>#REF!</v>
      </c>
      <c r="E15" s="470" t="s">
        <v>167</v>
      </c>
      <c r="F15" s="237" t="s">
        <v>157</v>
      </c>
      <c r="G15" s="359">
        <v>1.33</v>
      </c>
      <c r="H15" s="47">
        <v>25000</v>
      </c>
      <c r="I15" s="47" t="s">
        <v>355</v>
      </c>
      <c r="J15" s="47">
        <f t="shared" ref="J15:J34" si="3">G15*H15</f>
        <v>33250</v>
      </c>
      <c r="K15" s="47">
        <f t="shared" ref="K15:K36" si="4">J15</f>
        <v>33250</v>
      </c>
      <c r="L15" s="380" t="e">
        <f>VLOOKUP($C$14:$C$36,#REF!,11,0)</f>
        <v>#REF!</v>
      </c>
      <c r="M15" s="365" t="e">
        <f>VLOOKUP(C15,#REF!,11,0)</f>
        <v>#REF!</v>
      </c>
      <c r="N15" s="365" t="e">
        <f>L15*IF(M15="A",1600,IF(M15="B",1500,IF(M15="C",1400)))</f>
        <v>#REF!</v>
      </c>
      <c r="O15" s="365" t="e">
        <f>VLOOKUP($C$14:$C$36,#REF!,15,0)</f>
        <v>#REF!</v>
      </c>
      <c r="P15" s="365" t="e">
        <f>VLOOKUP($C$14:$C$36,#REF!,16,0)</f>
        <v>#REF!</v>
      </c>
      <c r="Q15" s="47" t="e">
        <f>(O15*25000)+(P15*35000)</f>
        <v>#REF!</v>
      </c>
      <c r="R15" s="47" t="e">
        <f t="shared" ref="R15:R34" si="5">J15+N15+Q15</f>
        <v>#REF!</v>
      </c>
      <c r="S15" s="47"/>
      <c r="T15" s="47"/>
      <c r="U15" s="47" t="e">
        <f t="shared" si="2"/>
        <v>#REF!</v>
      </c>
      <c r="V15" s="257"/>
      <c r="W15" s="257"/>
      <c r="X15" s="65" t="e">
        <f>U15-V15-W15</f>
        <v>#REF!</v>
      </c>
      <c r="Y15" s="258"/>
      <c r="Z15" s="118" t="s">
        <v>156</v>
      </c>
    </row>
    <row r="16" spans="1:28" s="101" customFormat="1" ht="18" customHeight="1">
      <c r="A16" s="307">
        <v>3</v>
      </c>
      <c r="B16" s="260"/>
      <c r="C16" s="431" t="s">
        <v>304</v>
      </c>
      <c r="D16" s="307" t="e">
        <f>VLOOKUP(C16,'Tong luong NT'!#REF!,2,0)</f>
        <v>#REF!</v>
      </c>
      <c r="E16" s="470" t="s">
        <v>167</v>
      </c>
      <c r="F16" s="237" t="s">
        <v>157</v>
      </c>
      <c r="G16" s="359">
        <v>1.33</v>
      </c>
      <c r="H16" s="47">
        <v>25000</v>
      </c>
      <c r="I16" s="47" t="s">
        <v>355</v>
      </c>
      <c r="J16" s="47">
        <f t="shared" si="3"/>
        <v>33250</v>
      </c>
      <c r="K16" s="47">
        <f t="shared" si="4"/>
        <v>33250</v>
      </c>
      <c r="L16" s="380" t="e">
        <f>VLOOKUP($C$14:$C$36,#REF!,11,0)</f>
        <v>#REF!</v>
      </c>
      <c r="M16" s="365" t="e">
        <f>VLOOKUP(C16,#REF!,11,0)</f>
        <v>#REF!</v>
      </c>
      <c r="N16" s="365" t="e">
        <f t="shared" ref="N16:N36" si="6">L16*IF(M16="A",1600,IF(M16="B",1500,IF(M16="C",1400)))</f>
        <v>#REF!</v>
      </c>
      <c r="O16" s="365" t="e">
        <f>VLOOKUP($C$14:$C$36,#REF!,15,0)</f>
        <v>#REF!</v>
      </c>
      <c r="P16" s="365" t="e">
        <f>VLOOKUP($C$14:$C$36,#REF!,16,0)</f>
        <v>#REF!</v>
      </c>
      <c r="Q16" s="47" t="e">
        <f t="shared" ref="Q16:Q35" si="7">(O16*25000)+(P16*35000)</f>
        <v>#REF!</v>
      </c>
      <c r="R16" s="47" t="e">
        <f t="shared" si="5"/>
        <v>#REF!</v>
      </c>
      <c r="S16" s="47"/>
      <c r="T16" s="47"/>
      <c r="U16" s="47" t="e">
        <f t="shared" si="2"/>
        <v>#REF!</v>
      </c>
      <c r="V16" s="257"/>
      <c r="W16" s="257"/>
      <c r="X16" s="65" t="e">
        <f t="shared" ref="X16:X36" si="8">U16-V16-W16</f>
        <v>#REF!</v>
      </c>
      <c r="Y16" s="258"/>
      <c r="Z16" s="118" t="s">
        <v>156</v>
      </c>
    </row>
    <row r="17" spans="1:26" s="101" customFormat="1" ht="18" customHeight="1">
      <c r="A17" s="307">
        <v>4</v>
      </c>
      <c r="B17" s="260"/>
      <c r="C17" s="431" t="s">
        <v>299</v>
      </c>
      <c r="D17" s="307" t="e">
        <f>VLOOKUP(C17,'Tong luong NT'!#REF!,2,0)</f>
        <v>#REF!</v>
      </c>
      <c r="E17" s="470" t="s">
        <v>167</v>
      </c>
      <c r="F17" s="237" t="s">
        <v>157</v>
      </c>
      <c r="G17" s="359">
        <v>1.33</v>
      </c>
      <c r="H17" s="47">
        <v>25000</v>
      </c>
      <c r="I17" s="47" t="s">
        <v>355</v>
      </c>
      <c r="J17" s="47">
        <f t="shared" si="3"/>
        <v>33250</v>
      </c>
      <c r="K17" s="47">
        <f t="shared" si="4"/>
        <v>33250</v>
      </c>
      <c r="L17" s="380" t="e">
        <f>VLOOKUP($C$14:$C$36,#REF!,11,0)</f>
        <v>#REF!</v>
      </c>
      <c r="M17" s="365" t="e">
        <f>VLOOKUP(C17,#REF!,11,0)</f>
        <v>#REF!</v>
      </c>
      <c r="N17" s="365" t="e">
        <f t="shared" si="6"/>
        <v>#REF!</v>
      </c>
      <c r="O17" s="365" t="e">
        <f>VLOOKUP($C$14:$C$36,#REF!,15,0)</f>
        <v>#REF!</v>
      </c>
      <c r="P17" s="365" t="e">
        <f>VLOOKUP($C$14:$C$36,#REF!,16,0)</f>
        <v>#REF!</v>
      </c>
      <c r="Q17" s="47" t="e">
        <f t="shared" si="7"/>
        <v>#REF!</v>
      </c>
      <c r="R17" s="47" t="e">
        <f t="shared" si="5"/>
        <v>#REF!</v>
      </c>
      <c r="S17" s="47"/>
      <c r="T17" s="47"/>
      <c r="U17" s="47" t="e">
        <f t="shared" si="2"/>
        <v>#REF!</v>
      </c>
      <c r="V17" s="257"/>
      <c r="W17" s="257"/>
      <c r="X17" s="65" t="e">
        <f t="shared" si="8"/>
        <v>#REF!</v>
      </c>
      <c r="Y17" s="258"/>
      <c r="Z17" s="118" t="s">
        <v>156</v>
      </c>
    </row>
    <row r="18" spans="1:26" s="101" customFormat="1" ht="18" customHeight="1">
      <c r="A18" s="307">
        <v>5</v>
      </c>
      <c r="B18" s="260"/>
      <c r="C18" s="431" t="s">
        <v>288</v>
      </c>
      <c r="D18" s="307" t="e">
        <f>VLOOKUP(C18,'Tong luong NT'!#REF!,2,0)</f>
        <v>#REF!</v>
      </c>
      <c r="E18" s="470" t="s">
        <v>167</v>
      </c>
      <c r="F18" s="237" t="s">
        <v>157</v>
      </c>
      <c r="G18" s="359">
        <v>1.33</v>
      </c>
      <c r="H18" s="47">
        <v>25000</v>
      </c>
      <c r="I18" s="47" t="s">
        <v>355</v>
      </c>
      <c r="J18" s="47">
        <f t="shared" si="3"/>
        <v>33250</v>
      </c>
      <c r="K18" s="47">
        <f t="shared" si="4"/>
        <v>33250</v>
      </c>
      <c r="L18" s="380" t="e">
        <f>VLOOKUP($C$14:$C$36,#REF!,11,0)</f>
        <v>#REF!</v>
      </c>
      <c r="M18" s="365" t="e">
        <f>VLOOKUP(C18,#REF!,11,0)</f>
        <v>#REF!</v>
      </c>
      <c r="N18" s="365" t="e">
        <f t="shared" si="6"/>
        <v>#REF!</v>
      </c>
      <c r="O18" s="365" t="e">
        <f>VLOOKUP($C$14:$C$36,#REF!,15,0)</f>
        <v>#REF!</v>
      </c>
      <c r="P18" s="365" t="e">
        <f>VLOOKUP($C$14:$C$36,#REF!,16,0)</f>
        <v>#REF!</v>
      </c>
      <c r="Q18" s="47" t="e">
        <f t="shared" si="7"/>
        <v>#REF!</v>
      </c>
      <c r="R18" s="47" t="e">
        <f t="shared" si="5"/>
        <v>#REF!</v>
      </c>
      <c r="S18" s="47"/>
      <c r="T18" s="47"/>
      <c r="U18" s="47" t="e">
        <f t="shared" si="2"/>
        <v>#REF!</v>
      </c>
      <c r="V18" s="257"/>
      <c r="W18" s="257"/>
      <c r="X18" s="65" t="e">
        <f t="shared" si="8"/>
        <v>#REF!</v>
      </c>
      <c r="Y18" s="258"/>
      <c r="Z18" s="118" t="s">
        <v>156</v>
      </c>
    </row>
    <row r="19" spans="1:26" s="101" customFormat="1" ht="18" customHeight="1">
      <c r="A19" s="307">
        <v>6</v>
      </c>
      <c r="B19" s="260"/>
      <c r="C19" s="431" t="s">
        <v>303</v>
      </c>
      <c r="D19" s="307" t="e">
        <f>VLOOKUP(C19,'Tong luong NT'!#REF!,2,0)</f>
        <v>#REF!</v>
      </c>
      <c r="E19" s="470" t="s">
        <v>167</v>
      </c>
      <c r="F19" s="237" t="s">
        <v>157</v>
      </c>
      <c r="G19" s="359">
        <v>1.33</v>
      </c>
      <c r="H19" s="47">
        <v>25000</v>
      </c>
      <c r="I19" s="47" t="s">
        <v>355</v>
      </c>
      <c r="J19" s="47">
        <f t="shared" si="3"/>
        <v>33250</v>
      </c>
      <c r="K19" s="47">
        <f t="shared" si="4"/>
        <v>33250</v>
      </c>
      <c r="L19" s="380" t="e">
        <f>VLOOKUP($C$14:$C$36,#REF!,11,0)</f>
        <v>#REF!</v>
      </c>
      <c r="M19" s="365" t="e">
        <f>VLOOKUP(C19,#REF!,11,0)</f>
        <v>#REF!</v>
      </c>
      <c r="N19" s="365" t="e">
        <f t="shared" si="6"/>
        <v>#REF!</v>
      </c>
      <c r="O19" s="365" t="e">
        <f>VLOOKUP($C$14:$C$36,#REF!,15,0)</f>
        <v>#REF!</v>
      </c>
      <c r="P19" s="365" t="e">
        <f>VLOOKUP($C$14:$C$36,#REF!,16,0)</f>
        <v>#REF!</v>
      </c>
      <c r="Q19" s="47" t="e">
        <f t="shared" si="7"/>
        <v>#REF!</v>
      </c>
      <c r="R19" s="47" t="e">
        <f t="shared" si="5"/>
        <v>#REF!</v>
      </c>
      <c r="S19" s="47"/>
      <c r="T19" s="47"/>
      <c r="U19" s="47" t="e">
        <f t="shared" si="2"/>
        <v>#REF!</v>
      </c>
      <c r="V19" s="257"/>
      <c r="W19" s="257"/>
      <c r="X19" s="65" t="e">
        <f t="shared" si="8"/>
        <v>#REF!</v>
      </c>
      <c r="Y19" s="258"/>
      <c r="Z19" s="118" t="s">
        <v>156</v>
      </c>
    </row>
    <row r="20" spans="1:26" s="101" customFormat="1" ht="18" customHeight="1">
      <c r="A20" s="307">
        <v>7</v>
      </c>
      <c r="B20" s="260"/>
      <c r="C20" s="431" t="s">
        <v>291</v>
      </c>
      <c r="D20" s="307" t="e">
        <f>VLOOKUP(C20,'Tong luong NT'!#REF!,2,0)</f>
        <v>#REF!</v>
      </c>
      <c r="E20" s="470" t="s">
        <v>167</v>
      </c>
      <c r="F20" s="237" t="s">
        <v>157</v>
      </c>
      <c r="G20" s="359">
        <v>1.33</v>
      </c>
      <c r="H20" s="47">
        <v>25000</v>
      </c>
      <c r="I20" s="47" t="s">
        <v>355</v>
      </c>
      <c r="J20" s="47">
        <f t="shared" si="3"/>
        <v>33250</v>
      </c>
      <c r="K20" s="47">
        <f t="shared" si="4"/>
        <v>33250</v>
      </c>
      <c r="L20" s="380" t="e">
        <f>VLOOKUP($C$14:$C$36,#REF!,11,0)</f>
        <v>#REF!</v>
      </c>
      <c r="M20" s="365" t="e">
        <f>VLOOKUP(C20,#REF!,11,0)</f>
        <v>#REF!</v>
      </c>
      <c r="N20" s="365" t="e">
        <f t="shared" si="6"/>
        <v>#REF!</v>
      </c>
      <c r="O20" s="365" t="e">
        <f>VLOOKUP($C$14:$C$36,#REF!,15,0)</f>
        <v>#REF!</v>
      </c>
      <c r="P20" s="365" t="e">
        <f>VLOOKUP($C$14:$C$36,#REF!,16,0)</f>
        <v>#REF!</v>
      </c>
      <c r="Q20" s="47" t="e">
        <f t="shared" si="7"/>
        <v>#REF!</v>
      </c>
      <c r="R20" s="47" t="e">
        <f t="shared" si="5"/>
        <v>#REF!</v>
      </c>
      <c r="S20" s="47"/>
      <c r="T20" s="47"/>
      <c r="U20" s="47" t="e">
        <f t="shared" si="2"/>
        <v>#REF!</v>
      </c>
      <c r="V20" s="257"/>
      <c r="W20" s="257"/>
      <c r="X20" s="65" t="e">
        <f t="shared" si="8"/>
        <v>#REF!</v>
      </c>
      <c r="Y20" s="258"/>
      <c r="Z20" s="118" t="s">
        <v>156</v>
      </c>
    </row>
    <row r="21" spans="1:26" s="101" customFormat="1" ht="18" customHeight="1">
      <c r="A21" s="307">
        <v>8</v>
      </c>
      <c r="B21" s="260"/>
      <c r="C21" s="431" t="s">
        <v>403</v>
      </c>
      <c r="D21" s="307" t="e">
        <f>VLOOKUP(C21,'Tong luong NT'!#REF!,2,0)</f>
        <v>#REF!</v>
      </c>
      <c r="E21" s="470" t="s">
        <v>167</v>
      </c>
      <c r="F21" s="237" t="s">
        <v>157</v>
      </c>
      <c r="G21" s="359">
        <v>1.33</v>
      </c>
      <c r="H21" s="47">
        <v>25000</v>
      </c>
      <c r="I21" s="47" t="s">
        <v>355</v>
      </c>
      <c r="J21" s="47">
        <f t="shared" si="3"/>
        <v>33250</v>
      </c>
      <c r="K21" s="47">
        <f t="shared" si="4"/>
        <v>33250</v>
      </c>
      <c r="L21" s="380" t="e">
        <f>VLOOKUP($C$14:$C$36,#REF!,11,0)</f>
        <v>#REF!</v>
      </c>
      <c r="M21" s="365" t="e">
        <f>VLOOKUP(C21,#REF!,11,0)</f>
        <v>#REF!</v>
      </c>
      <c r="N21" s="365" t="e">
        <f t="shared" si="6"/>
        <v>#REF!</v>
      </c>
      <c r="O21" s="365" t="e">
        <f>VLOOKUP($C$14:$C$36,#REF!,15,0)</f>
        <v>#REF!</v>
      </c>
      <c r="P21" s="365" t="e">
        <f>VLOOKUP($C$14:$C$36,#REF!,16,0)</f>
        <v>#REF!</v>
      </c>
      <c r="Q21" s="47" t="e">
        <f t="shared" si="7"/>
        <v>#REF!</v>
      </c>
      <c r="R21" s="47" t="e">
        <f t="shared" si="5"/>
        <v>#REF!</v>
      </c>
      <c r="S21" s="47"/>
      <c r="T21" s="47"/>
      <c r="U21" s="47" t="e">
        <f t="shared" si="2"/>
        <v>#REF!</v>
      </c>
      <c r="V21" s="257"/>
      <c r="W21" s="257"/>
      <c r="X21" s="65" t="e">
        <f t="shared" si="8"/>
        <v>#REF!</v>
      </c>
      <c r="Y21" s="258"/>
      <c r="Z21" s="118" t="s">
        <v>156</v>
      </c>
    </row>
    <row r="22" spans="1:26" s="101" customFormat="1" ht="18" customHeight="1">
      <c r="A22" s="307">
        <v>9</v>
      </c>
      <c r="B22" s="260"/>
      <c r="C22" s="431" t="s">
        <v>300</v>
      </c>
      <c r="D22" s="307" t="e">
        <f>VLOOKUP(C22,'Tong luong NT'!#REF!,2,0)</f>
        <v>#REF!</v>
      </c>
      <c r="E22" s="470" t="s">
        <v>167</v>
      </c>
      <c r="F22" s="237" t="s">
        <v>157</v>
      </c>
      <c r="G22" s="359">
        <v>1.33</v>
      </c>
      <c r="H22" s="47">
        <v>25000</v>
      </c>
      <c r="I22" s="47" t="s">
        <v>355</v>
      </c>
      <c r="J22" s="47">
        <f t="shared" si="3"/>
        <v>33250</v>
      </c>
      <c r="K22" s="47">
        <f t="shared" si="4"/>
        <v>33250</v>
      </c>
      <c r="L22" s="380" t="e">
        <f>VLOOKUP($C$14:$C$36,#REF!,11,0)</f>
        <v>#REF!</v>
      </c>
      <c r="M22" s="365" t="e">
        <f>VLOOKUP(C22,#REF!,11,0)</f>
        <v>#REF!</v>
      </c>
      <c r="N22" s="365" t="e">
        <f t="shared" si="6"/>
        <v>#REF!</v>
      </c>
      <c r="O22" s="365" t="e">
        <f>VLOOKUP($C$14:$C$36,#REF!,15,0)</f>
        <v>#REF!</v>
      </c>
      <c r="P22" s="365" t="e">
        <f>VLOOKUP($C$14:$C$36,#REF!,16,0)</f>
        <v>#REF!</v>
      </c>
      <c r="Q22" s="47" t="e">
        <f t="shared" si="7"/>
        <v>#REF!</v>
      </c>
      <c r="R22" s="47" t="e">
        <f t="shared" si="5"/>
        <v>#REF!</v>
      </c>
      <c r="S22" s="47"/>
      <c r="T22" s="47"/>
      <c r="U22" s="47" t="e">
        <f t="shared" si="2"/>
        <v>#REF!</v>
      </c>
      <c r="V22" s="257"/>
      <c r="W22" s="257"/>
      <c r="X22" s="65" t="e">
        <f t="shared" si="8"/>
        <v>#REF!</v>
      </c>
      <c r="Y22" s="258"/>
      <c r="Z22" s="118" t="s">
        <v>156</v>
      </c>
    </row>
    <row r="23" spans="1:26" s="101" customFormat="1" ht="18" customHeight="1">
      <c r="A23" s="307">
        <v>10</v>
      </c>
      <c r="B23" s="260"/>
      <c r="C23" s="431" t="s">
        <v>339</v>
      </c>
      <c r="D23" s="307" t="e">
        <f>VLOOKUP(C23,'Tong luong NT'!#REF!,2,0)</f>
        <v>#REF!</v>
      </c>
      <c r="E23" s="470" t="s">
        <v>167</v>
      </c>
      <c r="F23" s="237" t="s">
        <v>157</v>
      </c>
      <c r="G23" s="359">
        <v>1.33</v>
      </c>
      <c r="H23" s="47">
        <v>25000</v>
      </c>
      <c r="I23" s="47" t="s">
        <v>355</v>
      </c>
      <c r="J23" s="47">
        <f t="shared" si="3"/>
        <v>33250</v>
      </c>
      <c r="K23" s="47">
        <f>J23</f>
        <v>33250</v>
      </c>
      <c r="L23" s="380" t="e">
        <f>VLOOKUP($C$14:$C$36,#REF!,11,0)</f>
        <v>#REF!</v>
      </c>
      <c r="M23" s="365" t="e">
        <f>VLOOKUP(C23,#REF!,11,0)</f>
        <v>#REF!</v>
      </c>
      <c r="N23" s="365" t="e">
        <f t="shared" si="6"/>
        <v>#REF!</v>
      </c>
      <c r="O23" s="365" t="e">
        <f>VLOOKUP($C$14:$C$36,#REF!,15,0)</f>
        <v>#REF!</v>
      </c>
      <c r="P23" s="365" t="e">
        <f>VLOOKUP($C$14:$C$36,#REF!,16,0)</f>
        <v>#REF!</v>
      </c>
      <c r="Q23" s="47" t="e">
        <f t="shared" si="7"/>
        <v>#REF!</v>
      </c>
      <c r="R23" s="47" t="e">
        <f t="shared" si="5"/>
        <v>#REF!</v>
      </c>
      <c r="S23" s="47"/>
      <c r="T23" s="47"/>
      <c r="U23" s="47" t="e">
        <f t="shared" si="2"/>
        <v>#REF!</v>
      </c>
      <c r="V23" s="257"/>
      <c r="W23" s="257"/>
      <c r="X23" s="65" t="e">
        <f t="shared" si="8"/>
        <v>#REF!</v>
      </c>
      <c r="Y23" s="258"/>
      <c r="Z23" s="118" t="s">
        <v>156</v>
      </c>
    </row>
    <row r="24" spans="1:26" s="101" customFormat="1" ht="18" customHeight="1">
      <c r="A24" s="307">
        <v>11</v>
      </c>
      <c r="B24" s="260"/>
      <c r="C24" s="431" t="s">
        <v>341</v>
      </c>
      <c r="D24" s="307" t="e">
        <f>VLOOKUP(C24,'Tong luong NT'!#REF!,2,0)</f>
        <v>#REF!</v>
      </c>
      <c r="E24" s="470" t="s">
        <v>167</v>
      </c>
      <c r="F24" s="237" t="s">
        <v>157</v>
      </c>
      <c r="G24" s="359">
        <v>1.33</v>
      </c>
      <c r="H24" s="47">
        <v>25000</v>
      </c>
      <c r="I24" s="47" t="s">
        <v>355</v>
      </c>
      <c r="J24" s="47">
        <f t="shared" si="3"/>
        <v>33250</v>
      </c>
      <c r="K24" s="47">
        <f t="shared" si="4"/>
        <v>33250</v>
      </c>
      <c r="L24" s="380" t="e">
        <f>VLOOKUP($C$14:$C$36,#REF!,11,0)</f>
        <v>#REF!</v>
      </c>
      <c r="M24" s="365" t="e">
        <f>VLOOKUP(C24,#REF!,11,0)</f>
        <v>#REF!</v>
      </c>
      <c r="N24" s="365" t="e">
        <f t="shared" si="6"/>
        <v>#REF!</v>
      </c>
      <c r="O24" s="365" t="e">
        <f>VLOOKUP($C$14:$C$36,#REF!,15,0)</f>
        <v>#REF!</v>
      </c>
      <c r="P24" s="365" t="e">
        <f>VLOOKUP($C$14:$C$36,#REF!,16,0)</f>
        <v>#REF!</v>
      </c>
      <c r="Q24" s="47" t="e">
        <f t="shared" si="7"/>
        <v>#REF!</v>
      </c>
      <c r="R24" s="47" t="e">
        <f t="shared" si="5"/>
        <v>#REF!</v>
      </c>
      <c r="S24" s="47"/>
      <c r="T24" s="47"/>
      <c r="U24" s="47" t="e">
        <f t="shared" si="2"/>
        <v>#REF!</v>
      </c>
      <c r="V24" s="257"/>
      <c r="W24" s="257"/>
      <c r="X24" s="65" t="e">
        <f t="shared" si="8"/>
        <v>#REF!</v>
      </c>
      <c r="Y24" s="258"/>
      <c r="Z24" s="118" t="s">
        <v>156</v>
      </c>
    </row>
    <row r="25" spans="1:26" s="101" customFormat="1" ht="18" customHeight="1">
      <c r="A25" s="307">
        <v>12</v>
      </c>
      <c r="B25" s="260"/>
      <c r="C25" s="431" t="s">
        <v>290</v>
      </c>
      <c r="D25" s="307" t="e">
        <f>VLOOKUP(C25,'Tong luong NT'!#REF!,2,0)</f>
        <v>#REF!</v>
      </c>
      <c r="E25" s="470" t="s">
        <v>167</v>
      </c>
      <c r="F25" s="237" t="s">
        <v>157</v>
      </c>
      <c r="G25" s="359">
        <v>1.33</v>
      </c>
      <c r="H25" s="47">
        <v>25000</v>
      </c>
      <c r="I25" s="47" t="s">
        <v>355</v>
      </c>
      <c r="J25" s="47">
        <f t="shared" si="3"/>
        <v>33250</v>
      </c>
      <c r="K25" s="47">
        <f t="shared" si="4"/>
        <v>33250</v>
      </c>
      <c r="L25" s="380" t="e">
        <f>VLOOKUP($C$14:$C$36,#REF!,11,0)</f>
        <v>#REF!</v>
      </c>
      <c r="M25" s="365" t="e">
        <f>VLOOKUP(C25,#REF!,11,0)</f>
        <v>#REF!</v>
      </c>
      <c r="N25" s="365" t="e">
        <f t="shared" si="6"/>
        <v>#REF!</v>
      </c>
      <c r="O25" s="365" t="e">
        <f>VLOOKUP($C$14:$C$36,#REF!,15,0)</f>
        <v>#REF!</v>
      </c>
      <c r="P25" s="365" t="e">
        <f>VLOOKUP($C$14:$C$36,#REF!,16,0)</f>
        <v>#REF!</v>
      </c>
      <c r="Q25" s="47" t="e">
        <f t="shared" si="7"/>
        <v>#REF!</v>
      </c>
      <c r="R25" s="47" t="e">
        <f t="shared" si="5"/>
        <v>#REF!</v>
      </c>
      <c r="S25" s="47"/>
      <c r="T25" s="47"/>
      <c r="U25" s="47" t="e">
        <f t="shared" si="2"/>
        <v>#REF!</v>
      </c>
      <c r="V25" s="257"/>
      <c r="W25" s="257"/>
      <c r="X25" s="65" t="e">
        <f t="shared" si="8"/>
        <v>#REF!</v>
      </c>
      <c r="Y25" s="258"/>
      <c r="Z25" s="118" t="s">
        <v>156</v>
      </c>
    </row>
    <row r="26" spans="1:26" s="101" customFormat="1" ht="18" customHeight="1">
      <c r="A26" s="307">
        <v>13</v>
      </c>
      <c r="B26" s="260"/>
      <c r="C26" s="431" t="s">
        <v>342</v>
      </c>
      <c r="D26" s="307" t="e">
        <f>VLOOKUP(C26,'Tong luong NT'!#REF!,2,0)</f>
        <v>#REF!</v>
      </c>
      <c r="E26" s="470" t="s">
        <v>167</v>
      </c>
      <c r="F26" s="237" t="s">
        <v>157</v>
      </c>
      <c r="G26" s="359">
        <v>1.33</v>
      </c>
      <c r="H26" s="47">
        <v>25000</v>
      </c>
      <c r="I26" s="47" t="s">
        <v>355</v>
      </c>
      <c r="J26" s="47">
        <f t="shared" si="3"/>
        <v>33250</v>
      </c>
      <c r="K26" s="47">
        <f t="shared" si="4"/>
        <v>33250</v>
      </c>
      <c r="L26" s="380" t="e">
        <f>VLOOKUP($C$14:$C$36,#REF!,11,0)</f>
        <v>#REF!</v>
      </c>
      <c r="M26" s="365" t="e">
        <f>VLOOKUP(C26,#REF!,11,0)</f>
        <v>#REF!</v>
      </c>
      <c r="N26" s="365" t="e">
        <f t="shared" si="6"/>
        <v>#REF!</v>
      </c>
      <c r="O26" s="365" t="e">
        <f>VLOOKUP($C$14:$C$36,#REF!,15,0)</f>
        <v>#REF!</v>
      </c>
      <c r="P26" s="365" t="e">
        <f>VLOOKUP($C$14:$C$36,#REF!,16,0)</f>
        <v>#REF!</v>
      </c>
      <c r="Q26" s="47" t="e">
        <f t="shared" si="7"/>
        <v>#REF!</v>
      </c>
      <c r="R26" s="47" t="e">
        <f t="shared" si="5"/>
        <v>#REF!</v>
      </c>
      <c r="S26" s="47"/>
      <c r="T26" s="47"/>
      <c r="U26" s="47" t="e">
        <f t="shared" si="2"/>
        <v>#REF!</v>
      </c>
      <c r="V26" s="257"/>
      <c r="W26" s="257"/>
      <c r="X26" s="65" t="e">
        <f t="shared" si="8"/>
        <v>#REF!</v>
      </c>
      <c r="Y26" s="258"/>
      <c r="Z26" s="118" t="s">
        <v>156</v>
      </c>
    </row>
    <row r="27" spans="1:26" s="101" customFormat="1" ht="18" customHeight="1">
      <c r="A27" s="307">
        <v>14</v>
      </c>
      <c r="B27" s="260"/>
      <c r="C27" s="431" t="s">
        <v>302</v>
      </c>
      <c r="D27" s="307" t="e">
        <f>VLOOKUP(C27,'Tong luong NT'!#REF!,2,0)</f>
        <v>#REF!</v>
      </c>
      <c r="E27" s="470" t="s">
        <v>167</v>
      </c>
      <c r="F27" s="237" t="s">
        <v>157</v>
      </c>
      <c r="G27" s="359">
        <v>1.33</v>
      </c>
      <c r="H27" s="47">
        <v>25000</v>
      </c>
      <c r="I27" s="47" t="s">
        <v>355</v>
      </c>
      <c r="J27" s="47">
        <f t="shared" si="3"/>
        <v>33250</v>
      </c>
      <c r="K27" s="47">
        <f t="shared" si="4"/>
        <v>33250</v>
      </c>
      <c r="L27" s="380" t="e">
        <f>VLOOKUP($C$14:$C$36,#REF!,11,0)</f>
        <v>#REF!</v>
      </c>
      <c r="M27" s="365" t="e">
        <f>VLOOKUP(C27,#REF!,11,0)</f>
        <v>#REF!</v>
      </c>
      <c r="N27" s="365" t="e">
        <f t="shared" si="6"/>
        <v>#REF!</v>
      </c>
      <c r="O27" s="365" t="e">
        <f>VLOOKUP($C$14:$C$36,#REF!,15,0)</f>
        <v>#REF!</v>
      </c>
      <c r="P27" s="365" t="e">
        <f>VLOOKUP($C$14:$C$36,#REF!,16,0)</f>
        <v>#REF!</v>
      </c>
      <c r="Q27" s="47" t="e">
        <f t="shared" si="7"/>
        <v>#REF!</v>
      </c>
      <c r="R27" s="47" t="e">
        <f t="shared" si="5"/>
        <v>#REF!</v>
      </c>
      <c r="S27" s="47"/>
      <c r="T27" s="47"/>
      <c r="U27" s="47" t="e">
        <f t="shared" si="2"/>
        <v>#REF!</v>
      </c>
      <c r="V27" s="257"/>
      <c r="W27" s="257"/>
      <c r="X27" s="65" t="e">
        <f t="shared" si="8"/>
        <v>#REF!</v>
      </c>
      <c r="Y27" s="258"/>
      <c r="Z27" s="118" t="s">
        <v>156</v>
      </c>
    </row>
    <row r="28" spans="1:26" s="101" customFormat="1" ht="18" customHeight="1">
      <c r="A28" s="307">
        <v>15</v>
      </c>
      <c r="B28" s="260"/>
      <c r="C28" s="431" t="s">
        <v>305</v>
      </c>
      <c r="D28" s="307" t="e">
        <f>VLOOKUP(C28,'Tong luong NT'!#REF!,2,0)</f>
        <v>#REF!</v>
      </c>
      <c r="E28" s="470" t="s">
        <v>167</v>
      </c>
      <c r="F28" s="237" t="s">
        <v>157</v>
      </c>
      <c r="G28" s="359">
        <v>1.33</v>
      </c>
      <c r="H28" s="47">
        <v>25000</v>
      </c>
      <c r="I28" s="47" t="s">
        <v>355</v>
      </c>
      <c r="J28" s="47">
        <f t="shared" si="3"/>
        <v>33250</v>
      </c>
      <c r="K28" s="47">
        <f t="shared" si="4"/>
        <v>33250</v>
      </c>
      <c r="L28" s="380" t="e">
        <f>VLOOKUP($C$14:$C$36,#REF!,11,0)</f>
        <v>#REF!</v>
      </c>
      <c r="M28" s="365" t="e">
        <f>VLOOKUP(C28,#REF!,11,0)</f>
        <v>#REF!</v>
      </c>
      <c r="N28" s="365" t="e">
        <f t="shared" si="6"/>
        <v>#REF!</v>
      </c>
      <c r="O28" s="365" t="e">
        <f>VLOOKUP($C$14:$C$36,#REF!,15,0)</f>
        <v>#REF!</v>
      </c>
      <c r="P28" s="365" t="e">
        <f>VLOOKUP($C$14:$C$36,#REF!,16,0)</f>
        <v>#REF!</v>
      </c>
      <c r="Q28" s="47" t="e">
        <f t="shared" si="7"/>
        <v>#REF!</v>
      </c>
      <c r="R28" s="47" t="e">
        <f t="shared" si="5"/>
        <v>#REF!</v>
      </c>
      <c r="S28" s="47"/>
      <c r="T28" s="47"/>
      <c r="U28" s="47" t="e">
        <f t="shared" si="2"/>
        <v>#REF!</v>
      </c>
      <c r="V28" s="257"/>
      <c r="W28" s="257"/>
      <c r="X28" s="65" t="e">
        <f t="shared" si="8"/>
        <v>#REF!</v>
      </c>
      <c r="Y28" s="258"/>
      <c r="Z28" s="118" t="s">
        <v>156</v>
      </c>
    </row>
    <row r="29" spans="1:26" s="101" customFormat="1" ht="18" customHeight="1">
      <c r="A29" s="307">
        <v>16</v>
      </c>
      <c r="B29" s="260"/>
      <c r="C29" s="431" t="s">
        <v>354</v>
      </c>
      <c r="D29" s="307" t="e">
        <f>VLOOKUP(C29,'Tong luong NT'!#REF!,2,0)</f>
        <v>#REF!</v>
      </c>
      <c r="E29" s="470" t="s">
        <v>167</v>
      </c>
      <c r="F29" s="237" t="s">
        <v>157</v>
      </c>
      <c r="G29" s="359">
        <v>1.33</v>
      </c>
      <c r="H29" s="47">
        <v>25000</v>
      </c>
      <c r="I29" s="47" t="s">
        <v>355</v>
      </c>
      <c r="J29" s="47">
        <f t="shared" si="3"/>
        <v>33250</v>
      </c>
      <c r="K29" s="47">
        <f t="shared" si="4"/>
        <v>33250</v>
      </c>
      <c r="L29" s="380" t="e">
        <f>VLOOKUP($C$14:$C$36,#REF!,11,0)</f>
        <v>#REF!</v>
      </c>
      <c r="M29" s="365" t="e">
        <f>VLOOKUP(C29,#REF!,11,0)</f>
        <v>#REF!</v>
      </c>
      <c r="N29" s="365" t="e">
        <f t="shared" si="6"/>
        <v>#REF!</v>
      </c>
      <c r="O29" s="365" t="e">
        <f>VLOOKUP($C$14:$C$36,#REF!,15,0)</f>
        <v>#REF!</v>
      </c>
      <c r="P29" s="365" t="e">
        <f>VLOOKUP($C$14:$C$36,#REF!,16,0)</f>
        <v>#REF!</v>
      </c>
      <c r="Q29" s="47" t="e">
        <f t="shared" si="7"/>
        <v>#REF!</v>
      </c>
      <c r="R29" s="47" t="e">
        <f t="shared" si="5"/>
        <v>#REF!</v>
      </c>
      <c r="S29" s="47"/>
      <c r="T29" s="47"/>
      <c r="U29" s="47" t="e">
        <f t="shared" si="2"/>
        <v>#REF!</v>
      </c>
      <c r="V29" s="257"/>
      <c r="W29" s="257"/>
      <c r="X29" s="65" t="e">
        <f t="shared" si="8"/>
        <v>#REF!</v>
      </c>
      <c r="Y29" s="258"/>
      <c r="Z29" s="118" t="s">
        <v>156</v>
      </c>
    </row>
    <row r="30" spans="1:26" s="101" customFormat="1" ht="18" customHeight="1">
      <c r="A30" s="307">
        <v>17</v>
      </c>
      <c r="B30" s="260"/>
      <c r="C30" s="431" t="s">
        <v>298</v>
      </c>
      <c r="D30" s="307" t="e">
        <f>VLOOKUP(C30,'Tong luong NT'!#REF!,2,0)</f>
        <v>#REF!</v>
      </c>
      <c r="E30" s="470" t="s">
        <v>167</v>
      </c>
      <c r="F30" s="237" t="s">
        <v>157</v>
      </c>
      <c r="G30" s="359">
        <v>1.33</v>
      </c>
      <c r="H30" s="47">
        <v>25000</v>
      </c>
      <c r="I30" s="47" t="s">
        <v>355</v>
      </c>
      <c r="J30" s="47">
        <f t="shared" si="3"/>
        <v>33250</v>
      </c>
      <c r="K30" s="47">
        <f t="shared" si="4"/>
        <v>33250</v>
      </c>
      <c r="L30" s="380" t="e">
        <f>VLOOKUP($C$14:$C$36,#REF!,11,0)</f>
        <v>#REF!</v>
      </c>
      <c r="M30" s="365" t="e">
        <f>VLOOKUP(C30,#REF!,11,0)</f>
        <v>#REF!</v>
      </c>
      <c r="N30" s="365" t="e">
        <f t="shared" si="6"/>
        <v>#REF!</v>
      </c>
      <c r="O30" s="365" t="e">
        <f>VLOOKUP($C$14:$C$36,#REF!,15,0)</f>
        <v>#REF!</v>
      </c>
      <c r="P30" s="365" t="e">
        <f>VLOOKUP($C$14:$C$36,#REF!,16,0)</f>
        <v>#REF!</v>
      </c>
      <c r="Q30" s="47" t="e">
        <f t="shared" si="7"/>
        <v>#REF!</v>
      </c>
      <c r="R30" s="47" t="e">
        <f t="shared" si="5"/>
        <v>#REF!</v>
      </c>
      <c r="S30" s="47"/>
      <c r="T30" s="47"/>
      <c r="U30" s="47" t="e">
        <f t="shared" si="2"/>
        <v>#REF!</v>
      </c>
      <c r="V30" s="257"/>
      <c r="W30" s="257"/>
      <c r="X30" s="65" t="e">
        <f t="shared" si="8"/>
        <v>#REF!</v>
      </c>
      <c r="Y30" s="258"/>
      <c r="Z30" s="118" t="s">
        <v>156</v>
      </c>
    </row>
    <row r="31" spans="1:26" s="101" customFormat="1" ht="18" customHeight="1">
      <c r="A31" s="307">
        <v>18</v>
      </c>
      <c r="B31" s="260"/>
      <c r="C31" s="431" t="s">
        <v>292</v>
      </c>
      <c r="D31" s="307" t="e">
        <f>VLOOKUP(C31,'Tong luong NT'!#REF!,2,0)</f>
        <v>#REF!</v>
      </c>
      <c r="E31" s="470" t="s">
        <v>167</v>
      </c>
      <c r="F31" s="237" t="s">
        <v>157</v>
      </c>
      <c r="G31" s="359">
        <v>1.33</v>
      </c>
      <c r="H31" s="47">
        <v>25000</v>
      </c>
      <c r="I31" s="47" t="s">
        <v>355</v>
      </c>
      <c r="J31" s="47">
        <f t="shared" si="3"/>
        <v>33250</v>
      </c>
      <c r="K31" s="47">
        <f t="shared" si="4"/>
        <v>33250</v>
      </c>
      <c r="L31" s="380" t="e">
        <f>VLOOKUP($C$14:$C$36,#REF!,11,0)</f>
        <v>#REF!</v>
      </c>
      <c r="M31" s="365" t="e">
        <f>VLOOKUP(C31,#REF!,11,0)</f>
        <v>#REF!</v>
      </c>
      <c r="N31" s="365" t="e">
        <f t="shared" si="6"/>
        <v>#REF!</v>
      </c>
      <c r="O31" s="365" t="e">
        <f>VLOOKUP($C$14:$C$36,#REF!,15,0)</f>
        <v>#REF!</v>
      </c>
      <c r="P31" s="365" t="e">
        <f>VLOOKUP($C$14:$C$36,#REF!,16,0)</f>
        <v>#REF!</v>
      </c>
      <c r="Q31" s="47" t="e">
        <f t="shared" si="7"/>
        <v>#REF!</v>
      </c>
      <c r="R31" s="47" t="e">
        <f t="shared" si="5"/>
        <v>#REF!</v>
      </c>
      <c r="S31" s="47"/>
      <c r="T31" s="47"/>
      <c r="U31" s="47" t="e">
        <f t="shared" si="2"/>
        <v>#REF!</v>
      </c>
      <c r="V31" s="257"/>
      <c r="W31" s="257"/>
      <c r="X31" s="65" t="e">
        <f t="shared" si="8"/>
        <v>#REF!</v>
      </c>
      <c r="Y31" s="258"/>
      <c r="Z31" s="118" t="s">
        <v>156</v>
      </c>
    </row>
    <row r="32" spans="1:26" s="101" customFormat="1" ht="18" customHeight="1">
      <c r="A32" s="307">
        <v>19</v>
      </c>
      <c r="B32" s="260"/>
      <c r="C32" s="431" t="s">
        <v>296</v>
      </c>
      <c r="D32" s="307" t="e">
        <f>VLOOKUP(C32,'Tong luong NT'!#REF!,2,0)</f>
        <v>#REF!</v>
      </c>
      <c r="E32" s="470" t="s">
        <v>167</v>
      </c>
      <c r="F32" s="237" t="s">
        <v>157</v>
      </c>
      <c r="G32" s="359">
        <v>1.33</v>
      </c>
      <c r="H32" s="47">
        <v>25000</v>
      </c>
      <c r="I32" s="47" t="s">
        <v>355</v>
      </c>
      <c r="J32" s="47">
        <f t="shared" si="3"/>
        <v>33250</v>
      </c>
      <c r="K32" s="47">
        <f t="shared" si="4"/>
        <v>33250</v>
      </c>
      <c r="L32" s="380" t="e">
        <f>VLOOKUP($C$14:$C$36,#REF!,11,0)</f>
        <v>#REF!</v>
      </c>
      <c r="M32" s="365" t="e">
        <f>VLOOKUP(C32,#REF!,11,0)</f>
        <v>#REF!</v>
      </c>
      <c r="N32" s="365" t="e">
        <f t="shared" si="6"/>
        <v>#REF!</v>
      </c>
      <c r="O32" s="365" t="e">
        <f>VLOOKUP($C$14:$C$36,#REF!,15,0)</f>
        <v>#REF!</v>
      </c>
      <c r="P32" s="365" t="e">
        <f>VLOOKUP($C$14:$C$36,#REF!,16,0)</f>
        <v>#REF!</v>
      </c>
      <c r="Q32" s="47" t="e">
        <f t="shared" si="7"/>
        <v>#REF!</v>
      </c>
      <c r="R32" s="47" t="e">
        <f t="shared" si="5"/>
        <v>#REF!</v>
      </c>
      <c r="S32" s="47"/>
      <c r="T32" s="47"/>
      <c r="U32" s="47" t="e">
        <f t="shared" si="2"/>
        <v>#REF!</v>
      </c>
      <c r="V32" s="257"/>
      <c r="W32" s="257"/>
      <c r="X32" s="65" t="e">
        <f t="shared" si="8"/>
        <v>#REF!</v>
      </c>
      <c r="Y32" s="258"/>
      <c r="Z32" s="118" t="s">
        <v>156</v>
      </c>
    </row>
    <row r="33" spans="1:28" s="101" customFormat="1" ht="18" customHeight="1">
      <c r="A33" s="307">
        <v>20</v>
      </c>
      <c r="B33" s="260"/>
      <c r="C33" s="431" t="s">
        <v>297</v>
      </c>
      <c r="D33" s="307" t="e">
        <f>VLOOKUP(C33,'Tong luong NT'!#REF!,2,0)</f>
        <v>#REF!</v>
      </c>
      <c r="E33" s="470" t="s">
        <v>167</v>
      </c>
      <c r="F33" s="237" t="s">
        <v>157</v>
      </c>
      <c r="G33" s="359">
        <v>1.33</v>
      </c>
      <c r="H33" s="47">
        <v>25000</v>
      </c>
      <c r="I33" s="47" t="s">
        <v>355</v>
      </c>
      <c r="J33" s="47">
        <f t="shared" si="3"/>
        <v>33250</v>
      </c>
      <c r="K33" s="47">
        <f t="shared" si="4"/>
        <v>33250</v>
      </c>
      <c r="L33" s="380" t="e">
        <f>VLOOKUP($C$14:$C$36,#REF!,11,0)</f>
        <v>#REF!</v>
      </c>
      <c r="M33" s="365" t="e">
        <f>VLOOKUP(C33,#REF!,11,0)</f>
        <v>#REF!</v>
      </c>
      <c r="N33" s="365" t="e">
        <f t="shared" si="6"/>
        <v>#REF!</v>
      </c>
      <c r="O33" s="365" t="e">
        <f>VLOOKUP($C$14:$C$36,#REF!,15,0)</f>
        <v>#REF!</v>
      </c>
      <c r="P33" s="365" t="e">
        <f>VLOOKUP($C$14:$C$36,#REF!,16,0)</f>
        <v>#REF!</v>
      </c>
      <c r="Q33" s="47" t="e">
        <f t="shared" si="7"/>
        <v>#REF!</v>
      </c>
      <c r="R33" s="47" t="e">
        <f t="shared" si="5"/>
        <v>#REF!</v>
      </c>
      <c r="S33" s="47"/>
      <c r="T33" s="47"/>
      <c r="U33" s="47" t="e">
        <f t="shared" si="2"/>
        <v>#REF!</v>
      </c>
      <c r="V33" s="257"/>
      <c r="W33" s="257"/>
      <c r="X33" s="65" t="e">
        <f t="shared" si="8"/>
        <v>#REF!</v>
      </c>
      <c r="Y33" s="258"/>
      <c r="Z33" s="118" t="s">
        <v>156</v>
      </c>
    </row>
    <row r="34" spans="1:28" s="101" customFormat="1" ht="18" customHeight="1">
      <c r="A34" s="307">
        <v>21</v>
      </c>
      <c r="B34" s="260"/>
      <c r="C34" s="431" t="s">
        <v>340</v>
      </c>
      <c r="D34" s="307" t="e">
        <f>VLOOKUP(C34,'Tong luong NT'!#REF!,2,0)</f>
        <v>#REF!</v>
      </c>
      <c r="E34" s="470" t="s">
        <v>167</v>
      </c>
      <c r="F34" s="237" t="s">
        <v>157</v>
      </c>
      <c r="G34" s="359">
        <v>1.33</v>
      </c>
      <c r="H34" s="47">
        <v>25000</v>
      </c>
      <c r="I34" s="47" t="s">
        <v>355</v>
      </c>
      <c r="J34" s="47">
        <f t="shared" si="3"/>
        <v>33250</v>
      </c>
      <c r="K34" s="47">
        <f t="shared" si="4"/>
        <v>33250</v>
      </c>
      <c r="L34" s="380" t="e">
        <f>VLOOKUP($C$14:$C$36,#REF!,11,0)</f>
        <v>#REF!</v>
      </c>
      <c r="M34" s="365" t="e">
        <f>VLOOKUP(C34,#REF!,11,0)</f>
        <v>#REF!</v>
      </c>
      <c r="N34" s="365" t="e">
        <f t="shared" si="6"/>
        <v>#REF!</v>
      </c>
      <c r="O34" s="365" t="e">
        <f>VLOOKUP($C$14:$C$36,#REF!,15,0)</f>
        <v>#REF!</v>
      </c>
      <c r="P34" s="365" t="e">
        <f>VLOOKUP($C$14:$C$36,#REF!,16,0)</f>
        <v>#REF!</v>
      </c>
      <c r="Q34" s="47" t="e">
        <f t="shared" si="7"/>
        <v>#REF!</v>
      </c>
      <c r="R34" s="47" t="e">
        <f t="shared" si="5"/>
        <v>#REF!</v>
      </c>
      <c r="S34" s="47"/>
      <c r="T34" s="47"/>
      <c r="U34" s="47" t="e">
        <f t="shared" si="2"/>
        <v>#REF!</v>
      </c>
      <c r="V34" s="257"/>
      <c r="W34" s="257"/>
      <c r="X34" s="65" t="e">
        <f t="shared" si="8"/>
        <v>#REF!</v>
      </c>
      <c r="Y34" s="258"/>
      <c r="Z34" s="118" t="s">
        <v>156</v>
      </c>
    </row>
    <row r="35" spans="1:28" s="101" customFormat="1" ht="18" customHeight="1">
      <c r="A35" s="307">
        <v>22</v>
      </c>
      <c r="B35" s="260"/>
      <c r="C35" s="432" t="s">
        <v>404</v>
      </c>
      <c r="D35" s="307" t="e">
        <f>VLOOKUP(C35,'Tong luong NT'!#REF!,2,0)</f>
        <v>#REF!</v>
      </c>
      <c r="E35" s="470" t="s">
        <v>167</v>
      </c>
      <c r="F35" s="237" t="s">
        <v>157</v>
      </c>
      <c r="G35" s="359">
        <v>1.33</v>
      </c>
      <c r="H35" s="47">
        <v>25000</v>
      </c>
      <c r="I35" s="47" t="s">
        <v>355</v>
      </c>
      <c r="J35" s="47">
        <f>G35*H35</f>
        <v>33250</v>
      </c>
      <c r="K35" s="47">
        <f t="shared" si="4"/>
        <v>33250</v>
      </c>
      <c r="L35" s="380" t="e">
        <f>VLOOKUP($C$14:$C$36,#REF!,11,0)</f>
        <v>#REF!</v>
      </c>
      <c r="M35" s="365" t="e">
        <f>VLOOKUP(C35,#REF!,11,0)</f>
        <v>#REF!</v>
      </c>
      <c r="N35" s="365" t="e">
        <f t="shared" si="6"/>
        <v>#REF!</v>
      </c>
      <c r="O35" s="365" t="e">
        <f>VLOOKUP($C$14:$C$36,#REF!,15,0)</f>
        <v>#REF!</v>
      </c>
      <c r="P35" s="365" t="e">
        <f>VLOOKUP($C$14:$C$36,#REF!,16,0)</f>
        <v>#REF!</v>
      </c>
      <c r="Q35" s="47" t="e">
        <f t="shared" si="7"/>
        <v>#REF!</v>
      </c>
      <c r="R35" s="47" t="e">
        <f>J35+N35+Q35</f>
        <v>#REF!</v>
      </c>
      <c r="S35" s="47"/>
      <c r="T35" s="47"/>
      <c r="U35" s="47" t="e">
        <f t="shared" si="2"/>
        <v>#REF!</v>
      </c>
      <c r="V35" s="257"/>
      <c r="W35" s="257"/>
      <c r="X35" s="65" t="e">
        <f t="shared" si="8"/>
        <v>#REF!</v>
      </c>
      <c r="Y35" s="258"/>
      <c r="Z35" s="118" t="s">
        <v>156</v>
      </c>
    </row>
    <row r="36" spans="1:28" s="101" customFormat="1" ht="18" customHeight="1">
      <c r="A36" s="307">
        <v>23</v>
      </c>
      <c r="B36" s="313"/>
      <c r="C36" s="433" t="s">
        <v>294</v>
      </c>
      <c r="D36" s="307" t="e">
        <f>VLOOKUP(C36,'Tong luong NT'!#REF!,2,0)</f>
        <v>#REF!</v>
      </c>
      <c r="E36" s="471" t="s">
        <v>167</v>
      </c>
      <c r="F36" s="410" t="s">
        <v>157</v>
      </c>
      <c r="G36" s="359">
        <v>1.33</v>
      </c>
      <c r="H36" s="232">
        <v>25000</v>
      </c>
      <c r="I36" s="232" t="s">
        <v>355</v>
      </c>
      <c r="J36" s="232">
        <f>G36*H36</f>
        <v>33250</v>
      </c>
      <c r="K36" s="232">
        <f t="shared" si="4"/>
        <v>33250</v>
      </c>
      <c r="L36" s="380" t="e">
        <f>VLOOKUP($C$14:$C$36,#REF!,11,0)</f>
        <v>#REF!</v>
      </c>
      <c r="M36" s="425" t="e">
        <f>VLOOKUP(C36,#REF!,11,0)</f>
        <v>#REF!</v>
      </c>
      <c r="N36" s="377" t="e">
        <f t="shared" si="6"/>
        <v>#REF!</v>
      </c>
      <c r="O36" s="365" t="e">
        <f>VLOOKUP($C$14:$C$36,#REF!,15,0)</f>
        <v>#REF!</v>
      </c>
      <c r="P36" s="365" t="e">
        <f>VLOOKUP($C$14:$C$36,#REF!,16,0)</f>
        <v>#REF!</v>
      </c>
      <c r="Q36" s="232" t="e">
        <f>(O36*25000)+(P36*35000)</f>
        <v>#REF!</v>
      </c>
      <c r="R36" s="232" t="e">
        <f>J36+N36+Q36</f>
        <v>#REF!</v>
      </c>
      <c r="S36" s="232"/>
      <c r="T36" s="232"/>
      <c r="U36" s="232" t="e">
        <f t="shared" si="2"/>
        <v>#REF!</v>
      </c>
      <c r="V36" s="314"/>
      <c r="W36" s="314"/>
      <c r="X36" s="266" t="e">
        <f t="shared" si="8"/>
        <v>#REF!</v>
      </c>
      <c r="Y36" s="315"/>
      <c r="Z36" s="262" t="s">
        <v>156</v>
      </c>
    </row>
    <row r="37" spans="1:28" s="408" customFormat="1" ht="18" customHeight="1">
      <c r="A37" s="4518" t="s">
        <v>450</v>
      </c>
      <c r="B37" s="4518"/>
      <c r="C37" s="4518"/>
      <c r="D37" s="496"/>
      <c r="E37" s="495"/>
      <c r="F37" s="495"/>
      <c r="G37" s="405">
        <f>SUM(G14:G36)</f>
        <v>30.589999999999982</v>
      </c>
      <c r="H37" s="405"/>
      <c r="I37" s="405">
        <f>SUM(I14:I36)</f>
        <v>0</v>
      </c>
      <c r="J37" s="426">
        <f>ROUND(SUM(J14:J36),0)</f>
        <v>764750</v>
      </c>
      <c r="K37" s="426">
        <f>ROUND(SUM(K14:K36),0)</f>
        <v>764750</v>
      </c>
      <c r="L37" s="515" t="e">
        <f>ROUND(SUM(L14:L36),1)</f>
        <v>#REF!</v>
      </c>
      <c r="M37" s="426" t="e">
        <f t="shared" ref="M37:S37" si="9">ROUND(SUM(M14:M36),0)</f>
        <v>#REF!</v>
      </c>
      <c r="N37" s="426" t="e">
        <f t="shared" si="9"/>
        <v>#REF!</v>
      </c>
      <c r="O37" s="426" t="e">
        <f t="shared" si="9"/>
        <v>#REF!</v>
      </c>
      <c r="P37" s="426" t="e">
        <f t="shared" si="9"/>
        <v>#REF!</v>
      </c>
      <c r="Q37" s="426" t="e">
        <f t="shared" si="9"/>
        <v>#REF!</v>
      </c>
      <c r="R37" s="426" t="e">
        <f t="shared" si="9"/>
        <v>#REF!</v>
      </c>
      <c r="S37" s="426">
        <f t="shared" si="9"/>
        <v>0</v>
      </c>
      <c r="T37" s="426"/>
      <c r="U37" s="426" t="e">
        <f>ROUND(SUM(U14:U36),0)</f>
        <v>#REF!</v>
      </c>
      <c r="V37" s="426">
        <f>ROUND(SUM(V14:V36),0)</f>
        <v>0</v>
      </c>
      <c r="W37" s="426">
        <f>ROUND(SUM(W14:W36),0)</f>
        <v>0</v>
      </c>
      <c r="X37" s="426" t="e">
        <f>ROUND(SUM(X14:X36),0)</f>
        <v>#REF!</v>
      </c>
      <c r="Y37" s="406">
        <f>SUM(Y14:Y36)</f>
        <v>0</v>
      </c>
      <c r="Z37" s="407"/>
    </row>
    <row r="38" spans="1:28" s="105" customFormat="1" ht="21" customHeight="1">
      <c r="A38" s="4493" t="s">
        <v>498</v>
      </c>
      <c r="B38" s="4493"/>
      <c r="C38" s="4493"/>
      <c r="D38" s="4493"/>
      <c r="E38" s="4493"/>
      <c r="F38" s="4493"/>
      <c r="G38" s="4493"/>
      <c r="H38" s="4493"/>
      <c r="I38" s="4493"/>
      <c r="J38" s="4493"/>
      <c r="K38" s="4493"/>
      <c r="L38" s="4493"/>
      <c r="M38" s="4493"/>
      <c r="N38" s="4493"/>
      <c r="O38" s="4493"/>
      <c r="P38" s="4493"/>
      <c r="Q38" s="4493"/>
      <c r="R38" s="4493"/>
      <c r="S38" s="4493"/>
      <c r="T38" s="4493"/>
      <c r="U38" s="4493"/>
      <c r="V38" s="4493"/>
      <c r="W38" s="4493"/>
      <c r="X38" s="4493"/>
      <c r="Y38" s="4493"/>
      <c r="Z38" s="4493"/>
      <c r="AA38" s="120"/>
      <c r="AB38" s="120"/>
    </row>
    <row r="39" spans="1:28" ht="18" customHeight="1">
      <c r="G39" s="177"/>
      <c r="K39" s="108"/>
      <c r="L39" s="367"/>
      <c r="M39" s="367"/>
      <c r="N39" s="367"/>
      <c r="O39" s="367"/>
      <c r="Q39" s="108"/>
      <c r="R39" s="108"/>
      <c r="S39" s="108"/>
      <c r="T39" s="108"/>
      <c r="U39" s="108"/>
      <c r="V39" s="4494" t="s">
        <v>428</v>
      </c>
      <c r="W39" s="4494"/>
      <c r="X39" s="4494"/>
      <c r="Y39" s="4494"/>
      <c r="Z39" s="4494"/>
      <c r="AA39" s="108"/>
      <c r="AB39" s="109" t="e">
        <f>+#REF!-#REF!-#REF!-#REF!-#REF!</f>
        <v>#REF!</v>
      </c>
    </row>
    <row r="40" spans="1:28" s="519" customFormat="1" ht="18.75" customHeight="1">
      <c r="B40" s="4222" t="s">
        <v>19</v>
      </c>
      <c r="C40" s="4222"/>
      <c r="D40" s="4222"/>
      <c r="E40" s="4222"/>
      <c r="F40" s="4222"/>
      <c r="G40" s="520"/>
      <c r="H40" s="521"/>
      <c r="I40" s="4222" t="s">
        <v>117</v>
      </c>
      <c r="J40" s="4222"/>
      <c r="K40" s="4222"/>
      <c r="L40" s="4222"/>
      <c r="M40" s="569"/>
      <c r="N40" s="569"/>
      <c r="O40" s="4222" t="s">
        <v>93</v>
      </c>
      <c r="P40" s="4222"/>
      <c r="Q40" s="4222"/>
      <c r="R40" s="4222"/>
      <c r="S40" s="4222"/>
      <c r="T40" s="569"/>
      <c r="U40" s="521"/>
      <c r="V40" s="521"/>
      <c r="W40" s="4222" t="s">
        <v>21</v>
      </c>
      <c r="X40" s="4222"/>
      <c r="Y40" s="4222"/>
      <c r="Z40" s="569"/>
    </row>
    <row r="41" spans="1:28" s="522" customFormat="1" ht="18.75">
      <c r="C41" s="523"/>
      <c r="E41" s="567"/>
      <c r="F41" s="567"/>
      <c r="G41" s="524"/>
      <c r="L41" s="524"/>
      <c r="N41" s="523"/>
      <c r="P41" s="525"/>
      <c r="U41" s="523"/>
      <c r="Z41" s="567"/>
      <c r="AA41" s="523"/>
      <c r="AB41" s="523"/>
    </row>
    <row r="42" spans="1:28" s="522" customFormat="1" ht="18.75">
      <c r="C42" s="523"/>
      <c r="E42" s="567"/>
      <c r="F42" s="567"/>
      <c r="G42" s="524"/>
      <c r="L42" s="524"/>
      <c r="N42" s="523"/>
      <c r="P42" s="525"/>
      <c r="U42" s="523"/>
      <c r="Z42" s="567"/>
      <c r="AA42" s="523"/>
      <c r="AB42" s="523"/>
    </row>
    <row r="43" spans="1:28" s="522" customFormat="1" ht="18.75">
      <c r="C43" s="523"/>
      <c r="E43" s="567"/>
      <c r="F43" s="567"/>
      <c r="G43" s="524"/>
      <c r="L43" s="524"/>
      <c r="N43" s="523"/>
      <c r="P43" s="525"/>
      <c r="U43" s="523"/>
      <c r="Z43" s="567"/>
      <c r="AA43" s="523"/>
      <c r="AB43" s="523"/>
    </row>
    <row r="44" spans="1:28" s="522" customFormat="1" ht="18.75">
      <c r="C44" s="523"/>
      <c r="E44" s="567"/>
      <c r="F44" s="567"/>
      <c r="G44" s="4487"/>
      <c r="H44" s="4487"/>
      <c r="N44" s="523"/>
      <c r="P44" s="525"/>
      <c r="R44" s="523"/>
      <c r="S44" s="523"/>
      <c r="T44" s="523"/>
      <c r="U44" s="523"/>
      <c r="V44" s="523"/>
      <c r="W44" s="523"/>
      <c r="X44" s="523"/>
      <c r="Z44" s="567"/>
    </row>
    <row r="45" spans="1:28" s="522" customFormat="1" ht="18.75">
      <c r="C45" s="523"/>
      <c r="E45" s="567"/>
      <c r="F45" s="567"/>
      <c r="G45" s="4485"/>
      <c r="H45" s="4485"/>
      <c r="I45" s="4485"/>
      <c r="P45" s="525"/>
      <c r="Q45" s="526"/>
      <c r="R45" s="523"/>
      <c r="S45" s="523"/>
      <c r="T45" s="523"/>
      <c r="U45" s="523"/>
      <c r="V45" s="523"/>
      <c r="W45" s="523"/>
      <c r="X45" s="523"/>
      <c r="Z45" s="567"/>
    </row>
    <row r="46" spans="1:28" s="522" customFormat="1" ht="18.75">
      <c r="E46" s="567"/>
      <c r="F46" s="4485"/>
      <c r="G46" s="4485"/>
      <c r="H46" s="4486"/>
      <c r="I46" s="4486"/>
      <c r="J46" s="4486"/>
      <c r="L46" s="4482"/>
      <c r="M46" s="4482"/>
      <c r="N46" s="4482"/>
      <c r="O46" s="4482"/>
      <c r="P46" s="525"/>
      <c r="Q46" s="523"/>
      <c r="R46" s="523"/>
      <c r="S46" s="523"/>
      <c r="T46" s="523"/>
      <c r="U46" s="523"/>
      <c r="V46" s="523"/>
      <c r="W46" s="523"/>
      <c r="Z46" s="567"/>
    </row>
    <row r="47" spans="1:28" s="522" customFormat="1" ht="18.75">
      <c r="E47" s="567"/>
      <c r="F47" s="567"/>
      <c r="H47" s="4486"/>
      <c r="I47" s="4486"/>
      <c r="M47" s="4487"/>
      <c r="N47" s="4487"/>
      <c r="P47" s="525"/>
      <c r="R47" s="523"/>
      <c r="S47" s="523"/>
      <c r="T47" s="523"/>
      <c r="U47" s="4482"/>
      <c r="V47" s="4482"/>
      <c r="W47" s="523"/>
      <c r="Z47" s="567"/>
    </row>
    <row r="48" spans="1:28">
      <c r="M48" s="4483"/>
      <c r="N48" s="4483"/>
      <c r="P48" s="4198"/>
      <c r="Q48" s="4198"/>
      <c r="R48" s="4198"/>
      <c r="S48" s="110"/>
      <c r="T48" s="110"/>
      <c r="U48" s="110"/>
      <c r="V48" s="110"/>
      <c r="W48" s="4198" t="s">
        <v>34</v>
      </c>
      <c r="X48" s="4198"/>
      <c r="Y48" s="4198"/>
      <c r="Z48" s="247"/>
    </row>
    <row r="49" spans="1:43">
      <c r="M49" s="4483"/>
      <c r="N49" s="4483"/>
      <c r="U49" s="108"/>
    </row>
    <row r="50" spans="1:43">
      <c r="M50" s="4484"/>
      <c r="N50" s="4484"/>
    </row>
    <row r="52" spans="1:43" s="429" customFormat="1">
      <c r="A52" s="107"/>
      <c r="B52" s="106"/>
      <c r="C52" s="107"/>
      <c r="D52" s="107"/>
      <c r="G52" s="94"/>
      <c r="H52" s="94"/>
      <c r="I52" s="107"/>
      <c r="J52" s="94"/>
      <c r="K52" s="94"/>
      <c r="L52" s="107"/>
      <c r="M52" s="107"/>
      <c r="N52" s="107"/>
      <c r="O52" s="107"/>
      <c r="P52" s="376"/>
      <c r="Q52" s="94"/>
      <c r="R52" s="94"/>
      <c r="S52" s="94"/>
      <c r="T52" s="94"/>
      <c r="U52" s="94"/>
      <c r="V52" s="94"/>
      <c r="W52" s="94"/>
      <c r="X52" s="4094"/>
      <c r="Y52" s="40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</row>
    <row r="57" spans="1:43" s="429" customFormat="1">
      <c r="A57" s="107"/>
      <c r="B57" s="106"/>
      <c r="C57" s="107"/>
      <c r="D57" s="107"/>
      <c r="G57" s="94">
        <f>+G4</f>
        <v>0</v>
      </c>
      <c r="H57" s="94"/>
      <c r="I57" s="107"/>
      <c r="J57" s="94"/>
      <c r="K57" s="94"/>
      <c r="L57" s="107"/>
      <c r="M57" s="107"/>
      <c r="N57" s="107"/>
      <c r="O57" s="107"/>
      <c r="P57" s="376"/>
      <c r="Q57" s="94"/>
      <c r="R57" s="94"/>
      <c r="S57" s="94"/>
      <c r="T57" s="94"/>
      <c r="U57" s="94"/>
      <c r="V57" s="94"/>
      <c r="W57" s="94"/>
      <c r="X57" s="94"/>
      <c r="Y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</row>
    <row r="58" spans="1:43" s="429" customFormat="1">
      <c r="A58" s="107"/>
      <c r="B58" s="106"/>
      <c r="C58" s="107"/>
      <c r="D58" s="107"/>
      <c r="G58" s="94"/>
      <c r="H58" s="94"/>
      <c r="I58" s="107"/>
      <c r="J58" s="163"/>
      <c r="K58" s="94"/>
      <c r="L58" s="107"/>
      <c r="M58" s="107"/>
      <c r="N58" s="107"/>
      <c r="O58" s="107"/>
      <c r="P58" s="376"/>
      <c r="Q58" s="94"/>
      <c r="R58" s="94"/>
      <c r="S58" s="94"/>
      <c r="T58" s="94"/>
      <c r="U58" s="94"/>
      <c r="V58" s="94"/>
      <c r="W58" s="94"/>
      <c r="X58" s="94"/>
      <c r="Y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</row>
  </sheetData>
  <mergeCells count="51">
    <mergeCell ref="X52:Y52"/>
    <mergeCell ref="U47:V47"/>
    <mergeCell ref="M48:N48"/>
    <mergeCell ref="P48:R48"/>
    <mergeCell ref="W48:Y48"/>
    <mergeCell ref="M49:N49"/>
    <mergeCell ref="M50:N50"/>
    <mergeCell ref="F46:G46"/>
    <mergeCell ref="H46:J46"/>
    <mergeCell ref="L46:M46"/>
    <mergeCell ref="N46:O46"/>
    <mergeCell ref="H47:I47"/>
    <mergeCell ref="M47:N47"/>
    <mergeCell ref="G45:I45"/>
    <mergeCell ref="A38:Z38"/>
    <mergeCell ref="V39:Z39"/>
    <mergeCell ref="A13:F13"/>
    <mergeCell ref="A37:C37"/>
    <mergeCell ref="B40:F40"/>
    <mergeCell ref="I40:L40"/>
    <mergeCell ref="O40:S40"/>
    <mergeCell ref="W40:Y40"/>
    <mergeCell ref="G44:H44"/>
    <mergeCell ref="V8:V10"/>
    <mergeCell ref="W8:W10"/>
    <mergeCell ref="X8:X10"/>
    <mergeCell ref="Y8:Y10"/>
    <mergeCell ref="Z8:Z10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A8:A10"/>
    <mergeCell ref="B8:C9"/>
    <mergeCell ref="D8:D10"/>
    <mergeCell ref="E8:E10"/>
    <mergeCell ref="A1:F1"/>
    <mergeCell ref="R1:Y1"/>
    <mergeCell ref="A2:F2"/>
    <mergeCell ref="R2:Y2"/>
    <mergeCell ref="A4:Z4"/>
    <mergeCell ref="A5:Z5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82"/>
  <sheetViews>
    <sheetView topLeftCell="A45" zoomScale="85" zoomScaleNormal="85" workbookViewId="0">
      <selection activeCell="A62" sqref="A62:Z62"/>
    </sheetView>
  </sheetViews>
  <sheetFormatPr defaultColWidth="9.140625" defaultRowHeight="15.7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429" customWidth="1"/>
    <col min="6" max="6" width="9.85546875" style="429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376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429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>
      <c r="A1" s="4513" t="s">
        <v>80</v>
      </c>
      <c r="B1" s="4514"/>
      <c r="C1" s="4514"/>
      <c r="D1" s="4514"/>
      <c r="E1" s="4514"/>
      <c r="F1" s="4514"/>
      <c r="G1" s="78"/>
      <c r="H1" s="93"/>
      <c r="I1" s="93"/>
      <c r="J1" s="93"/>
      <c r="K1" s="93"/>
      <c r="L1" s="361"/>
      <c r="M1" s="361"/>
      <c r="N1" s="361"/>
      <c r="O1" s="361"/>
      <c r="P1" s="368"/>
      <c r="Q1" s="93"/>
      <c r="R1" s="4515" t="s">
        <v>23</v>
      </c>
      <c r="S1" s="4515"/>
      <c r="T1" s="4515"/>
      <c r="U1" s="4515"/>
      <c r="V1" s="4515"/>
      <c r="W1" s="4515"/>
      <c r="X1" s="4515"/>
      <c r="Y1" s="4515"/>
    </row>
    <row r="2" spans="1:43" ht="17.25">
      <c r="A2" s="4516"/>
      <c r="B2" s="4515"/>
      <c r="C2" s="4515"/>
      <c r="D2" s="4515"/>
      <c r="E2" s="4515"/>
      <c r="F2" s="4515"/>
      <c r="G2" s="81"/>
      <c r="H2" s="95"/>
      <c r="I2" s="95"/>
      <c r="J2" s="95"/>
      <c r="K2" s="95"/>
      <c r="L2" s="362"/>
      <c r="M2" s="362"/>
      <c r="N2" s="362"/>
      <c r="O2" s="362"/>
      <c r="P2" s="369"/>
      <c r="Q2" s="95"/>
      <c r="R2" s="4514" t="s">
        <v>45</v>
      </c>
      <c r="S2" s="4514"/>
      <c r="T2" s="4514"/>
      <c r="U2" s="4514"/>
      <c r="V2" s="4514"/>
      <c r="W2" s="4514"/>
      <c r="X2" s="4514"/>
      <c r="Y2" s="4514"/>
    </row>
    <row r="3" spans="1:43" ht="10.5" customHeight="1">
      <c r="A3" s="568"/>
      <c r="B3" s="96"/>
      <c r="C3" s="381"/>
      <c r="D3" s="381"/>
      <c r="G3" s="5"/>
      <c r="H3" s="6"/>
      <c r="I3" s="7"/>
      <c r="J3" s="6"/>
      <c r="K3" s="6"/>
      <c r="L3" s="7"/>
      <c r="M3" s="7"/>
      <c r="N3" s="7"/>
      <c r="O3" s="7"/>
      <c r="P3" s="370"/>
      <c r="Q3" s="6"/>
      <c r="R3" s="8"/>
      <c r="S3" s="8"/>
      <c r="T3" s="8"/>
      <c r="X3" s="98"/>
    </row>
    <row r="4" spans="1:43" s="99" customFormat="1" ht="25.9" customHeight="1">
      <c r="A4" s="4517" t="s">
        <v>473</v>
      </c>
      <c r="B4" s="4517"/>
      <c r="C4" s="4517"/>
      <c r="D4" s="4517"/>
      <c r="E4" s="4517"/>
      <c r="F4" s="4517"/>
      <c r="G4" s="4517"/>
      <c r="H4" s="4517"/>
      <c r="I4" s="4517"/>
      <c r="J4" s="4517"/>
      <c r="K4" s="4517"/>
      <c r="L4" s="4517"/>
      <c r="M4" s="4517"/>
      <c r="N4" s="4517"/>
      <c r="O4" s="4517"/>
      <c r="P4" s="4517"/>
      <c r="Q4" s="4517"/>
      <c r="R4" s="4517"/>
      <c r="S4" s="4517"/>
      <c r="T4" s="4517"/>
      <c r="U4" s="4517"/>
      <c r="V4" s="4517"/>
      <c r="W4" s="4517"/>
      <c r="X4" s="4517"/>
      <c r="Y4" s="4517"/>
      <c r="Z4" s="4517"/>
    </row>
    <row r="5" spans="1:43" s="99" customFormat="1" ht="26.25" customHeight="1">
      <c r="A5" s="4202" t="s">
        <v>91</v>
      </c>
      <c r="B5" s="4202"/>
      <c r="C5" s="4202"/>
      <c r="D5" s="4202"/>
      <c r="E5" s="4202"/>
      <c r="F5" s="4202"/>
      <c r="G5" s="4202"/>
      <c r="H5" s="4202"/>
      <c r="I5" s="4202"/>
      <c r="J5" s="4202"/>
      <c r="K5" s="4202"/>
      <c r="L5" s="4202"/>
      <c r="M5" s="4202"/>
      <c r="N5" s="4202"/>
      <c r="O5" s="4202"/>
      <c r="P5" s="4202"/>
      <c r="Q5" s="4202"/>
      <c r="R5" s="4202"/>
      <c r="S5" s="4202"/>
      <c r="T5" s="4202"/>
      <c r="U5" s="4202"/>
      <c r="V5" s="4202"/>
      <c r="W5" s="4202"/>
      <c r="X5" s="4202"/>
      <c r="Y5" s="4202"/>
      <c r="Z5" s="4202"/>
    </row>
    <row r="6" spans="1:43" s="99" customFormat="1" ht="18.75" customHeight="1">
      <c r="A6" s="304"/>
      <c r="B6" s="4199" t="s">
        <v>321</v>
      </c>
      <c r="C6" s="4199"/>
      <c r="D6" s="4200" t="e">
        <f>#REF!</f>
        <v>#REF!</v>
      </c>
      <c r="E6" s="4203"/>
      <c r="F6" s="565"/>
      <c r="G6" s="565"/>
      <c r="H6" s="565"/>
      <c r="I6" s="565"/>
      <c r="J6" s="565"/>
      <c r="K6" s="565"/>
      <c r="L6" s="304"/>
      <c r="M6" s="304"/>
      <c r="N6" s="304"/>
      <c r="O6" s="304"/>
      <c r="P6" s="371"/>
      <c r="Q6" s="565"/>
      <c r="R6" s="565"/>
      <c r="S6" s="565"/>
      <c r="T6" s="565"/>
      <c r="U6" s="565"/>
      <c r="V6" s="565"/>
      <c r="W6" s="565"/>
      <c r="X6" s="565"/>
      <c r="Y6" s="565"/>
      <c r="Z6" s="97"/>
    </row>
    <row r="7" spans="1:43" s="99" customFormat="1" ht="20.25" customHeight="1">
      <c r="A7" s="305"/>
      <c r="B7" s="4199" t="s">
        <v>322</v>
      </c>
      <c r="C7" s="4199"/>
      <c r="D7" s="4203" t="e">
        <f>#REF!</f>
        <v>#REF!</v>
      </c>
      <c r="E7" s="4203"/>
      <c r="F7" s="117"/>
      <c r="G7" s="117"/>
      <c r="H7" s="117"/>
      <c r="I7" s="117"/>
      <c r="J7" s="117"/>
      <c r="K7" s="117"/>
      <c r="L7" s="305"/>
      <c r="M7" s="305"/>
      <c r="N7" s="305"/>
      <c r="O7" s="305"/>
      <c r="P7" s="372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>
      <c r="A8" s="4204" t="s">
        <v>0</v>
      </c>
      <c r="B8" s="4508" t="s">
        <v>1</v>
      </c>
      <c r="C8" s="4509"/>
      <c r="D8" s="4204" t="s">
        <v>64</v>
      </c>
      <c r="E8" s="4510" t="s">
        <v>2</v>
      </c>
      <c r="F8" s="4503" t="s">
        <v>3</v>
      </c>
      <c r="G8" s="4431" t="s">
        <v>4</v>
      </c>
      <c r="H8" s="4432"/>
      <c r="I8" s="4432"/>
      <c r="J8" s="4432"/>
      <c r="K8" s="4432"/>
      <c r="L8" s="4432"/>
      <c r="M8" s="4432"/>
      <c r="N8" s="4432"/>
      <c r="O8" s="4432"/>
      <c r="P8" s="4432"/>
      <c r="Q8" s="4433"/>
      <c r="R8" s="4412" t="s">
        <v>5</v>
      </c>
      <c r="S8" s="4412" t="s">
        <v>6</v>
      </c>
      <c r="T8" s="4412" t="s">
        <v>497</v>
      </c>
      <c r="U8" s="4412" t="s">
        <v>7</v>
      </c>
      <c r="V8" s="4412" t="s">
        <v>8</v>
      </c>
      <c r="W8" s="4412" t="s">
        <v>78</v>
      </c>
      <c r="X8" s="4410" t="s">
        <v>9</v>
      </c>
      <c r="Y8" s="4505" t="s">
        <v>10</v>
      </c>
      <c r="Z8" s="4495" t="s">
        <v>11</v>
      </c>
      <c r="AB8" s="100">
        <v>26</v>
      </c>
    </row>
    <row r="9" spans="1:43" s="100" customFormat="1" ht="20.25" customHeight="1">
      <c r="A9" s="4204"/>
      <c r="B9" s="4509"/>
      <c r="C9" s="4509"/>
      <c r="D9" s="4204"/>
      <c r="E9" s="4511"/>
      <c r="F9" s="4495"/>
      <c r="G9" s="4497" t="s">
        <v>182</v>
      </c>
      <c r="H9" s="4498"/>
      <c r="I9" s="4498"/>
      <c r="J9" s="4498"/>
      <c r="K9" s="4499"/>
      <c r="L9" s="4500" t="s">
        <v>183</v>
      </c>
      <c r="M9" s="4501"/>
      <c r="N9" s="4502"/>
      <c r="O9" s="4500" t="s">
        <v>184</v>
      </c>
      <c r="P9" s="4501"/>
      <c r="Q9" s="4502"/>
      <c r="R9" s="4412"/>
      <c r="S9" s="4412"/>
      <c r="T9" s="4412"/>
      <c r="U9" s="4412"/>
      <c r="V9" s="4412"/>
      <c r="W9" s="4412"/>
      <c r="X9" s="4421"/>
      <c r="Y9" s="4506"/>
      <c r="Z9" s="4496"/>
    </row>
    <row r="10" spans="1:43" s="101" customFormat="1" ht="72.75" customHeight="1">
      <c r="A10" s="4205"/>
      <c r="B10" s="564" t="s">
        <v>15</v>
      </c>
      <c r="C10" s="382" t="s">
        <v>16</v>
      </c>
      <c r="D10" s="4204"/>
      <c r="E10" s="4512"/>
      <c r="F10" s="4504"/>
      <c r="G10" s="112" t="s">
        <v>12</v>
      </c>
      <c r="H10" s="113" t="s">
        <v>94</v>
      </c>
      <c r="I10" s="560" t="s">
        <v>13</v>
      </c>
      <c r="J10" s="103" t="s">
        <v>14</v>
      </c>
      <c r="K10" s="560" t="s">
        <v>444</v>
      </c>
      <c r="L10" s="561" t="s">
        <v>191</v>
      </c>
      <c r="M10" s="561" t="s">
        <v>189</v>
      </c>
      <c r="N10" s="561" t="s">
        <v>192</v>
      </c>
      <c r="O10" s="561" t="s">
        <v>193</v>
      </c>
      <c r="P10" s="373" t="s">
        <v>194</v>
      </c>
      <c r="Q10" s="559" t="s">
        <v>192</v>
      </c>
      <c r="R10" s="4412"/>
      <c r="S10" s="4412"/>
      <c r="T10" s="4412"/>
      <c r="U10" s="4428"/>
      <c r="V10" s="4412"/>
      <c r="W10" s="4412"/>
      <c r="X10" s="4411"/>
      <c r="Y10" s="4507"/>
      <c r="Z10" s="4496"/>
    </row>
    <row r="11" spans="1:43" s="102" customFormat="1" ht="60.75" customHeight="1">
      <c r="A11" s="119" t="s">
        <v>65</v>
      </c>
      <c r="B11" s="119" t="s">
        <v>66</v>
      </c>
      <c r="C11" s="119" t="s">
        <v>67</v>
      </c>
      <c r="D11" s="119" t="s">
        <v>116</v>
      </c>
      <c r="E11" s="119" t="s">
        <v>68</v>
      </c>
      <c r="F11" s="119" t="s">
        <v>114</v>
      </c>
      <c r="G11" s="119" t="s">
        <v>69</v>
      </c>
      <c r="H11" s="119" t="s">
        <v>230</v>
      </c>
      <c r="I11" s="119" t="s">
        <v>231</v>
      </c>
      <c r="J11" s="119" t="s">
        <v>72</v>
      </c>
      <c r="K11" s="119" t="s">
        <v>232</v>
      </c>
      <c r="L11" s="119" t="s">
        <v>185</v>
      </c>
      <c r="M11" s="119" t="s">
        <v>186</v>
      </c>
      <c r="N11" s="119" t="s">
        <v>72</v>
      </c>
      <c r="O11" s="119" t="s">
        <v>187</v>
      </c>
      <c r="P11" s="374" t="s">
        <v>188</v>
      </c>
      <c r="Q11" s="119" t="s">
        <v>72</v>
      </c>
      <c r="R11" s="119" t="s">
        <v>229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115</v>
      </c>
    </row>
    <row r="12" spans="1:43" s="570" customFormat="1" ht="15" customHeight="1">
      <c r="A12" s="563">
        <v>1</v>
      </c>
      <c r="B12" s="382">
        <v>2</v>
      </c>
      <c r="C12" s="563">
        <v>3</v>
      </c>
      <c r="D12" s="382">
        <v>4</v>
      </c>
      <c r="E12" s="563">
        <v>5</v>
      </c>
      <c r="F12" s="382">
        <v>6</v>
      </c>
      <c r="G12" s="563">
        <v>7</v>
      </c>
      <c r="H12" s="382">
        <v>8</v>
      </c>
      <c r="I12" s="563">
        <v>9</v>
      </c>
      <c r="J12" s="382">
        <v>10</v>
      </c>
      <c r="K12" s="563">
        <v>11</v>
      </c>
      <c r="L12" s="382">
        <v>12</v>
      </c>
      <c r="M12" s="563">
        <v>13</v>
      </c>
      <c r="N12" s="382">
        <v>14</v>
      </c>
      <c r="O12" s="563">
        <v>15</v>
      </c>
      <c r="P12" s="375">
        <v>16</v>
      </c>
      <c r="Q12" s="563">
        <v>17</v>
      </c>
      <c r="R12" s="382">
        <v>18</v>
      </c>
      <c r="S12" s="563">
        <v>19</v>
      </c>
      <c r="T12" s="563"/>
      <c r="U12" s="382">
        <v>20</v>
      </c>
      <c r="V12" s="563">
        <v>21</v>
      </c>
      <c r="W12" s="382">
        <v>22</v>
      </c>
      <c r="X12" s="382">
        <v>24</v>
      </c>
      <c r="Y12" s="563">
        <v>25</v>
      </c>
      <c r="Z12" s="382">
        <v>26</v>
      </c>
    </row>
    <row r="13" spans="1:43" s="408" customFormat="1" ht="18" customHeight="1">
      <c r="A13" s="4204" t="s">
        <v>452</v>
      </c>
      <c r="B13" s="4204"/>
      <c r="C13" s="4204"/>
      <c r="D13" s="496"/>
      <c r="E13" s="496"/>
      <c r="F13" s="496"/>
      <c r="G13" s="466" t="e">
        <f>G16+G61</f>
        <v>#N/A</v>
      </c>
      <c r="H13" s="467">
        <f>H16+H61</f>
        <v>760</v>
      </c>
      <c r="I13" s="467"/>
      <c r="J13" s="467"/>
      <c r="K13" s="467" t="e">
        <f t="shared" ref="K13:X13" si="0">K16+K61</f>
        <v>#REF!</v>
      </c>
      <c r="L13" s="514" t="e">
        <f t="shared" si="0"/>
        <v>#REF!</v>
      </c>
      <c r="M13" s="467" t="e">
        <f t="shared" si="0"/>
        <v>#REF!</v>
      </c>
      <c r="N13" s="467" t="e">
        <f t="shared" si="0"/>
        <v>#REF!</v>
      </c>
      <c r="O13" s="467" t="e">
        <f t="shared" si="0"/>
        <v>#REF!</v>
      </c>
      <c r="P13" s="467" t="e">
        <f t="shared" si="0"/>
        <v>#REF!</v>
      </c>
      <c r="Q13" s="467" t="e">
        <f t="shared" si="0"/>
        <v>#REF!</v>
      </c>
      <c r="R13" s="467" t="e">
        <f t="shared" si="0"/>
        <v>#REF!</v>
      </c>
      <c r="S13" s="467" t="e">
        <f t="shared" si="0"/>
        <v>#REF!</v>
      </c>
      <c r="T13" s="467" t="e">
        <f t="shared" si="0"/>
        <v>#REF!</v>
      </c>
      <c r="U13" s="467" t="e">
        <f t="shared" si="0"/>
        <v>#REF!</v>
      </c>
      <c r="V13" s="467" t="e">
        <f t="shared" si="0"/>
        <v>#REF!</v>
      </c>
      <c r="W13" s="467" t="e">
        <f t="shared" si="0"/>
        <v>#REF!</v>
      </c>
      <c r="X13" s="467" t="e">
        <f t="shared" si="0"/>
        <v>#REF!</v>
      </c>
      <c r="Y13" s="467"/>
      <c r="Z13" s="468"/>
    </row>
    <row r="14" spans="1:43" s="105" customFormat="1" ht="18" customHeight="1">
      <c r="A14" s="411">
        <v>1</v>
      </c>
      <c r="B14" s="450" t="s">
        <v>441</v>
      </c>
      <c r="C14" s="50" t="s">
        <v>36</v>
      </c>
      <c r="D14" s="435" t="s">
        <v>102</v>
      </c>
      <c r="E14" s="451" t="s">
        <v>445</v>
      </c>
      <c r="F14" s="411" t="s">
        <v>157</v>
      </c>
      <c r="G14" s="46">
        <f>VLOOKUP(C14,'CC NT'!$C$7:$AI$25,33,0)</f>
        <v>26</v>
      </c>
      <c r="H14" s="452">
        <v>400</v>
      </c>
      <c r="I14" s="411" t="s">
        <v>17</v>
      </c>
      <c r="J14" s="46">
        <f>H14/$AB$8*G14</f>
        <v>400</v>
      </c>
      <c r="K14" s="64" t="e">
        <f>ROUND(H14*$D$6,0)</f>
        <v>#REF!</v>
      </c>
      <c r="L14" s="64"/>
      <c r="M14" s="64"/>
      <c r="N14" s="64"/>
      <c r="O14" s="64"/>
      <c r="P14" s="453"/>
      <c r="Q14" s="64"/>
      <c r="R14" s="64" t="e">
        <f>K14</f>
        <v>#REF!</v>
      </c>
      <c r="S14" s="64" t="e">
        <f>ROUND((VLOOKUP(C14,'HS bảo hiểm'!$B$7:$F$23,5,0)*2760000*0.105)*$D$7,0)</f>
        <v>#REF!</v>
      </c>
      <c r="T14" s="64"/>
      <c r="U14" s="64" t="e">
        <f>R14-S14-T14</f>
        <v>#REF!</v>
      </c>
      <c r="V14" s="64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64" t="e">
        <f>ROUND((U14-V14)*1%,0)</f>
        <v>#REF!</v>
      </c>
      <c r="X14" s="64" t="e">
        <f>ROUND(U14-V14-W14,0)</f>
        <v>#REF!</v>
      </c>
      <c r="Y14" s="454"/>
      <c r="Z14" s="455" t="s">
        <v>18</v>
      </c>
      <c r="AA14" s="120"/>
    </row>
    <row r="15" spans="1:43" s="105" customFormat="1" ht="18" customHeight="1">
      <c r="A15" s="248">
        <v>2</v>
      </c>
      <c r="B15" s="456" t="s">
        <v>442</v>
      </c>
      <c r="C15" s="457" t="s">
        <v>429</v>
      </c>
      <c r="D15" s="133" t="s">
        <v>104</v>
      </c>
      <c r="E15" s="458" t="s">
        <v>446</v>
      </c>
      <c r="F15" s="248" t="s">
        <v>157</v>
      </c>
      <c r="G15" s="459" t="e">
        <f>VLOOKUP(C15,'CC NT'!$C$7:$AI$25,33,0)</f>
        <v>#N/A</v>
      </c>
      <c r="H15" s="460">
        <v>360</v>
      </c>
      <c r="I15" s="248" t="s">
        <v>17</v>
      </c>
      <c r="J15" s="49" t="e">
        <f>H15/$AB$8*G15</f>
        <v>#N/A</v>
      </c>
      <c r="K15" s="66" t="e">
        <f>ROUND(H15*$D$6,0)</f>
        <v>#REF!</v>
      </c>
      <c r="L15" s="66"/>
      <c r="M15" s="66"/>
      <c r="N15" s="66"/>
      <c r="O15" s="66"/>
      <c r="P15" s="461"/>
      <c r="Q15" s="66"/>
      <c r="R15" s="66" t="e">
        <f>K15</f>
        <v>#REF!</v>
      </c>
      <c r="S15" s="462" t="e">
        <f>ROUND((VLOOKUP(C15,'HS bảo hiểm'!$B$7:$F$23,5,0)*2760000*0.105)*$D$7,0)</f>
        <v>#N/A</v>
      </c>
      <c r="T15" s="462" t="e">
        <f>200344.5*D7</f>
        <v>#REF!</v>
      </c>
      <c r="U15" s="66" t="e">
        <f>R15-S15-T15</f>
        <v>#REF!</v>
      </c>
      <c r="V15" s="66" t="e">
        <f>ROUND(IF(U15&gt;40000000,((U15-40000000)*24%+6120000),IF(U15&gt;24000000,((U15-24000000)*20%+2920000),IF(U15&gt;12000000,((U15-12000000)*15%+1120000),IF(U15&gt;6000000,(U15-6000000)*12%+400000,IF(U15&gt;3000000,(U15-3000000)*10%+100000,IF(U15&gt;1000000,(U15-1000000)*5%,0)))))),0)</f>
        <v>#REF!</v>
      </c>
      <c r="W15" s="66" t="e">
        <f>ROUND((U15-V15)*1%,0)</f>
        <v>#REF!</v>
      </c>
      <c r="X15" s="66" t="e">
        <f>ROUND(U15-V15-W15,0)</f>
        <v>#REF!</v>
      </c>
      <c r="Y15" s="463"/>
      <c r="Z15" s="464" t="s">
        <v>18</v>
      </c>
      <c r="AA15" s="120"/>
    </row>
    <row r="16" spans="1:43" s="440" customFormat="1" ht="18" customHeight="1">
      <c r="A16" s="4488" t="s">
        <v>449</v>
      </c>
      <c r="B16" s="4489"/>
      <c r="C16" s="4489"/>
      <c r="D16" s="4489"/>
      <c r="E16" s="4489"/>
      <c r="F16" s="4490"/>
      <c r="G16" s="36" t="e">
        <f>SUM(G14:G15)</f>
        <v>#N/A</v>
      </c>
      <c r="H16" s="36">
        <f>SUM(H14:H15)</f>
        <v>760</v>
      </c>
      <c r="I16" s="36" t="str">
        <f>I15</f>
        <v>USD</v>
      </c>
      <c r="J16" s="36" t="e">
        <f t="shared" ref="J16:X16" si="1">SUM(J14:J15)</f>
        <v>#N/A</v>
      </c>
      <c r="K16" s="36" t="e">
        <f t="shared" si="1"/>
        <v>#REF!</v>
      </c>
      <c r="L16" s="36">
        <f>SUM(L14:L15)</f>
        <v>0</v>
      </c>
      <c r="M16" s="36">
        <f t="shared" si="1"/>
        <v>0</v>
      </c>
      <c r="N16" s="36">
        <f t="shared" si="1"/>
        <v>0</v>
      </c>
      <c r="O16" s="36">
        <f t="shared" si="1"/>
        <v>0</v>
      </c>
      <c r="P16" s="36">
        <f t="shared" si="1"/>
        <v>0</v>
      </c>
      <c r="Q16" s="36">
        <f t="shared" si="1"/>
        <v>0</v>
      </c>
      <c r="R16" s="36" t="e">
        <f t="shared" si="1"/>
        <v>#REF!</v>
      </c>
      <c r="S16" s="36" t="e">
        <f t="shared" si="1"/>
        <v>#REF!</v>
      </c>
      <c r="T16" s="36" t="e">
        <f t="shared" si="1"/>
        <v>#REF!</v>
      </c>
      <c r="U16" s="36" t="e">
        <f>SUM(U14:U15)</f>
        <v>#REF!</v>
      </c>
      <c r="V16" s="36" t="e">
        <f t="shared" si="1"/>
        <v>#REF!</v>
      </c>
      <c r="W16" s="36" t="e">
        <f t="shared" si="1"/>
        <v>#REF!</v>
      </c>
      <c r="X16" s="36" t="e">
        <f t="shared" si="1"/>
        <v>#REF!</v>
      </c>
      <c r="Y16" s="562"/>
      <c r="Z16" s="319"/>
      <c r="AA16" s="430"/>
      <c r="AB16" s="430"/>
      <c r="AC16" s="430"/>
      <c r="AD16" s="430"/>
      <c r="AE16" s="430"/>
      <c r="AF16" s="430"/>
      <c r="AG16" s="430"/>
      <c r="AH16" s="430"/>
      <c r="AI16" s="436"/>
      <c r="AJ16" s="437"/>
      <c r="AK16" s="438"/>
      <c r="AL16" s="438"/>
      <c r="AM16" s="439"/>
      <c r="AN16" s="296"/>
      <c r="AO16" s="296"/>
      <c r="AP16" s="296"/>
      <c r="AQ16" s="296"/>
    </row>
    <row r="17" spans="1:26" s="101" customFormat="1" ht="18" customHeight="1">
      <c r="A17" s="309">
        <v>1</v>
      </c>
      <c r="B17" s="316"/>
      <c r="C17" s="432" t="s">
        <v>316</v>
      </c>
      <c r="D17" s="499" t="s">
        <v>476</v>
      </c>
      <c r="E17" s="472" t="s">
        <v>167</v>
      </c>
      <c r="F17" s="409" t="s">
        <v>157</v>
      </c>
      <c r="G17" s="360" t="e">
        <f>VLOOKUP($C$17:$C$60,#REF!,9,0)</f>
        <v>#REF!</v>
      </c>
      <c r="H17" s="238">
        <v>25000</v>
      </c>
      <c r="I17" s="238" t="s">
        <v>355</v>
      </c>
      <c r="J17" s="238" t="e">
        <f t="shared" ref="J17:J60" si="2">G17*H17</f>
        <v>#REF!</v>
      </c>
      <c r="K17" s="238" t="e">
        <f t="shared" ref="K17:K50" si="3">J17</f>
        <v>#REF!</v>
      </c>
      <c r="L17" s="516" t="e">
        <f>VLOOKUP($C$17:$C$60,#REF!,11,0)</f>
        <v>#REF!</v>
      </c>
      <c r="M17" s="366" t="e">
        <f>VLOOKUP($C$17:$C$60,#REF!,11,0)</f>
        <v>#REF!</v>
      </c>
      <c r="N17" s="366" t="e">
        <f t="shared" ref="N17:N56" si="4">L17*IF(M17="A",1600,IF(M17="B",1500,IF(M17="C",1400)))</f>
        <v>#REF!</v>
      </c>
      <c r="O17" s="366" t="e">
        <f>VLOOKUP($C$17:$C$60,#REF!,15,0)</f>
        <v>#REF!</v>
      </c>
      <c r="P17" s="366" t="e">
        <f>VLOOKUP($C$17:$C$60,#REF!,16,0)</f>
        <v>#REF!</v>
      </c>
      <c r="Q17" s="238" t="e">
        <f>(O17*25000)+(P17*35000)</f>
        <v>#REF!</v>
      </c>
      <c r="R17" s="238" t="e">
        <f t="shared" ref="R17:R60" si="5">J17+N17+Q17</f>
        <v>#REF!</v>
      </c>
      <c r="S17" s="238"/>
      <c r="T17" s="238"/>
      <c r="U17" s="238" t="e">
        <f t="shared" ref="U17:U60" si="6">R17-S17</f>
        <v>#REF!</v>
      </c>
      <c r="V17" s="317"/>
      <c r="W17" s="317"/>
      <c r="X17" s="239" t="e">
        <f t="shared" ref="X17:X60" si="7">U17-V17-W17</f>
        <v>#REF!</v>
      </c>
      <c r="Y17" s="318"/>
      <c r="Z17" s="312" t="s">
        <v>156</v>
      </c>
    </row>
    <row r="18" spans="1:26" s="101" customFormat="1" ht="18" customHeight="1">
      <c r="A18" s="307">
        <v>2</v>
      </c>
      <c r="B18" s="260"/>
      <c r="C18" s="431" t="s">
        <v>408</v>
      </c>
      <c r="D18" s="499" t="s">
        <v>477</v>
      </c>
      <c r="E18" s="470" t="s">
        <v>167</v>
      </c>
      <c r="F18" s="237" t="s">
        <v>157</v>
      </c>
      <c r="G18" s="360" t="e">
        <f>VLOOKUP($C$17:$C$60,#REF!,9,0)</f>
        <v>#REF!</v>
      </c>
      <c r="H18" s="47">
        <v>25000</v>
      </c>
      <c r="I18" s="47" t="s">
        <v>355</v>
      </c>
      <c r="J18" s="47" t="e">
        <f t="shared" si="2"/>
        <v>#REF!</v>
      </c>
      <c r="K18" s="47" t="e">
        <f t="shared" si="3"/>
        <v>#REF!</v>
      </c>
      <c r="L18" s="516" t="e">
        <f>VLOOKUP($C$17:$C$60,#REF!,11,0)</f>
        <v>#REF!</v>
      </c>
      <c r="M18" s="366" t="e">
        <f>VLOOKUP($C$17:$C$60,#REF!,11,0)</f>
        <v>#REF!</v>
      </c>
      <c r="N18" s="365" t="e">
        <f t="shared" si="4"/>
        <v>#REF!</v>
      </c>
      <c r="O18" s="366" t="e">
        <f>VLOOKUP($C$17:$C$60,#REF!,15,0)</f>
        <v>#REF!</v>
      </c>
      <c r="P18" s="366" t="e">
        <f>VLOOKUP($C$17:$C$60,#REF!,16,0)</f>
        <v>#REF!</v>
      </c>
      <c r="Q18" s="238" t="e">
        <f t="shared" ref="Q18:Q60" si="8">(O18*25000)+(P18*35000)</f>
        <v>#REF!</v>
      </c>
      <c r="R18" s="47" t="e">
        <f t="shared" si="5"/>
        <v>#REF!</v>
      </c>
      <c r="S18" s="47"/>
      <c r="T18" s="47"/>
      <c r="U18" s="47" t="e">
        <f t="shared" si="6"/>
        <v>#REF!</v>
      </c>
      <c r="V18" s="257"/>
      <c r="W18" s="257"/>
      <c r="X18" s="65" t="e">
        <f t="shared" si="7"/>
        <v>#REF!</v>
      </c>
      <c r="Y18" s="258"/>
      <c r="Z18" s="118" t="s">
        <v>156</v>
      </c>
    </row>
    <row r="19" spans="1:26" s="101" customFormat="1" ht="18" customHeight="1">
      <c r="A19" s="307">
        <v>3</v>
      </c>
      <c r="B19" s="260"/>
      <c r="C19" s="431" t="s">
        <v>281</v>
      </c>
      <c r="D19" s="499" t="s">
        <v>478</v>
      </c>
      <c r="E19" s="470" t="s">
        <v>167</v>
      </c>
      <c r="F19" s="237" t="s">
        <v>157</v>
      </c>
      <c r="G19" s="360" t="e">
        <f>VLOOKUP($C$17:$C$60,#REF!,9,0)</f>
        <v>#REF!</v>
      </c>
      <c r="H19" s="47">
        <v>25000</v>
      </c>
      <c r="I19" s="47" t="s">
        <v>355</v>
      </c>
      <c r="J19" s="47" t="e">
        <f t="shared" si="2"/>
        <v>#REF!</v>
      </c>
      <c r="K19" s="47" t="e">
        <f t="shared" si="3"/>
        <v>#REF!</v>
      </c>
      <c r="L19" s="516" t="e">
        <f>VLOOKUP($C$17:$C$60,#REF!,11,0)</f>
        <v>#REF!</v>
      </c>
      <c r="M19" s="366" t="e">
        <f>VLOOKUP($C$17:$C$60,#REF!,11,0)</f>
        <v>#REF!</v>
      </c>
      <c r="N19" s="365" t="e">
        <f t="shared" si="4"/>
        <v>#REF!</v>
      </c>
      <c r="O19" s="366" t="e">
        <f>VLOOKUP($C$17:$C$60,#REF!,15,0)</f>
        <v>#REF!</v>
      </c>
      <c r="P19" s="366" t="e">
        <f>VLOOKUP($C$17:$C$60,#REF!,16,0)</f>
        <v>#REF!</v>
      </c>
      <c r="Q19" s="238" t="e">
        <f t="shared" si="8"/>
        <v>#REF!</v>
      </c>
      <c r="R19" s="47" t="e">
        <f t="shared" si="5"/>
        <v>#REF!</v>
      </c>
      <c r="S19" s="47"/>
      <c r="T19" s="47"/>
      <c r="U19" s="47" t="e">
        <f t="shared" si="6"/>
        <v>#REF!</v>
      </c>
      <c r="V19" s="257"/>
      <c r="W19" s="257"/>
      <c r="X19" s="65" t="e">
        <f t="shared" si="7"/>
        <v>#REF!</v>
      </c>
      <c r="Y19" s="258"/>
      <c r="Z19" s="118" t="s">
        <v>156</v>
      </c>
    </row>
    <row r="20" spans="1:26" s="101" customFormat="1" ht="18" customHeight="1">
      <c r="A20" s="307">
        <v>4</v>
      </c>
      <c r="B20" s="260"/>
      <c r="C20" s="431" t="s">
        <v>412</v>
      </c>
      <c r="D20" s="499" t="s">
        <v>479</v>
      </c>
      <c r="E20" s="470" t="s">
        <v>167</v>
      </c>
      <c r="F20" s="237" t="s">
        <v>157</v>
      </c>
      <c r="G20" s="360" t="e">
        <f>VLOOKUP($C$17:$C$60,#REF!,9,0)</f>
        <v>#REF!</v>
      </c>
      <c r="H20" s="47">
        <v>25000</v>
      </c>
      <c r="I20" s="47" t="s">
        <v>355</v>
      </c>
      <c r="J20" s="47" t="e">
        <f t="shared" si="2"/>
        <v>#REF!</v>
      </c>
      <c r="K20" s="47" t="e">
        <f t="shared" si="3"/>
        <v>#REF!</v>
      </c>
      <c r="L20" s="516" t="e">
        <f>VLOOKUP($C$17:$C$60,#REF!,11,0)</f>
        <v>#REF!</v>
      </c>
      <c r="M20" s="366" t="e">
        <f>VLOOKUP($C$17:$C$60,#REF!,11,0)</f>
        <v>#REF!</v>
      </c>
      <c r="N20" s="365" t="e">
        <f t="shared" si="4"/>
        <v>#REF!</v>
      </c>
      <c r="O20" s="366" t="e">
        <f>VLOOKUP($C$17:$C$60,#REF!,15,0)</f>
        <v>#REF!</v>
      </c>
      <c r="P20" s="366" t="e">
        <f>VLOOKUP($C$17:$C$60,#REF!,16,0)</f>
        <v>#REF!</v>
      </c>
      <c r="Q20" s="238" t="e">
        <f t="shared" si="8"/>
        <v>#REF!</v>
      </c>
      <c r="R20" s="47" t="e">
        <f t="shared" si="5"/>
        <v>#REF!</v>
      </c>
      <c r="S20" s="47"/>
      <c r="T20" s="47"/>
      <c r="U20" s="47" t="e">
        <f t="shared" si="6"/>
        <v>#REF!</v>
      </c>
      <c r="V20" s="257"/>
      <c r="W20" s="257"/>
      <c r="X20" s="65" t="e">
        <f t="shared" si="7"/>
        <v>#REF!</v>
      </c>
      <c r="Y20" s="258"/>
      <c r="Z20" s="118" t="s">
        <v>156</v>
      </c>
    </row>
    <row r="21" spans="1:26" s="101" customFormat="1" ht="18" customHeight="1">
      <c r="A21" s="307">
        <v>5</v>
      </c>
      <c r="B21" s="260"/>
      <c r="C21" s="431" t="s">
        <v>317</v>
      </c>
      <c r="D21" s="499" t="s">
        <v>480</v>
      </c>
      <c r="E21" s="470" t="s">
        <v>167</v>
      </c>
      <c r="F21" s="237" t="s">
        <v>157</v>
      </c>
      <c r="G21" s="360" t="e">
        <f>VLOOKUP($C$17:$C$60,#REF!,9,0)</f>
        <v>#REF!</v>
      </c>
      <c r="H21" s="47">
        <v>25000</v>
      </c>
      <c r="I21" s="47" t="s">
        <v>355</v>
      </c>
      <c r="J21" s="47" t="e">
        <f t="shared" si="2"/>
        <v>#REF!</v>
      </c>
      <c r="K21" s="47" t="e">
        <f t="shared" si="3"/>
        <v>#REF!</v>
      </c>
      <c r="L21" s="516" t="e">
        <f>VLOOKUP($C$17:$C$60,#REF!,11,0)</f>
        <v>#REF!</v>
      </c>
      <c r="M21" s="366" t="e">
        <f>VLOOKUP($C$17:$C$60,#REF!,11,0)</f>
        <v>#REF!</v>
      </c>
      <c r="N21" s="365" t="e">
        <f t="shared" si="4"/>
        <v>#REF!</v>
      </c>
      <c r="O21" s="366" t="e">
        <f>VLOOKUP($C$17:$C$60,#REF!,15,0)</f>
        <v>#REF!</v>
      </c>
      <c r="P21" s="366" t="e">
        <f>VLOOKUP($C$17:$C$60,#REF!,16,0)</f>
        <v>#REF!</v>
      </c>
      <c r="Q21" s="238" t="e">
        <f t="shared" si="8"/>
        <v>#REF!</v>
      </c>
      <c r="R21" s="47" t="e">
        <f t="shared" si="5"/>
        <v>#REF!</v>
      </c>
      <c r="S21" s="47"/>
      <c r="T21" s="47"/>
      <c r="U21" s="47" t="e">
        <f t="shared" si="6"/>
        <v>#REF!</v>
      </c>
      <c r="V21" s="257"/>
      <c r="W21" s="257"/>
      <c r="X21" s="65" t="e">
        <f t="shared" si="7"/>
        <v>#REF!</v>
      </c>
      <c r="Y21" s="258"/>
      <c r="Z21" s="118" t="s">
        <v>156</v>
      </c>
    </row>
    <row r="22" spans="1:26" s="101" customFormat="1" ht="18" customHeight="1">
      <c r="A22" s="307">
        <v>6</v>
      </c>
      <c r="B22" s="260"/>
      <c r="C22" s="431" t="s">
        <v>282</v>
      </c>
      <c r="D22" s="499" t="s">
        <v>481</v>
      </c>
      <c r="E22" s="470" t="s">
        <v>167</v>
      </c>
      <c r="F22" s="237" t="s">
        <v>157</v>
      </c>
      <c r="G22" s="360" t="e">
        <f>VLOOKUP($C$17:$C$60,#REF!,9,0)</f>
        <v>#REF!</v>
      </c>
      <c r="H22" s="47">
        <v>25000</v>
      </c>
      <c r="I22" s="47" t="s">
        <v>355</v>
      </c>
      <c r="J22" s="47" t="e">
        <f t="shared" si="2"/>
        <v>#REF!</v>
      </c>
      <c r="K22" s="47" t="e">
        <f t="shared" si="3"/>
        <v>#REF!</v>
      </c>
      <c r="L22" s="516" t="e">
        <f>VLOOKUP($C$17:$C$60,#REF!,11,0)</f>
        <v>#REF!</v>
      </c>
      <c r="M22" s="366" t="e">
        <f>VLOOKUP($C$17:$C$60,#REF!,11,0)</f>
        <v>#REF!</v>
      </c>
      <c r="N22" s="365" t="e">
        <f t="shared" si="4"/>
        <v>#REF!</v>
      </c>
      <c r="O22" s="366" t="e">
        <f>VLOOKUP($C$17:$C$60,#REF!,15,0)</f>
        <v>#REF!</v>
      </c>
      <c r="P22" s="366" t="e">
        <f>VLOOKUP($C$17:$C$60,#REF!,16,0)</f>
        <v>#REF!</v>
      </c>
      <c r="Q22" s="238" t="e">
        <f t="shared" si="8"/>
        <v>#REF!</v>
      </c>
      <c r="R22" s="47" t="e">
        <f t="shared" si="5"/>
        <v>#REF!</v>
      </c>
      <c r="S22" s="47"/>
      <c r="T22" s="47"/>
      <c r="U22" s="47" t="e">
        <f t="shared" si="6"/>
        <v>#REF!</v>
      </c>
      <c r="V22" s="257"/>
      <c r="W22" s="257"/>
      <c r="X22" s="65" t="e">
        <f t="shared" si="7"/>
        <v>#REF!</v>
      </c>
      <c r="Y22" s="258"/>
      <c r="Z22" s="118" t="s">
        <v>156</v>
      </c>
    </row>
    <row r="23" spans="1:26" s="101" customFormat="1" ht="18" customHeight="1">
      <c r="A23" s="307">
        <v>7</v>
      </c>
      <c r="B23" s="260"/>
      <c r="C23" s="431" t="s">
        <v>414</v>
      </c>
      <c r="D23" s="499" t="s">
        <v>482</v>
      </c>
      <c r="E23" s="470" t="s">
        <v>167</v>
      </c>
      <c r="F23" s="237" t="s">
        <v>157</v>
      </c>
      <c r="G23" s="360" t="e">
        <f>VLOOKUP($C$17:$C$60,#REF!,9,0)</f>
        <v>#REF!</v>
      </c>
      <c r="H23" s="47">
        <v>25000</v>
      </c>
      <c r="I23" s="47" t="s">
        <v>355</v>
      </c>
      <c r="J23" s="47" t="e">
        <f t="shared" si="2"/>
        <v>#REF!</v>
      </c>
      <c r="K23" s="47" t="e">
        <f t="shared" si="3"/>
        <v>#REF!</v>
      </c>
      <c r="L23" s="516" t="e">
        <f>VLOOKUP($C$17:$C$60,#REF!,11,0)</f>
        <v>#REF!</v>
      </c>
      <c r="M23" s="366" t="e">
        <f>VLOOKUP($C$17:$C$60,#REF!,11,0)</f>
        <v>#REF!</v>
      </c>
      <c r="N23" s="365" t="e">
        <f t="shared" si="4"/>
        <v>#REF!</v>
      </c>
      <c r="O23" s="366" t="e">
        <f>VLOOKUP($C$17:$C$60,#REF!,15,0)</f>
        <v>#REF!</v>
      </c>
      <c r="P23" s="366" t="e">
        <f>VLOOKUP($C$17:$C$60,#REF!,16,0)</f>
        <v>#REF!</v>
      </c>
      <c r="Q23" s="238" t="e">
        <f t="shared" si="8"/>
        <v>#REF!</v>
      </c>
      <c r="R23" s="47" t="e">
        <f t="shared" si="5"/>
        <v>#REF!</v>
      </c>
      <c r="S23" s="47"/>
      <c r="T23" s="47"/>
      <c r="U23" s="47" t="e">
        <f t="shared" si="6"/>
        <v>#REF!</v>
      </c>
      <c r="V23" s="257"/>
      <c r="W23" s="257"/>
      <c r="X23" s="65" t="e">
        <f t="shared" si="7"/>
        <v>#REF!</v>
      </c>
      <c r="Y23" s="258"/>
      <c r="Z23" s="118" t="s">
        <v>156</v>
      </c>
    </row>
    <row r="24" spans="1:26" s="101" customFormat="1" ht="18" customHeight="1">
      <c r="A24" s="307">
        <v>8</v>
      </c>
      <c r="B24" s="260"/>
      <c r="C24" s="431" t="s">
        <v>283</v>
      </c>
      <c r="D24" s="499" t="s">
        <v>483</v>
      </c>
      <c r="E24" s="470" t="s">
        <v>167</v>
      </c>
      <c r="F24" s="237" t="s">
        <v>157</v>
      </c>
      <c r="G24" s="360" t="e">
        <f>VLOOKUP($C$17:$C$60,#REF!,9,0)</f>
        <v>#REF!</v>
      </c>
      <c r="H24" s="47">
        <v>25000</v>
      </c>
      <c r="I24" s="47" t="s">
        <v>355</v>
      </c>
      <c r="J24" s="47" t="e">
        <f t="shared" si="2"/>
        <v>#REF!</v>
      </c>
      <c r="K24" s="47" t="e">
        <f t="shared" si="3"/>
        <v>#REF!</v>
      </c>
      <c r="L24" s="516" t="e">
        <f>VLOOKUP($C$17:$C$60,#REF!,11,0)</f>
        <v>#REF!</v>
      </c>
      <c r="M24" s="366" t="e">
        <f>VLOOKUP($C$17:$C$60,#REF!,11,0)</f>
        <v>#REF!</v>
      </c>
      <c r="N24" s="365" t="e">
        <f t="shared" si="4"/>
        <v>#REF!</v>
      </c>
      <c r="O24" s="366" t="e">
        <f>VLOOKUP($C$17:$C$60,#REF!,15,0)</f>
        <v>#REF!</v>
      </c>
      <c r="P24" s="366" t="e">
        <f>VLOOKUP($C$17:$C$60,#REF!,16,0)</f>
        <v>#REF!</v>
      </c>
      <c r="Q24" s="238" t="e">
        <f t="shared" si="8"/>
        <v>#REF!</v>
      </c>
      <c r="R24" s="47" t="e">
        <f t="shared" si="5"/>
        <v>#REF!</v>
      </c>
      <c r="S24" s="47"/>
      <c r="T24" s="47"/>
      <c r="U24" s="47" t="e">
        <f t="shared" si="6"/>
        <v>#REF!</v>
      </c>
      <c r="V24" s="257"/>
      <c r="W24" s="257"/>
      <c r="X24" s="65" t="e">
        <f t="shared" si="7"/>
        <v>#REF!</v>
      </c>
      <c r="Y24" s="258"/>
      <c r="Z24" s="118" t="s">
        <v>156</v>
      </c>
    </row>
    <row r="25" spans="1:26" s="101" customFormat="1" ht="18" customHeight="1">
      <c r="A25" s="307">
        <v>9</v>
      </c>
      <c r="B25" s="260"/>
      <c r="C25" s="431" t="s">
        <v>284</v>
      </c>
      <c r="D25" s="499" t="s">
        <v>484</v>
      </c>
      <c r="E25" s="470" t="s">
        <v>167</v>
      </c>
      <c r="F25" s="237" t="s">
        <v>157</v>
      </c>
      <c r="G25" s="360" t="e">
        <f>VLOOKUP($C$17:$C$60,#REF!,9,0)</f>
        <v>#REF!</v>
      </c>
      <c r="H25" s="47">
        <v>25000</v>
      </c>
      <c r="I25" s="47" t="s">
        <v>355</v>
      </c>
      <c r="J25" s="47" t="e">
        <f t="shared" si="2"/>
        <v>#REF!</v>
      </c>
      <c r="K25" s="47" t="e">
        <f t="shared" si="3"/>
        <v>#REF!</v>
      </c>
      <c r="L25" s="516" t="e">
        <f>VLOOKUP($C$17:$C$60,#REF!,11,0)</f>
        <v>#REF!</v>
      </c>
      <c r="M25" s="366" t="e">
        <f>VLOOKUP($C$17:$C$60,#REF!,11,0)</f>
        <v>#REF!</v>
      </c>
      <c r="N25" s="365" t="e">
        <f t="shared" si="4"/>
        <v>#REF!</v>
      </c>
      <c r="O25" s="366" t="e">
        <f>VLOOKUP($C$17:$C$60,#REF!,15,0)</f>
        <v>#REF!</v>
      </c>
      <c r="P25" s="366" t="e">
        <f>VLOOKUP($C$17:$C$60,#REF!,16,0)</f>
        <v>#REF!</v>
      </c>
      <c r="Q25" s="238" t="e">
        <f t="shared" si="8"/>
        <v>#REF!</v>
      </c>
      <c r="R25" s="47" t="e">
        <f t="shared" si="5"/>
        <v>#REF!</v>
      </c>
      <c r="S25" s="47"/>
      <c r="T25" s="47"/>
      <c r="U25" s="47" t="e">
        <f t="shared" si="6"/>
        <v>#REF!</v>
      </c>
      <c r="V25" s="257"/>
      <c r="W25" s="257"/>
      <c r="X25" s="65" t="e">
        <f t="shared" si="7"/>
        <v>#REF!</v>
      </c>
      <c r="Y25" s="258"/>
      <c r="Z25" s="118" t="s">
        <v>156</v>
      </c>
    </row>
    <row r="26" spans="1:26" s="101" customFormat="1" ht="18" customHeight="1">
      <c r="A26" s="307">
        <v>10</v>
      </c>
      <c r="B26" s="260"/>
      <c r="C26" s="432" t="s">
        <v>161</v>
      </c>
      <c r="D26" s="499" t="s">
        <v>372</v>
      </c>
      <c r="E26" s="470" t="s">
        <v>167</v>
      </c>
      <c r="F26" s="237" t="s">
        <v>157</v>
      </c>
      <c r="G26" s="360" t="e">
        <f>VLOOKUP($C$17:$C$60,#REF!,9,0)</f>
        <v>#REF!</v>
      </c>
      <c r="H26" s="47">
        <v>25000</v>
      </c>
      <c r="I26" s="47" t="s">
        <v>355</v>
      </c>
      <c r="J26" s="47" t="e">
        <f t="shared" si="2"/>
        <v>#REF!</v>
      </c>
      <c r="K26" s="47" t="e">
        <f t="shared" si="3"/>
        <v>#REF!</v>
      </c>
      <c r="L26" s="516" t="e">
        <f>VLOOKUP($C$17:$C$60,#REF!,11,0)</f>
        <v>#REF!</v>
      </c>
      <c r="M26" s="366" t="e">
        <f>VLOOKUP($C$17:$C$60,#REF!,11,0)</f>
        <v>#REF!</v>
      </c>
      <c r="N26" s="365" t="e">
        <f t="shared" si="4"/>
        <v>#REF!</v>
      </c>
      <c r="O26" s="366" t="e">
        <f>VLOOKUP($C$17:$C$60,#REF!,15,0)</f>
        <v>#REF!</v>
      </c>
      <c r="P26" s="366" t="e">
        <f>VLOOKUP($C$17:$C$60,#REF!,16,0)</f>
        <v>#REF!</v>
      </c>
      <c r="Q26" s="238" t="e">
        <f t="shared" si="8"/>
        <v>#REF!</v>
      </c>
      <c r="R26" s="47" t="e">
        <f t="shared" si="5"/>
        <v>#REF!</v>
      </c>
      <c r="S26" s="47"/>
      <c r="T26" s="47"/>
      <c r="U26" s="47" t="e">
        <f t="shared" si="6"/>
        <v>#REF!</v>
      </c>
      <c r="V26" s="257"/>
      <c r="W26" s="257"/>
      <c r="X26" s="65" t="e">
        <f t="shared" si="7"/>
        <v>#REF!</v>
      </c>
      <c r="Y26" s="258"/>
      <c r="Z26" s="118" t="s">
        <v>156</v>
      </c>
    </row>
    <row r="27" spans="1:26" s="101" customFormat="1" ht="18" customHeight="1">
      <c r="A27" s="307">
        <v>11</v>
      </c>
      <c r="B27" s="260"/>
      <c r="C27" s="431" t="s">
        <v>328</v>
      </c>
      <c r="D27" s="499" t="s">
        <v>392</v>
      </c>
      <c r="E27" s="470" t="s">
        <v>167</v>
      </c>
      <c r="F27" s="237" t="s">
        <v>157</v>
      </c>
      <c r="G27" s="360" t="e">
        <f>VLOOKUP($C$17:$C$60,#REF!,9,0)</f>
        <v>#REF!</v>
      </c>
      <c r="H27" s="47">
        <v>25000</v>
      </c>
      <c r="I27" s="47" t="s">
        <v>355</v>
      </c>
      <c r="J27" s="47" t="e">
        <f t="shared" si="2"/>
        <v>#REF!</v>
      </c>
      <c r="K27" s="47" t="e">
        <f t="shared" si="3"/>
        <v>#REF!</v>
      </c>
      <c r="L27" s="516" t="e">
        <f>VLOOKUP($C$17:$C$60,#REF!,11,0)</f>
        <v>#REF!</v>
      </c>
      <c r="M27" s="366" t="e">
        <f>VLOOKUP($C$17:$C$60,#REF!,11,0)</f>
        <v>#REF!</v>
      </c>
      <c r="N27" s="365" t="e">
        <f t="shared" si="4"/>
        <v>#REF!</v>
      </c>
      <c r="O27" s="366" t="e">
        <f>VLOOKUP($C$17:$C$60,#REF!,15,0)</f>
        <v>#REF!</v>
      </c>
      <c r="P27" s="366" t="e">
        <f>VLOOKUP($C$17:$C$60,#REF!,16,0)</f>
        <v>#REF!</v>
      </c>
      <c r="Q27" s="238" t="e">
        <f t="shared" si="8"/>
        <v>#REF!</v>
      </c>
      <c r="R27" s="47" t="e">
        <f t="shared" si="5"/>
        <v>#REF!</v>
      </c>
      <c r="S27" s="47"/>
      <c r="T27" s="47"/>
      <c r="U27" s="47" t="e">
        <f t="shared" si="6"/>
        <v>#REF!</v>
      </c>
      <c r="V27" s="257"/>
      <c r="W27" s="257"/>
      <c r="X27" s="65" t="e">
        <f t="shared" si="7"/>
        <v>#REF!</v>
      </c>
      <c r="Y27" s="258"/>
      <c r="Z27" s="118" t="s">
        <v>156</v>
      </c>
    </row>
    <row r="28" spans="1:26" s="101" customFormat="1" ht="18" customHeight="1">
      <c r="A28" s="307">
        <v>12</v>
      </c>
      <c r="B28" s="260"/>
      <c r="C28" s="431" t="s">
        <v>350</v>
      </c>
      <c r="D28" s="499" t="s">
        <v>399</v>
      </c>
      <c r="E28" s="470" t="s">
        <v>167</v>
      </c>
      <c r="F28" s="237" t="s">
        <v>157</v>
      </c>
      <c r="G28" s="360" t="e">
        <f>VLOOKUP($C$17:$C$60,#REF!,9,0)</f>
        <v>#REF!</v>
      </c>
      <c r="H28" s="47">
        <v>25000</v>
      </c>
      <c r="I28" s="47" t="s">
        <v>355</v>
      </c>
      <c r="J28" s="47" t="e">
        <f t="shared" si="2"/>
        <v>#REF!</v>
      </c>
      <c r="K28" s="47" t="e">
        <f t="shared" si="3"/>
        <v>#REF!</v>
      </c>
      <c r="L28" s="516" t="e">
        <f>VLOOKUP($C$17:$C$60,#REF!,11,0)</f>
        <v>#REF!</v>
      </c>
      <c r="M28" s="366" t="e">
        <f>VLOOKUP($C$17:$C$60,#REF!,11,0)</f>
        <v>#REF!</v>
      </c>
      <c r="N28" s="365" t="e">
        <f t="shared" si="4"/>
        <v>#REF!</v>
      </c>
      <c r="O28" s="366" t="e">
        <f>VLOOKUP($C$17:$C$60,#REF!,15,0)</f>
        <v>#REF!</v>
      </c>
      <c r="P28" s="366" t="e">
        <f>VLOOKUP($C$17:$C$60,#REF!,16,0)</f>
        <v>#REF!</v>
      </c>
      <c r="Q28" s="238" t="e">
        <f t="shared" si="8"/>
        <v>#REF!</v>
      </c>
      <c r="R28" s="47" t="e">
        <f t="shared" si="5"/>
        <v>#REF!</v>
      </c>
      <c r="S28" s="47"/>
      <c r="T28" s="47"/>
      <c r="U28" s="47" t="e">
        <f t="shared" si="6"/>
        <v>#REF!</v>
      </c>
      <c r="V28" s="257"/>
      <c r="W28" s="257"/>
      <c r="X28" s="65" t="e">
        <f t="shared" si="7"/>
        <v>#REF!</v>
      </c>
      <c r="Y28" s="258"/>
      <c r="Z28" s="118" t="s">
        <v>156</v>
      </c>
    </row>
    <row r="29" spans="1:26" s="101" customFormat="1" ht="18" customHeight="1">
      <c r="A29" s="307">
        <v>13</v>
      </c>
      <c r="B29" s="260"/>
      <c r="C29" s="431" t="s">
        <v>349</v>
      </c>
      <c r="D29" s="499" t="s">
        <v>397</v>
      </c>
      <c r="E29" s="470" t="s">
        <v>167</v>
      </c>
      <c r="F29" s="237" t="s">
        <v>157</v>
      </c>
      <c r="G29" s="360" t="e">
        <f>VLOOKUP($C$17:$C$60,#REF!,9,0)</f>
        <v>#REF!</v>
      </c>
      <c r="H29" s="47">
        <v>25000</v>
      </c>
      <c r="I29" s="47" t="s">
        <v>355</v>
      </c>
      <c r="J29" s="47" t="e">
        <f t="shared" si="2"/>
        <v>#REF!</v>
      </c>
      <c r="K29" s="47" t="e">
        <f t="shared" si="3"/>
        <v>#REF!</v>
      </c>
      <c r="L29" s="516" t="e">
        <f>VLOOKUP($C$17:$C$60,#REF!,11,0)</f>
        <v>#REF!</v>
      </c>
      <c r="M29" s="366" t="e">
        <f>VLOOKUP($C$17:$C$60,#REF!,11,0)</f>
        <v>#REF!</v>
      </c>
      <c r="N29" s="365" t="e">
        <f t="shared" si="4"/>
        <v>#REF!</v>
      </c>
      <c r="O29" s="366" t="e">
        <f>VLOOKUP($C$17:$C$60,#REF!,15,0)</f>
        <v>#REF!</v>
      </c>
      <c r="P29" s="366" t="e">
        <f>VLOOKUP($C$17:$C$60,#REF!,16,0)</f>
        <v>#REF!</v>
      </c>
      <c r="Q29" s="238" t="e">
        <f t="shared" si="8"/>
        <v>#REF!</v>
      </c>
      <c r="R29" s="47" t="e">
        <f t="shared" si="5"/>
        <v>#REF!</v>
      </c>
      <c r="S29" s="47"/>
      <c r="T29" s="47"/>
      <c r="U29" s="47" t="e">
        <f t="shared" si="6"/>
        <v>#REF!</v>
      </c>
      <c r="V29" s="257"/>
      <c r="W29" s="257"/>
      <c r="X29" s="65" t="e">
        <f t="shared" si="7"/>
        <v>#REF!</v>
      </c>
      <c r="Y29" s="258"/>
      <c r="Z29" s="118" t="s">
        <v>156</v>
      </c>
    </row>
    <row r="30" spans="1:26" s="101" customFormat="1" ht="18" customHeight="1">
      <c r="A30" s="307">
        <v>14</v>
      </c>
      <c r="B30" s="260"/>
      <c r="C30" s="431" t="s">
        <v>344</v>
      </c>
      <c r="D30" s="499" t="s">
        <v>379</v>
      </c>
      <c r="E30" s="470" t="s">
        <v>167</v>
      </c>
      <c r="F30" s="237" t="s">
        <v>157</v>
      </c>
      <c r="G30" s="360" t="e">
        <f>VLOOKUP($C$17:$C$60,#REF!,9,0)</f>
        <v>#REF!</v>
      </c>
      <c r="H30" s="47">
        <v>25000</v>
      </c>
      <c r="I30" s="47" t="s">
        <v>355</v>
      </c>
      <c r="J30" s="47" t="e">
        <f t="shared" si="2"/>
        <v>#REF!</v>
      </c>
      <c r="K30" s="47" t="e">
        <f t="shared" si="3"/>
        <v>#REF!</v>
      </c>
      <c r="L30" s="516" t="e">
        <f>VLOOKUP($C$17:$C$60,#REF!,11,0)</f>
        <v>#REF!</v>
      </c>
      <c r="M30" s="366" t="e">
        <f>VLOOKUP($C$17:$C$60,#REF!,11,0)</f>
        <v>#REF!</v>
      </c>
      <c r="N30" s="365" t="e">
        <f t="shared" si="4"/>
        <v>#REF!</v>
      </c>
      <c r="O30" s="366" t="e">
        <f>VLOOKUP($C$17:$C$60,#REF!,15,0)</f>
        <v>#REF!</v>
      </c>
      <c r="P30" s="366" t="e">
        <f>VLOOKUP($C$17:$C$60,#REF!,16,0)</f>
        <v>#REF!</v>
      </c>
      <c r="Q30" s="238" t="e">
        <f t="shared" si="8"/>
        <v>#REF!</v>
      </c>
      <c r="R30" s="47" t="e">
        <f t="shared" si="5"/>
        <v>#REF!</v>
      </c>
      <c r="S30" s="47"/>
      <c r="T30" s="47"/>
      <c r="U30" s="47" t="e">
        <f t="shared" si="6"/>
        <v>#REF!</v>
      </c>
      <c r="V30" s="257"/>
      <c r="W30" s="257"/>
      <c r="X30" s="65" t="e">
        <f t="shared" si="7"/>
        <v>#REF!</v>
      </c>
      <c r="Y30" s="258"/>
      <c r="Z30" s="118" t="s">
        <v>156</v>
      </c>
    </row>
    <row r="31" spans="1:26" s="101" customFormat="1" ht="18" customHeight="1">
      <c r="A31" s="307">
        <v>15</v>
      </c>
      <c r="B31" s="260"/>
      <c r="C31" s="431" t="s">
        <v>330</v>
      </c>
      <c r="D31" s="499" t="s">
        <v>375</v>
      </c>
      <c r="E31" s="470" t="s">
        <v>167</v>
      </c>
      <c r="F31" s="237" t="s">
        <v>157</v>
      </c>
      <c r="G31" s="360" t="e">
        <f>VLOOKUP($C$17:$C$60,#REF!,9,0)</f>
        <v>#REF!</v>
      </c>
      <c r="H31" s="47">
        <v>25000</v>
      </c>
      <c r="I31" s="47" t="s">
        <v>355</v>
      </c>
      <c r="J31" s="47" t="e">
        <f t="shared" si="2"/>
        <v>#REF!</v>
      </c>
      <c r="K31" s="47" t="e">
        <f t="shared" si="3"/>
        <v>#REF!</v>
      </c>
      <c r="L31" s="516" t="e">
        <f>VLOOKUP($C$17:$C$60,#REF!,11,0)</f>
        <v>#REF!</v>
      </c>
      <c r="M31" s="366" t="e">
        <f>VLOOKUP($C$17:$C$60,#REF!,11,0)</f>
        <v>#REF!</v>
      </c>
      <c r="N31" s="365" t="e">
        <f t="shared" si="4"/>
        <v>#REF!</v>
      </c>
      <c r="O31" s="366" t="e">
        <f>VLOOKUP($C$17:$C$60,#REF!,15,0)</f>
        <v>#REF!</v>
      </c>
      <c r="P31" s="366" t="e">
        <f>VLOOKUP($C$17:$C$60,#REF!,16,0)</f>
        <v>#REF!</v>
      </c>
      <c r="Q31" s="238" t="e">
        <f t="shared" si="8"/>
        <v>#REF!</v>
      </c>
      <c r="R31" s="47" t="e">
        <f t="shared" si="5"/>
        <v>#REF!</v>
      </c>
      <c r="S31" s="47"/>
      <c r="T31" s="47"/>
      <c r="U31" s="47" t="e">
        <f t="shared" si="6"/>
        <v>#REF!</v>
      </c>
      <c r="V31" s="257"/>
      <c r="W31" s="257"/>
      <c r="X31" s="65" t="e">
        <f t="shared" si="7"/>
        <v>#REF!</v>
      </c>
      <c r="Y31" s="258"/>
      <c r="Z31" s="118" t="s">
        <v>156</v>
      </c>
    </row>
    <row r="32" spans="1:26" s="101" customFormat="1" ht="18" customHeight="1">
      <c r="A32" s="307">
        <v>16</v>
      </c>
      <c r="B32" s="260"/>
      <c r="C32" s="431" t="s">
        <v>228</v>
      </c>
      <c r="D32" s="499" t="s">
        <v>373</v>
      </c>
      <c r="E32" s="470" t="s">
        <v>167</v>
      </c>
      <c r="F32" s="237" t="s">
        <v>157</v>
      </c>
      <c r="G32" s="360" t="e">
        <f>VLOOKUP($C$17:$C$60,#REF!,9,0)</f>
        <v>#REF!</v>
      </c>
      <c r="H32" s="47">
        <v>25000</v>
      </c>
      <c r="I32" s="47" t="s">
        <v>355</v>
      </c>
      <c r="J32" s="47" t="e">
        <f t="shared" si="2"/>
        <v>#REF!</v>
      </c>
      <c r="K32" s="47" t="e">
        <f t="shared" si="3"/>
        <v>#REF!</v>
      </c>
      <c r="L32" s="516" t="e">
        <f>VLOOKUP($C$17:$C$60,#REF!,11,0)</f>
        <v>#REF!</v>
      </c>
      <c r="M32" s="366" t="e">
        <f>VLOOKUP($C$17:$C$60,#REF!,11,0)</f>
        <v>#REF!</v>
      </c>
      <c r="N32" s="365" t="e">
        <f t="shared" si="4"/>
        <v>#REF!</v>
      </c>
      <c r="O32" s="366" t="e">
        <f>VLOOKUP($C$17:$C$60,#REF!,15,0)</f>
        <v>#REF!</v>
      </c>
      <c r="P32" s="366" t="e">
        <f>VLOOKUP($C$17:$C$60,#REF!,16,0)</f>
        <v>#REF!</v>
      </c>
      <c r="Q32" s="238" t="e">
        <f t="shared" si="8"/>
        <v>#REF!</v>
      </c>
      <c r="R32" s="47" t="e">
        <f t="shared" si="5"/>
        <v>#REF!</v>
      </c>
      <c r="S32" s="47"/>
      <c r="T32" s="47"/>
      <c r="U32" s="47" t="e">
        <f t="shared" si="6"/>
        <v>#REF!</v>
      </c>
      <c r="V32" s="257"/>
      <c r="W32" s="257"/>
      <c r="X32" s="65" t="e">
        <f t="shared" si="7"/>
        <v>#REF!</v>
      </c>
      <c r="Y32" s="258"/>
      <c r="Z32" s="118" t="s">
        <v>156</v>
      </c>
    </row>
    <row r="33" spans="1:28" s="101" customFormat="1" ht="18" customHeight="1">
      <c r="A33" s="307">
        <v>17</v>
      </c>
      <c r="B33" s="260"/>
      <c r="C33" s="431" t="s">
        <v>152</v>
      </c>
      <c r="D33" s="499" t="s">
        <v>384</v>
      </c>
      <c r="E33" s="470" t="s">
        <v>167</v>
      </c>
      <c r="F33" s="237" t="s">
        <v>157</v>
      </c>
      <c r="G33" s="360" t="e">
        <f>VLOOKUP($C$17:$C$60,#REF!,9,0)</f>
        <v>#REF!</v>
      </c>
      <c r="H33" s="47">
        <v>25000</v>
      </c>
      <c r="I33" s="47" t="s">
        <v>355</v>
      </c>
      <c r="J33" s="47" t="e">
        <f t="shared" si="2"/>
        <v>#REF!</v>
      </c>
      <c r="K33" s="47" t="e">
        <f t="shared" si="3"/>
        <v>#REF!</v>
      </c>
      <c r="L33" s="516" t="e">
        <f>VLOOKUP($C$17:$C$60,#REF!,11,0)</f>
        <v>#REF!</v>
      </c>
      <c r="M33" s="366" t="e">
        <f>VLOOKUP($C$17:$C$60,#REF!,11,0)</f>
        <v>#REF!</v>
      </c>
      <c r="N33" s="365" t="e">
        <f t="shared" si="4"/>
        <v>#REF!</v>
      </c>
      <c r="O33" s="366" t="e">
        <f>VLOOKUP($C$17:$C$60,#REF!,15,0)</f>
        <v>#REF!</v>
      </c>
      <c r="P33" s="366" t="e">
        <f>VLOOKUP($C$17:$C$60,#REF!,16,0)</f>
        <v>#REF!</v>
      </c>
      <c r="Q33" s="238" t="e">
        <f t="shared" si="8"/>
        <v>#REF!</v>
      </c>
      <c r="R33" s="47" t="e">
        <f t="shared" si="5"/>
        <v>#REF!</v>
      </c>
      <c r="S33" s="47"/>
      <c r="T33" s="47"/>
      <c r="U33" s="47" t="e">
        <f t="shared" si="6"/>
        <v>#REF!</v>
      </c>
      <c r="V33" s="257"/>
      <c r="W33" s="257"/>
      <c r="X33" s="65" t="e">
        <f t="shared" si="7"/>
        <v>#REF!</v>
      </c>
      <c r="Y33" s="258"/>
      <c r="Z33" s="118" t="s">
        <v>156</v>
      </c>
    </row>
    <row r="34" spans="1:28" s="101" customFormat="1" ht="18" customHeight="1">
      <c r="A34" s="307">
        <v>18</v>
      </c>
      <c r="B34" s="260"/>
      <c r="C34" s="431" t="s">
        <v>144</v>
      </c>
      <c r="D34" s="499" t="s">
        <v>376</v>
      </c>
      <c r="E34" s="470" t="s">
        <v>167</v>
      </c>
      <c r="F34" s="237" t="s">
        <v>157</v>
      </c>
      <c r="G34" s="360" t="e">
        <f>VLOOKUP($C$17:$C$60,#REF!,9,0)</f>
        <v>#REF!</v>
      </c>
      <c r="H34" s="47">
        <v>25000</v>
      </c>
      <c r="I34" s="47" t="s">
        <v>355</v>
      </c>
      <c r="J34" s="47" t="e">
        <f t="shared" si="2"/>
        <v>#REF!</v>
      </c>
      <c r="K34" s="47" t="e">
        <f t="shared" si="3"/>
        <v>#REF!</v>
      </c>
      <c r="L34" s="516" t="e">
        <f>VLOOKUP($C$17:$C$60,#REF!,11,0)</f>
        <v>#REF!</v>
      </c>
      <c r="M34" s="366" t="e">
        <f>VLOOKUP($C$17:$C$60,#REF!,11,0)</f>
        <v>#REF!</v>
      </c>
      <c r="N34" s="365" t="e">
        <f t="shared" si="4"/>
        <v>#REF!</v>
      </c>
      <c r="O34" s="366" t="e">
        <f>VLOOKUP($C$17:$C$60,#REF!,15,0)</f>
        <v>#REF!</v>
      </c>
      <c r="P34" s="366" t="e">
        <f>VLOOKUP($C$17:$C$60,#REF!,16,0)</f>
        <v>#REF!</v>
      </c>
      <c r="Q34" s="238" t="e">
        <f t="shared" si="8"/>
        <v>#REF!</v>
      </c>
      <c r="R34" s="47" t="e">
        <f t="shared" si="5"/>
        <v>#REF!</v>
      </c>
      <c r="S34" s="47"/>
      <c r="T34" s="47"/>
      <c r="U34" s="47" t="e">
        <f t="shared" si="6"/>
        <v>#REF!</v>
      </c>
      <c r="V34" s="257"/>
      <c r="W34" s="257"/>
      <c r="X34" s="65" t="e">
        <f t="shared" si="7"/>
        <v>#REF!</v>
      </c>
      <c r="Y34" s="258"/>
      <c r="Z34" s="118" t="s">
        <v>156</v>
      </c>
    </row>
    <row r="35" spans="1:28" s="101" customFormat="1" ht="18" customHeight="1">
      <c r="A35" s="307">
        <v>19</v>
      </c>
      <c r="B35" s="260"/>
      <c r="C35" s="431" t="s">
        <v>347</v>
      </c>
      <c r="D35" s="499" t="s">
        <v>394</v>
      </c>
      <c r="E35" s="470" t="s">
        <v>167</v>
      </c>
      <c r="F35" s="237" t="s">
        <v>157</v>
      </c>
      <c r="G35" s="360" t="e">
        <f>VLOOKUP($C$17:$C$60,#REF!,9,0)</f>
        <v>#REF!</v>
      </c>
      <c r="H35" s="47">
        <v>25000</v>
      </c>
      <c r="I35" s="47" t="s">
        <v>355</v>
      </c>
      <c r="J35" s="47" t="e">
        <f t="shared" si="2"/>
        <v>#REF!</v>
      </c>
      <c r="K35" s="47" t="e">
        <f t="shared" si="3"/>
        <v>#REF!</v>
      </c>
      <c r="L35" s="516" t="e">
        <f>VLOOKUP($C$17:$C$60,#REF!,11,0)</f>
        <v>#REF!</v>
      </c>
      <c r="M35" s="366" t="e">
        <f>VLOOKUP($C$17:$C$60,#REF!,11,0)</f>
        <v>#REF!</v>
      </c>
      <c r="N35" s="365" t="e">
        <f t="shared" si="4"/>
        <v>#REF!</v>
      </c>
      <c r="O35" s="366" t="e">
        <f>VLOOKUP($C$17:$C$60,#REF!,15,0)</f>
        <v>#REF!</v>
      </c>
      <c r="P35" s="366" t="e">
        <f>VLOOKUP($C$17:$C$60,#REF!,16,0)</f>
        <v>#REF!</v>
      </c>
      <c r="Q35" s="238" t="e">
        <f t="shared" si="8"/>
        <v>#REF!</v>
      </c>
      <c r="R35" s="47" t="e">
        <f t="shared" si="5"/>
        <v>#REF!</v>
      </c>
      <c r="S35" s="47"/>
      <c r="T35" s="47"/>
      <c r="U35" s="47" t="e">
        <f t="shared" si="6"/>
        <v>#REF!</v>
      </c>
      <c r="V35" s="257"/>
      <c r="W35" s="257"/>
      <c r="X35" s="65" t="e">
        <f t="shared" si="7"/>
        <v>#REF!</v>
      </c>
      <c r="Y35" s="258"/>
      <c r="Z35" s="118" t="s">
        <v>156</v>
      </c>
    </row>
    <row r="36" spans="1:28" s="101" customFormat="1" ht="18" customHeight="1">
      <c r="A36" s="307">
        <v>20</v>
      </c>
      <c r="B36" s="260"/>
      <c r="C36" s="431" t="s">
        <v>409</v>
      </c>
      <c r="D36" s="499" t="s">
        <v>391</v>
      </c>
      <c r="E36" s="470" t="s">
        <v>167</v>
      </c>
      <c r="F36" s="237" t="s">
        <v>157</v>
      </c>
      <c r="G36" s="360" t="e">
        <f>VLOOKUP($C$17:$C$60,#REF!,9,0)</f>
        <v>#REF!</v>
      </c>
      <c r="H36" s="47">
        <v>25000</v>
      </c>
      <c r="I36" s="47" t="s">
        <v>355</v>
      </c>
      <c r="J36" s="47" t="e">
        <f t="shared" si="2"/>
        <v>#REF!</v>
      </c>
      <c r="K36" s="47" t="e">
        <f t="shared" si="3"/>
        <v>#REF!</v>
      </c>
      <c r="L36" s="516" t="e">
        <f>VLOOKUP($C$17:$C$60,#REF!,11,0)</f>
        <v>#REF!</v>
      </c>
      <c r="M36" s="366" t="e">
        <f>VLOOKUP($C$17:$C$60,#REF!,11,0)</f>
        <v>#REF!</v>
      </c>
      <c r="N36" s="365" t="e">
        <f t="shared" si="4"/>
        <v>#REF!</v>
      </c>
      <c r="O36" s="366" t="e">
        <f>VLOOKUP($C$17:$C$60,#REF!,15,0)</f>
        <v>#REF!</v>
      </c>
      <c r="P36" s="366" t="e">
        <f>VLOOKUP($C$17:$C$60,#REF!,16,0)</f>
        <v>#REF!</v>
      </c>
      <c r="Q36" s="238" t="e">
        <f t="shared" si="8"/>
        <v>#REF!</v>
      </c>
      <c r="R36" s="47" t="e">
        <f t="shared" si="5"/>
        <v>#REF!</v>
      </c>
      <c r="S36" s="47"/>
      <c r="T36" s="47"/>
      <c r="U36" s="47" t="e">
        <f t="shared" si="6"/>
        <v>#REF!</v>
      </c>
      <c r="V36" s="257"/>
      <c r="W36" s="257"/>
      <c r="X36" s="65" t="e">
        <f t="shared" si="7"/>
        <v>#REF!</v>
      </c>
      <c r="Y36" s="258"/>
      <c r="Z36" s="118" t="s">
        <v>156</v>
      </c>
    </row>
    <row r="37" spans="1:28" s="101" customFormat="1" ht="18" customHeight="1">
      <c r="A37" s="307">
        <v>21</v>
      </c>
      <c r="B37" s="260"/>
      <c r="C37" s="431" t="s">
        <v>154</v>
      </c>
      <c r="D37" s="499" t="s">
        <v>374</v>
      </c>
      <c r="E37" s="470" t="s">
        <v>167</v>
      </c>
      <c r="F37" s="237" t="s">
        <v>157</v>
      </c>
      <c r="G37" s="360" t="e">
        <f>VLOOKUP($C$17:$C$60,#REF!,9,0)</f>
        <v>#REF!</v>
      </c>
      <c r="H37" s="47">
        <v>25000</v>
      </c>
      <c r="I37" s="47" t="s">
        <v>355</v>
      </c>
      <c r="J37" s="47" t="e">
        <f t="shared" si="2"/>
        <v>#REF!</v>
      </c>
      <c r="K37" s="47" t="e">
        <f t="shared" si="3"/>
        <v>#REF!</v>
      </c>
      <c r="L37" s="516" t="e">
        <f>VLOOKUP($C$17:$C$60,#REF!,11,0)</f>
        <v>#REF!</v>
      </c>
      <c r="M37" s="366" t="e">
        <f>VLOOKUP($C$17:$C$60,#REF!,11,0)</f>
        <v>#REF!</v>
      </c>
      <c r="N37" s="365" t="e">
        <f t="shared" si="4"/>
        <v>#REF!</v>
      </c>
      <c r="O37" s="366" t="e">
        <f>VLOOKUP($C$17:$C$60,#REF!,15,0)</f>
        <v>#REF!</v>
      </c>
      <c r="P37" s="366" t="e">
        <f>VLOOKUP($C$17:$C$60,#REF!,16,0)</f>
        <v>#REF!</v>
      </c>
      <c r="Q37" s="238" t="e">
        <f t="shared" si="8"/>
        <v>#REF!</v>
      </c>
      <c r="R37" s="47" t="e">
        <f t="shared" si="5"/>
        <v>#REF!</v>
      </c>
      <c r="S37" s="47"/>
      <c r="T37" s="47"/>
      <c r="U37" s="47" t="e">
        <f t="shared" si="6"/>
        <v>#REF!</v>
      </c>
      <c r="V37" s="257"/>
      <c r="W37" s="257"/>
      <c r="X37" s="65" t="e">
        <f t="shared" si="7"/>
        <v>#REF!</v>
      </c>
      <c r="Y37" s="258"/>
      <c r="Z37" s="118" t="s">
        <v>156</v>
      </c>
    </row>
    <row r="38" spans="1:28" s="101" customFormat="1" ht="18" customHeight="1">
      <c r="A38" s="307">
        <v>22</v>
      </c>
      <c r="B38" s="260"/>
      <c r="C38" s="431" t="s">
        <v>327</v>
      </c>
      <c r="D38" s="499" t="s">
        <v>390</v>
      </c>
      <c r="E38" s="470" t="s">
        <v>167</v>
      </c>
      <c r="F38" s="237" t="s">
        <v>157</v>
      </c>
      <c r="G38" s="360" t="e">
        <f>VLOOKUP($C$17:$C$60,#REF!,9,0)</f>
        <v>#REF!</v>
      </c>
      <c r="H38" s="47">
        <v>25000</v>
      </c>
      <c r="I38" s="47" t="s">
        <v>355</v>
      </c>
      <c r="J38" s="47" t="e">
        <f t="shared" si="2"/>
        <v>#REF!</v>
      </c>
      <c r="K38" s="47" t="e">
        <f t="shared" si="3"/>
        <v>#REF!</v>
      </c>
      <c r="L38" s="516" t="e">
        <f>VLOOKUP($C$17:$C$60,#REF!,11,0)</f>
        <v>#REF!</v>
      </c>
      <c r="M38" s="366" t="e">
        <f>VLOOKUP($C$17:$C$60,#REF!,11,0)</f>
        <v>#REF!</v>
      </c>
      <c r="N38" s="365" t="e">
        <f t="shared" si="4"/>
        <v>#REF!</v>
      </c>
      <c r="O38" s="366" t="e">
        <f>VLOOKUP($C$17:$C$60,#REF!,15,0)</f>
        <v>#REF!</v>
      </c>
      <c r="P38" s="366" t="e">
        <f>VLOOKUP($C$17:$C$60,#REF!,16,0)</f>
        <v>#REF!</v>
      </c>
      <c r="Q38" s="238" t="e">
        <f t="shared" si="8"/>
        <v>#REF!</v>
      </c>
      <c r="R38" s="47" t="e">
        <f t="shared" si="5"/>
        <v>#REF!</v>
      </c>
      <c r="S38" s="47"/>
      <c r="T38" s="47"/>
      <c r="U38" s="47" t="e">
        <f t="shared" si="6"/>
        <v>#REF!</v>
      </c>
      <c r="V38" s="257"/>
      <c r="W38" s="257"/>
      <c r="X38" s="65" t="e">
        <f t="shared" si="7"/>
        <v>#REF!</v>
      </c>
      <c r="Y38" s="258"/>
      <c r="Z38" s="118" t="s">
        <v>156</v>
      </c>
    </row>
    <row r="39" spans="1:28" s="101" customFormat="1" ht="18" customHeight="1">
      <c r="A39" s="307">
        <v>23</v>
      </c>
      <c r="B39" s="260"/>
      <c r="C39" s="431" t="s">
        <v>145</v>
      </c>
      <c r="D39" s="499" t="s">
        <v>377</v>
      </c>
      <c r="E39" s="470" t="s">
        <v>167</v>
      </c>
      <c r="F39" s="237" t="s">
        <v>157</v>
      </c>
      <c r="G39" s="360" t="e">
        <f>VLOOKUP($C$17:$C$60,#REF!,9,0)</f>
        <v>#REF!</v>
      </c>
      <c r="H39" s="47">
        <v>25000</v>
      </c>
      <c r="I39" s="47" t="s">
        <v>355</v>
      </c>
      <c r="J39" s="47" t="e">
        <f t="shared" si="2"/>
        <v>#REF!</v>
      </c>
      <c r="K39" s="47" t="e">
        <f t="shared" si="3"/>
        <v>#REF!</v>
      </c>
      <c r="L39" s="516" t="e">
        <f>VLOOKUP($C$17:$C$60,#REF!,11,0)</f>
        <v>#REF!</v>
      </c>
      <c r="M39" s="366" t="e">
        <f>VLOOKUP($C$17:$C$60,#REF!,11,0)</f>
        <v>#REF!</v>
      </c>
      <c r="N39" s="365" t="e">
        <f t="shared" si="4"/>
        <v>#REF!</v>
      </c>
      <c r="O39" s="366" t="e">
        <f>VLOOKUP($C$17:$C$60,#REF!,15,0)</f>
        <v>#REF!</v>
      </c>
      <c r="P39" s="366" t="e">
        <f>VLOOKUP($C$17:$C$60,#REF!,16,0)</f>
        <v>#REF!</v>
      </c>
      <c r="Q39" s="238" t="e">
        <f t="shared" si="8"/>
        <v>#REF!</v>
      </c>
      <c r="R39" s="47" t="e">
        <f t="shared" si="5"/>
        <v>#REF!</v>
      </c>
      <c r="S39" s="47"/>
      <c r="T39" s="47"/>
      <c r="U39" s="47" t="e">
        <f t="shared" si="6"/>
        <v>#REF!</v>
      </c>
      <c r="V39" s="257"/>
      <c r="W39" s="257"/>
      <c r="X39" s="65" t="e">
        <f t="shared" si="7"/>
        <v>#REF!</v>
      </c>
      <c r="Y39" s="258"/>
      <c r="Z39" s="118" t="s">
        <v>156</v>
      </c>
    </row>
    <row r="40" spans="1:28" s="101" customFormat="1" ht="18" customHeight="1">
      <c r="A40" s="307">
        <v>24</v>
      </c>
      <c r="B40" s="260"/>
      <c r="C40" s="431" t="s">
        <v>345</v>
      </c>
      <c r="D40" s="499" t="s">
        <v>386</v>
      </c>
      <c r="E40" s="470" t="s">
        <v>167</v>
      </c>
      <c r="F40" s="237" t="s">
        <v>157</v>
      </c>
      <c r="G40" s="360" t="e">
        <f>VLOOKUP($C$17:$C$60,#REF!,9,0)</f>
        <v>#REF!</v>
      </c>
      <c r="H40" s="47">
        <v>25000</v>
      </c>
      <c r="I40" s="47" t="s">
        <v>355</v>
      </c>
      <c r="J40" s="47" t="e">
        <f t="shared" si="2"/>
        <v>#REF!</v>
      </c>
      <c r="K40" s="47" t="e">
        <f t="shared" si="3"/>
        <v>#REF!</v>
      </c>
      <c r="L40" s="516" t="e">
        <f>VLOOKUP($C$17:$C$60,#REF!,11,0)</f>
        <v>#REF!</v>
      </c>
      <c r="M40" s="366" t="e">
        <f>VLOOKUP($C$17:$C$60,#REF!,11,0)</f>
        <v>#REF!</v>
      </c>
      <c r="N40" s="365" t="e">
        <f t="shared" si="4"/>
        <v>#REF!</v>
      </c>
      <c r="O40" s="366" t="e">
        <f>VLOOKUP($C$17:$C$60,#REF!,15,0)</f>
        <v>#REF!</v>
      </c>
      <c r="P40" s="366" t="e">
        <f>VLOOKUP($C$17:$C$60,#REF!,16,0)</f>
        <v>#REF!</v>
      </c>
      <c r="Q40" s="238" t="e">
        <f t="shared" si="8"/>
        <v>#REF!</v>
      </c>
      <c r="R40" s="47" t="e">
        <f t="shared" si="5"/>
        <v>#REF!</v>
      </c>
      <c r="S40" s="47"/>
      <c r="T40" s="47"/>
      <c r="U40" s="47" t="e">
        <f t="shared" si="6"/>
        <v>#REF!</v>
      </c>
      <c r="V40" s="257"/>
      <c r="W40" s="257"/>
      <c r="X40" s="65" t="e">
        <f t="shared" si="7"/>
        <v>#REF!</v>
      </c>
      <c r="Y40" s="258"/>
      <c r="Z40" s="118" t="s">
        <v>156</v>
      </c>
    </row>
    <row r="41" spans="1:28" s="101" customFormat="1" ht="18" customHeight="1">
      <c r="A41" s="307">
        <v>25</v>
      </c>
      <c r="B41" s="260"/>
      <c r="C41" s="431" t="s">
        <v>410</v>
      </c>
      <c r="D41" s="499" t="s">
        <v>388</v>
      </c>
      <c r="E41" s="470" t="s">
        <v>167</v>
      </c>
      <c r="F41" s="237" t="s">
        <v>157</v>
      </c>
      <c r="G41" s="360" t="e">
        <f>VLOOKUP($C$17:$C$60,#REF!,9,0)</f>
        <v>#REF!</v>
      </c>
      <c r="H41" s="47">
        <v>25000</v>
      </c>
      <c r="I41" s="47" t="s">
        <v>355</v>
      </c>
      <c r="J41" s="47" t="e">
        <f t="shared" si="2"/>
        <v>#REF!</v>
      </c>
      <c r="K41" s="47" t="e">
        <f t="shared" si="3"/>
        <v>#REF!</v>
      </c>
      <c r="L41" s="516" t="e">
        <f>VLOOKUP($C$17:$C$60,#REF!,11,0)</f>
        <v>#REF!</v>
      </c>
      <c r="M41" s="366" t="e">
        <f>VLOOKUP($C$17:$C$60,#REF!,11,0)</f>
        <v>#REF!</v>
      </c>
      <c r="N41" s="365" t="e">
        <f t="shared" si="4"/>
        <v>#REF!</v>
      </c>
      <c r="O41" s="366" t="e">
        <f>VLOOKUP($C$17:$C$60,#REF!,15,0)</f>
        <v>#REF!</v>
      </c>
      <c r="P41" s="366" t="e">
        <f>VLOOKUP($C$17:$C$60,#REF!,16,0)</f>
        <v>#REF!</v>
      </c>
      <c r="Q41" s="238" t="e">
        <f t="shared" si="8"/>
        <v>#REF!</v>
      </c>
      <c r="R41" s="47" t="e">
        <f t="shared" si="5"/>
        <v>#REF!</v>
      </c>
      <c r="S41" s="47"/>
      <c r="T41" s="47"/>
      <c r="U41" s="47" t="e">
        <f t="shared" si="6"/>
        <v>#REF!</v>
      </c>
      <c r="V41" s="257"/>
      <c r="W41" s="257"/>
      <c r="X41" s="65" t="e">
        <f t="shared" si="7"/>
        <v>#REF!</v>
      </c>
      <c r="Y41" s="258"/>
      <c r="Z41" s="118" t="s">
        <v>156</v>
      </c>
    </row>
    <row r="42" spans="1:28" s="101" customFormat="1" ht="18" customHeight="1">
      <c r="A42" s="307">
        <v>26</v>
      </c>
      <c r="B42" s="260"/>
      <c r="C42" s="431" t="s">
        <v>150</v>
      </c>
      <c r="D42" s="499" t="s">
        <v>400</v>
      </c>
      <c r="E42" s="470" t="s">
        <v>167</v>
      </c>
      <c r="F42" s="237" t="s">
        <v>157</v>
      </c>
      <c r="G42" s="360" t="e">
        <f>VLOOKUP($C$17:$C$60,#REF!,9,0)</f>
        <v>#REF!</v>
      </c>
      <c r="H42" s="47">
        <v>25000</v>
      </c>
      <c r="I42" s="47" t="s">
        <v>355</v>
      </c>
      <c r="J42" s="47" t="e">
        <f t="shared" si="2"/>
        <v>#REF!</v>
      </c>
      <c r="K42" s="47" t="e">
        <f t="shared" si="3"/>
        <v>#REF!</v>
      </c>
      <c r="L42" s="516" t="e">
        <f>VLOOKUP($C$17:$C$60,#REF!,11,0)</f>
        <v>#REF!</v>
      </c>
      <c r="M42" s="366" t="e">
        <f>VLOOKUP($C$17:$C$60,#REF!,11,0)</f>
        <v>#REF!</v>
      </c>
      <c r="N42" s="365" t="e">
        <f t="shared" si="4"/>
        <v>#REF!</v>
      </c>
      <c r="O42" s="366" t="e">
        <f>VLOOKUP($C$17:$C$60,#REF!,15,0)</f>
        <v>#REF!</v>
      </c>
      <c r="P42" s="366" t="e">
        <f>VLOOKUP($C$17:$C$60,#REF!,16,0)</f>
        <v>#REF!</v>
      </c>
      <c r="Q42" s="238" t="e">
        <f t="shared" si="8"/>
        <v>#REF!</v>
      </c>
      <c r="R42" s="47" t="e">
        <f t="shared" si="5"/>
        <v>#REF!</v>
      </c>
      <c r="S42" s="47"/>
      <c r="T42" s="47"/>
      <c r="U42" s="47" t="e">
        <f t="shared" si="6"/>
        <v>#REF!</v>
      </c>
      <c r="V42" s="257"/>
      <c r="W42" s="257"/>
      <c r="X42" s="65" t="e">
        <f t="shared" si="7"/>
        <v>#REF!</v>
      </c>
      <c r="Y42" s="258"/>
      <c r="Z42" s="118" t="s">
        <v>156</v>
      </c>
    </row>
    <row r="43" spans="1:28" s="101" customFormat="1" ht="18" customHeight="1">
      <c r="A43" s="307">
        <v>27</v>
      </c>
      <c r="B43" s="260"/>
      <c r="C43" s="431" t="s">
        <v>149</v>
      </c>
      <c r="D43" s="499" t="s">
        <v>381</v>
      </c>
      <c r="E43" s="470" t="s">
        <v>167</v>
      </c>
      <c r="F43" s="237" t="s">
        <v>157</v>
      </c>
      <c r="G43" s="360" t="e">
        <f>VLOOKUP($C$17:$C$60,#REF!,9,0)</f>
        <v>#REF!</v>
      </c>
      <c r="H43" s="47">
        <v>25000</v>
      </c>
      <c r="I43" s="47" t="s">
        <v>355</v>
      </c>
      <c r="J43" s="47" t="e">
        <f t="shared" si="2"/>
        <v>#REF!</v>
      </c>
      <c r="K43" s="47" t="e">
        <f t="shared" si="3"/>
        <v>#REF!</v>
      </c>
      <c r="L43" s="516" t="e">
        <f>VLOOKUP($C$17:$C$60,#REF!,11,0)</f>
        <v>#REF!</v>
      </c>
      <c r="M43" s="366" t="e">
        <f>VLOOKUP($C$17:$C$60,#REF!,11,0)</f>
        <v>#REF!</v>
      </c>
      <c r="N43" s="365" t="e">
        <f t="shared" si="4"/>
        <v>#REF!</v>
      </c>
      <c r="O43" s="366" t="e">
        <f>VLOOKUP($C$17:$C$60,#REF!,15,0)</f>
        <v>#REF!</v>
      </c>
      <c r="P43" s="366" t="e">
        <f>VLOOKUP($C$17:$C$60,#REF!,16,0)</f>
        <v>#REF!</v>
      </c>
      <c r="Q43" s="238" t="e">
        <f t="shared" si="8"/>
        <v>#REF!</v>
      </c>
      <c r="R43" s="47" t="e">
        <f t="shared" si="5"/>
        <v>#REF!</v>
      </c>
      <c r="S43" s="47"/>
      <c r="T43" s="47"/>
      <c r="U43" s="47" t="e">
        <f t="shared" si="6"/>
        <v>#REF!</v>
      </c>
      <c r="V43" s="257"/>
      <c r="W43" s="257"/>
      <c r="X43" s="65" t="e">
        <f t="shared" si="7"/>
        <v>#REF!</v>
      </c>
      <c r="Y43" s="258"/>
      <c r="Z43" s="118" t="s">
        <v>156</v>
      </c>
    </row>
    <row r="44" spans="1:28" s="101" customFormat="1" ht="18" customHeight="1">
      <c r="A44" s="307">
        <v>28</v>
      </c>
      <c r="B44" s="260"/>
      <c r="C44" s="431" t="s">
        <v>147</v>
      </c>
      <c r="D44" s="499" t="s">
        <v>370</v>
      </c>
      <c r="E44" s="470" t="s">
        <v>167</v>
      </c>
      <c r="F44" s="237" t="s">
        <v>157</v>
      </c>
      <c r="G44" s="360" t="e">
        <f>VLOOKUP($C$17:$C$60,#REF!,9,0)</f>
        <v>#REF!</v>
      </c>
      <c r="H44" s="47">
        <v>25000</v>
      </c>
      <c r="I44" s="47" t="s">
        <v>355</v>
      </c>
      <c r="J44" s="47" t="e">
        <f t="shared" si="2"/>
        <v>#REF!</v>
      </c>
      <c r="K44" s="47" t="e">
        <f t="shared" si="3"/>
        <v>#REF!</v>
      </c>
      <c r="L44" s="516" t="e">
        <f>VLOOKUP($C$17:$C$60,#REF!,11,0)</f>
        <v>#REF!</v>
      </c>
      <c r="M44" s="366" t="e">
        <f>VLOOKUP($C$17:$C$60,#REF!,11,0)</f>
        <v>#REF!</v>
      </c>
      <c r="N44" s="365" t="e">
        <f t="shared" si="4"/>
        <v>#REF!</v>
      </c>
      <c r="O44" s="366" t="e">
        <f>VLOOKUP($C$17:$C$60,#REF!,15,0)</f>
        <v>#REF!</v>
      </c>
      <c r="P44" s="366" t="e">
        <f>VLOOKUP($C$17:$C$60,#REF!,16,0)</f>
        <v>#REF!</v>
      </c>
      <c r="Q44" s="238" t="e">
        <f t="shared" si="8"/>
        <v>#REF!</v>
      </c>
      <c r="R44" s="47" t="e">
        <f t="shared" si="5"/>
        <v>#REF!</v>
      </c>
      <c r="S44" s="47"/>
      <c r="T44" s="47"/>
      <c r="U44" s="47" t="e">
        <f t="shared" si="6"/>
        <v>#REF!</v>
      </c>
      <c r="V44" s="257"/>
      <c r="W44" s="257"/>
      <c r="X44" s="65" t="e">
        <f t="shared" si="7"/>
        <v>#REF!</v>
      </c>
      <c r="Y44" s="258"/>
      <c r="Z44" s="118" t="s">
        <v>156</v>
      </c>
    </row>
    <row r="45" spans="1:28" s="101" customFormat="1" ht="18" customHeight="1">
      <c r="A45" s="307">
        <v>29</v>
      </c>
      <c r="B45" s="260"/>
      <c r="C45" s="431" t="s">
        <v>332</v>
      </c>
      <c r="D45" s="499" t="s">
        <v>398</v>
      </c>
      <c r="E45" s="470" t="s">
        <v>167</v>
      </c>
      <c r="F45" s="237" t="s">
        <v>157</v>
      </c>
      <c r="G45" s="360" t="e">
        <f>VLOOKUP($C$17:$C$60,#REF!,9,0)</f>
        <v>#REF!</v>
      </c>
      <c r="H45" s="47">
        <v>25000</v>
      </c>
      <c r="I45" s="47" t="s">
        <v>355</v>
      </c>
      <c r="J45" s="47" t="e">
        <f t="shared" si="2"/>
        <v>#REF!</v>
      </c>
      <c r="K45" s="47" t="e">
        <f t="shared" si="3"/>
        <v>#REF!</v>
      </c>
      <c r="L45" s="516" t="e">
        <f>VLOOKUP($C$17:$C$60,#REF!,11,0)</f>
        <v>#REF!</v>
      </c>
      <c r="M45" s="366" t="e">
        <f>VLOOKUP($C$17:$C$60,#REF!,11,0)</f>
        <v>#REF!</v>
      </c>
      <c r="N45" s="365" t="e">
        <f t="shared" si="4"/>
        <v>#REF!</v>
      </c>
      <c r="O45" s="366" t="e">
        <f>VLOOKUP($C$17:$C$60,#REF!,15,0)</f>
        <v>#REF!</v>
      </c>
      <c r="P45" s="366" t="e">
        <f>VLOOKUP($C$17:$C$60,#REF!,16,0)</f>
        <v>#REF!</v>
      </c>
      <c r="Q45" s="238" t="e">
        <f t="shared" si="8"/>
        <v>#REF!</v>
      </c>
      <c r="R45" s="47" t="e">
        <f t="shared" si="5"/>
        <v>#REF!</v>
      </c>
      <c r="S45" s="47"/>
      <c r="T45" s="47"/>
      <c r="U45" s="47" t="e">
        <f t="shared" si="6"/>
        <v>#REF!</v>
      </c>
      <c r="V45" s="257"/>
      <c r="W45" s="257"/>
      <c r="X45" s="65" t="e">
        <f t="shared" si="7"/>
        <v>#REF!</v>
      </c>
      <c r="Y45" s="258"/>
      <c r="Z45" s="118" t="s">
        <v>156</v>
      </c>
    </row>
    <row r="46" spans="1:28" s="105" customFormat="1" ht="18" customHeight="1">
      <c r="A46" s="307">
        <v>30</v>
      </c>
      <c r="B46" s="261"/>
      <c r="C46" s="431" t="s">
        <v>329</v>
      </c>
      <c r="D46" s="499" t="s">
        <v>371</v>
      </c>
      <c r="E46" s="470" t="s">
        <v>167</v>
      </c>
      <c r="F46" s="237" t="s">
        <v>157</v>
      </c>
      <c r="G46" s="360" t="e">
        <f>VLOOKUP($C$17:$C$60,#REF!,9,0)</f>
        <v>#REF!</v>
      </c>
      <c r="H46" s="47">
        <v>25000</v>
      </c>
      <c r="I46" s="47" t="s">
        <v>355</v>
      </c>
      <c r="J46" s="47" t="e">
        <f t="shared" si="2"/>
        <v>#REF!</v>
      </c>
      <c r="K46" s="47" t="e">
        <f t="shared" si="3"/>
        <v>#REF!</v>
      </c>
      <c r="L46" s="516" t="e">
        <f>VLOOKUP($C$17:$C$60,#REF!,11,0)</f>
        <v>#REF!</v>
      </c>
      <c r="M46" s="366" t="e">
        <f>VLOOKUP($C$17:$C$60,#REF!,11,0)</f>
        <v>#REF!</v>
      </c>
      <c r="N46" s="365" t="e">
        <f t="shared" si="4"/>
        <v>#REF!</v>
      </c>
      <c r="O46" s="366" t="e">
        <f>VLOOKUP($C$17:$C$60,#REF!,15,0)</f>
        <v>#REF!</v>
      </c>
      <c r="P46" s="366" t="e">
        <f>VLOOKUP($C$17:$C$60,#REF!,16,0)</f>
        <v>#REF!</v>
      </c>
      <c r="Q46" s="238" t="e">
        <f t="shared" si="8"/>
        <v>#REF!</v>
      </c>
      <c r="R46" s="47" t="e">
        <f t="shared" si="5"/>
        <v>#REF!</v>
      </c>
      <c r="S46" s="47"/>
      <c r="T46" s="47"/>
      <c r="U46" s="47" t="e">
        <f t="shared" si="6"/>
        <v>#REF!</v>
      </c>
      <c r="V46" s="47"/>
      <c r="W46" s="47"/>
      <c r="X46" s="65" t="e">
        <f t="shared" si="7"/>
        <v>#REF!</v>
      </c>
      <c r="Y46" s="47"/>
      <c r="Z46" s="118" t="s">
        <v>156</v>
      </c>
      <c r="AA46" s="120" t="e">
        <f>X46-U46</f>
        <v>#REF!</v>
      </c>
      <c r="AB46" s="120"/>
    </row>
    <row r="47" spans="1:28" s="105" customFormat="1" ht="18" customHeight="1">
      <c r="A47" s="307">
        <v>31</v>
      </c>
      <c r="B47" s="261"/>
      <c r="C47" s="431" t="s">
        <v>411</v>
      </c>
      <c r="D47" s="499" t="s">
        <v>380</v>
      </c>
      <c r="E47" s="470" t="s">
        <v>167</v>
      </c>
      <c r="F47" s="237" t="s">
        <v>157</v>
      </c>
      <c r="G47" s="360" t="e">
        <f>VLOOKUP($C$17:$C$60,#REF!,9,0)</f>
        <v>#REF!</v>
      </c>
      <c r="H47" s="47">
        <v>25000</v>
      </c>
      <c r="I47" s="47" t="s">
        <v>355</v>
      </c>
      <c r="J47" s="47" t="e">
        <f t="shared" si="2"/>
        <v>#REF!</v>
      </c>
      <c r="K47" s="47" t="e">
        <f t="shared" si="3"/>
        <v>#REF!</v>
      </c>
      <c r="L47" s="516" t="e">
        <f>VLOOKUP($C$17:$C$60,#REF!,11,0)</f>
        <v>#REF!</v>
      </c>
      <c r="M47" s="366" t="e">
        <f>VLOOKUP($C$17:$C$60,#REF!,11,0)</f>
        <v>#REF!</v>
      </c>
      <c r="N47" s="365" t="e">
        <f t="shared" si="4"/>
        <v>#REF!</v>
      </c>
      <c r="O47" s="366" t="e">
        <f>VLOOKUP($C$17:$C$60,#REF!,15,0)</f>
        <v>#REF!</v>
      </c>
      <c r="P47" s="366" t="e">
        <f>VLOOKUP($C$17:$C$60,#REF!,16,0)</f>
        <v>#REF!</v>
      </c>
      <c r="Q47" s="238" t="e">
        <f t="shared" si="8"/>
        <v>#REF!</v>
      </c>
      <c r="R47" s="47" t="e">
        <f t="shared" si="5"/>
        <v>#REF!</v>
      </c>
      <c r="S47" s="47"/>
      <c r="T47" s="47"/>
      <c r="U47" s="47" t="e">
        <f t="shared" si="6"/>
        <v>#REF!</v>
      </c>
      <c r="V47" s="47"/>
      <c r="W47" s="47"/>
      <c r="X47" s="65" t="e">
        <f t="shared" si="7"/>
        <v>#REF!</v>
      </c>
      <c r="Y47" s="47"/>
      <c r="Z47" s="118" t="s">
        <v>156</v>
      </c>
      <c r="AA47" s="120"/>
      <c r="AB47" s="120"/>
    </row>
    <row r="48" spans="1:28" s="105" customFormat="1" ht="18" customHeight="1">
      <c r="A48" s="307">
        <v>32</v>
      </c>
      <c r="B48" s="261"/>
      <c r="C48" s="431" t="s">
        <v>346</v>
      </c>
      <c r="D48" s="499" t="s">
        <v>389</v>
      </c>
      <c r="E48" s="470" t="s">
        <v>167</v>
      </c>
      <c r="F48" s="237" t="s">
        <v>157</v>
      </c>
      <c r="G48" s="360" t="e">
        <f>VLOOKUP($C$17:$C$60,#REF!,9,0)</f>
        <v>#REF!</v>
      </c>
      <c r="H48" s="47">
        <v>25000</v>
      </c>
      <c r="I48" s="47" t="s">
        <v>355</v>
      </c>
      <c r="J48" s="47" t="e">
        <f t="shared" si="2"/>
        <v>#REF!</v>
      </c>
      <c r="K48" s="47" t="e">
        <f t="shared" si="3"/>
        <v>#REF!</v>
      </c>
      <c r="L48" s="516" t="e">
        <f>VLOOKUP($C$17:$C$60,#REF!,11,0)</f>
        <v>#REF!</v>
      </c>
      <c r="M48" s="366" t="e">
        <f>VLOOKUP($C$17:$C$60,#REF!,11,0)</f>
        <v>#REF!</v>
      </c>
      <c r="N48" s="365" t="e">
        <f t="shared" si="4"/>
        <v>#REF!</v>
      </c>
      <c r="O48" s="366" t="e">
        <f>VLOOKUP($C$17:$C$60,#REF!,15,0)</f>
        <v>#REF!</v>
      </c>
      <c r="P48" s="366" t="e">
        <f>VLOOKUP($C$17:$C$60,#REF!,16,0)</f>
        <v>#REF!</v>
      </c>
      <c r="Q48" s="238" t="e">
        <f t="shared" si="8"/>
        <v>#REF!</v>
      </c>
      <c r="R48" s="47" t="e">
        <f t="shared" si="5"/>
        <v>#REF!</v>
      </c>
      <c r="S48" s="47"/>
      <c r="T48" s="47"/>
      <c r="U48" s="47" t="e">
        <f t="shared" si="6"/>
        <v>#REF!</v>
      </c>
      <c r="V48" s="47"/>
      <c r="W48" s="47"/>
      <c r="X48" s="65" t="e">
        <f t="shared" si="7"/>
        <v>#REF!</v>
      </c>
      <c r="Y48" s="47"/>
      <c r="Z48" s="118" t="s">
        <v>156</v>
      </c>
      <c r="AA48" s="120"/>
      <c r="AB48" s="120"/>
    </row>
    <row r="49" spans="1:28" s="105" customFormat="1" ht="18" customHeight="1">
      <c r="A49" s="307">
        <v>33</v>
      </c>
      <c r="B49" s="261"/>
      <c r="C49" s="431" t="s">
        <v>331</v>
      </c>
      <c r="D49" s="499" t="s">
        <v>382</v>
      </c>
      <c r="E49" s="470" t="s">
        <v>167</v>
      </c>
      <c r="F49" s="237" t="s">
        <v>157</v>
      </c>
      <c r="G49" s="360" t="e">
        <f>VLOOKUP($C$17:$C$60,#REF!,9,0)</f>
        <v>#REF!</v>
      </c>
      <c r="H49" s="47">
        <v>25000</v>
      </c>
      <c r="I49" s="47" t="s">
        <v>355</v>
      </c>
      <c r="J49" s="47" t="e">
        <f t="shared" si="2"/>
        <v>#REF!</v>
      </c>
      <c r="K49" s="47" t="e">
        <f t="shared" si="3"/>
        <v>#REF!</v>
      </c>
      <c r="L49" s="516" t="e">
        <f>VLOOKUP($C$17:$C$60,#REF!,11,0)</f>
        <v>#REF!</v>
      </c>
      <c r="M49" s="366" t="e">
        <f>VLOOKUP($C$17:$C$60,#REF!,11,0)</f>
        <v>#REF!</v>
      </c>
      <c r="N49" s="365" t="e">
        <f t="shared" si="4"/>
        <v>#REF!</v>
      </c>
      <c r="O49" s="366" t="e">
        <f>VLOOKUP($C$17:$C$60,#REF!,15,0)</f>
        <v>#REF!</v>
      </c>
      <c r="P49" s="366" t="e">
        <f>VLOOKUP($C$17:$C$60,#REF!,16,0)</f>
        <v>#REF!</v>
      </c>
      <c r="Q49" s="238" t="e">
        <f t="shared" si="8"/>
        <v>#REF!</v>
      </c>
      <c r="R49" s="47" t="e">
        <f t="shared" si="5"/>
        <v>#REF!</v>
      </c>
      <c r="S49" s="47"/>
      <c r="T49" s="47"/>
      <c r="U49" s="47" t="e">
        <f t="shared" si="6"/>
        <v>#REF!</v>
      </c>
      <c r="V49" s="47"/>
      <c r="W49" s="47"/>
      <c r="X49" s="65" t="e">
        <f t="shared" si="7"/>
        <v>#REF!</v>
      </c>
      <c r="Y49" s="47"/>
      <c r="Z49" s="118" t="s">
        <v>156</v>
      </c>
      <c r="AA49" s="120"/>
      <c r="AB49" s="120"/>
    </row>
    <row r="50" spans="1:28" s="105" customFormat="1" ht="18" customHeight="1">
      <c r="A50" s="307">
        <v>34</v>
      </c>
      <c r="B50" s="261"/>
      <c r="C50" s="431" t="s">
        <v>343</v>
      </c>
      <c r="D50" s="499" t="s">
        <v>369</v>
      </c>
      <c r="E50" s="470" t="s">
        <v>167</v>
      </c>
      <c r="F50" s="237" t="s">
        <v>157</v>
      </c>
      <c r="G50" s="360" t="e">
        <f>VLOOKUP($C$17:$C$60,#REF!,9,0)</f>
        <v>#REF!</v>
      </c>
      <c r="H50" s="47">
        <v>25000</v>
      </c>
      <c r="I50" s="47" t="s">
        <v>355</v>
      </c>
      <c r="J50" s="47" t="e">
        <f t="shared" si="2"/>
        <v>#REF!</v>
      </c>
      <c r="K50" s="47" t="e">
        <f t="shared" si="3"/>
        <v>#REF!</v>
      </c>
      <c r="L50" s="516" t="e">
        <f>VLOOKUP($C$17:$C$60,#REF!,11,0)</f>
        <v>#REF!</v>
      </c>
      <c r="M50" s="366" t="e">
        <f>VLOOKUP($C$17:$C$60,#REF!,11,0)</f>
        <v>#REF!</v>
      </c>
      <c r="N50" s="365" t="e">
        <f t="shared" si="4"/>
        <v>#REF!</v>
      </c>
      <c r="O50" s="366" t="e">
        <f>VLOOKUP($C$17:$C$60,#REF!,15,0)</f>
        <v>#REF!</v>
      </c>
      <c r="P50" s="366" t="e">
        <f>VLOOKUP($C$17:$C$60,#REF!,16,0)</f>
        <v>#REF!</v>
      </c>
      <c r="Q50" s="238" t="e">
        <f t="shared" si="8"/>
        <v>#REF!</v>
      </c>
      <c r="R50" s="47" t="e">
        <f t="shared" si="5"/>
        <v>#REF!</v>
      </c>
      <c r="S50" s="47"/>
      <c r="T50" s="47"/>
      <c r="U50" s="47" t="e">
        <f t="shared" si="6"/>
        <v>#REF!</v>
      </c>
      <c r="V50" s="47"/>
      <c r="W50" s="47"/>
      <c r="X50" s="65" t="e">
        <f t="shared" si="7"/>
        <v>#REF!</v>
      </c>
      <c r="Y50" s="47"/>
      <c r="Z50" s="118" t="s">
        <v>156</v>
      </c>
      <c r="AA50" s="120"/>
      <c r="AB50" s="120"/>
    </row>
    <row r="51" spans="1:28" s="105" customFormat="1" ht="18" customHeight="1">
      <c r="A51" s="307">
        <v>35</v>
      </c>
      <c r="B51" s="261"/>
      <c r="C51" s="431" t="s">
        <v>413</v>
      </c>
      <c r="D51" s="499" t="s">
        <v>393</v>
      </c>
      <c r="E51" s="470" t="s">
        <v>167</v>
      </c>
      <c r="F51" s="237" t="s">
        <v>157</v>
      </c>
      <c r="G51" s="360" t="e">
        <f>VLOOKUP($C$17:$C$60,#REF!,9,0)</f>
        <v>#REF!</v>
      </c>
      <c r="H51" s="47">
        <v>25000</v>
      </c>
      <c r="I51" s="47" t="s">
        <v>355</v>
      </c>
      <c r="J51" s="47" t="e">
        <f t="shared" si="2"/>
        <v>#REF!</v>
      </c>
      <c r="K51" s="47" t="e">
        <f t="shared" ref="K51:K60" si="9">J51</f>
        <v>#REF!</v>
      </c>
      <c r="L51" s="516" t="e">
        <f>VLOOKUP($C$17:$C$60,#REF!,11,0)</f>
        <v>#REF!</v>
      </c>
      <c r="M51" s="366" t="e">
        <f>VLOOKUP($C$17:$C$60,#REF!,11,0)</f>
        <v>#REF!</v>
      </c>
      <c r="N51" s="365" t="e">
        <f t="shared" si="4"/>
        <v>#REF!</v>
      </c>
      <c r="O51" s="366" t="e">
        <f>VLOOKUP($C$17:$C$60,#REF!,15,0)</f>
        <v>#REF!</v>
      </c>
      <c r="P51" s="366" t="e">
        <f>VLOOKUP($C$17:$C$60,#REF!,16,0)</f>
        <v>#REF!</v>
      </c>
      <c r="Q51" s="238" t="e">
        <f t="shared" si="8"/>
        <v>#REF!</v>
      </c>
      <c r="R51" s="47" t="e">
        <f t="shared" si="5"/>
        <v>#REF!</v>
      </c>
      <c r="S51" s="47"/>
      <c r="T51" s="47"/>
      <c r="U51" s="47" t="e">
        <f t="shared" si="6"/>
        <v>#REF!</v>
      </c>
      <c r="V51" s="47"/>
      <c r="W51" s="47"/>
      <c r="X51" s="65" t="e">
        <f t="shared" si="7"/>
        <v>#REF!</v>
      </c>
      <c r="Y51" s="47"/>
      <c r="Z51" s="118" t="s">
        <v>156</v>
      </c>
      <c r="AA51" s="120"/>
      <c r="AB51" s="120"/>
    </row>
    <row r="52" spans="1:28" s="105" customFormat="1" ht="18" customHeight="1">
      <c r="A52" s="307">
        <v>36</v>
      </c>
      <c r="B52" s="261"/>
      <c r="C52" s="431" t="s">
        <v>153</v>
      </c>
      <c r="D52" s="499" t="s">
        <v>387</v>
      </c>
      <c r="E52" s="470" t="s">
        <v>167</v>
      </c>
      <c r="F52" s="237" t="s">
        <v>157</v>
      </c>
      <c r="G52" s="360" t="e">
        <f>VLOOKUP($C$17:$C$60,#REF!,9,0)</f>
        <v>#REF!</v>
      </c>
      <c r="H52" s="47">
        <v>25000</v>
      </c>
      <c r="I52" s="47" t="s">
        <v>355</v>
      </c>
      <c r="J52" s="47" t="e">
        <f t="shared" si="2"/>
        <v>#REF!</v>
      </c>
      <c r="K52" s="47" t="e">
        <f t="shared" si="9"/>
        <v>#REF!</v>
      </c>
      <c r="L52" s="516" t="e">
        <f>VLOOKUP($C$17:$C$60,#REF!,11,0)</f>
        <v>#REF!</v>
      </c>
      <c r="M52" s="366" t="e">
        <f>VLOOKUP($C$17:$C$60,#REF!,11,0)</f>
        <v>#REF!</v>
      </c>
      <c r="N52" s="365" t="e">
        <f t="shared" si="4"/>
        <v>#REF!</v>
      </c>
      <c r="O52" s="366" t="e">
        <f>VLOOKUP($C$17:$C$60,#REF!,15,0)</f>
        <v>#REF!</v>
      </c>
      <c r="P52" s="366" t="e">
        <f>VLOOKUP($C$17:$C$60,#REF!,16,0)</f>
        <v>#REF!</v>
      </c>
      <c r="Q52" s="238" t="e">
        <f t="shared" si="8"/>
        <v>#REF!</v>
      </c>
      <c r="R52" s="47" t="e">
        <f t="shared" si="5"/>
        <v>#REF!</v>
      </c>
      <c r="S52" s="47"/>
      <c r="T52" s="47"/>
      <c r="U52" s="47" t="e">
        <f t="shared" si="6"/>
        <v>#REF!</v>
      </c>
      <c r="V52" s="47"/>
      <c r="W52" s="47"/>
      <c r="X52" s="65" t="e">
        <f t="shared" si="7"/>
        <v>#REF!</v>
      </c>
      <c r="Y52" s="47"/>
      <c r="Z52" s="118" t="s">
        <v>156</v>
      </c>
      <c r="AA52" s="120"/>
      <c r="AB52" s="120"/>
    </row>
    <row r="53" spans="1:28" s="105" customFormat="1" ht="18" customHeight="1">
      <c r="A53" s="307">
        <v>37</v>
      </c>
      <c r="B53" s="261"/>
      <c r="C53" s="431" t="s">
        <v>162</v>
      </c>
      <c r="D53" s="499" t="s">
        <v>383</v>
      </c>
      <c r="E53" s="470" t="s">
        <v>167</v>
      </c>
      <c r="F53" s="237" t="s">
        <v>157</v>
      </c>
      <c r="G53" s="360" t="e">
        <f>VLOOKUP($C$17:$C$60,#REF!,9,0)</f>
        <v>#REF!</v>
      </c>
      <c r="H53" s="47">
        <v>25000</v>
      </c>
      <c r="I53" s="47" t="s">
        <v>355</v>
      </c>
      <c r="J53" s="47" t="e">
        <f t="shared" si="2"/>
        <v>#REF!</v>
      </c>
      <c r="K53" s="47" t="e">
        <f t="shared" si="9"/>
        <v>#REF!</v>
      </c>
      <c r="L53" s="516" t="e">
        <f>VLOOKUP($C$17:$C$60,#REF!,11,0)</f>
        <v>#REF!</v>
      </c>
      <c r="M53" s="366" t="e">
        <f>VLOOKUP($C$17:$C$60,#REF!,11,0)</f>
        <v>#REF!</v>
      </c>
      <c r="N53" s="365" t="e">
        <f t="shared" si="4"/>
        <v>#REF!</v>
      </c>
      <c r="O53" s="366" t="e">
        <f>VLOOKUP($C$17:$C$60,#REF!,15,0)</f>
        <v>#REF!</v>
      </c>
      <c r="P53" s="366" t="e">
        <f>VLOOKUP($C$17:$C$60,#REF!,16,0)</f>
        <v>#REF!</v>
      </c>
      <c r="Q53" s="238" t="e">
        <f t="shared" si="8"/>
        <v>#REF!</v>
      </c>
      <c r="R53" s="47" t="e">
        <f t="shared" si="5"/>
        <v>#REF!</v>
      </c>
      <c r="S53" s="47"/>
      <c r="T53" s="47"/>
      <c r="U53" s="47" t="e">
        <f t="shared" si="6"/>
        <v>#REF!</v>
      </c>
      <c r="V53" s="47"/>
      <c r="W53" s="47"/>
      <c r="X53" s="65" t="e">
        <f t="shared" si="7"/>
        <v>#REF!</v>
      </c>
      <c r="Y53" s="47"/>
      <c r="Z53" s="118" t="s">
        <v>156</v>
      </c>
      <c r="AA53" s="120"/>
      <c r="AB53" s="120"/>
    </row>
    <row r="54" spans="1:28" s="105" customFormat="1" ht="18" customHeight="1">
      <c r="A54" s="307">
        <v>38</v>
      </c>
      <c r="B54" s="261"/>
      <c r="C54" s="431" t="s">
        <v>148</v>
      </c>
      <c r="D54" s="499" t="s">
        <v>378</v>
      </c>
      <c r="E54" s="470" t="s">
        <v>167</v>
      </c>
      <c r="F54" s="237" t="s">
        <v>157</v>
      </c>
      <c r="G54" s="360" t="e">
        <f>VLOOKUP($C$17:$C$60,#REF!,9,0)</f>
        <v>#REF!</v>
      </c>
      <c r="H54" s="47">
        <v>25000</v>
      </c>
      <c r="I54" s="47" t="s">
        <v>355</v>
      </c>
      <c r="J54" s="47" t="e">
        <f t="shared" si="2"/>
        <v>#REF!</v>
      </c>
      <c r="K54" s="47" t="e">
        <f t="shared" si="9"/>
        <v>#REF!</v>
      </c>
      <c r="L54" s="516" t="e">
        <f>VLOOKUP($C$17:$C$60,#REF!,11,0)</f>
        <v>#REF!</v>
      </c>
      <c r="M54" s="366" t="e">
        <f>VLOOKUP($C$17:$C$60,#REF!,11,0)</f>
        <v>#REF!</v>
      </c>
      <c r="N54" s="365" t="e">
        <f t="shared" si="4"/>
        <v>#REF!</v>
      </c>
      <c r="O54" s="366" t="e">
        <f>VLOOKUP($C$17:$C$60,#REF!,15,0)</f>
        <v>#REF!</v>
      </c>
      <c r="P54" s="366" t="e">
        <f>VLOOKUP($C$17:$C$60,#REF!,16,0)</f>
        <v>#REF!</v>
      </c>
      <c r="Q54" s="238" t="e">
        <f t="shared" si="8"/>
        <v>#REF!</v>
      </c>
      <c r="R54" s="47" t="e">
        <f t="shared" si="5"/>
        <v>#REF!</v>
      </c>
      <c r="S54" s="47"/>
      <c r="T54" s="47"/>
      <c r="U54" s="47" t="e">
        <f t="shared" si="6"/>
        <v>#REF!</v>
      </c>
      <c r="V54" s="47"/>
      <c r="W54" s="47"/>
      <c r="X54" s="65" t="e">
        <f t="shared" si="7"/>
        <v>#REF!</v>
      </c>
      <c r="Y54" s="47"/>
      <c r="Z54" s="118" t="s">
        <v>156</v>
      </c>
      <c r="AA54" s="120"/>
      <c r="AB54" s="120"/>
    </row>
    <row r="55" spans="1:28" s="105" customFormat="1" ht="18" customHeight="1">
      <c r="A55" s="307">
        <v>39</v>
      </c>
      <c r="B55" s="261"/>
      <c r="C55" s="431" t="s">
        <v>348</v>
      </c>
      <c r="D55" s="499" t="s">
        <v>395</v>
      </c>
      <c r="E55" s="470" t="s">
        <v>167</v>
      </c>
      <c r="F55" s="237" t="s">
        <v>157</v>
      </c>
      <c r="G55" s="360" t="e">
        <f>VLOOKUP($C$17:$C$60,#REF!,9,0)</f>
        <v>#REF!</v>
      </c>
      <c r="H55" s="47">
        <v>25000</v>
      </c>
      <c r="I55" s="47" t="s">
        <v>355</v>
      </c>
      <c r="J55" s="47" t="e">
        <f t="shared" si="2"/>
        <v>#REF!</v>
      </c>
      <c r="K55" s="47" t="e">
        <f t="shared" si="9"/>
        <v>#REF!</v>
      </c>
      <c r="L55" s="516" t="e">
        <f>VLOOKUP($C$17:$C$60,#REF!,11,0)</f>
        <v>#REF!</v>
      </c>
      <c r="M55" s="366" t="e">
        <f>VLOOKUP($C$17:$C$60,#REF!,11,0)</f>
        <v>#REF!</v>
      </c>
      <c r="N55" s="365" t="e">
        <f t="shared" si="4"/>
        <v>#REF!</v>
      </c>
      <c r="O55" s="366" t="e">
        <f>VLOOKUP($C$17:$C$60,#REF!,15,0)</f>
        <v>#REF!</v>
      </c>
      <c r="P55" s="366" t="e">
        <f>VLOOKUP($C$17:$C$60,#REF!,16,0)</f>
        <v>#REF!</v>
      </c>
      <c r="Q55" s="238" t="e">
        <f t="shared" si="8"/>
        <v>#REF!</v>
      </c>
      <c r="R55" s="47" t="e">
        <f t="shared" si="5"/>
        <v>#REF!</v>
      </c>
      <c r="S55" s="47"/>
      <c r="T55" s="47"/>
      <c r="U55" s="47" t="e">
        <f t="shared" si="6"/>
        <v>#REF!</v>
      </c>
      <c r="V55" s="47"/>
      <c r="W55" s="47"/>
      <c r="X55" s="65" t="e">
        <f t="shared" si="7"/>
        <v>#REF!</v>
      </c>
      <c r="Y55" s="47"/>
      <c r="Z55" s="118" t="s">
        <v>156</v>
      </c>
      <c r="AA55" s="120"/>
      <c r="AB55" s="120"/>
    </row>
    <row r="56" spans="1:28" s="105" customFormat="1" ht="18" customHeight="1">
      <c r="A56" s="307">
        <v>40</v>
      </c>
      <c r="B56" s="261"/>
      <c r="C56" s="431" t="s">
        <v>151</v>
      </c>
      <c r="D56" s="499" t="s">
        <v>385</v>
      </c>
      <c r="E56" s="470" t="s">
        <v>167</v>
      </c>
      <c r="F56" s="237" t="s">
        <v>157</v>
      </c>
      <c r="G56" s="360" t="e">
        <f>VLOOKUP($C$17:$C$60,#REF!,9,0)</f>
        <v>#REF!</v>
      </c>
      <c r="H56" s="47">
        <v>25000</v>
      </c>
      <c r="I56" s="47" t="s">
        <v>355</v>
      </c>
      <c r="J56" s="47" t="e">
        <f t="shared" si="2"/>
        <v>#REF!</v>
      </c>
      <c r="K56" s="47" t="e">
        <f t="shared" si="9"/>
        <v>#REF!</v>
      </c>
      <c r="L56" s="516" t="e">
        <f>VLOOKUP($C$17:$C$60,#REF!,11,0)</f>
        <v>#REF!</v>
      </c>
      <c r="M56" s="366" t="e">
        <f>VLOOKUP($C$17:$C$60,#REF!,11,0)</f>
        <v>#REF!</v>
      </c>
      <c r="N56" s="365" t="e">
        <f t="shared" si="4"/>
        <v>#REF!</v>
      </c>
      <c r="O56" s="366" t="e">
        <f>VLOOKUP($C$17:$C$60,#REF!,15,0)</f>
        <v>#REF!</v>
      </c>
      <c r="P56" s="366" t="e">
        <f>VLOOKUP($C$17:$C$60,#REF!,16,0)</f>
        <v>#REF!</v>
      </c>
      <c r="Q56" s="238" t="e">
        <f t="shared" si="8"/>
        <v>#REF!</v>
      </c>
      <c r="R56" s="47" t="e">
        <f t="shared" si="5"/>
        <v>#REF!</v>
      </c>
      <c r="S56" s="47"/>
      <c r="T56" s="47"/>
      <c r="U56" s="47" t="e">
        <f t="shared" si="6"/>
        <v>#REF!</v>
      </c>
      <c r="V56" s="47"/>
      <c r="W56" s="47"/>
      <c r="X56" s="65" t="e">
        <f t="shared" si="7"/>
        <v>#REF!</v>
      </c>
      <c r="Y56" s="47"/>
      <c r="Z56" s="118" t="s">
        <v>156</v>
      </c>
      <c r="AA56" s="120"/>
      <c r="AB56" s="120"/>
    </row>
    <row r="57" spans="1:28" s="105" customFormat="1" ht="18" customHeight="1">
      <c r="A57" s="307">
        <v>41</v>
      </c>
      <c r="B57" s="261"/>
      <c r="C57" s="431" t="s">
        <v>415</v>
      </c>
      <c r="D57" s="499" t="s">
        <v>396</v>
      </c>
      <c r="E57" s="470" t="s">
        <v>167</v>
      </c>
      <c r="F57" s="237" t="s">
        <v>157</v>
      </c>
      <c r="G57" s="360" t="e">
        <f>VLOOKUP($C$17:$C$60,#REF!,9,0)</f>
        <v>#REF!</v>
      </c>
      <c r="H57" s="47">
        <v>25000</v>
      </c>
      <c r="I57" s="47" t="s">
        <v>355</v>
      </c>
      <c r="J57" s="47" t="e">
        <f t="shared" si="2"/>
        <v>#REF!</v>
      </c>
      <c r="K57" s="47" t="e">
        <f t="shared" si="9"/>
        <v>#REF!</v>
      </c>
      <c r="L57" s="516" t="e">
        <f>VLOOKUP($C$17:$C$60,#REF!,11,0)</f>
        <v>#REF!</v>
      </c>
      <c r="M57" s="366" t="e">
        <f>VLOOKUP($C$17:$C$60,#REF!,11,0)</f>
        <v>#REF!</v>
      </c>
      <c r="N57" s="365" t="e">
        <f>L57*IF(M57="A",1600,IF(M57="B",1500,IF(M57="C",1400)))</f>
        <v>#REF!</v>
      </c>
      <c r="O57" s="366" t="e">
        <f>VLOOKUP($C$17:$C$60,#REF!,15,0)</f>
        <v>#REF!</v>
      </c>
      <c r="P57" s="366" t="e">
        <f>VLOOKUP($C$17:$C$60,#REF!,16,0)</f>
        <v>#REF!</v>
      </c>
      <c r="Q57" s="238" t="e">
        <f t="shared" si="8"/>
        <v>#REF!</v>
      </c>
      <c r="R57" s="47" t="e">
        <f t="shared" si="5"/>
        <v>#REF!</v>
      </c>
      <c r="S57" s="47"/>
      <c r="T57" s="47"/>
      <c r="U57" s="47" t="e">
        <f t="shared" si="6"/>
        <v>#REF!</v>
      </c>
      <c r="V57" s="47"/>
      <c r="W57" s="47"/>
      <c r="X57" s="65" t="e">
        <f t="shared" si="7"/>
        <v>#REF!</v>
      </c>
      <c r="Y57" s="47"/>
      <c r="Z57" s="118" t="s">
        <v>156</v>
      </c>
      <c r="AA57" s="120"/>
      <c r="AB57" s="120"/>
    </row>
    <row r="58" spans="1:28" s="105" customFormat="1" ht="18" customHeight="1">
      <c r="A58" s="307">
        <v>42</v>
      </c>
      <c r="B58" s="261"/>
      <c r="C58" s="431" t="s">
        <v>486</v>
      </c>
      <c r="D58" s="499"/>
      <c r="E58" s="470" t="s">
        <v>167</v>
      </c>
      <c r="F58" s="237" t="s">
        <v>157</v>
      </c>
      <c r="G58" s="360" t="e">
        <f>VLOOKUP($C$17:$C$60,#REF!,9,0)</f>
        <v>#REF!</v>
      </c>
      <c r="H58" s="47">
        <v>25000</v>
      </c>
      <c r="I58" s="47" t="s">
        <v>355</v>
      </c>
      <c r="J58" s="47" t="e">
        <f t="shared" si="2"/>
        <v>#REF!</v>
      </c>
      <c r="K58" s="47" t="e">
        <f t="shared" si="9"/>
        <v>#REF!</v>
      </c>
      <c r="L58" s="516"/>
      <c r="M58" s="366"/>
      <c r="N58" s="365">
        <f>L58*IF(M58="A",1600,IF(M58="B",1500,IF(M58="C",1400)))</f>
        <v>0</v>
      </c>
      <c r="O58" s="366" t="e">
        <f>VLOOKUP($C$17:$C$60,#REF!,15,0)</f>
        <v>#REF!</v>
      </c>
      <c r="P58" s="366" t="e">
        <f>VLOOKUP($C$17:$C$60,#REF!,16,0)</f>
        <v>#REF!</v>
      </c>
      <c r="Q58" s="238" t="e">
        <f t="shared" si="8"/>
        <v>#REF!</v>
      </c>
      <c r="R58" s="47" t="e">
        <f t="shared" si="5"/>
        <v>#REF!</v>
      </c>
      <c r="S58" s="47"/>
      <c r="T58" s="47"/>
      <c r="U58" s="47" t="e">
        <f t="shared" si="6"/>
        <v>#REF!</v>
      </c>
      <c r="V58" s="47"/>
      <c r="W58" s="47"/>
      <c r="X58" s="65" t="e">
        <f t="shared" si="7"/>
        <v>#REF!</v>
      </c>
      <c r="Y58" s="47"/>
      <c r="Z58" s="118" t="s">
        <v>156</v>
      </c>
      <c r="AA58" s="120"/>
      <c r="AB58" s="120"/>
    </row>
    <row r="59" spans="1:28" s="105" customFormat="1" ht="18" customHeight="1">
      <c r="A59" s="307">
        <v>43</v>
      </c>
      <c r="B59" s="261"/>
      <c r="C59" s="431" t="s">
        <v>487</v>
      </c>
      <c r="D59" s="499"/>
      <c r="E59" s="470" t="s">
        <v>167</v>
      </c>
      <c r="F59" s="237" t="s">
        <v>157</v>
      </c>
      <c r="G59" s="360" t="e">
        <f>VLOOKUP($C$17:$C$60,#REF!,9,0)</f>
        <v>#REF!</v>
      </c>
      <c r="H59" s="47">
        <v>25000</v>
      </c>
      <c r="I59" s="47" t="s">
        <v>355</v>
      </c>
      <c r="J59" s="47" t="e">
        <f t="shared" si="2"/>
        <v>#REF!</v>
      </c>
      <c r="K59" s="47" t="e">
        <f t="shared" si="9"/>
        <v>#REF!</v>
      </c>
      <c r="L59" s="516"/>
      <c r="M59" s="366"/>
      <c r="N59" s="365">
        <f>L59*IF(M59="A",1600,IF(M59="B",1500,IF(M59="C",1400)))</f>
        <v>0</v>
      </c>
      <c r="O59" s="366" t="e">
        <f>VLOOKUP($C$17:$C$60,#REF!,15,0)</f>
        <v>#REF!</v>
      </c>
      <c r="P59" s="366" t="e">
        <f>VLOOKUP($C$17:$C$60,#REF!,16,0)</f>
        <v>#REF!</v>
      </c>
      <c r="Q59" s="238" t="e">
        <f t="shared" si="8"/>
        <v>#REF!</v>
      </c>
      <c r="R59" s="47" t="e">
        <f t="shared" si="5"/>
        <v>#REF!</v>
      </c>
      <c r="S59" s="47"/>
      <c r="T59" s="47"/>
      <c r="U59" s="47" t="e">
        <f t="shared" si="6"/>
        <v>#REF!</v>
      </c>
      <c r="V59" s="47"/>
      <c r="W59" s="47"/>
      <c r="X59" s="65" t="e">
        <f t="shared" si="7"/>
        <v>#REF!</v>
      </c>
      <c r="Y59" s="47"/>
      <c r="Z59" s="118" t="s">
        <v>156</v>
      </c>
      <c r="AA59" s="120"/>
      <c r="AB59" s="120"/>
    </row>
    <row r="60" spans="1:28" s="105" customFormat="1" ht="18" customHeight="1">
      <c r="A60" s="307">
        <v>44</v>
      </c>
      <c r="B60" s="261"/>
      <c r="C60" s="434" t="s">
        <v>488</v>
      </c>
      <c r="D60" s="499"/>
      <c r="E60" s="470" t="s">
        <v>167</v>
      </c>
      <c r="F60" s="237" t="s">
        <v>157</v>
      </c>
      <c r="G60" s="360" t="e">
        <f>VLOOKUP($C$17:$C$60,#REF!,9,0)</f>
        <v>#REF!</v>
      </c>
      <c r="H60" s="47">
        <v>25000</v>
      </c>
      <c r="I60" s="47" t="s">
        <v>355</v>
      </c>
      <c r="J60" s="47" t="e">
        <f t="shared" si="2"/>
        <v>#REF!</v>
      </c>
      <c r="K60" s="47" t="e">
        <f t="shared" si="9"/>
        <v>#REF!</v>
      </c>
      <c r="L60" s="516"/>
      <c r="M60" s="366"/>
      <c r="N60" s="365">
        <f>L60*IF(M60="A",1600,IF(M60="B",1500,IF(M60="C",1400)))</f>
        <v>0</v>
      </c>
      <c r="O60" s="366" t="e">
        <f>VLOOKUP($C$17:$C$60,#REF!,15,0)</f>
        <v>#REF!</v>
      </c>
      <c r="P60" s="366" t="e">
        <f>VLOOKUP($C$17:$C$60,#REF!,16,0)</f>
        <v>#REF!</v>
      </c>
      <c r="Q60" s="238" t="e">
        <f t="shared" si="8"/>
        <v>#REF!</v>
      </c>
      <c r="R60" s="47" t="e">
        <f t="shared" si="5"/>
        <v>#REF!</v>
      </c>
      <c r="S60" s="47"/>
      <c r="T60" s="47"/>
      <c r="U60" s="47" t="e">
        <f t="shared" si="6"/>
        <v>#REF!</v>
      </c>
      <c r="V60" s="47"/>
      <c r="W60" s="47"/>
      <c r="X60" s="65" t="e">
        <f t="shared" si="7"/>
        <v>#REF!</v>
      </c>
      <c r="Y60" s="47"/>
      <c r="Z60" s="118" t="s">
        <v>156</v>
      </c>
      <c r="AA60" s="120"/>
      <c r="AB60" s="120"/>
    </row>
    <row r="61" spans="1:28" s="105" customFormat="1" ht="18" customHeight="1">
      <c r="A61" s="4518" t="s">
        <v>450</v>
      </c>
      <c r="B61" s="4518"/>
      <c r="C61" s="4518"/>
      <c r="D61" s="497"/>
      <c r="E61" s="497"/>
      <c r="F61" s="566"/>
      <c r="G61" s="357" t="e">
        <f>SUM(G17:G60)</f>
        <v>#REF!</v>
      </c>
      <c r="H61" s="104"/>
      <c r="I61" s="104"/>
      <c r="J61" s="363" t="e">
        <f t="shared" ref="J61:X61" si="10">SUM(J17:J60)</f>
        <v>#REF!</v>
      </c>
      <c r="K61" s="363" t="e">
        <f t="shared" si="10"/>
        <v>#REF!</v>
      </c>
      <c r="L61" s="363" t="e">
        <f t="shared" si="10"/>
        <v>#REF!</v>
      </c>
      <c r="M61" s="363" t="e">
        <f t="shared" si="10"/>
        <v>#REF!</v>
      </c>
      <c r="N61" s="363" t="e">
        <f t="shared" si="10"/>
        <v>#REF!</v>
      </c>
      <c r="O61" s="363" t="e">
        <f t="shared" si="10"/>
        <v>#REF!</v>
      </c>
      <c r="P61" s="363" t="e">
        <f t="shared" si="10"/>
        <v>#REF!</v>
      </c>
      <c r="Q61" s="363" t="e">
        <f t="shared" si="10"/>
        <v>#REF!</v>
      </c>
      <c r="R61" s="363" t="e">
        <f t="shared" si="10"/>
        <v>#REF!</v>
      </c>
      <c r="S61" s="363">
        <f t="shared" si="10"/>
        <v>0</v>
      </c>
      <c r="T61" s="363">
        <f t="shared" si="10"/>
        <v>0</v>
      </c>
      <c r="U61" s="363" t="e">
        <f t="shared" si="10"/>
        <v>#REF!</v>
      </c>
      <c r="V61" s="363">
        <f t="shared" si="10"/>
        <v>0</v>
      </c>
      <c r="W61" s="363">
        <f t="shared" si="10"/>
        <v>0</v>
      </c>
      <c r="X61" s="363" t="e">
        <f t="shared" si="10"/>
        <v>#REF!</v>
      </c>
      <c r="Y61" s="104"/>
      <c r="Z61" s="264"/>
      <c r="AA61" s="120"/>
      <c r="AB61" s="120"/>
    </row>
    <row r="62" spans="1:28" s="105" customFormat="1" ht="21" customHeight="1">
      <c r="A62" s="4493" t="s">
        <v>498</v>
      </c>
      <c r="B62" s="4493"/>
      <c r="C62" s="4493"/>
      <c r="D62" s="4493"/>
      <c r="E62" s="4493"/>
      <c r="F62" s="4493"/>
      <c r="G62" s="4493"/>
      <c r="H62" s="4493"/>
      <c r="I62" s="4493"/>
      <c r="J62" s="4493"/>
      <c r="K62" s="4493"/>
      <c r="L62" s="4493"/>
      <c r="M62" s="4493"/>
      <c r="N62" s="4493"/>
      <c r="O62" s="4493"/>
      <c r="P62" s="4493"/>
      <c r="Q62" s="4493"/>
      <c r="R62" s="4493"/>
      <c r="S62" s="4493"/>
      <c r="T62" s="4493"/>
      <c r="U62" s="4493"/>
      <c r="V62" s="4493"/>
      <c r="W62" s="4493"/>
      <c r="X62" s="4493"/>
      <c r="Y62" s="4493"/>
      <c r="Z62" s="4493"/>
      <c r="AA62" s="120"/>
      <c r="AB62" s="120"/>
    </row>
    <row r="63" spans="1:28" ht="18" customHeight="1">
      <c r="G63" s="177"/>
      <c r="K63" s="108"/>
      <c r="L63" s="367"/>
      <c r="M63" s="367"/>
      <c r="N63" s="367"/>
      <c r="O63" s="367"/>
      <c r="Q63" s="108"/>
      <c r="R63" s="108"/>
      <c r="S63" s="108"/>
      <c r="T63" s="108"/>
      <c r="U63" s="108"/>
      <c r="V63" s="4494" t="s">
        <v>428</v>
      </c>
      <c r="W63" s="4494"/>
      <c r="X63" s="4494"/>
      <c r="Y63" s="4494"/>
      <c r="Z63" s="4494"/>
      <c r="AA63" s="108"/>
      <c r="AB63" s="109" t="e">
        <f>+#REF!-#REF!-#REF!-#REF!-#REF!</f>
        <v>#REF!</v>
      </c>
    </row>
    <row r="64" spans="1:28" s="519" customFormat="1" ht="18.75" customHeight="1">
      <c r="B64" s="4222" t="s">
        <v>19</v>
      </c>
      <c r="C64" s="4222"/>
      <c r="D64" s="4222"/>
      <c r="E64" s="4222"/>
      <c r="F64" s="4222"/>
      <c r="G64" s="520"/>
      <c r="H64" s="521"/>
      <c r="I64" s="4222" t="s">
        <v>117</v>
      </c>
      <c r="J64" s="4222"/>
      <c r="K64" s="4222"/>
      <c r="L64" s="4222"/>
      <c r="M64" s="569"/>
      <c r="N64" s="569"/>
      <c r="O64" s="4222" t="s">
        <v>93</v>
      </c>
      <c r="P64" s="4222"/>
      <c r="Q64" s="4222"/>
      <c r="R64" s="4222"/>
      <c r="S64" s="4222"/>
      <c r="T64" s="569"/>
      <c r="U64" s="521"/>
      <c r="V64" s="521"/>
      <c r="W64" s="4222" t="s">
        <v>21</v>
      </c>
      <c r="X64" s="4222"/>
      <c r="Y64" s="4222"/>
      <c r="Z64" s="569"/>
    </row>
    <row r="65" spans="1:43" s="522" customFormat="1" ht="18.75">
      <c r="C65" s="523"/>
      <c r="E65" s="567"/>
      <c r="F65" s="567"/>
      <c r="G65" s="524"/>
      <c r="L65" s="524"/>
      <c r="N65" s="523"/>
      <c r="P65" s="525"/>
      <c r="U65" s="523"/>
      <c r="Z65" s="567"/>
      <c r="AA65" s="523"/>
      <c r="AB65" s="523"/>
    </row>
    <row r="66" spans="1:43" s="522" customFormat="1" ht="18.75">
      <c r="C66" s="523"/>
      <c r="E66" s="567"/>
      <c r="F66" s="567"/>
      <c r="G66" s="524"/>
      <c r="L66" s="524"/>
      <c r="N66" s="523"/>
      <c r="P66" s="525"/>
      <c r="U66" s="523"/>
      <c r="Z66" s="567"/>
      <c r="AA66" s="523"/>
      <c r="AB66" s="523"/>
    </row>
    <row r="67" spans="1:43" s="522" customFormat="1" ht="18.75">
      <c r="C67" s="523"/>
      <c r="E67" s="567"/>
      <c r="F67" s="567"/>
      <c r="G67" s="524"/>
      <c r="L67" s="524"/>
      <c r="N67" s="523"/>
      <c r="P67" s="525"/>
      <c r="U67" s="523"/>
      <c r="Z67" s="567"/>
      <c r="AA67" s="523"/>
      <c r="AB67" s="523"/>
    </row>
    <row r="68" spans="1:43" s="522" customFormat="1" ht="18.75">
      <c r="C68" s="523"/>
      <c r="E68" s="567"/>
      <c r="F68" s="567"/>
      <c r="G68" s="4487"/>
      <c r="H68" s="4487"/>
      <c r="N68" s="523"/>
      <c r="P68" s="525"/>
      <c r="R68" s="523"/>
      <c r="S68" s="523"/>
      <c r="T68" s="523"/>
      <c r="U68" s="523"/>
      <c r="V68" s="523"/>
      <c r="W68" s="523"/>
      <c r="X68" s="523"/>
      <c r="Z68" s="567"/>
    </row>
    <row r="69" spans="1:43" s="522" customFormat="1" ht="18.75">
      <c r="C69" s="523"/>
      <c r="E69" s="567"/>
      <c r="F69" s="567"/>
      <c r="G69" s="4485"/>
      <c r="H69" s="4485"/>
      <c r="I69" s="4485"/>
      <c r="P69" s="525"/>
      <c r="Q69" s="526"/>
      <c r="R69" s="523"/>
      <c r="S69" s="523"/>
      <c r="T69" s="523"/>
      <c r="U69" s="523"/>
      <c r="V69" s="523"/>
      <c r="W69" s="523"/>
      <c r="X69" s="523"/>
      <c r="Z69" s="567"/>
    </row>
    <row r="70" spans="1:43" s="522" customFormat="1" ht="18.75">
      <c r="E70" s="567"/>
      <c r="F70" s="4485"/>
      <c r="G70" s="4485"/>
      <c r="H70" s="4486"/>
      <c r="I70" s="4486"/>
      <c r="J70" s="4486"/>
      <c r="L70" s="4482"/>
      <c r="M70" s="4482"/>
      <c r="N70" s="4482"/>
      <c r="O70" s="4482"/>
      <c r="P70" s="525"/>
      <c r="Q70" s="523"/>
      <c r="R70" s="523"/>
      <c r="S70" s="523"/>
      <c r="T70" s="523"/>
      <c r="U70" s="523"/>
      <c r="V70" s="523"/>
      <c r="W70" s="523"/>
      <c r="Z70" s="567"/>
    </row>
    <row r="71" spans="1:43" s="522" customFormat="1" ht="18.75">
      <c r="E71" s="567"/>
      <c r="F71" s="567"/>
      <c r="H71" s="4486"/>
      <c r="I71" s="4486"/>
      <c r="M71" s="4487"/>
      <c r="N71" s="4487"/>
      <c r="P71" s="525"/>
      <c r="R71" s="523"/>
      <c r="S71" s="523"/>
      <c r="T71" s="523"/>
      <c r="U71" s="4482"/>
      <c r="V71" s="4482"/>
      <c r="W71" s="523"/>
      <c r="Z71" s="567"/>
    </row>
    <row r="72" spans="1:43">
      <c r="M72" s="4483"/>
      <c r="N72" s="4483"/>
      <c r="P72" s="4198"/>
      <c r="Q72" s="4198"/>
      <c r="R72" s="4198"/>
      <c r="S72" s="110"/>
      <c r="T72" s="110"/>
      <c r="U72" s="110"/>
      <c r="V72" s="110"/>
      <c r="W72" s="4198" t="s">
        <v>34</v>
      </c>
      <c r="X72" s="4198"/>
      <c r="Y72" s="4198"/>
      <c r="Z72" s="247"/>
    </row>
    <row r="73" spans="1:43">
      <c r="M73" s="4483"/>
      <c r="N73" s="4483"/>
      <c r="U73" s="108"/>
    </row>
    <row r="74" spans="1:43">
      <c r="M74" s="4484"/>
      <c r="N74" s="4484"/>
    </row>
    <row r="76" spans="1:43" s="429" customFormat="1">
      <c r="A76" s="107"/>
      <c r="B76" s="106"/>
      <c r="C76" s="107"/>
      <c r="D76" s="107"/>
      <c r="G76" s="94"/>
      <c r="H76" s="94"/>
      <c r="I76" s="107"/>
      <c r="J76" s="94"/>
      <c r="K76" s="94"/>
      <c r="L76" s="107"/>
      <c r="M76" s="107"/>
      <c r="N76" s="107"/>
      <c r="O76" s="107"/>
      <c r="P76" s="376"/>
      <c r="Q76" s="94"/>
      <c r="R76" s="94"/>
      <c r="S76" s="94"/>
      <c r="T76" s="94"/>
      <c r="U76" s="94"/>
      <c r="V76" s="94"/>
      <c r="W76" s="94"/>
      <c r="X76" s="4094"/>
      <c r="Y76" s="40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</row>
    <row r="81" spans="1:43" s="429" customFormat="1">
      <c r="A81" s="107"/>
      <c r="B81" s="106"/>
      <c r="C81" s="107"/>
      <c r="D81" s="107"/>
      <c r="G81" s="94">
        <f>+G4</f>
        <v>0</v>
      </c>
      <c r="H81" s="94"/>
      <c r="I81" s="107"/>
      <c r="J81" s="94"/>
      <c r="K81" s="94"/>
      <c r="L81" s="107"/>
      <c r="M81" s="107"/>
      <c r="N81" s="107"/>
      <c r="O81" s="107"/>
      <c r="P81" s="376"/>
      <c r="Q81" s="94"/>
      <c r="R81" s="94"/>
      <c r="S81" s="94"/>
      <c r="T81" s="94"/>
      <c r="U81" s="94"/>
      <c r="V81" s="94"/>
      <c r="W81" s="94"/>
      <c r="X81" s="94"/>
      <c r="Y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</row>
    <row r="82" spans="1:43" s="429" customFormat="1">
      <c r="A82" s="107"/>
      <c r="B82" s="106"/>
      <c r="C82" s="107"/>
      <c r="D82" s="107"/>
      <c r="G82" s="94"/>
      <c r="H82" s="94"/>
      <c r="I82" s="107"/>
      <c r="J82" s="163"/>
      <c r="K82" s="94"/>
      <c r="L82" s="107"/>
      <c r="M82" s="107"/>
      <c r="N82" s="107"/>
      <c r="O82" s="107"/>
      <c r="P82" s="376"/>
      <c r="Q82" s="94"/>
      <c r="R82" s="94"/>
      <c r="S82" s="94"/>
      <c r="T82" s="94"/>
      <c r="U82" s="94"/>
      <c r="V82" s="94"/>
      <c r="W82" s="94"/>
      <c r="X82" s="94"/>
      <c r="Y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</row>
  </sheetData>
  <mergeCells count="52">
    <mergeCell ref="X76:Y76"/>
    <mergeCell ref="U71:V71"/>
    <mergeCell ref="M72:N72"/>
    <mergeCell ref="P72:R72"/>
    <mergeCell ref="W72:Y72"/>
    <mergeCell ref="M73:N73"/>
    <mergeCell ref="M74:N74"/>
    <mergeCell ref="F70:G70"/>
    <mergeCell ref="H70:J70"/>
    <mergeCell ref="L70:M70"/>
    <mergeCell ref="N70:O70"/>
    <mergeCell ref="H71:I71"/>
    <mergeCell ref="M71:N71"/>
    <mergeCell ref="G69:I69"/>
    <mergeCell ref="A62:Z62"/>
    <mergeCell ref="V63:Z63"/>
    <mergeCell ref="A13:C13"/>
    <mergeCell ref="A16:F16"/>
    <mergeCell ref="A61:C61"/>
    <mergeCell ref="B64:F64"/>
    <mergeCell ref="I64:L64"/>
    <mergeCell ref="O64:S64"/>
    <mergeCell ref="W64:Y64"/>
    <mergeCell ref="G68:H68"/>
    <mergeCell ref="V8:V10"/>
    <mergeCell ref="W8:W10"/>
    <mergeCell ref="X8:X10"/>
    <mergeCell ref="Y8:Y10"/>
    <mergeCell ref="Z8:Z10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A8:A10"/>
    <mergeCell ref="B8:C9"/>
    <mergeCell ref="D8:D10"/>
    <mergeCell ref="E8:E10"/>
    <mergeCell ref="A1:F1"/>
    <mergeCell ref="R1:Y1"/>
    <mergeCell ref="A2:F2"/>
    <mergeCell ref="R2:Y2"/>
    <mergeCell ref="A4:Z4"/>
    <mergeCell ref="A5:Z5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T27"/>
  <sheetViews>
    <sheetView workbookViewId="0">
      <selection activeCell="J23" sqref="J23"/>
    </sheetView>
  </sheetViews>
  <sheetFormatPr defaultColWidth="9.140625" defaultRowHeight="15.75"/>
  <cols>
    <col min="1" max="1" width="4.28515625" style="4" customWidth="1"/>
    <col min="2" max="2" width="10.7109375" style="43" customWidth="1"/>
    <col min="3" max="3" width="13.42578125" style="4" customWidth="1"/>
    <col min="4" max="4" width="7.5703125" style="4" customWidth="1"/>
    <col min="5" max="5" width="9.85546875" style="33" customWidth="1"/>
    <col min="6" max="6" width="6.28515625" style="4" customWidth="1"/>
    <col min="7" max="7" width="9.57031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5.140625" style="4" customWidth="1"/>
    <col min="19" max="20" width="9.140625" style="4"/>
    <col min="21" max="21" width="10.140625" style="4" bestFit="1" customWidth="1"/>
    <col min="22" max="16384" width="9.140625" style="4"/>
  </cols>
  <sheetData>
    <row r="1" spans="1:20" ht="16.5">
      <c r="A1" s="4339" t="s">
        <v>255</v>
      </c>
      <c r="B1" s="4521"/>
      <c r="C1" s="4521"/>
      <c r="D1" s="4521"/>
      <c r="E1" s="4521"/>
      <c r="F1" s="4521"/>
      <c r="G1" s="78"/>
      <c r="H1" s="79"/>
      <c r="I1" s="79"/>
      <c r="J1" s="79"/>
      <c r="K1" s="4521" t="s">
        <v>23</v>
      </c>
      <c r="L1" s="4521"/>
      <c r="M1" s="4521"/>
      <c r="N1" s="4521"/>
      <c r="O1" s="4521"/>
      <c r="P1" s="4521"/>
      <c r="Q1" s="4521"/>
      <c r="R1" s="3"/>
    </row>
    <row r="2" spans="1:20" ht="17.25">
      <c r="A2" s="4522" t="s">
        <v>90</v>
      </c>
      <c r="B2" s="4522"/>
      <c r="C2" s="4522"/>
      <c r="D2" s="4522"/>
      <c r="E2" s="4522"/>
      <c r="F2" s="4522"/>
      <c r="G2" s="81"/>
      <c r="H2" s="82"/>
      <c r="I2" s="82"/>
      <c r="J2" s="82"/>
      <c r="K2" s="4171" t="s">
        <v>45</v>
      </c>
      <c r="L2" s="4171"/>
      <c r="M2" s="4171"/>
      <c r="N2" s="4171"/>
      <c r="O2" s="4171"/>
      <c r="P2" s="4171"/>
      <c r="Q2" s="4171"/>
      <c r="R2" s="3"/>
    </row>
    <row r="3" spans="1:20" ht="10.5" customHeight="1">
      <c r="A3" s="77"/>
      <c r="B3" s="80"/>
      <c r="C3" s="80"/>
      <c r="D3" s="80"/>
      <c r="E3" s="83"/>
      <c r="F3" s="77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3"/>
    </row>
    <row r="4" spans="1:20" s="10" customFormat="1" ht="25.9" customHeight="1">
      <c r="A4" s="4131" t="s">
        <v>708</v>
      </c>
      <c r="B4" s="4131"/>
      <c r="C4" s="4131"/>
      <c r="D4" s="4131"/>
      <c r="E4" s="4131"/>
      <c r="F4" s="4131"/>
      <c r="G4" s="4131"/>
      <c r="H4" s="4131"/>
      <c r="I4" s="4131"/>
      <c r="J4" s="4131"/>
      <c r="K4" s="4131"/>
      <c r="L4" s="4131"/>
      <c r="M4" s="4131"/>
      <c r="N4" s="4131"/>
      <c r="O4" s="4131"/>
      <c r="P4" s="4131"/>
      <c r="Q4" s="4131"/>
      <c r="R4" s="4131"/>
    </row>
    <row r="5" spans="1:20" s="10" customFormat="1" ht="30.75" customHeight="1">
      <c r="A5" s="4524" t="s">
        <v>91</v>
      </c>
      <c r="B5" s="4524"/>
      <c r="C5" s="4524"/>
      <c r="D5" s="4524"/>
      <c r="E5" s="4524"/>
      <c r="F5" s="4524"/>
      <c r="G5" s="4524"/>
      <c r="H5" s="4524"/>
      <c r="I5" s="4524"/>
      <c r="J5" s="4524"/>
      <c r="K5" s="4524"/>
      <c r="L5" s="4524"/>
      <c r="M5" s="4524"/>
      <c r="N5" s="4524"/>
      <c r="O5" s="4524"/>
      <c r="P5" s="4524"/>
      <c r="Q5" s="4524"/>
      <c r="R5" s="4524"/>
    </row>
    <row r="6" spans="1:20" s="44" customFormat="1" ht="17.25" customHeight="1">
      <c r="A6" s="4438" t="s">
        <v>0</v>
      </c>
      <c r="B6" s="4440" t="s">
        <v>1</v>
      </c>
      <c r="C6" s="4441"/>
      <c r="D6" s="4438" t="s">
        <v>64</v>
      </c>
      <c r="E6" s="4445" t="s">
        <v>2</v>
      </c>
      <c r="F6" s="4445" t="s">
        <v>3</v>
      </c>
      <c r="G6" s="4526" t="s">
        <v>56</v>
      </c>
      <c r="H6" s="4526"/>
      <c r="I6" s="4526"/>
      <c r="J6" s="4526"/>
      <c r="K6" s="4412" t="s">
        <v>5</v>
      </c>
      <c r="L6" s="4412" t="s">
        <v>6</v>
      </c>
      <c r="M6" s="4412" t="s">
        <v>7</v>
      </c>
      <c r="N6" s="4412" t="s">
        <v>8</v>
      </c>
      <c r="O6" s="4412" t="s">
        <v>78</v>
      </c>
      <c r="P6" s="4412" t="s">
        <v>9</v>
      </c>
      <c r="Q6" s="4523" t="s">
        <v>10</v>
      </c>
      <c r="R6" s="4438" t="s">
        <v>11</v>
      </c>
    </row>
    <row r="7" spans="1:20" s="44" customFormat="1" ht="12" customHeight="1">
      <c r="A7" s="4438"/>
      <c r="B7" s="4441"/>
      <c r="C7" s="4441"/>
      <c r="D7" s="4438"/>
      <c r="E7" s="4438"/>
      <c r="F7" s="4438"/>
      <c r="G7" s="4435" t="s">
        <v>12</v>
      </c>
      <c r="H7" s="4437" t="s">
        <v>94</v>
      </c>
      <c r="I7" s="4412" t="s">
        <v>13</v>
      </c>
      <c r="J7" s="4438" t="s">
        <v>14</v>
      </c>
      <c r="K7" s="4412"/>
      <c r="L7" s="4412"/>
      <c r="M7" s="4412"/>
      <c r="N7" s="4412"/>
      <c r="O7" s="4412"/>
      <c r="P7" s="4412"/>
      <c r="Q7" s="4523"/>
      <c r="R7" s="4438"/>
    </row>
    <row r="8" spans="1:20" s="42" customFormat="1" ht="30.75" customHeight="1">
      <c r="A8" s="4439"/>
      <c r="B8" s="384" t="s">
        <v>15</v>
      </c>
      <c r="C8" s="384" t="s">
        <v>16</v>
      </c>
      <c r="D8" s="4438"/>
      <c r="E8" s="4439"/>
      <c r="F8" s="4439"/>
      <c r="G8" s="4520"/>
      <c r="H8" s="4437"/>
      <c r="I8" s="4412"/>
      <c r="J8" s="4438"/>
      <c r="K8" s="4412"/>
      <c r="L8" s="4412"/>
      <c r="M8" s="4412"/>
      <c r="N8" s="4412"/>
      <c r="O8" s="4412"/>
      <c r="P8" s="4412"/>
      <c r="Q8" s="4523"/>
      <c r="R8" s="4438"/>
    </row>
    <row r="9" spans="1:20" s="41" customFormat="1" ht="48.75" customHeight="1">
      <c r="A9" s="35" t="s">
        <v>254</v>
      </c>
      <c r="B9" s="35" t="s">
        <v>66</v>
      </c>
      <c r="C9" s="35" t="s">
        <v>67</v>
      </c>
      <c r="D9" s="35" t="s">
        <v>116</v>
      </c>
      <c r="E9" s="35" t="s">
        <v>68</v>
      </c>
      <c r="F9" s="35" t="s">
        <v>114</v>
      </c>
      <c r="G9" s="35" t="s">
        <v>69</v>
      </c>
      <c r="H9" s="35" t="s">
        <v>70</v>
      </c>
      <c r="I9" s="35" t="s">
        <v>71</v>
      </c>
      <c r="J9" s="35" t="s">
        <v>72</v>
      </c>
      <c r="K9" s="35" t="s">
        <v>229</v>
      </c>
      <c r="L9" s="35" t="s">
        <v>73</v>
      </c>
      <c r="M9" s="35" t="s">
        <v>74</v>
      </c>
      <c r="N9" s="35" t="s">
        <v>75</v>
      </c>
      <c r="O9" s="35" t="s">
        <v>79</v>
      </c>
      <c r="P9" s="35" t="s">
        <v>76</v>
      </c>
      <c r="Q9" s="35" t="s">
        <v>77</v>
      </c>
      <c r="R9" s="35" t="s">
        <v>257</v>
      </c>
    </row>
    <row r="10" spans="1:20" s="42" customFormat="1" ht="16.5" customHeight="1">
      <c r="A10" s="383">
        <v>1</v>
      </c>
      <c r="B10" s="384">
        <v>2</v>
      </c>
      <c r="C10" s="383">
        <v>3</v>
      </c>
      <c r="D10" s="384">
        <v>4</v>
      </c>
      <c r="E10" s="383">
        <v>5</v>
      </c>
      <c r="F10" s="384">
        <v>6</v>
      </c>
      <c r="G10" s="383">
        <v>7</v>
      </c>
      <c r="H10" s="384">
        <v>8</v>
      </c>
      <c r="I10" s="383">
        <v>9</v>
      </c>
      <c r="J10" s="384">
        <v>10</v>
      </c>
      <c r="K10" s="384">
        <v>12</v>
      </c>
      <c r="L10" s="383">
        <v>13</v>
      </c>
      <c r="M10" s="384">
        <v>14</v>
      </c>
      <c r="N10" s="383">
        <v>15</v>
      </c>
      <c r="O10" s="384">
        <v>16</v>
      </c>
      <c r="P10" s="383">
        <v>17</v>
      </c>
      <c r="Q10" s="384">
        <v>18</v>
      </c>
      <c r="R10" s="383">
        <v>19</v>
      </c>
    </row>
    <row r="11" spans="1:20" s="42" customFormat="1" ht="28.5" customHeight="1">
      <c r="A11" s="413">
        <v>1</v>
      </c>
      <c r="B11" s="414"/>
      <c r="C11" s="415" t="e">
        <f>#REF!</f>
        <v>#REF!</v>
      </c>
      <c r="D11" s="414"/>
      <c r="E11" s="416" t="s">
        <v>118</v>
      </c>
      <c r="F11" s="417" t="s">
        <v>158</v>
      </c>
      <c r="G11" s="418">
        <v>0</v>
      </c>
      <c r="H11" s="419">
        <v>25000</v>
      </c>
      <c r="I11" s="419" t="s">
        <v>81</v>
      </c>
      <c r="J11" s="420">
        <f>G11*H11</f>
        <v>0</v>
      </c>
      <c r="K11" s="420">
        <f>J11</f>
        <v>0</v>
      </c>
      <c r="L11" s="385"/>
      <c r="M11" s="420">
        <f>K11-L11</f>
        <v>0</v>
      </c>
      <c r="N11" s="385"/>
      <c r="O11" s="414"/>
      <c r="P11" s="421">
        <f>M11-N11-O11</f>
        <v>0</v>
      </c>
      <c r="Q11" s="414"/>
      <c r="R11" s="413" t="s">
        <v>156</v>
      </c>
      <c r="T11" s="500"/>
    </row>
    <row r="12" spans="1:20" s="131" customFormat="1" ht="28.5" customHeight="1">
      <c r="A12" s="4440" t="s">
        <v>129</v>
      </c>
      <c r="B12" s="4440"/>
      <c r="C12" s="4440"/>
      <c r="D12" s="384"/>
      <c r="E12" s="384"/>
      <c r="F12" s="384"/>
      <c r="G12" s="683">
        <f>G11</f>
        <v>0</v>
      </c>
      <c r="H12" s="301">
        <v>25000</v>
      </c>
      <c r="I12" s="300" t="s">
        <v>203</v>
      </c>
      <c r="J12" s="301">
        <f>SUM(J11:J11)</f>
        <v>0</v>
      </c>
      <c r="K12" s="301">
        <f t="shared" ref="K12:Q12" si="0">SUM(K11:K11)</f>
        <v>0</v>
      </c>
      <c r="L12" s="301">
        <f t="shared" si="0"/>
        <v>0</v>
      </c>
      <c r="M12" s="301">
        <f t="shared" si="0"/>
        <v>0</v>
      </c>
      <c r="N12" s="301">
        <f t="shared" si="0"/>
        <v>0</v>
      </c>
      <c r="O12" s="301">
        <f t="shared" si="0"/>
        <v>0</v>
      </c>
      <c r="P12" s="301">
        <f t="shared" si="0"/>
        <v>0</v>
      </c>
      <c r="Q12" s="301">
        <f t="shared" si="0"/>
        <v>0</v>
      </c>
      <c r="R12" s="302"/>
    </row>
    <row r="13" spans="1:20" s="38" customFormat="1" ht="21" customHeight="1">
      <c r="A13" s="4519" t="s">
        <v>689</v>
      </c>
      <c r="B13" s="4519"/>
      <c r="C13" s="4519"/>
      <c r="D13" s="4519"/>
      <c r="E13" s="4519"/>
      <c r="F13" s="4519"/>
      <c r="G13" s="4519"/>
      <c r="H13" s="4519"/>
      <c r="I13" s="4519"/>
      <c r="J13" s="4519"/>
      <c r="K13" s="4519"/>
      <c r="L13" s="4519"/>
      <c r="M13" s="4519"/>
      <c r="N13" s="4519"/>
      <c r="O13" s="4519"/>
      <c r="P13" s="4519"/>
      <c r="Q13" s="4519"/>
      <c r="R13" s="4519"/>
    </row>
    <row r="14" spans="1:20" ht="18" customHeight="1">
      <c r="C14" s="75"/>
      <c r="K14" s="19"/>
      <c r="L14" s="19"/>
      <c r="M14" s="19"/>
      <c r="N14" s="4525" t="e">
        <f>#REF!</f>
        <v>#REF!</v>
      </c>
      <c r="O14" s="4525"/>
      <c r="P14" s="4525"/>
      <c r="Q14" s="4525"/>
      <c r="R14" s="4525"/>
    </row>
    <row r="15" spans="1:20" s="9" customFormat="1">
      <c r="A15" s="4090" t="s">
        <v>19</v>
      </c>
      <c r="B15" s="4090"/>
      <c r="C15" s="4090"/>
      <c r="D15" s="4090"/>
      <c r="E15" s="4090" t="s">
        <v>117</v>
      </c>
      <c r="F15" s="4090"/>
      <c r="G15" s="4090"/>
      <c r="H15" s="4090"/>
      <c r="I15" s="4090"/>
      <c r="J15" s="4090"/>
      <c r="K15" s="4090" t="s">
        <v>20</v>
      </c>
      <c r="L15" s="4090"/>
      <c r="M15" s="4090"/>
      <c r="N15" s="4090"/>
      <c r="O15" s="4090" t="s">
        <v>21</v>
      </c>
      <c r="P15" s="4090"/>
      <c r="Q15" s="4090"/>
      <c r="R15" s="1"/>
    </row>
    <row r="16" spans="1:20">
      <c r="C16" s="70"/>
      <c r="M16" s="19"/>
    </row>
    <row r="17" spans="3:18">
      <c r="C17" s="19"/>
      <c r="H17" s="19"/>
      <c r="I17" s="4"/>
      <c r="K17" s="19"/>
      <c r="L17" s="19"/>
      <c r="M17" s="19"/>
      <c r="N17" s="19"/>
      <c r="O17" s="19"/>
      <c r="P17" s="19"/>
    </row>
    <row r="18" spans="3:18">
      <c r="C18" s="19"/>
      <c r="H18" s="19"/>
      <c r="I18" s="4"/>
      <c r="K18" s="19"/>
      <c r="L18" s="19"/>
      <c r="M18" s="19"/>
      <c r="N18" s="19"/>
      <c r="O18" s="19"/>
      <c r="P18" s="19"/>
    </row>
    <row r="19" spans="3:18">
      <c r="C19" s="19"/>
      <c r="H19" s="19"/>
      <c r="I19" s="4"/>
      <c r="K19" s="19"/>
      <c r="L19" s="19"/>
      <c r="M19" s="19"/>
      <c r="N19" s="19"/>
      <c r="O19" s="19"/>
      <c r="P19" s="19"/>
    </row>
    <row r="20" spans="3:18">
      <c r="C20" s="19"/>
      <c r="H20" s="19"/>
      <c r="I20" s="4"/>
      <c r="K20" s="19"/>
      <c r="L20" s="19"/>
      <c r="M20" s="19"/>
      <c r="N20" s="19"/>
      <c r="O20" s="19"/>
    </row>
    <row r="21" spans="3:18">
      <c r="C21" s="19"/>
      <c r="H21" s="20"/>
      <c r="I21" s="4"/>
      <c r="K21" s="19"/>
      <c r="L21" s="19"/>
      <c r="M21" s="19"/>
      <c r="N21" s="19"/>
      <c r="O21" s="19"/>
    </row>
    <row r="22" spans="3:18">
      <c r="H22" s="20"/>
      <c r="I22" s="4"/>
      <c r="K22" s="19"/>
      <c r="L22" s="19"/>
      <c r="M22" s="19"/>
      <c r="N22" s="19"/>
      <c r="O22" s="19"/>
    </row>
    <row r="23" spans="3:18">
      <c r="K23" s="4090"/>
      <c r="L23" s="4090"/>
      <c r="M23" s="4090"/>
      <c r="N23" s="4090"/>
      <c r="O23" s="4090"/>
      <c r="P23" s="4090"/>
      <c r="Q23" s="4090"/>
      <c r="R23" s="67"/>
    </row>
    <row r="27" spans="3:18">
      <c r="P27" s="4094"/>
      <c r="Q27" s="4094"/>
    </row>
  </sheetData>
  <mergeCells count="34">
    <mergeCell ref="P27:Q27"/>
    <mergeCell ref="O23:Q23"/>
    <mergeCell ref="K23:N23"/>
    <mergeCell ref="O6:O8"/>
    <mergeCell ref="H7:H8"/>
    <mergeCell ref="O15:Q15"/>
    <mergeCell ref="L6:L8"/>
    <mergeCell ref="G6:J6"/>
    <mergeCell ref="I7:I8"/>
    <mergeCell ref="N6:N8"/>
    <mergeCell ref="M6:M8"/>
    <mergeCell ref="K15:N15"/>
    <mergeCell ref="A15:D15"/>
    <mergeCell ref="A1:F1"/>
    <mergeCell ref="K1:Q1"/>
    <mergeCell ref="A2:F2"/>
    <mergeCell ref="K2:Q2"/>
    <mergeCell ref="Q6:Q8"/>
    <mergeCell ref="K6:K8"/>
    <mergeCell ref="P6:P8"/>
    <mergeCell ref="A5:R5"/>
    <mergeCell ref="A4:R4"/>
    <mergeCell ref="F6:F8"/>
    <mergeCell ref="R6:R8"/>
    <mergeCell ref="D6:D8"/>
    <mergeCell ref="E15:J15"/>
    <mergeCell ref="N14:R14"/>
    <mergeCell ref="A6:A8"/>
    <mergeCell ref="B6:C7"/>
    <mergeCell ref="E6:E8"/>
    <mergeCell ref="A13:R13"/>
    <mergeCell ref="G7:G8"/>
    <mergeCell ref="A12:C12"/>
    <mergeCell ref="J7:J8"/>
  </mergeCells>
  <phoneticPr fontId="36" type="noConversion"/>
  <pageMargins left="0.2" right="0" top="0.5" bottom="0" header="0.23" footer="0.5"/>
  <pageSetup paperSize="9" scale="89" fitToHeight="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82"/>
  <sheetViews>
    <sheetView topLeftCell="C4" zoomScale="85" zoomScaleNormal="85" workbookViewId="0">
      <selection activeCell="N68" sqref="N68"/>
    </sheetView>
  </sheetViews>
  <sheetFormatPr defaultColWidth="9.140625" defaultRowHeight="15.7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429" customWidth="1"/>
    <col min="6" max="6" width="9.85546875" style="429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376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429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>
      <c r="A1" s="4513" t="s">
        <v>80</v>
      </c>
      <c r="B1" s="4514"/>
      <c r="C1" s="4514"/>
      <c r="D1" s="4514"/>
      <c r="E1" s="4514"/>
      <c r="F1" s="4514"/>
      <c r="G1" s="78"/>
      <c r="H1" s="93"/>
      <c r="I1" s="93"/>
      <c r="J1" s="93"/>
      <c r="K1" s="93"/>
      <c r="L1" s="361"/>
      <c r="M1" s="361"/>
      <c r="N1" s="361"/>
      <c r="O1" s="361"/>
      <c r="P1" s="368"/>
      <c r="Q1" s="93"/>
      <c r="R1" s="4515" t="s">
        <v>23</v>
      </c>
      <c r="S1" s="4515"/>
      <c r="T1" s="4515"/>
      <c r="U1" s="4515"/>
      <c r="V1" s="4515"/>
      <c r="W1" s="4515"/>
      <c r="X1" s="4515"/>
      <c r="Y1" s="4515"/>
    </row>
    <row r="2" spans="1:43" ht="17.25">
      <c r="A2" s="4516"/>
      <c r="B2" s="4515"/>
      <c r="C2" s="4515"/>
      <c r="D2" s="4515"/>
      <c r="E2" s="4515"/>
      <c r="F2" s="4515"/>
      <c r="G2" s="81"/>
      <c r="H2" s="95"/>
      <c r="I2" s="95"/>
      <c r="J2" s="95"/>
      <c r="K2" s="95"/>
      <c r="L2" s="362"/>
      <c r="M2" s="362"/>
      <c r="N2" s="362"/>
      <c r="O2" s="362"/>
      <c r="P2" s="369"/>
      <c r="Q2" s="95"/>
      <c r="R2" s="4514" t="s">
        <v>45</v>
      </c>
      <c r="S2" s="4514"/>
      <c r="T2" s="4514"/>
      <c r="U2" s="4514"/>
      <c r="V2" s="4514"/>
      <c r="W2" s="4514"/>
      <c r="X2" s="4514"/>
      <c r="Y2" s="4514"/>
    </row>
    <row r="3" spans="1:43" ht="10.5" customHeight="1">
      <c r="A3" s="654"/>
      <c r="B3" s="96"/>
      <c r="C3" s="381"/>
      <c r="D3" s="381"/>
      <c r="G3" s="5"/>
      <c r="H3" s="6"/>
      <c r="I3" s="7"/>
      <c r="J3" s="6"/>
      <c r="K3" s="6"/>
      <c r="L3" s="7"/>
      <c r="M3" s="7"/>
      <c r="N3" s="7"/>
      <c r="O3" s="7"/>
      <c r="P3" s="370"/>
      <c r="Q3" s="6"/>
      <c r="R3" s="8"/>
      <c r="S3" s="8"/>
      <c r="T3" s="8"/>
      <c r="X3" s="98"/>
    </row>
    <row r="4" spans="1:43" s="99" customFormat="1" ht="25.9" customHeight="1">
      <c r="A4" s="4517" t="s">
        <v>473</v>
      </c>
      <c r="B4" s="4517"/>
      <c r="C4" s="4517"/>
      <c r="D4" s="4517"/>
      <c r="E4" s="4517"/>
      <c r="F4" s="4517"/>
      <c r="G4" s="4517"/>
      <c r="H4" s="4517"/>
      <c r="I4" s="4517"/>
      <c r="J4" s="4517"/>
      <c r="K4" s="4517"/>
      <c r="L4" s="4517"/>
      <c r="M4" s="4517"/>
      <c r="N4" s="4517"/>
      <c r="O4" s="4517"/>
      <c r="P4" s="4517"/>
      <c r="Q4" s="4517"/>
      <c r="R4" s="4517"/>
      <c r="S4" s="4517"/>
      <c r="T4" s="4517"/>
      <c r="U4" s="4517"/>
      <c r="V4" s="4517"/>
      <c r="W4" s="4517"/>
      <c r="X4" s="4517"/>
      <c r="Y4" s="4517"/>
      <c r="Z4" s="4517"/>
    </row>
    <row r="5" spans="1:43" s="99" customFormat="1" ht="26.25" customHeight="1">
      <c r="A5" s="4202" t="s">
        <v>91</v>
      </c>
      <c r="B5" s="4202"/>
      <c r="C5" s="4202"/>
      <c r="D5" s="4202"/>
      <c r="E5" s="4202"/>
      <c r="F5" s="4202"/>
      <c r="G5" s="4202"/>
      <c r="H5" s="4202"/>
      <c r="I5" s="4202"/>
      <c r="J5" s="4202"/>
      <c r="K5" s="4202"/>
      <c r="L5" s="4202"/>
      <c r="M5" s="4202"/>
      <c r="N5" s="4202"/>
      <c r="O5" s="4202"/>
      <c r="P5" s="4202"/>
      <c r="Q5" s="4202"/>
      <c r="R5" s="4202"/>
      <c r="S5" s="4202"/>
      <c r="T5" s="4202"/>
      <c r="U5" s="4202"/>
      <c r="V5" s="4202"/>
      <c r="W5" s="4202"/>
      <c r="X5" s="4202"/>
      <c r="Y5" s="4202"/>
      <c r="Z5" s="4202"/>
    </row>
    <row r="6" spans="1:43" s="99" customFormat="1" ht="18.75" customHeight="1">
      <c r="A6" s="304"/>
      <c r="B6" s="4199" t="s">
        <v>321</v>
      </c>
      <c r="C6" s="4199"/>
      <c r="D6" s="4200" t="e">
        <f>#REF!</f>
        <v>#REF!</v>
      </c>
      <c r="E6" s="4203"/>
      <c r="F6" s="660"/>
      <c r="G6" s="660"/>
      <c r="H6" s="660"/>
      <c r="I6" s="660"/>
      <c r="J6" s="660"/>
      <c r="K6" s="660"/>
      <c r="L6" s="304"/>
      <c r="M6" s="304"/>
      <c r="N6" s="304"/>
      <c r="O6" s="304"/>
      <c r="P6" s="371"/>
      <c r="Q6" s="660"/>
      <c r="R6" s="660"/>
      <c r="S6" s="660"/>
      <c r="T6" s="660"/>
      <c r="U6" s="660"/>
      <c r="V6" s="660"/>
      <c r="W6" s="660"/>
      <c r="X6" s="660"/>
      <c r="Y6" s="660"/>
      <c r="Z6" s="97"/>
    </row>
    <row r="7" spans="1:43" s="99" customFormat="1" ht="20.25" customHeight="1">
      <c r="A7" s="305"/>
      <c r="B7" s="4199" t="s">
        <v>322</v>
      </c>
      <c r="C7" s="4199"/>
      <c r="D7" s="4203" t="e">
        <f>#REF!</f>
        <v>#REF!</v>
      </c>
      <c r="E7" s="4203"/>
      <c r="F7" s="117"/>
      <c r="G7" s="117"/>
      <c r="H7" s="117"/>
      <c r="I7" s="117"/>
      <c r="J7" s="117"/>
      <c r="K7" s="117"/>
      <c r="L7" s="305"/>
      <c r="M7" s="305"/>
      <c r="N7" s="305"/>
      <c r="O7" s="305"/>
      <c r="P7" s="372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>
      <c r="A8" s="4204" t="s">
        <v>0</v>
      </c>
      <c r="B8" s="4508" t="s">
        <v>1</v>
      </c>
      <c r="C8" s="4509"/>
      <c r="D8" s="4204" t="s">
        <v>64</v>
      </c>
      <c r="E8" s="4510" t="s">
        <v>2</v>
      </c>
      <c r="F8" s="4503" t="s">
        <v>3</v>
      </c>
      <c r="G8" s="4431" t="s">
        <v>4</v>
      </c>
      <c r="H8" s="4432"/>
      <c r="I8" s="4432"/>
      <c r="J8" s="4432"/>
      <c r="K8" s="4432"/>
      <c r="L8" s="4432"/>
      <c r="M8" s="4432"/>
      <c r="N8" s="4432"/>
      <c r="O8" s="4432"/>
      <c r="P8" s="4432"/>
      <c r="Q8" s="4433"/>
      <c r="R8" s="4412" t="s">
        <v>5</v>
      </c>
      <c r="S8" s="4412" t="s">
        <v>6</v>
      </c>
      <c r="T8" s="4412" t="s">
        <v>497</v>
      </c>
      <c r="U8" s="4412" t="s">
        <v>7</v>
      </c>
      <c r="V8" s="4412" t="s">
        <v>8</v>
      </c>
      <c r="W8" s="4412" t="s">
        <v>78</v>
      </c>
      <c r="X8" s="4410" t="s">
        <v>9</v>
      </c>
      <c r="Y8" s="4505" t="s">
        <v>10</v>
      </c>
      <c r="Z8" s="4495" t="s">
        <v>11</v>
      </c>
      <c r="AB8" s="100">
        <v>26</v>
      </c>
    </row>
    <row r="9" spans="1:43" s="100" customFormat="1" ht="20.25" customHeight="1">
      <c r="A9" s="4204"/>
      <c r="B9" s="4509"/>
      <c r="C9" s="4509"/>
      <c r="D9" s="4204"/>
      <c r="E9" s="4511"/>
      <c r="F9" s="4495"/>
      <c r="G9" s="4497" t="s">
        <v>182</v>
      </c>
      <c r="H9" s="4498"/>
      <c r="I9" s="4498"/>
      <c r="J9" s="4498"/>
      <c r="K9" s="4499"/>
      <c r="L9" s="4500" t="s">
        <v>183</v>
      </c>
      <c r="M9" s="4501"/>
      <c r="N9" s="4502"/>
      <c r="O9" s="4500" t="s">
        <v>184</v>
      </c>
      <c r="P9" s="4501"/>
      <c r="Q9" s="4502"/>
      <c r="R9" s="4412"/>
      <c r="S9" s="4412"/>
      <c r="T9" s="4412"/>
      <c r="U9" s="4412"/>
      <c r="V9" s="4412"/>
      <c r="W9" s="4412"/>
      <c r="X9" s="4421"/>
      <c r="Y9" s="4506"/>
      <c r="Z9" s="4496"/>
    </row>
    <row r="10" spans="1:43" s="101" customFormat="1" ht="72.75" customHeight="1">
      <c r="A10" s="4205"/>
      <c r="B10" s="659" t="s">
        <v>15</v>
      </c>
      <c r="C10" s="382" t="s">
        <v>16</v>
      </c>
      <c r="D10" s="4204"/>
      <c r="E10" s="4512"/>
      <c r="F10" s="4504"/>
      <c r="G10" s="112" t="s">
        <v>12</v>
      </c>
      <c r="H10" s="113" t="s">
        <v>94</v>
      </c>
      <c r="I10" s="650" t="s">
        <v>13</v>
      </c>
      <c r="J10" s="103" t="s">
        <v>14</v>
      </c>
      <c r="K10" s="650" t="s">
        <v>444</v>
      </c>
      <c r="L10" s="652" t="s">
        <v>191</v>
      </c>
      <c r="M10" s="652" t="s">
        <v>189</v>
      </c>
      <c r="N10" s="652" t="s">
        <v>192</v>
      </c>
      <c r="O10" s="652" t="s">
        <v>193</v>
      </c>
      <c r="P10" s="373" t="s">
        <v>194</v>
      </c>
      <c r="Q10" s="651" t="s">
        <v>192</v>
      </c>
      <c r="R10" s="4412"/>
      <c r="S10" s="4412"/>
      <c r="T10" s="4412"/>
      <c r="U10" s="4428"/>
      <c r="V10" s="4412"/>
      <c r="W10" s="4412"/>
      <c r="X10" s="4411"/>
      <c r="Y10" s="4507"/>
      <c r="Z10" s="4496"/>
    </row>
    <row r="11" spans="1:43" s="102" customFormat="1" ht="60.75" customHeight="1">
      <c r="A11" s="119" t="s">
        <v>65</v>
      </c>
      <c r="B11" s="119" t="s">
        <v>66</v>
      </c>
      <c r="C11" s="119" t="s">
        <v>67</v>
      </c>
      <c r="D11" s="119" t="s">
        <v>116</v>
      </c>
      <c r="E11" s="119" t="s">
        <v>68</v>
      </c>
      <c r="F11" s="119" t="s">
        <v>114</v>
      </c>
      <c r="G11" s="119" t="s">
        <v>69</v>
      </c>
      <c r="H11" s="119" t="s">
        <v>230</v>
      </c>
      <c r="I11" s="119" t="s">
        <v>231</v>
      </c>
      <c r="J11" s="119" t="s">
        <v>72</v>
      </c>
      <c r="K11" s="119" t="s">
        <v>232</v>
      </c>
      <c r="L11" s="119" t="s">
        <v>185</v>
      </c>
      <c r="M11" s="119" t="s">
        <v>186</v>
      </c>
      <c r="N11" s="119" t="s">
        <v>72</v>
      </c>
      <c r="O11" s="119" t="s">
        <v>187</v>
      </c>
      <c r="P11" s="374" t="s">
        <v>188</v>
      </c>
      <c r="Q11" s="119" t="s">
        <v>72</v>
      </c>
      <c r="R11" s="119" t="s">
        <v>229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115</v>
      </c>
    </row>
    <row r="12" spans="1:43" s="661" customFormat="1" ht="33" customHeight="1">
      <c r="A12" s="658">
        <v>1</v>
      </c>
      <c r="B12" s="382">
        <v>2</v>
      </c>
      <c r="C12" s="658">
        <v>3</v>
      </c>
      <c r="D12" s="382">
        <v>4</v>
      </c>
      <c r="E12" s="658">
        <v>5</v>
      </c>
      <c r="F12" s="382">
        <v>6</v>
      </c>
      <c r="G12" s="658">
        <v>7</v>
      </c>
      <c r="H12" s="382">
        <v>8</v>
      </c>
      <c r="I12" s="658">
        <v>9</v>
      </c>
      <c r="J12" s="382">
        <v>10</v>
      </c>
      <c r="K12" s="658">
        <v>11</v>
      </c>
      <c r="L12" s="382">
        <v>12</v>
      </c>
      <c r="M12" s="658">
        <v>13</v>
      </c>
      <c r="N12" s="382">
        <v>14</v>
      </c>
      <c r="O12" s="658">
        <v>15</v>
      </c>
      <c r="P12" s="375">
        <v>16</v>
      </c>
      <c r="Q12" s="658">
        <v>17</v>
      </c>
      <c r="R12" s="382">
        <v>18</v>
      </c>
      <c r="S12" s="658">
        <v>19</v>
      </c>
      <c r="T12" s="658"/>
      <c r="U12" s="382">
        <v>20</v>
      </c>
      <c r="V12" s="658">
        <v>21</v>
      </c>
      <c r="W12" s="382">
        <v>22</v>
      </c>
      <c r="X12" s="382">
        <v>24</v>
      </c>
      <c r="Y12" s="658">
        <v>25</v>
      </c>
      <c r="Z12" s="382">
        <v>26</v>
      </c>
    </row>
    <row r="13" spans="1:43" s="408" customFormat="1" ht="18" customHeight="1">
      <c r="A13" s="4204" t="s">
        <v>452</v>
      </c>
      <c r="B13" s="4204"/>
      <c r="C13" s="4204"/>
      <c r="D13" s="496"/>
      <c r="E13" s="496"/>
      <c r="F13" s="496"/>
      <c r="G13" s="466" t="e">
        <f>G16+G61</f>
        <v>#N/A</v>
      </c>
      <c r="H13" s="467">
        <f>H16+H61</f>
        <v>760</v>
      </c>
      <c r="I13" s="467"/>
      <c r="J13" s="467"/>
      <c r="K13" s="467" t="e">
        <f t="shared" ref="K13:X13" si="0">K16+K61</f>
        <v>#REF!</v>
      </c>
      <c r="L13" s="514" t="e">
        <f t="shared" si="0"/>
        <v>#REF!</v>
      </c>
      <c r="M13" s="467" t="e">
        <f t="shared" si="0"/>
        <v>#REF!</v>
      </c>
      <c r="N13" s="467" t="e">
        <f t="shared" si="0"/>
        <v>#REF!</v>
      </c>
      <c r="O13" s="467" t="e">
        <f t="shared" si="0"/>
        <v>#REF!</v>
      </c>
      <c r="P13" s="467" t="e">
        <f t="shared" si="0"/>
        <v>#REF!</v>
      </c>
      <c r="Q13" s="467" t="e">
        <f t="shared" si="0"/>
        <v>#REF!</v>
      </c>
      <c r="R13" s="467" t="e">
        <f t="shared" si="0"/>
        <v>#REF!</v>
      </c>
      <c r="S13" s="467" t="e">
        <f t="shared" si="0"/>
        <v>#REF!</v>
      </c>
      <c r="T13" s="467" t="e">
        <f t="shared" si="0"/>
        <v>#REF!</v>
      </c>
      <c r="U13" s="467" t="e">
        <f t="shared" si="0"/>
        <v>#REF!</v>
      </c>
      <c r="V13" s="467" t="e">
        <f t="shared" si="0"/>
        <v>#REF!</v>
      </c>
      <c r="W13" s="467" t="e">
        <f t="shared" si="0"/>
        <v>#REF!</v>
      </c>
      <c r="X13" s="467" t="e">
        <f t="shared" si="0"/>
        <v>#REF!</v>
      </c>
      <c r="Y13" s="467"/>
      <c r="Z13" s="468"/>
    </row>
    <row r="14" spans="1:43" s="105" customFormat="1" ht="18.95" customHeight="1">
      <c r="A14" s="411">
        <v>1</v>
      </c>
      <c r="B14" s="450" t="s">
        <v>441</v>
      </c>
      <c r="C14" s="50" t="s">
        <v>36</v>
      </c>
      <c r="D14" s="435" t="s">
        <v>102</v>
      </c>
      <c r="E14" s="451" t="s">
        <v>445</v>
      </c>
      <c r="F14" s="411" t="s">
        <v>157</v>
      </c>
      <c r="G14" s="46">
        <f>VLOOKUP(C14,'CC NT'!$C$7:$AI$25,33,0)</f>
        <v>26</v>
      </c>
      <c r="H14" s="452">
        <v>400</v>
      </c>
      <c r="I14" s="411" t="s">
        <v>17</v>
      </c>
      <c r="J14" s="46">
        <f>H14/$AB$8*G14</f>
        <v>400</v>
      </c>
      <c r="K14" s="64" t="e">
        <f>ROUND(H14*$D$6,0)</f>
        <v>#REF!</v>
      </c>
      <c r="L14" s="64"/>
      <c r="M14" s="64"/>
      <c r="N14" s="64"/>
      <c r="O14" s="64"/>
      <c r="P14" s="453"/>
      <c r="Q14" s="64"/>
      <c r="R14" s="64" t="e">
        <f>K14</f>
        <v>#REF!</v>
      </c>
      <c r="S14" s="64" t="e">
        <f>ROUND((VLOOKUP(C14,'HS bảo hiểm'!$B$7:$F$23,5,0)*2760000*0.105)*$D$7,0)</f>
        <v>#REF!</v>
      </c>
      <c r="T14" s="64"/>
      <c r="U14" s="64" t="e">
        <f>R14-S14-T14</f>
        <v>#REF!</v>
      </c>
      <c r="V14" s="64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64" t="e">
        <f>ROUND((U14-V14)*1%,0)</f>
        <v>#REF!</v>
      </c>
      <c r="X14" s="64" t="e">
        <f>ROUND(U14-V14-W14,0)</f>
        <v>#REF!</v>
      </c>
      <c r="Y14" s="454"/>
      <c r="Z14" s="455" t="s">
        <v>18</v>
      </c>
      <c r="AA14" s="120"/>
    </row>
    <row r="15" spans="1:43" s="105" customFormat="1" ht="18.95" customHeight="1">
      <c r="A15" s="248">
        <v>2</v>
      </c>
      <c r="B15" s="456" t="s">
        <v>442</v>
      </c>
      <c r="C15" s="457" t="s">
        <v>429</v>
      </c>
      <c r="D15" s="133" t="s">
        <v>104</v>
      </c>
      <c r="E15" s="458" t="s">
        <v>446</v>
      </c>
      <c r="F15" s="248" t="s">
        <v>157</v>
      </c>
      <c r="G15" s="459" t="e">
        <f>VLOOKUP(C15,'CC NT'!$C$7:$AI$25,33,0)</f>
        <v>#N/A</v>
      </c>
      <c r="H15" s="460">
        <v>360</v>
      </c>
      <c r="I15" s="248" t="s">
        <v>17</v>
      </c>
      <c r="J15" s="49" t="e">
        <f>H15/$AB$8*G15</f>
        <v>#N/A</v>
      </c>
      <c r="K15" s="66" t="e">
        <f>ROUND(H15*$D$6,0)</f>
        <v>#REF!</v>
      </c>
      <c r="L15" s="66"/>
      <c r="M15" s="66"/>
      <c r="N15" s="66"/>
      <c r="O15" s="66"/>
      <c r="P15" s="461"/>
      <c r="Q15" s="66"/>
      <c r="R15" s="66" t="e">
        <f>K15</f>
        <v>#REF!</v>
      </c>
      <c r="S15" s="462" t="e">
        <f>ROUND((VLOOKUP(C15,'HS bảo hiểm'!$B$7:$F$23,5,0)*2760000*0.105)*$D$7,0)</f>
        <v>#N/A</v>
      </c>
      <c r="T15" s="462" t="e">
        <f>200344.5*D7</f>
        <v>#REF!</v>
      </c>
      <c r="U15" s="66" t="e">
        <f>R15-S15-T15</f>
        <v>#REF!</v>
      </c>
      <c r="V15" s="66" t="e">
        <f>ROUND(IF(U15&gt;40000000,((U15-40000000)*24%+6120000),IF(U15&gt;24000000,((U15-24000000)*20%+2920000),IF(U15&gt;12000000,((U15-12000000)*15%+1120000),IF(U15&gt;6000000,(U15-6000000)*12%+400000,IF(U15&gt;3000000,(U15-3000000)*10%+100000,IF(U15&gt;1000000,(U15-1000000)*5%,0)))))),0)</f>
        <v>#REF!</v>
      </c>
      <c r="W15" s="66" t="e">
        <f>ROUND((U15-V15)*1%,0)</f>
        <v>#REF!</v>
      </c>
      <c r="X15" s="66" t="e">
        <f>ROUND(U15-V15-W15,0)</f>
        <v>#REF!</v>
      </c>
      <c r="Y15" s="463"/>
      <c r="Z15" s="464" t="s">
        <v>18</v>
      </c>
      <c r="AA15" s="120"/>
    </row>
    <row r="16" spans="1:43" s="440" customFormat="1" ht="18.95" customHeight="1">
      <c r="A16" s="4488" t="s">
        <v>449</v>
      </c>
      <c r="B16" s="4489"/>
      <c r="C16" s="4489"/>
      <c r="D16" s="4489"/>
      <c r="E16" s="4489"/>
      <c r="F16" s="4490"/>
      <c r="G16" s="36" t="e">
        <f>SUM(G14:G15)</f>
        <v>#N/A</v>
      </c>
      <c r="H16" s="36">
        <f>SUM(H14:H15)</f>
        <v>760</v>
      </c>
      <c r="I16" s="36" t="str">
        <f>I15</f>
        <v>USD</v>
      </c>
      <c r="J16" s="36" t="e">
        <f t="shared" ref="J16:X16" si="1">SUM(J14:J15)</f>
        <v>#N/A</v>
      </c>
      <c r="K16" s="36" t="e">
        <f t="shared" si="1"/>
        <v>#REF!</v>
      </c>
      <c r="L16" s="36">
        <f>SUM(L14:L15)</f>
        <v>0</v>
      </c>
      <c r="M16" s="36">
        <f t="shared" si="1"/>
        <v>0</v>
      </c>
      <c r="N16" s="36">
        <f t="shared" si="1"/>
        <v>0</v>
      </c>
      <c r="O16" s="36">
        <f t="shared" si="1"/>
        <v>0</v>
      </c>
      <c r="P16" s="36">
        <f t="shared" si="1"/>
        <v>0</v>
      </c>
      <c r="Q16" s="36">
        <f t="shared" si="1"/>
        <v>0</v>
      </c>
      <c r="R16" s="36" t="e">
        <f t="shared" si="1"/>
        <v>#REF!</v>
      </c>
      <c r="S16" s="36" t="e">
        <f t="shared" si="1"/>
        <v>#REF!</v>
      </c>
      <c r="T16" s="36" t="e">
        <f t="shared" si="1"/>
        <v>#REF!</v>
      </c>
      <c r="U16" s="36" t="e">
        <f>SUM(U14:U15)</f>
        <v>#REF!</v>
      </c>
      <c r="V16" s="36" t="e">
        <f t="shared" si="1"/>
        <v>#REF!</v>
      </c>
      <c r="W16" s="36" t="e">
        <f t="shared" si="1"/>
        <v>#REF!</v>
      </c>
      <c r="X16" s="36" t="e">
        <f t="shared" si="1"/>
        <v>#REF!</v>
      </c>
      <c r="Y16" s="653"/>
      <c r="Z16" s="319"/>
      <c r="AA16" s="430"/>
      <c r="AB16" s="430"/>
      <c r="AC16" s="430"/>
      <c r="AD16" s="430"/>
      <c r="AE16" s="430"/>
      <c r="AF16" s="430"/>
      <c r="AG16" s="430"/>
      <c r="AH16" s="430"/>
      <c r="AI16" s="436"/>
      <c r="AJ16" s="437"/>
      <c r="AK16" s="438"/>
      <c r="AL16" s="438"/>
      <c r="AM16" s="439"/>
      <c r="AN16" s="296"/>
      <c r="AO16" s="296"/>
      <c r="AP16" s="296"/>
      <c r="AQ16" s="296"/>
    </row>
    <row r="17" spans="1:26" s="101" customFormat="1" ht="18.95" customHeight="1">
      <c r="A17" s="309">
        <v>1</v>
      </c>
      <c r="B17" s="316"/>
      <c r="C17" s="432" t="s">
        <v>316</v>
      </c>
      <c r="D17" s="499" t="s">
        <v>476</v>
      </c>
      <c r="E17" s="472" t="s">
        <v>167</v>
      </c>
      <c r="F17" s="409" t="s">
        <v>157</v>
      </c>
      <c r="G17" s="360" t="e">
        <f>VLOOKUP($C$17:$C$60,#REF!,9,0)</f>
        <v>#REF!</v>
      </c>
      <c r="H17" s="238">
        <v>25000</v>
      </c>
      <c r="I17" s="238" t="s">
        <v>355</v>
      </c>
      <c r="J17" s="238" t="e">
        <f t="shared" ref="J17:J60" si="2">G17*H17</f>
        <v>#REF!</v>
      </c>
      <c r="K17" s="238" t="e">
        <f t="shared" ref="K17:K50" si="3">J17</f>
        <v>#REF!</v>
      </c>
      <c r="L17" s="516" t="e">
        <f>VLOOKUP($C$17:$C$60,#REF!,11,0)</f>
        <v>#REF!</v>
      </c>
      <c r="M17" s="366" t="e">
        <f>VLOOKUP($C$17:$C$60,#REF!,11,0)</f>
        <v>#REF!</v>
      </c>
      <c r="N17" s="366" t="e">
        <f t="shared" ref="N17:N56" si="4">L17*IF(M17="A",1600,IF(M17="B",1500,IF(M17="C",1400)))</f>
        <v>#REF!</v>
      </c>
      <c r="O17" s="366" t="e">
        <f>VLOOKUP($C$17:$C$60,#REF!,15,0)</f>
        <v>#REF!</v>
      </c>
      <c r="P17" s="366" t="e">
        <f>VLOOKUP($C$17:$C$60,#REF!,16,0)</f>
        <v>#REF!</v>
      </c>
      <c r="Q17" s="238" t="e">
        <f>(O17*25000)+(P17*35000)</f>
        <v>#REF!</v>
      </c>
      <c r="R17" s="238" t="e">
        <f t="shared" ref="R17:R60" si="5">J17+N17+Q17</f>
        <v>#REF!</v>
      </c>
      <c r="S17" s="238"/>
      <c r="T17" s="238"/>
      <c r="U17" s="238" t="e">
        <f t="shared" ref="U17:U60" si="6">R17-S17</f>
        <v>#REF!</v>
      </c>
      <c r="V17" s="317"/>
      <c r="W17" s="317"/>
      <c r="X17" s="239" t="e">
        <f t="shared" ref="X17:X60" si="7">U17-V17-W17</f>
        <v>#REF!</v>
      </c>
      <c r="Y17" s="318"/>
      <c r="Z17" s="312" t="s">
        <v>156</v>
      </c>
    </row>
    <row r="18" spans="1:26" s="101" customFormat="1" ht="18.95" customHeight="1">
      <c r="A18" s="307">
        <v>2</v>
      </c>
      <c r="B18" s="260"/>
      <c r="C18" s="431" t="s">
        <v>408</v>
      </c>
      <c r="D18" s="499" t="s">
        <v>477</v>
      </c>
      <c r="E18" s="470" t="s">
        <v>167</v>
      </c>
      <c r="F18" s="237" t="s">
        <v>157</v>
      </c>
      <c r="G18" s="360" t="e">
        <f>VLOOKUP($C$17:$C$60,#REF!,9,0)</f>
        <v>#REF!</v>
      </c>
      <c r="H18" s="47">
        <v>25000</v>
      </c>
      <c r="I18" s="47" t="s">
        <v>355</v>
      </c>
      <c r="J18" s="47" t="e">
        <f t="shared" si="2"/>
        <v>#REF!</v>
      </c>
      <c r="K18" s="47" t="e">
        <f t="shared" si="3"/>
        <v>#REF!</v>
      </c>
      <c r="L18" s="516" t="e">
        <f>VLOOKUP($C$17:$C$60,#REF!,11,0)</f>
        <v>#REF!</v>
      </c>
      <c r="M18" s="366" t="e">
        <f>VLOOKUP($C$17:$C$60,#REF!,11,0)</f>
        <v>#REF!</v>
      </c>
      <c r="N18" s="365" t="e">
        <f t="shared" si="4"/>
        <v>#REF!</v>
      </c>
      <c r="O18" s="366" t="e">
        <f>VLOOKUP($C$17:$C$60,#REF!,15,0)</f>
        <v>#REF!</v>
      </c>
      <c r="P18" s="366" t="e">
        <f>VLOOKUP($C$17:$C$60,#REF!,16,0)</f>
        <v>#REF!</v>
      </c>
      <c r="Q18" s="238" t="e">
        <f t="shared" ref="Q18:Q60" si="8">(O18*25000)+(P18*35000)</f>
        <v>#REF!</v>
      </c>
      <c r="R18" s="47" t="e">
        <f t="shared" si="5"/>
        <v>#REF!</v>
      </c>
      <c r="S18" s="47"/>
      <c r="T18" s="47"/>
      <c r="U18" s="47" t="e">
        <f t="shared" si="6"/>
        <v>#REF!</v>
      </c>
      <c r="V18" s="257"/>
      <c r="W18" s="257"/>
      <c r="X18" s="65" t="e">
        <f t="shared" si="7"/>
        <v>#REF!</v>
      </c>
      <c r="Y18" s="258"/>
      <c r="Z18" s="118" t="s">
        <v>156</v>
      </c>
    </row>
    <row r="19" spans="1:26" s="101" customFormat="1" ht="18.95" customHeight="1">
      <c r="A19" s="307">
        <v>3</v>
      </c>
      <c r="B19" s="260"/>
      <c r="C19" s="431" t="s">
        <v>281</v>
      </c>
      <c r="D19" s="499" t="s">
        <v>478</v>
      </c>
      <c r="E19" s="470" t="s">
        <v>167</v>
      </c>
      <c r="F19" s="237" t="s">
        <v>157</v>
      </c>
      <c r="G19" s="360" t="e">
        <f>VLOOKUP($C$17:$C$60,#REF!,9,0)</f>
        <v>#REF!</v>
      </c>
      <c r="H19" s="47">
        <v>25000</v>
      </c>
      <c r="I19" s="47" t="s">
        <v>355</v>
      </c>
      <c r="J19" s="47" t="e">
        <f t="shared" si="2"/>
        <v>#REF!</v>
      </c>
      <c r="K19" s="47" t="e">
        <f t="shared" si="3"/>
        <v>#REF!</v>
      </c>
      <c r="L19" s="516" t="e">
        <f>VLOOKUP($C$17:$C$60,#REF!,11,0)</f>
        <v>#REF!</v>
      </c>
      <c r="M19" s="366" t="e">
        <f>VLOOKUP($C$17:$C$60,#REF!,11,0)</f>
        <v>#REF!</v>
      </c>
      <c r="N19" s="365" t="e">
        <f t="shared" si="4"/>
        <v>#REF!</v>
      </c>
      <c r="O19" s="366" t="e">
        <f>VLOOKUP($C$17:$C$60,#REF!,15,0)</f>
        <v>#REF!</v>
      </c>
      <c r="P19" s="366" t="e">
        <f>VLOOKUP($C$17:$C$60,#REF!,16,0)</f>
        <v>#REF!</v>
      </c>
      <c r="Q19" s="238" t="e">
        <f t="shared" si="8"/>
        <v>#REF!</v>
      </c>
      <c r="R19" s="47" t="e">
        <f t="shared" si="5"/>
        <v>#REF!</v>
      </c>
      <c r="S19" s="47"/>
      <c r="T19" s="47"/>
      <c r="U19" s="47" t="e">
        <f t="shared" si="6"/>
        <v>#REF!</v>
      </c>
      <c r="V19" s="257"/>
      <c r="W19" s="257"/>
      <c r="X19" s="65" t="e">
        <f t="shared" si="7"/>
        <v>#REF!</v>
      </c>
      <c r="Y19" s="258"/>
      <c r="Z19" s="118" t="s">
        <v>156</v>
      </c>
    </row>
    <row r="20" spans="1:26" s="101" customFormat="1" ht="18.95" customHeight="1">
      <c r="A20" s="307">
        <v>4</v>
      </c>
      <c r="B20" s="260"/>
      <c r="C20" s="431" t="s">
        <v>412</v>
      </c>
      <c r="D20" s="499" t="s">
        <v>479</v>
      </c>
      <c r="E20" s="470" t="s">
        <v>167</v>
      </c>
      <c r="F20" s="237" t="s">
        <v>157</v>
      </c>
      <c r="G20" s="360" t="e">
        <f>VLOOKUP($C$17:$C$60,#REF!,9,0)</f>
        <v>#REF!</v>
      </c>
      <c r="H20" s="47">
        <v>25000</v>
      </c>
      <c r="I20" s="47" t="s">
        <v>355</v>
      </c>
      <c r="J20" s="47" t="e">
        <f t="shared" si="2"/>
        <v>#REF!</v>
      </c>
      <c r="K20" s="47" t="e">
        <f t="shared" si="3"/>
        <v>#REF!</v>
      </c>
      <c r="L20" s="516" t="e">
        <f>VLOOKUP($C$17:$C$60,#REF!,11,0)</f>
        <v>#REF!</v>
      </c>
      <c r="M20" s="366" t="e">
        <f>VLOOKUP($C$17:$C$60,#REF!,11,0)</f>
        <v>#REF!</v>
      </c>
      <c r="N20" s="365" t="e">
        <f t="shared" si="4"/>
        <v>#REF!</v>
      </c>
      <c r="O20" s="366" t="e">
        <f>VLOOKUP($C$17:$C$60,#REF!,15,0)</f>
        <v>#REF!</v>
      </c>
      <c r="P20" s="366" t="e">
        <f>VLOOKUP($C$17:$C$60,#REF!,16,0)</f>
        <v>#REF!</v>
      </c>
      <c r="Q20" s="238" t="e">
        <f t="shared" si="8"/>
        <v>#REF!</v>
      </c>
      <c r="R20" s="47" t="e">
        <f t="shared" si="5"/>
        <v>#REF!</v>
      </c>
      <c r="S20" s="47"/>
      <c r="T20" s="47"/>
      <c r="U20" s="47" t="e">
        <f t="shared" si="6"/>
        <v>#REF!</v>
      </c>
      <c r="V20" s="257"/>
      <c r="W20" s="257"/>
      <c r="X20" s="65" t="e">
        <f t="shared" si="7"/>
        <v>#REF!</v>
      </c>
      <c r="Y20" s="258"/>
      <c r="Z20" s="118" t="s">
        <v>156</v>
      </c>
    </row>
    <row r="21" spans="1:26" s="101" customFormat="1" ht="18.95" customHeight="1">
      <c r="A21" s="307">
        <v>5</v>
      </c>
      <c r="B21" s="260"/>
      <c r="C21" s="431" t="s">
        <v>317</v>
      </c>
      <c r="D21" s="499" t="s">
        <v>480</v>
      </c>
      <c r="E21" s="470" t="s">
        <v>167</v>
      </c>
      <c r="F21" s="237" t="s">
        <v>157</v>
      </c>
      <c r="G21" s="360" t="e">
        <f>VLOOKUP($C$17:$C$60,#REF!,9,0)</f>
        <v>#REF!</v>
      </c>
      <c r="H21" s="47">
        <v>25000</v>
      </c>
      <c r="I21" s="47" t="s">
        <v>355</v>
      </c>
      <c r="J21" s="47" t="e">
        <f t="shared" si="2"/>
        <v>#REF!</v>
      </c>
      <c r="K21" s="47" t="e">
        <f t="shared" si="3"/>
        <v>#REF!</v>
      </c>
      <c r="L21" s="516" t="e">
        <f>VLOOKUP($C$17:$C$60,#REF!,11,0)</f>
        <v>#REF!</v>
      </c>
      <c r="M21" s="366" t="e">
        <f>VLOOKUP($C$17:$C$60,#REF!,11,0)</f>
        <v>#REF!</v>
      </c>
      <c r="N21" s="365" t="e">
        <f t="shared" si="4"/>
        <v>#REF!</v>
      </c>
      <c r="O21" s="366" t="e">
        <f>VLOOKUP($C$17:$C$60,#REF!,15,0)</f>
        <v>#REF!</v>
      </c>
      <c r="P21" s="366" t="e">
        <f>VLOOKUP($C$17:$C$60,#REF!,16,0)</f>
        <v>#REF!</v>
      </c>
      <c r="Q21" s="238" t="e">
        <f t="shared" si="8"/>
        <v>#REF!</v>
      </c>
      <c r="R21" s="47" t="e">
        <f t="shared" si="5"/>
        <v>#REF!</v>
      </c>
      <c r="S21" s="47"/>
      <c r="T21" s="47"/>
      <c r="U21" s="47" t="e">
        <f t="shared" si="6"/>
        <v>#REF!</v>
      </c>
      <c r="V21" s="257"/>
      <c r="W21" s="257"/>
      <c r="X21" s="65" t="e">
        <f t="shared" si="7"/>
        <v>#REF!</v>
      </c>
      <c r="Y21" s="258"/>
      <c r="Z21" s="118" t="s">
        <v>156</v>
      </c>
    </row>
    <row r="22" spans="1:26" s="101" customFormat="1" ht="18.95" customHeight="1">
      <c r="A22" s="307">
        <v>6</v>
      </c>
      <c r="B22" s="260"/>
      <c r="C22" s="431" t="s">
        <v>282</v>
      </c>
      <c r="D22" s="499" t="s">
        <v>481</v>
      </c>
      <c r="E22" s="470" t="s">
        <v>167</v>
      </c>
      <c r="F22" s="237" t="s">
        <v>157</v>
      </c>
      <c r="G22" s="360" t="e">
        <f>VLOOKUP($C$17:$C$60,#REF!,9,0)</f>
        <v>#REF!</v>
      </c>
      <c r="H22" s="47">
        <v>25000</v>
      </c>
      <c r="I22" s="47" t="s">
        <v>355</v>
      </c>
      <c r="J22" s="47" t="e">
        <f t="shared" si="2"/>
        <v>#REF!</v>
      </c>
      <c r="K22" s="47" t="e">
        <f t="shared" si="3"/>
        <v>#REF!</v>
      </c>
      <c r="L22" s="516" t="e">
        <f>VLOOKUP($C$17:$C$60,#REF!,11,0)</f>
        <v>#REF!</v>
      </c>
      <c r="M22" s="366" t="e">
        <f>VLOOKUP($C$17:$C$60,#REF!,11,0)</f>
        <v>#REF!</v>
      </c>
      <c r="N22" s="365" t="e">
        <f t="shared" si="4"/>
        <v>#REF!</v>
      </c>
      <c r="O22" s="366" t="e">
        <f>VLOOKUP($C$17:$C$60,#REF!,15,0)</f>
        <v>#REF!</v>
      </c>
      <c r="P22" s="366" t="e">
        <f>VLOOKUP($C$17:$C$60,#REF!,16,0)</f>
        <v>#REF!</v>
      </c>
      <c r="Q22" s="238" t="e">
        <f t="shared" si="8"/>
        <v>#REF!</v>
      </c>
      <c r="R22" s="47" t="e">
        <f t="shared" si="5"/>
        <v>#REF!</v>
      </c>
      <c r="S22" s="47"/>
      <c r="T22" s="47"/>
      <c r="U22" s="47" t="e">
        <f t="shared" si="6"/>
        <v>#REF!</v>
      </c>
      <c r="V22" s="257"/>
      <c r="W22" s="257"/>
      <c r="X22" s="65" t="e">
        <f t="shared" si="7"/>
        <v>#REF!</v>
      </c>
      <c r="Y22" s="258"/>
      <c r="Z22" s="118" t="s">
        <v>156</v>
      </c>
    </row>
    <row r="23" spans="1:26" s="101" customFormat="1" ht="18.95" customHeight="1">
      <c r="A23" s="307">
        <v>7</v>
      </c>
      <c r="B23" s="260"/>
      <c r="C23" s="431" t="s">
        <v>414</v>
      </c>
      <c r="D23" s="499" t="s">
        <v>482</v>
      </c>
      <c r="E23" s="470" t="s">
        <v>167</v>
      </c>
      <c r="F23" s="237" t="s">
        <v>157</v>
      </c>
      <c r="G23" s="360" t="e">
        <f>VLOOKUP($C$17:$C$60,#REF!,9,0)</f>
        <v>#REF!</v>
      </c>
      <c r="H23" s="47">
        <v>25000</v>
      </c>
      <c r="I23" s="47" t="s">
        <v>355</v>
      </c>
      <c r="J23" s="47" t="e">
        <f t="shared" si="2"/>
        <v>#REF!</v>
      </c>
      <c r="K23" s="47" t="e">
        <f t="shared" si="3"/>
        <v>#REF!</v>
      </c>
      <c r="L23" s="516" t="e">
        <f>VLOOKUP($C$17:$C$60,#REF!,11,0)</f>
        <v>#REF!</v>
      </c>
      <c r="M23" s="366" t="e">
        <f>VLOOKUP($C$17:$C$60,#REF!,11,0)</f>
        <v>#REF!</v>
      </c>
      <c r="N23" s="365" t="e">
        <f t="shared" si="4"/>
        <v>#REF!</v>
      </c>
      <c r="O23" s="366" t="e">
        <f>VLOOKUP($C$17:$C$60,#REF!,15,0)</f>
        <v>#REF!</v>
      </c>
      <c r="P23" s="366" t="e">
        <f>VLOOKUP($C$17:$C$60,#REF!,16,0)</f>
        <v>#REF!</v>
      </c>
      <c r="Q23" s="238" t="e">
        <f t="shared" si="8"/>
        <v>#REF!</v>
      </c>
      <c r="R23" s="47" t="e">
        <f t="shared" si="5"/>
        <v>#REF!</v>
      </c>
      <c r="S23" s="47"/>
      <c r="T23" s="47"/>
      <c r="U23" s="47" t="e">
        <f t="shared" si="6"/>
        <v>#REF!</v>
      </c>
      <c r="V23" s="257"/>
      <c r="W23" s="257"/>
      <c r="X23" s="65" t="e">
        <f t="shared" si="7"/>
        <v>#REF!</v>
      </c>
      <c r="Y23" s="258"/>
      <c r="Z23" s="118" t="s">
        <v>156</v>
      </c>
    </row>
    <row r="24" spans="1:26" s="101" customFormat="1" ht="18.95" customHeight="1">
      <c r="A24" s="307">
        <v>8</v>
      </c>
      <c r="B24" s="260"/>
      <c r="C24" s="431" t="s">
        <v>283</v>
      </c>
      <c r="D24" s="499" t="s">
        <v>483</v>
      </c>
      <c r="E24" s="470" t="s">
        <v>167</v>
      </c>
      <c r="F24" s="237" t="s">
        <v>157</v>
      </c>
      <c r="G24" s="360" t="e">
        <f>VLOOKUP($C$17:$C$60,#REF!,9,0)</f>
        <v>#REF!</v>
      </c>
      <c r="H24" s="47">
        <v>25000</v>
      </c>
      <c r="I24" s="47" t="s">
        <v>355</v>
      </c>
      <c r="J24" s="47" t="e">
        <f t="shared" si="2"/>
        <v>#REF!</v>
      </c>
      <c r="K24" s="47" t="e">
        <f t="shared" si="3"/>
        <v>#REF!</v>
      </c>
      <c r="L24" s="516" t="e">
        <f>VLOOKUP($C$17:$C$60,#REF!,11,0)</f>
        <v>#REF!</v>
      </c>
      <c r="M24" s="366" t="e">
        <f>VLOOKUP($C$17:$C$60,#REF!,11,0)</f>
        <v>#REF!</v>
      </c>
      <c r="N24" s="365" t="e">
        <f t="shared" si="4"/>
        <v>#REF!</v>
      </c>
      <c r="O24" s="366" t="e">
        <f>VLOOKUP($C$17:$C$60,#REF!,15,0)</f>
        <v>#REF!</v>
      </c>
      <c r="P24" s="366" t="e">
        <f>VLOOKUP($C$17:$C$60,#REF!,16,0)</f>
        <v>#REF!</v>
      </c>
      <c r="Q24" s="238" t="e">
        <f t="shared" si="8"/>
        <v>#REF!</v>
      </c>
      <c r="R24" s="47" t="e">
        <f t="shared" si="5"/>
        <v>#REF!</v>
      </c>
      <c r="S24" s="47"/>
      <c r="T24" s="47"/>
      <c r="U24" s="47" t="e">
        <f t="shared" si="6"/>
        <v>#REF!</v>
      </c>
      <c r="V24" s="257"/>
      <c r="W24" s="257"/>
      <c r="X24" s="65" t="e">
        <f t="shared" si="7"/>
        <v>#REF!</v>
      </c>
      <c r="Y24" s="258"/>
      <c r="Z24" s="118" t="s">
        <v>156</v>
      </c>
    </row>
    <row r="25" spans="1:26" s="101" customFormat="1" ht="18.95" customHeight="1">
      <c r="A25" s="307">
        <v>9</v>
      </c>
      <c r="B25" s="260"/>
      <c r="C25" s="431" t="s">
        <v>284</v>
      </c>
      <c r="D25" s="499" t="s">
        <v>484</v>
      </c>
      <c r="E25" s="470" t="s">
        <v>167</v>
      </c>
      <c r="F25" s="237" t="s">
        <v>157</v>
      </c>
      <c r="G25" s="360" t="e">
        <f>VLOOKUP($C$17:$C$60,#REF!,9,0)</f>
        <v>#REF!</v>
      </c>
      <c r="H25" s="47">
        <v>25000</v>
      </c>
      <c r="I25" s="47" t="s">
        <v>355</v>
      </c>
      <c r="J25" s="47" t="e">
        <f t="shared" si="2"/>
        <v>#REF!</v>
      </c>
      <c r="K25" s="47" t="e">
        <f t="shared" si="3"/>
        <v>#REF!</v>
      </c>
      <c r="L25" s="516" t="e">
        <f>VLOOKUP($C$17:$C$60,#REF!,11,0)</f>
        <v>#REF!</v>
      </c>
      <c r="M25" s="366" t="e">
        <f>VLOOKUP($C$17:$C$60,#REF!,11,0)</f>
        <v>#REF!</v>
      </c>
      <c r="N25" s="365" t="e">
        <f t="shared" si="4"/>
        <v>#REF!</v>
      </c>
      <c r="O25" s="366" t="e">
        <f>VLOOKUP($C$17:$C$60,#REF!,15,0)</f>
        <v>#REF!</v>
      </c>
      <c r="P25" s="366" t="e">
        <f>VLOOKUP($C$17:$C$60,#REF!,16,0)</f>
        <v>#REF!</v>
      </c>
      <c r="Q25" s="238" t="e">
        <f t="shared" si="8"/>
        <v>#REF!</v>
      </c>
      <c r="R25" s="47" t="e">
        <f t="shared" si="5"/>
        <v>#REF!</v>
      </c>
      <c r="S25" s="47"/>
      <c r="T25" s="47"/>
      <c r="U25" s="47" t="e">
        <f t="shared" si="6"/>
        <v>#REF!</v>
      </c>
      <c r="V25" s="257"/>
      <c r="W25" s="257"/>
      <c r="X25" s="65" t="e">
        <f t="shared" si="7"/>
        <v>#REF!</v>
      </c>
      <c r="Y25" s="258"/>
      <c r="Z25" s="118" t="s">
        <v>156</v>
      </c>
    </row>
    <row r="26" spans="1:26" s="101" customFormat="1" ht="18.95" customHeight="1">
      <c r="A26" s="307">
        <v>10</v>
      </c>
      <c r="B26" s="260"/>
      <c r="C26" s="432" t="s">
        <v>161</v>
      </c>
      <c r="D26" s="499" t="s">
        <v>372</v>
      </c>
      <c r="E26" s="470" t="s">
        <v>167</v>
      </c>
      <c r="F26" s="237" t="s">
        <v>157</v>
      </c>
      <c r="G26" s="360" t="e">
        <f>VLOOKUP($C$17:$C$60,#REF!,9,0)</f>
        <v>#REF!</v>
      </c>
      <c r="H26" s="47">
        <v>25000</v>
      </c>
      <c r="I26" s="47" t="s">
        <v>355</v>
      </c>
      <c r="J26" s="47" t="e">
        <f t="shared" si="2"/>
        <v>#REF!</v>
      </c>
      <c r="K26" s="47" t="e">
        <f t="shared" si="3"/>
        <v>#REF!</v>
      </c>
      <c r="L26" s="516" t="e">
        <f>VLOOKUP($C$17:$C$60,#REF!,11,0)</f>
        <v>#REF!</v>
      </c>
      <c r="M26" s="366" t="e">
        <f>VLOOKUP($C$17:$C$60,#REF!,11,0)</f>
        <v>#REF!</v>
      </c>
      <c r="N26" s="365" t="e">
        <f t="shared" si="4"/>
        <v>#REF!</v>
      </c>
      <c r="O26" s="366" t="e">
        <f>VLOOKUP($C$17:$C$60,#REF!,15,0)</f>
        <v>#REF!</v>
      </c>
      <c r="P26" s="366" t="e">
        <f>VLOOKUP($C$17:$C$60,#REF!,16,0)</f>
        <v>#REF!</v>
      </c>
      <c r="Q26" s="238" t="e">
        <f t="shared" si="8"/>
        <v>#REF!</v>
      </c>
      <c r="R26" s="47" t="e">
        <f t="shared" si="5"/>
        <v>#REF!</v>
      </c>
      <c r="S26" s="47"/>
      <c r="T26" s="47"/>
      <c r="U26" s="47" t="e">
        <f t="shared" si="6"/>
        <v>#REF!</v>
      </c>
      <c r="V26" s="257"/>
      <c r="W26" s="257"/>
      <c r="X26" s="65" t="e">
        <f t="shared" si="7"/>
        <v>#REF!</v>
      </c>
      <c r="Y26" s="258"/>
      <c r="Z26" s="118" t="s">
        <v>156</v>
      </c>
    </row>
    <row r="27" spans="1:26" s="101" customFormat="1" ht="18.95" customHeight="1">
      <c r="A27" s="307">
        <v>11</v>
      </c>
      <c r="B27" s="260"/>
      <c r="C27" s="431" t="s">
        <v>328</v>
      </c>
      <c r="D27" s="499" t="s">
        <v>392</v>
      </c>
      <c r="E27" s="470" t="s">
        <v>167</v>
      </c>
      <c r="F27" s="237" t="s">
        <v>157</v>
      </c>
      <c r="G27" s="360" t="e">
        <f>VLOOKUP($C$17:$C$60,#REF!,9,0)</f>
        <v>#REF!</v>
      </c>
      <c r="H27" s="47">
        <v>25000</v>
      </c>
      <c r="I27" s="47" t="s">
        <v>355</v>
      </c>
      <c r="J27" s="47" t="e">
        <f t="shared" si="2"/>
        <v>#REF!</v>
      </c>
      <c r="K27" s="47" t="e">
        <f t="shared" si="3"/>
        <v>#REF!</v>
      </c>
      <c r="L27" s="516" t="e">
        <f>VLOOKUP($C$17:$C$60,#REF!,11,0)</f>
        <v>#REF!</v>
      </c>
      <c r="M27" s="366" t="e">
        <f>VLOOKUP($C$17:$C$60,#REF!,11,0)</f>
        <v>#REF!</v>
      </c>
      <c r="N27" s="365" t="e">
        <f t="shared" si="4"/>
        <v>#REF!</v>
      </c>
      <c r="O27" s="366" t="e">
        <f>VLOOKUP($C$17:$C$60,#REF!,15,0)</f>
        <v>#REF!</v>
      </c>
      <c r="P27" s="366" t="e">
        <f>VLOOKUP($C$17:$C$60,#REF!,16,0)</f>
        <v>#REF!</v>
      </c>
      <c r="Q27" s="238" t="e">
        <f t="shared" si="8"/>
        <v>#REF!</v>
      </c>
      <c r="R27" s="47" t="e">
        <f t="shared" si="5"/>
        <v>#REF!</v>
      </c>
      <c r="S27" s="47"/>
      <c r="T27" s="47"/>
      <c r="U27" s="47" t="e">
        <f t="shared" si="6"/>
        <v>#REF!</v>
      </c>
      <c r="V27" s="257"/>
      <c r="W27" s="257"/>
      <c r="X27" s="65" t="e">
        <f t="shared" si="7"/>
        <v>#REF!</v>
      </c>
      <c r="Y27" s="258"/>
      <c r="Z27" s="118" t="s">
        <v>156</v>
      </c>
    </row>
    <row r="28" spans="1:26" s="101" customFormat="1" ht="18.95" customHeight="1">
      <c r="A28" s="307">
        <v>12</v>
      </c>
      <c r="B28" s="260"/>
      <c r="C28" s="431" t="s">
        <v>350</v>
      </c>
      <c r="D28" s="499" t="s">
        <v>399</v>
      </c>
      <c r="E28" s="470" t="s">
        <v>167</v>
      </c>
      <c r="F28" s="237" t="s">
        <v>157</v>
      </c>
      <c r="G28" s="360" t="e">
        <f>VLOOKUP($C$17:$C$60,#REF!,9,0)</f>
        <v>#REF!</v>
      </c>
      <c r="H28" s="47">
        <v>25000</v>
      </c>
      <c r="I28" s="47" t="s">
        <v>355</v>
      </c>
      <c r="J28" s="47" t="e">
        <f t="shared" si="2"/>
        <v>#REF!</v>
      </c>
      <c r="K28" s="47" t="e">
        <f t="shared" si="3"/>
        <v>#REF!</v>
      </c>
      <c r="L28" s="516" t="e">
        <f>VLOOKUP($C$17:$C$60,#REF!,11,0)</f>
        <v>#REF!</v>
      </c>
      <c r="M28" s="366" t="e">
        <f>VLOOKUP($C$17:$C$60,#REF!,11,0)</f>
        <v>#REF!</v>
      </c>
      <c r="N28" s="365" t="e">
        <f t="shared" si="4"/>
        <v>#REF!</v>
      </c>
      <c r="O28" s="366" t="e">
        <f>VLOOKUP($C$17:$C$60,#REF!,15,0)</f>
        <v>#REF!</v>
      </c>
      <c r="P28" s="366" t="e">
        <f>VLOOKUP($C$17:$C$60,#REF!,16,0)</f>
        <v>#REF!</v>
      </c>
      <c r="Q28" s="238" t="e">
        <f t="shared" si="8"/>
        <v>#REF!</v>
      </c>
      <c r="R28" s="47" t="e">
        <f t="shared" si="5"/>
        <v>#REF!</v>
      </c>
      <c r="S28" s="47"/>
      <c r="T28" s="47"/>
      <c r="U28" s="47" t="e">
        <f t="shared" si="6"/>
        <v>#REF!</v>
      </c>
      <c r="V28" s="257"/>
      <c r="W28" s="257"/>
      <c r="X28" s="65" t="e">
        <f t="shared" si="7"/>
        <v>#REF!</v>
      </c>
      <c r="Y28" s="258"/>
      <c r="Z28" s="118" t="s">
        <v>156</v>
      </c>
    </row>
    <row r="29" spans="1:26" s="101" customFormat="1" ht="18.95" customHeight="1">
      <c r="A29" s="307">
        <v>13</v>
      </c>
      <c r="B29" s="260"/>
      <c r="C29" s="431" t="s">
        <v>349</v>
      </c>
      <c r="D29" s="499" t="s">
        <v>397</v>
      </c>
      <c r="E29" s="470" t="s">
        <v>167</v>
      </c>
      <c r="F29" s="237" t="s">
        <v>157</v>
      </c>
      <c r="G29" s="360" t="e">
        <f>VLOOKUP($C$17:$C$60,#REF!,9,0)</f>
        <v>#REF!</v>
      </c>
      <c r="H29" s="47">
        <v>25000</v>
      </c>
      <c r="I29" s="47" t="s">
        <v>355</v>
      </c>
      <c r="J29" s="47" t="e">
        <f t="shared" si="2"/>
        <v>#REF!</v>
      </c>
      <c r="K29" s="47" t="e">
        <f t="shared" si="3"/>
        <v>#REF!</v>
      </c>
      <c r="L29" s="516" t="e">
        <f>VLOOKUP($C$17:$C$60,#REF!,11,0)</f>
        <v>#REF!</v>
      </c>
      <c r="M29" s="366" t="e">
        <f>VLOOKUP($C$17:$C$60,#REF!,11,0)</f>
        <v>#REF!</v>
      </c>
      <c r="N29" s="365" t="e">
        <f t="shared" si="4"/>
        <v>#REF!</v>
      </c>
      <c r="O29" s="366" t="e">
        <f>VLOOKUP($C$17:$C$60,#REF!,15,0)</f>
        <v>#REF!</v>
      </c>
      <c r="P29" s="366" t="e">
        <f>VLOOKUP($C$17:$C$60,#REF!,16,0)</f>
        <v>#REF!</v>
      </c>
      <c r="Q29" s="238" t="e">
        <f t="shared" si="8"/>
        <v>#REF!</v>
      </c>
      <c r="R29" s="47" t="e">
        <f t="shared" si="5"/>
        <v>#REF!</v>
      </c>
      <c r="S29" s="47"/>
      <c r="T29" s="47"/>
      <c r="U29" s="47" t="e">
        <f t="shared" si="6"/>
        <v>#REF!</v>
      </c>
      <c r="V29" s="257"/>
      <c r="W29" s="257"/>
      <c r="X29" s="65" t="e">
        <f t="shared" si="7"/>
        <v>#REF!</v>
      </c>
      <c r="Y29" s="258"/>
      <c r="Z29" s="118" t="s">
        <v>156</v>
      </c>
    </row>
    <row r="30" spans="1:26" s="101" customFormat="1" ht="18.95" customHeight="1">
      <c r="A30" s="307">
        <v>14</v>
      </c>
      <c r="B30" s="260"/>
      <c r="C30" s="431" t="s">
        <v>344</v>
      </c>
      <c r="D30" s="499" t="s">
        <v>379</v>
      </c>
      <c r="E30" s="470" t="s">
        <v>167</v>
      </c>
      <c r="F30" s="237" t="s">
        <v>157</v>
      </c>
      <c r="G30" s="360" t="e">
        <f>VLOOKUP($C$17:$C$60,#REF!,9,0)</f>
        <v>#REF!</v>
      </c>
      <c r="H30" s="47">
        <v>25000</v>
      </c>
      <c r="I30" s="47" t="s">
        <v>355</v>
      </c>
      <c r="J30" s="47" t="e">
        <f t="shared" si="2"/>
        <v>#REF!</v>
      </c>
      <c r="K30" s="47" t="e">
        <f t="shared" si="3"/>
        <v>#REF!</v>
      </c>
      <c r="L30" s="516" t="e">
        <f>VLOOKUP($C$17:$C$60,#REF!,11,0)</f>
        <v>#REF!</v>
      </c>
      <c r="M30" s="366" t="e">
        <f>VLOOKUP($C$17:$C$60,#REF!,11,0)</f>
        <v>#REF!</v>
      </c>
      <c r="N30" s="365" t="e">
        <f t="shared" si="4"/>
        <v>#REF!</v>
      </c>
      <c r="O30" s="366" t="e">
        <f>VLOOKUP($C$17:$C$60,#REF!,15,0)</f>
        <v>#REF!</v>
      </c>
      <c r="P30" s="366" t="e">
        <f>VLOOKUP($C$17:$C$60,#REF!,16,0)</f>
        <v>#REF!</v>
      </c>
      <c r="Q30" s="238" t="e">
        <f t="shared" si="8"/>
        <v>#REF!</v>
      </c>
      <c r="R30" s="47" t="e">
        <f t="shared" si="5"/>
        <v>#REF!</v>
      </c>
      <c r="S30" s="47"/>
      <c r="T30" s="47"/>
      <c r="U30" s="47" t="e">
        <f t="shared" si="6"/>
        <v>#REF!</v>
      </c>
      <c r="V30" s="257"/>
      <c r="W30" s="257"/>
      <c r="X30" s="65" t="e">
        <f t="shared" si="7"/>
        <v>#REF!</v>
      </c>
      <c r="Y30" s="258"/>
      <c r="Z30" s="118" t="s">
        <v>156</v>
      </c>
    </row>
    <row r="31" spans="1:26" s="101" customFormat="1" ht="18.95" customHeight="1">
      <c r="A31" s="307">
        <v>15</v>
      </c>
      <c r="B31" s="260"/>
      <c r="C31" s="431" t="s">
        <v>330</v>
      </c>
      <c r="D31" s="499" t="s">
        <v>375</v>
      </c>
      <c r="E31" s="470" t="s">
        <v>167</v>
      </c>
      <c r="F31" s="237" t="s">
        <v>157</v>
      </c>
      <c r="G31" s="360" t="e">
        <f>VLOOKUP($C$17:$C$60,#REF!,9,0)</f>
        <v>#REF!</v>
      </c>
      <c r="H31" s="47">
        <v>25000</v>
      </c>
      <c r="I31" s="47" t="s">
        <v>355</v>
      </c>
      <c r="J31" s="47" t="e">
        <f t="shared" si="2"/>
        <v>#REF!</v>
      </c>
      <c r="K31" s="47" t="e">
        <f t="shared" si="3"/>
        <v>#REF!</v>
      </c>
      <c r="L31" s="516" t="e">
        <f>VLOOKUP($C$17:$C$60,#REF!,11,0)</f>
        <v>#REF!</v>
      </c>
      <c r="M31" s="366" t="e">
        <f>VLOOKUP($C$17:$C$60,#REF!,11,0)</f>
        <v>#REF!</v>
      </c>
      <c r="N31" s="365" t="e">
        <f t="shared" si="4"/>
        <v>#REF!</v>
      </c>
      <c r="O31" s="366" t="e">
        <f>VLOOKUP($C$17:$C$60,#REF!,15,0)</f>
        <v>#REF!</v>
      </c>
      <c r="P31" s="366" t="e">
        <f>VLOOKUP($C$17:$C$60,#REF!,16,0)</f>
        <v>#REF!</v>
      </c>
      <c r="Q31" s="238" t="e">
        <f t="shared" si="8"/>
        <v>#REF!</v>
      </c>
      <c r="R31" s="47" t="e">
        <f t="shared" si="5"/>
        <v>#REF!</v>
      </c>
      <c r="S31" s="47"/>
      <c r="T31" s="47"/>
      <c r="U31" s="47" t="e">
        <f t="shared" si="6"/>
        <v>#REF!</v>
      </c>
      <c r="V31" s="257"/>
      <c r="W31" s="257"/>
      <c r="X31" s="65" t="e">
        <f t="shared" si="7"/>
        <v>#REF!</v>
      </c>
      <c r="Y31" s="258"/>
      <c r="Z31" s="118" t="s">
        <v>156</v>
      </c>
    </row>
    <row r="32" spans="1:26" s="101" customFormat="1" ht="18.95" customHeight="1">
      <c r="A32" s="307">
        <v>16</v>
      </c>
      <c r="B32" s="260"/>
      <c r="C32" s="431" t="s">
        <v>228</v>
      </c>
      <c r="D32" s="499" t="s">
        <v>373</v>
      </c>
      <c r="E32" s="470" t="s">
        <v>167</v>
      </c>
      <c r="F32" s="237" t="s">
        <v>157</v>
      </c>
      <c r="G32" s="360" t="e">
        <f>VLOOKUP($C$17:$C$60,#REF!,9,0)</f>
        <v>#REF!</v>
      </c>
      <c r="H32" s="47">
        <v>25000</v>
      </c>
      <c r="I32" s="47" t="s">
        <v>355</v>
      </c>
      <c r="J32" s="47" t="e">
        <f t="shared" si="2"/>
        <v>#REF!</v>
      </c>
      <c r="K32" s="47" t="e">
        <f t="shared" si="3"/>
        <v>#REF!</v>
      </c>
      <c r="L32" s="516" t="e">
        <f>VLOOKUP($C$17:$C$60,#REF!,11,0)</f>
        <v>#REF!</v>
      </c>
      <c r="M32" s="366" t="e">
        <f>VLOOKUP($C$17:$C$60,#REF!,11,0)</f>
        <v>#REF!</v>
      </c>
      <c r="N32" s="365" t="e">
        <f t="shared" si="4"/>
        <v>#REF!</v>
      </c>
      <c r="O32" s="366" t="e">
        <f>VLOOKUP($C$17:$C$60,#REF!,15,0)</f>
        <v>#REF!</v>
      </c>
      <c r="P32" s="366" t="e">
        <f>VLOOKUP($C$17:$C$60,#REF!,16,0)</f>
        <v>#REF!</v>
      </c>
      <c r="Q32" s="238" t="e">
        <f t="shared" si="8"/>
        <v>#REF!</v>
      </c>
      <c r="R32" s="47" t="e">
        <f t="shared" si="5"/>
        <v>#REF!</v>
      </c>
      <c r="S32" s="47"/>
      <c r="T32" s="47"/>
      <c r="U32" s="47" t="e">
        <f t="shared" si="6"/>
        <v>#REF!</v>
      </c>
      <c r="V32" s="257"/>
      <c r="W32" s="257"/>
      <c r="X32" s="65" t="e">
        <f t="shared" si="7"/>
        <v>#REF!</v>
      </c>
      <c r="Y32" s="258"/>
      <c r="Z32" s="118" t="s">
        <v>156</v>
      </c>
    </row>
    <row r="33" spans="1:28" s="101" customFormat="1" ht="18.95" customHeight="1">
      <c r="A33" s="307">
        <v>17</v>
      </c>
      <c r="B33" s="260"/>
      <c r="C33" s="431" t="s">
        <v>152</v>
      </c>
      <c r="D33" s="499" t="s">
        <v>384</v>
      </c>
      <c r="E33" s="470" t="s">
        <v>167</v>
      </c>
      <c r="F33" s="237" t="s">
        <v>157</v>
      </c>
      <c r="G33" s="360" t="e">
        <f>VLOOKUP($C$17:$C$60,#REF!,9,0)</f>
        <v>#REF!</v>
      </c>
      <c r="H33" s="47">
        <v>25000</v>
      </c>
      <c r="I33" s="47" t="s">
        <v>355</v>
      </c>
      <c r="J33" s="47" t="e">
        <f t="shared" si="2"/>
        <v>#REF!</v>
      </c>
      <c r="K33" s="47" t="e">
        <f t="shared" si="3"/>
        <v>#REF!</v>
      </c>
      <c r="L33" s="516" t="e">
        <f>VLOOKUP($C$17:$C$60,#REF!,11,0)</f>
        <v>#REF!</v>
      </c>
      <c r="M33" s="366" t="e">
        <f>VLOOKUP($C$17:$C$60,#REF!,11,0)</f>
        <v>#REF!</v>
      </c>
      <c r="N33" s="365" t="e">
        <f t="shared" si="4"/>
        <v>#REF!</v>
      </c>
      <c r="O33" s="366" t="e">
        <f>VLOOKUP($C$17:$C$60,#REF!,15,0)</f>
        <v>#REF!</v>
      </c>
      <c r="P33" s="366" t="e">
        <f>VLOOKUP($C$17:$C$60,#REF!,16,0)</f>
        <v>#REF!</v>
      </c>
      <c r="Q33" s="238" t="e">
        <f t="shared" si="8"/>
        <v>#REF!</v>
      </c>
      <c r="R33" s="47" t="e">
        <f t="shared" si="5"/>
        <v>#REF!</v>
      </c>
      <c r="S33" s="47"/>
      <c r="T33" s="47"/>
      <c r="U33" s="47" t="e">
        <f t="shared" si="6"/>
        <v>#REF!</v>
      </c>
      <c r="V33" s="257"/>
      <c r="W33" s="257"/>
      <c r="X33" s="65" t="e">
        <f t="shared" si="7"/>
        <v>#REF!</v>
      </c>
      <c r="Y33" s="258"/>
      <c r="Z33" s="118" t="s">
        <v>156</v>
      </c>
    </row>
    <row r="34" spans="1:28" s="101" customFormat="1" ht="18.95" customHeight="1">
      <c r="A34" s="307">
        <v>18</v>
      </c>
      <c r="B34" s="260"/>
      <c r="C34" s="431" t="s">
        <v>144</v>
      </c>
      <c r="D34" s="499" t="s">
        <v>376</v>
      </c>
      <c r="E34" s="470" t="s">
        <v>167</v>
      </c>
      <c r="F34" s="237" t="s">
        <v>157</v>
      </c>
      <c r="G34" s="360" t="e">
        <f>VLOOKUP($C$17:$C$60,#REF!,9,0)</f>
        <v>#REF!</v>
      </c>
      <c r="H34" s="47">
        <v>25000</v>
      </c>
      <c r="I34" s="47" t="s">
        <v>355</v>
      </c>
      <c r="J34" s="47" t="e">
        <f t="shared" si="2"/>
        <v>#REF!</v>
      </c>
      <c r="K34" s="47" t="e">
        <f t="shared" si="3"/>
        <v>#REF!</v>
      </c>
      <c r="L34" s="516" t="e">
        <f>VLOOKUP($C$17:$C$60,#REF!,11,0)</f>
        <v>#REF!</v>
      </c>
      <c r="M34" s="366" t="e">
        <f>VLOOKUP($C$17:$C$60,#REF!,11,0)</f>
        <v>#REF!</v>
      </c>
      <c r="N34" s="365" t="e">
        <f t="shared" si="4"/>
        <v>#REF!</v>
      </c>
      <c r="O34" s="366" t="e">
        <f>VLOOKUP($C$17:$C$60,#REF!,15,0)</f>
        <v>#REF!</v>
      </c>
      <c r="P34" s="366" t="e">
        <f>VLOOKUP($C$17:$C$60,#REF!,16,0)</f>
        <v>#REF!</v>
      </c>
      <c r="Q34" s="238" t="e">
        <f t="shared" si="8"/>
        <v>#REF!</v>
      </c>
      <c r="R34" s="47" t="e">
        <f t="shared" si="5"/>
        <v>#REF!</v>
      </c>
      <c r="S34" s="47"/>
      <c r="T34" s="47"/>
      <c r="U34" s="47" t="e">
        <f t="shared" si="6"/>
        <v>#REF!</v>
      </c>
      <c r="V34" s="257"/>
      <c r="W34" s="257"/>
      <c r="X34" s="65" t="e">
        <f t="shared" si="7"/>
        <v>#REF!</v>
      </c>
      <c r="Y34" s="258"/>
      <c r="Z34" s="118" t="s">
        <v>156</v>
      </c>
    </row>
    <row r="35" spans="1:28" s="101" customFormat="1" ht="18.95" customHeight="1">
      <c r="A35" s="307">
        <v>19</v>
      </c>
      <c r="B35" s="260"/>
      <c r="C35" s="431" t="s">
        <v>347</v>
      </c>
      <c r="D35" s="499" t="s">
        <v>394</v>
      </c>
      <c r="E35" s="470" t="s">
        <v>167</v>
      </c>
      <c r="F35" s="237" t="s">
        <v>157</v>
      </c>
      <c r="G35" s="360" t="e">
        <f>VLOOKUP($C$17:$C$60,#REF!,9,0)</f>
        <v>#REF!</v>
      </c>
      <c r="H35" s="47">
        <v>25000</v>
      </c>
      <c r="I35" s="47" t="s">
        <v>355</v>
      </c>
      <c r="J35" s="47" t="e">
        <f t="shared" si="2"/>
        <v>#REF!</v>
      </c>
      <c r="K35" s="47" t="e">
        <f t="shared" si="3"/>
        <v>#REF!</v>
      </c>
      <c r="L35" s="516" t="e">
        <f>VLOOKUP($C$17:$C$60,#REF!,11,0)</f>
        <v>#REF!</v>
      </c>
      <c r="M35" s="366" t="e">
        <f>VLOOKUP($C$17:$C$60,#REF!,11,0)</f>
        <v>#REF!</v>
      </c>
      <c r="N35" s="365" t="e">
        <f t="shared" si="4"/>
        <v>#REF!</v>
      </c>
      <c r="O35" s="366" t="e">
        <f>VLOOKUP($C$17:$C$60,#REF!,15,0)</f>
        <v>#REF!</v>
      </c>
      <c r="P35" s="366" t="e">
        <f>VLOOKUP($C$17:$C$60,#REF!,16,0)</f>
        <v>#REF!</v>
      </c>
      <c r="Q35" s="238" t="e">
        <f t="shared" si="8"/>
        <v>#REF!</v>
      </c>
      <c r="R35" s="47" t="e">
        <f t="shared" si="5"/>
        <v>#REF!</v>
      </c>
      <c r="S35" s="47"/>
      <c r="T35" s="47"/>
      <c r="U35" s="47" t="e">
        <f t="shared" si="6"/>
        <v>#REF!</v>
      </c>
      <c r="V35" s="257"/>
      <c r="W35" s="257"/>
      <c r="X35" s="65" t="e">
        <f t="shared" si="7"/>
        <v>#REF!</v>
      </c>
      <c r="Y35" s="258"/>
      <c r="Z35" s="118" t="s">
        <v>156</v>
      </c>
    </row>
    <row r="36" spans="1:28" s="101" customFormat="1" ht="18.95" customHeight="1">
      <c r="A36" s="307">
        <v>20</v>
      </c>
      <c r="B36" s="260"/>
      <c r="C36" s="431" t="s">
        <v>409</v>
      </c>
      <c r="D36" s="499" t="s">
        <v>391</v>
      </c>
      <c r="E36" s="470" t="s">
        <v>167</v>
      </c>
      <c r="F36" s="237" t="s">
        <v>157</v>
      </c>
      <c r="G36" s="360" t="e">
        <f>VLOOKUP($C$17:$C$60,#REF!,9,0)</f>
        <v>#REF!</v>
      </c>
      <c r="H36" s="47">
        <v>25000</v>
      </c>
      <c r="I36" s="47" t="s">
        <v>355</v>
      </c>
      <c r="J36" s="47" t="e">
        <f t="shared" si="2"/>
        <v>#REF!</v>
      </c>
      <c r="K36" s="47" t="e">
        <f t="shared" si="3"/>
        <v>#REF!</v>
      </c>
      <c r="L36" s="516" t="e">
        <f>VLOOKUP($C$17:$C$60,#REF!,11,0)</f>
        <v>#REF!</v>
      </c>
      <c r="M36" s="366" t="e">
        <f>VLOOKUP($C$17:$C$60,#REF!,11,0)</f>
        <v>#REF!</v>
      </c>
      <c r="N36" s="365" t="e">
        <f t="shared" si="4"/>
        <v>#REF!</v>
      </c>
      <c r="O36" s="366" t="e">
        <f>VLOOKUP($C$17:$C$60,#REF!,15,0)</f>
        <v>#REF!</v>
      </c>
      <c r="P36" s="366" t="e">
        <f>VLOOKUP($C$17:$C$60,#REF!,16,0)</f>
        <v>#REF!</v>
      </c>
      <c r="Q36" s="238" t="e">
        <f t="shared" si="8"/>
        <v>#REF!</v>
      </c>
      <c r="R36" s="47" t="e">
        <f t="shared" si="5"/>
        <v>#REF!</v>
      </c>
      <c r="S36" s="47"/>
      <c r="T36" s="47"/>
      <c r="U36" s="47" t="e">
        <f t="shared" si="6"/>
        <v>#REF!</v>
      </c>
      <c r="V36" s="257"/>
      <c r="W36" s="257"/>
      <c r="X36" s="65" t="e">
        <f t="shared" si="7"/>
        <v>#REF!</v>
      </c>
      <c r="Y36" s="258"/>
      <c r="Z36" s="118" t="s">
        <v>156</v>
      </c>
    </row>
    <row r="37" spans="1:28" s="101" customFormat="1" ht="18.95" customHeight="1">
      <c r="A37" s="307">
        <v>21</v>
      </c>
      <c r="B37" s="260"/>
      <c r="C37" s="431" t="s">
        <v>154</v>
      </c>
      <c r="D37" s="499" t="s">
        <v>374</v>
      </c>
      <c r="E37" s="470" t="s">
        <v>167</v>
      </c>
      <c r="F37" s="237" t="s">
        <v>157</v>
      </c>
      <c r="G37" s="360" t="e">
        <f>VLOOKUP($C$17:$C$60,#REF!,9,0)</f>
        <v>#REF!</v>
      </c>
      <c r="H37" s="47">
        <v>25000</v>
      </c>
      <c r="I37" s="47" t="s">
        <v>355</v>
      </c>
      <c r="J37" s="47" t="e">
        <f t="shared" si="2"/>
        <v>#REF!</v>
      </c>
      <c r="K37" s="47" t="e">
        <f t="shared" si="3"/>
        <v>#REF!</v>
      </c>
      <c r="L37" s="516" t="e">
        <f>VLOOKUP($C$17:$C$60,#REF!,11,0)</f>
        <v>#REF!</v>
      </c>
      <c r="M37" s="366" t="e">
        <f>VLOOKUP($C$17:$C$60,#REF!,11,0)</f>
        <v>#REF!</v>
      </c>
      <c r="N37" s="365" t="e">
        <f t="shared" si="4"/>
        <v>#REF!</v>
      </c>
      <c r="O37" s="366" t="e">
        <f>VLOOKUP($C$17:$C$60,#REF!,15,0)</f>
        <v>#REF!</v>
      </c>
      <c r="P37" s="366" t="e">
        <f>VLOOKUP($C$17:$C$60,#REF!,16,0)</f>
        <v>#REF!</v>
      </c>
      <c r="Q37" s="238" t="e">
        <f t="shared" si="8"/>
        <v>#REF!</v>
      </c>
      <c r="R37" s="47" t="e">
        <f t="shared" si="5"/>
        <v>#REF!</v>
      </c>
      <c r="S37" s="47"/>
      <c r="T37" s="47"/>
      <c r="U37" s="47" t="e">
        <f t="shared" si="6"/>
        <v>#REF!</v>
      </c>
      <c r="V37" s="257"/>
      <c r="W37" s="257"/>
      <c r="X37" s="65" t="e">
        <f t="shared" si="7"/>
        <v>#REF!</v>
      </c>
      <c r="Y37" s="258"/>
      <c r="Z37" s="118" t="s">
        <v>156</v>
      </c>
    </row>
    <row r="38" spans="1:28" s="101" customFormat="1" ht="18.95" customHeight="1">
      <c r="A38" s="307">
        <v>22</v>
      </c>
      <c r="B38" s="260"/>
      <c r="C38" s="431" t="s">
        <v>327</v>
      </c>
      <c r="D38" s="499" t="s">
        <v>390</v>
      </c>
      <c r="E38" s="470" t="s">
        <v>167</v>
      </c>
      <c r="F38" s="237" t="s">
        <v>157</v>
      </c>
      <c r="G38" s="360" t="e">
        <f>VLOOKUP($C$17:$C$60,#REF!,9,0)</f>
        <v>#REF!</v>
      </c>
      <c r="H38" s="47">
        <v>25000</v>
      </c>
      <c r="I38" s="47" t="s">
        <v>355</v>
      </c>
      <c r="J38" s="47" t="e">
        <f t="shared" si="2"/>
        <v>#REF!</v>
      </c>
      <c r="K38" s="47" t="e">
        <f t="shared" si="3"/>
        <v>#REF!</v>
      </c>
      <c r="L38" s="516" t="e">
        <f>VLOOKUP($C$17:$C$60,#REF!,11,0)</f>
        <v>#REF!</v>
      </c>
      <c r="M38" s="366" t="e">
        <f>VLOOKUP($C$17:$C$60,#REF!,11,0)</f>
        <v>#REF!</v>
      </c>
      <c r="N38" s="365" t="e">
        <f t="shared" si="4"/>
        <v>#REF!</v>
      </c>
      <c r="O38" s="366" t="e">
        <f>VLOOKUP($C$17:$C$60,#REF!,15,0)</f>
        <v>#REF!</v>
      </c>
      <c r="P38" s="366" t="e">
        <f>VLOOKUP($C$17:$C$60,#REF!,16,0)</f>
        <v>#REF!</v>
      </c>
      <c r="Q38" s="238" t="e">
        <f t="shared" si="8"/>
        <v>#REF!</v>
      </c>
      <c r="R38" s="47" t="e">
        <f t="shared" si="5"/>
        <v>#REF!</v>
      </c>
      <c r="S38" s="47"/>
      <c r="T38" s="47"/>
      <c r="U38" s="47" t="e">
        <f t="shared" si="6"/>
        <v>#REF!</v>
      </c>
      <c r="V38" s="257"/>
      <c r="W38" s="257"/>
      <c r="X38" s="65" t="e">
        <f t="shared" si="7"/>
        <v>#REF!</v>
      </c>
      <c r="Y38" s="258"/>
      <c r="Z38" s="118" t="s">
        <v>156</v>
      </c>
    </row>
    <row r="39" spans="1:28" s="101" customFormat="1" ht="18.95" customHeight="1">
      <c r="A39" s="307">
        <v>23</v>
      </c>
      <c r="B39" s="260"/>
      <c r="C39" s="431" t="s">
        <v>145</v>
      </c>
      <c r="D39" s="499" t="s">
        <v>377</v>
      </c>
      <c r="E39" s="470" t="s">
        <v>167</v>
      </c>
      <c r="F39" s="237" t="s">
        <v>157</v>
      </c>
      <c r="G39" s="360" t="e">
        <f>VLOOKUP($C$17:$C$60,#REF!,9,0)</f>
        <v>#REF!</v>
      </c>
      <c r="H39" s="47">
        <v>25000</v>
      </c>
      <c r="I39" s="47" t="s">
        <v>355</v>
      </c>
      <c r="J39" s="47" t="e">
        <f t="shared" si="2"/>
        <v>#REF!</v>
      </c>
      <c r="K39" s="47" t="e">
        <f t="shared" si="3"/>
        <v>#REF!</v>
      </c>
      <c r="L39" s="516" t="e">
        <f>VLOOKUP($C$17:$C$60,#REF!,11,0)</f>
        <v>#REF!</v>
      </c>
      <c r="M39" s="366" t="e">
        <f>VLOOKUP($C$17:$C$60,#REF!,11,0)</f>
        <v>#REF!</v>
      </c>
      <c r="N39" s="365" t="e">
        <f t="shared" si="4"/>
        <v>#REF!</v>
      </c>
      <c r="O39" s="366" t="e">
        <f>VLOOKUP($C$17:$C$60,#REF!,15,0)</f>
        <v>#REF!</v>
      </c>
      <c r="P39" s="366" t="e">
        <f>VLOOKUP($C$17:$C$60,#REF!,16,0)</f>
        <v>#REF!</v>
      </c>
      <c r="Q39" s="238" t="e">
        <f t="shared" si="8"/>
        <v>#REF!</v>
      </c>
      <c r="R39" s="47" t="e">
        <f t="shared" si="5"/>
        <v>#REF!</v>
      </c>
      <c r="S39" s="47"/>
      <c r="T39" s="47"/>
      <c r="U39" s="47" t="e">
        <f t="shared" si="6"/>
        <v>#REF!</v>
      </c>
      <c r="V39" s="257"/>
      <c r="W39" s="257"/>
      <c r="X39" s="65" t="e">
        <f t="shared" si="7"/>
        <v>#REF!</v>
      </c>
      <c r="Y39" s="258"/>
      <c r="Z39" s="118" t="s">
        <v>156</v>
      </c>
    </row>
    <row r="40" spans="1:28" s="101" customFormat="1" ht="18.95" customHeight="1">
      <c r="A40" s="307">
        <v>24</v>
      </c>
      <c r="B40" s="260"/>
      <c r="C40" s="431" t="s">
        <v>345</v>
      </c>
      <c r="D40" s="499" t="s">
        <v>386</v>
      </c>
      <c r="E40" s="470" t="s">
        <v>167</v>
      </c>
      <c r="F40" s="237" t="s">
        <v>157</v>
      </c>
      <c r="G40" s="360" t="e">
        <f>VLOOKUP($C$17:$C$60,#REF!,9,0)</f>
        <v>#REF!</v>
      </c>
      <c r="H40" s="47">
        <v>25000</v>
      </c>
      <c r="I40" s="47" t="s">
        <v>355</v>
      </c>
      <c r="J40" s="47" t="e">
        <f t="shared" si="2"/>
        <v>#REF!</v>
      </c>
      <c r="K40" s="47" t="e">
        <f t="shared" si="3"/>
        <v>#REF!</v>
      </c>
      <c r="L40" s="516" t="e">
        <f>VLOOKUP($C$17:$C$60,#REF!,11,0)</f>
        <v>#REF!</v>
      </c>
      <c r="M40" s="366" t="e">
        <f>VLOOKUP($C$17:$C$60,#REF!,11,0)</f>
        <v>#REF!</v>
      </c>
      <c r="N40" s="365" t="e">
        <f t="shared" si="4"/>
        <v>#REF!</v>
      </c>
      <c r="O40" s="366" t="e">
        <f>VLOOKUP($C$17:$C$60,#REF!,15,0)</f>
        <v>#REF!</v>
      </c>
      <c r="P40" s="366" t="e">
        <f>VLOOKUP($C$17:$C$60,#REF!,16,0)</f>
        <v>#REF!</v>
      </c>
      <c r="Q40" s="238" t="e">
        <f t="shared" si="8"/>
        <v>#REF!</v>
      </c>
      <c r="R40" s="47" t="e">
        <f t="shared" si="5"/>
        <v>#REF!</v>
      </c>
      <c r="S40" s="47"/>
      <c r="T40" s="47"/>
      <c r="U40" s="47" t="e">
        <f t="shared" si="6"/>
        <v>#REF!</v>
      </c>
      <c r="V40" s="257"/>
      <c r="W40" s="257"/>
      <c r="X40" s="65" t="e">
        <f t="shared" si="7"/>
        <v>#REF!</v>
      </c>
      <c r="Y40" s="258"/>
      <c r="Z40" s="118" t="s">
        <v>156</v>
      </c>
    </row>
    <row r="41" spans="1:28" s="101" customFormat="1" ht="18.95" customHeight="1">
      <c r="A41" s="307">
        <v>25</v>
      </c>
      <c r="B41" s="260"/>
      <c r="C41" s="431" t="s">
        <v>410</v>
      </c>
      <c r="D41" s="499" t="s">
        <v>388</v>
      </c>
      <c r="E41" s="470" t="s">
        <v>167</v>
      </c>
      <c r="F41" s="237" t="s">
        <v>157</v>
      </c>
      <c r="G41" s="360" t="e">
        <f>VLOOKUP($C$17:$C$60,#REF!,9,0)</f>
        <v>#REF!</v>
      </c>
      <c r="H41" s="47">
        <v>25000</v>
      </c>
      <c r="I41" s="47" t="s">
        <v>355</v>
      </c>
      <c r="J41" s="47" t="e">
        <f t="shared" si="2"/>
        <v>#REF!</v>
      </c>
      <c r="K41" s="47" t="e">
        <f t="shared" si="3"/>
        <v>#REF!</v>
      </c>
      <c r="L41" s="516" t="e">
        <f>VLOOKUP($C$17:$C$60,#REF!,11,0)</f>
        <v>#REF!</v>
      </c>
      <c r="M41" s="366" t="e">
        <f>VLOOKUP($C$17:$C$60,#REF!,11,0)</f>
        <v>#REF!</v>
      </c>
      <c r="N41" s="365" t="e">
        <f t="shared" si="4"/>
        <v>#REF!</v>
      </c>
      <c r="O41" s="366" t="e">
        <f>VLOOKUP($C$17:$C$60,#REF!,15,0)</f>
        <v>#REF!</v>
      </c>
      <c r="P41" s="366" t="e">
        <f>VLOOKUP($C$17:$C$60,#REF!,16,0)</f>
        <v>#REF!</v>
      </c>
      <c r="Q41" s="238" t="e">
        <f t="shared" si="8"/>
        <v>#REF!</v>
      </c>
      <c r="R41" s="47" t="e">
        <f t="shared" si="5"/>
        <v>#REF!</v>
      </c>
      <c r="S41" s="47"/>
      <c r="T41" s="47"/>
      <c r="U41" s="47" t="e">
        <f t="shared" si="6"/>
        <v>#REF!</v>
      </c>
      <c r="V41" s="257"/>
      <c r="W41" s="257"/>
      <c r="X41" s="65" t="e">
        <f t="shared" si="7"/>
        <v>#REF!</v>
      </c>
      <c r="Y41" s="258"/>
      <c r="Z41" s="118" t="s">
        <v>156</v>
      </c>
    </row>
    <row r="42" spans="1:28" s="101" customFormat="1" ht="18.95" customHeight="1">
      <c r="A42" s="307">
        <v>26</v>
      </c>
      <c r="B42" s="260"/>
      <c r="C42" s="431" t="s">
        <v>150</v>
      </c>
      <c r="D42" s="499" t="s">
        <v>400</v>
      </c>
      <c r="E42" s="470" t="s">
        <v>167</v>
      </c>
      <c r="F42" s="237" t="s">
        <v>157</v>
      </c>
      <c r="G42" s="360" t="e">
        <f>VLOOKUP($C$17:$C$60,#REF!,9,0)</f>
        <v>#REF!</v>
      </c>
      <c r="H42" s="47">
        <v>25000</v>
      </c>
      <c r="I42" s="47" t="s">
        <v>355</v>
      </c>
      <c r="J42" s="47" t="e">
        <f t="shared" si="2"/>
        <v>#REF!</v>
      </c>
      <c r="K42" s="47" t="e">
        <f t="shared" si="3"/>
        <v>#REF!</v>
      </c>
      <c r="L42" s="516" t="e">
        <f>VLOOKUP($C$17:$C$60,#REF!,11,0)</f>
        <v>#REF!</v>
      </c>
      <c r="M42" s="366" t="e">
        <f>VLOOKUP($C$17:$C$60,#REF!,11,0)</f>
        <v>#REF!</v>
      </c>
      <c r="N42" s="365" t="e">
        <f t="shared" si="4"/>
        <v>#REF!</v>
      </c>
      <c r="O42" s="366" t="e">
        <f>VLOOKUP($C$17:$C$60,#REF!,15,0)</f>
        <v>#REF!</v>
      </c>
      <c r="P42" s="366" t="e">
        <f>VLOOKUP($C$17:$C$60,#REF!,16,0)</f>
        <v>#REF!</v>
      </c>
      <c r="Q42" s="238" t="e">
        <f t="shared" si="8"/>
        <v>#REF!</v>
      </c>
      <c r="R42" s="47" t="e">
        <f t="shared" si="5"/>
        <v>#REF!</v>
      </c>
      <c r="S42" s="47"/>
      <c r="T42" s="47"/>
      <c r="U42" s="47" t="e">
        <f t="shared" si="6"/>
        <v>#REF!</v>
      </c>
      <c r="V42" s="257"/>
      <c r="W42" s="257"/>
      <c r="X42" s="65" t="e">
        <f t="shared" si="7"/>
        <v>#REF!</v>
      </c>
      <c r="Y42" s="258"/>
      <c r="Z42" s="118" t="s">
        <v>156</v>
      </c>
    </row>
    <row r="43" spans="1:28" s="101" customFormat="1" ht="18.95" customHeight="1">
      <c r="A43" s="307">
        <v>27</v>
      </c>
      <c r="B43" s="260"/>
      <c r="C43" s="431" t="s">
        <v>149</v>
      </c>
      <c r="D43" s="499" t="s">
        <v>381</v>
      </c>
      <c r="E43" s="470" t="s">
        <v>167</v>
      </c>
      <c r="F43" s="237" t="s">
        <v>157</v>
      </c>
      <c r="G43" s="360" t="e">
        <f>VLOOKUP($C$17:$C$60,#REF!,9,0)</f>
        <v>#REF!</v>
      </c>
      <c r="H43" s="47">
        <v>25000</v>
      </c>
      <c r="I43" s="47" t="s">
        <v>355</v>
      </c>
      <c r="J43" s="47" t="e">
        <f t="shared" si="2"/>
        <v>#REF!</v>
      </c>
      <c r="K43" s="47" t="e">
        <f t="shared" si="3"/>
        <v>#REF!</v>
      </c>
      <c r="L43" s="516" t="e">
        <f>VLOOKUP($C$17:$C$60,#REF!,11,0)</f>
        <v>#REF!</v>
      </c>
      <c r="M43" s="366" t="e">
        <f>VLOOKUP($C$17:$C$60,#REF!,11,0)</f>
        <v>#REF!</v>
      </c>
      <c r="N43" s="365" t="e">
        <f t="shared" si="4"/>
        <v>#REF!</v>
      </c>
      <c r="O43" s="366" t="e">
        <f>VLOOKUP($C$17:$C$60,#REF!,15,0)</f>
        <v>#REF!</v>
      </c>
      <c r="P43" s="366" t="e">
        <f>VLOOKUP($C$17:$C$60,#REF!,16,0)</f>
        <v>#REF!</v>
      </c>
      <c r="Q43" s="238" t="e">
        <f t="shared" si="8"/>
        <v>#REF!</v>
      </c>
      <c r="R43" s="47" t="e">
        <f t="shared" si="5"/>
        <v>#REF!</v>
      </c>
      <c r="S43" s="47"/>
      <c r="T43" s="47"/>
      <c r="U43" s="47" t="e">
        <f t="shared" si="6"/>
        <v>#REF!</v>
      </c>
      <c r="V43" s="257"/>
      <c r="W43" s="257"/>
      <c r="X43" s="65" t="e">
        <f t="shared" si="7"/>
        <v>#REF!</v>
      </c>
      <c r="Y43" s="258"/>
      <c r="Z43" s="118" t="s">
        <v>156</v>
      </c>
    </row>
    <row r="44" spans="1:28" s="101" customFormat="1" ht="18.95" customHeight="1">
      <c r="A44" s="307">
        <v>28</v>
      </c>
      <c r="B44" s="260"/>
      <c r="C44" s="431" t="s">
        <v>147</v>
      </c>
      <c r="D44" s="499" t="s">
        <v>370</v>
      </c>
      <c r="E44" s="470" t="s">
        <v>167</v>
      </c>
      <c r="F44" s="237" t="s">
        <v>157</v>
      </c>
      <c r="G44" s="360" t="e">
        <f>VLOOKUP($C$17:$C$60,#REF!,9,0)</f>
        <v>#REF!</v>
      </c>
      <c r="H44" s="47">
        <v>25000</v>
      </c>
      <c r="I44" s="47" t="s">
        <v>355</v>
      </c>
      <c r="J44" s="47" t="e">
        <f t="shared" si="2"/>
        <v>#REF!</v>
      </c>
      <c r="K44" s="47" t="e">
        <f t="shared" si="3"/>
        <v>#REF!</v>
      </c>
      <c r="L44" s="516" t="e">
        <f>VLOOKUP($C$17:$C$60,#REF!,11,0)</f>
        <v>#REF!</v>
      </c>
      <c r="M44" s="366" t="e">
        <f>VLOOKUP($C$17:$C$60,#REF!,11,0)</f>
        <v>#REF!</v>
      </c>
      <c r="N44" s="365" t="e">
        <f t="shared" si="4"/>
        <v>#REF!</v>
      </c>
      <c r="O44" s="366" t="e">
        <f>VLOOKUP($C$17:$C$60,#REF!,15,0)</f>
        <v>#REF!</v>
      </c>
      <c r="P44" s="366" t="e">
        <f>VLOOKUP($C$17:$C$60,#REF!,16,0)</f>
        <v>#REF!</v>
      </c>
      <c r="Q44" s="238" t="e">
        <f t="shared" si="8"/>
        <v>#REF!</v>
      </c>
      <c r="R44" s="47" t="e">
        <f t="shared" si="5"/>
        <v>#REF!</v>
      </c>
      <c r="S44" s="47"/>
      <c r="T44" s="47"/>
      <c r="U44" s="47" t="e">
        <f t="shared" si="6"/>
        <v>#REF!</v>
      </c>
      <c r="V44" s="257"/>
      <c r="W44" s="257"/>
      <c r="X44" s="65" t="e">
        <f t="shared" si="7"/>
        <v>#REF!</v>
      </c>
      <c r="Y44" s="258"/>
      <c r="Z44" s="118" t="s">
        <v>156</v>
      </c>
    </row>
    <row r="45" spans="1:28" s="101" customFormat="1" ht="18.95" customHeight="1">
      <c r="A45" s="307">
        <v>29</v>
      </c>
      <c r="B45" s="260"/>
      <c r="C45" s="431" t="s">
        <v>332</v>
      </c>
      <c r="D45" s="499" t="s">
        <v>398</v>
      </c>
      <c r="E45" s="470" t="s">
        <v>167</v>
      </c>
      <c r="F45" s="237" t="s">
        <v>157</v>
      </c>
      <c r="G45" s="360" t="e">
        <f>VLOOKUP($C$17:$C$60,#REF!,9,0)</f>
        <v>#REF!</v>
      </c>
      <c r="H45" s="47">
        <v>25000</v>
      </c>
      <c r="I45" s="47" t="s">
        <v>355</v>
      </c>
      <c r="J45" s="47" t="e">
        <f t="shared" si="2"/>
        <v>#REF!</v>
      </c>
      <c r="K45" s="47" t="e">
        <f t="shared" si="3"/>
        <v>#REF!</v>
      </c>
      <c r="L45" s="516" t="e">
        <f>VLOOKUP($C$17:$C$60,#REF!,11,0)</f>
        <v>#REF!</v>
      </c>
      <c r="M45" s="366" t="e">
        <f>VLOOKUP($C$17:$C$60,#REF!,11,0)</f>
        <v>#REF!</v>
      </c>
      <c r="N45" s="365" t="e">
        <f t="shared" si="4"/>
        <v>#REF!</v>
      </c>
      <c r="O45" s="366" t="e">
        <f>VLOOKUP($C$17:$C$60,#REF!,15,0)</f>
        <v>#REF!</v>
      </c>
      <c r="P45" s="366" t="e">
        <f>VLOOKUP($C$17:$C$60,#REF!,16,0)</f>
        <v>#REF!</v>
      </c>
      <c r="Q45" s="238" t="e">
        <f t="shared" si="8"/>
        <v>#REF!</v>
      </c>
      <c r="R45" s="47" t="e">
        <f t="shared" si="5"/>
        <v>#REF!</v>
      </c>
      <c r="S45" s="47"/>
      <c r="T45" s="47"/>
      <c r="U45" s="47" t="e">
        <f t="shared" si="6"/>
        <v>#REF!</v>
      </c>
      <c r="V45" s="257"/>
      <c r="W45" s="257"/>
      <c r="X45" s="65" t="e">
        <f t="shared" si="7"/>
        <v>#REF!</v>
      </c>
      <c r="Y45" s="258"/>
      <c r="Z45" s="118" t="s">
        <v>156</v>
      </c>
    </row>
    <row r="46" spans="1:28" s="105" customFormat="1" ht="18.95" customHeight="1">
      <c r="A46" s="307">
        <v>30</v>
      </c>
      <c r="B46" s="261"/>
      <c r="C46" s="431" t="s">
        <v>329</v>
      </c>
      <c r="D46" s="499" t="s">
        <v>371</v>
      </c>
      <c r="E46" s="470" t="s">
        <v>167</v>
      </c>
      <c r="F46" s="237" t="s">
        <v>157</v>
      </c>
      <c r="G46" s="360" t="e">
        <f>VLOOKUP($C$17:$C$60,#REF!,9,0)</f>
        <v>#REF!</v>
      </c>
      <c r="H46" s="47">
        <v>25000</v>
      </c>
      <c r="I46" s="47" t="s">
        <v>355</v>
      </c>
      <c r="J46" s="47" t="e">
        <f t="shared" si="2"/>
        <v>#REF!</v>
      </c>
      <c r="K46" s="47" t="e">
        <f t="shared" si="3"/>
        <v>#REF!</v>
      </c>
      <c r="L46" s="516" t="e">
        <f>VLOOKUP($C$17:$C$60,#REF!,11,0)</f>
        <v>#REF!</v>
      </c>
      <c r="M46" s="366" t="e">
        <f>VLOOKUP($C$17:$C$60,#REF!,11,0)</f>
        <v>#REF!</v>
      </c>
      <c r="N46" s="365" t="e">
        <f t="shared" si="4"/>
        <v>#REF!</v>
      </c>
      <c r="O46" s="366" t="e">
        <f>VLOOKUP($C$17:$C$60,#REF!,15,0)</f>
        <v>#REF!</v>
      </c>
      <c r="P46" s="366" t="e">
        <f>VLOOKUP($C$17:$C$60,#REF!,16,0)</f>
        <v>#REF!</v>
      </c>
      <c r="Q46" s="238" t="e">
        <f t="shared" si="8"/>
        <v>#REF!</v>
      </c>
      <c r="R46" s="47" t="e">
        <f t="shared" si="5"/>
        <v>#REF!</v>
      </c>
      <c r="S46" s="47"/>
      <c r="T46" s="47"/>
      <c r="U46" s="47" t="e">
        <f t="shared" si="6"/>
        <v>#REF!</v>
      </c>
      <c r="V46" s="47"/>
      <c r="W46" s="47"/>
      <c r="X46" s="65" t="e">
        <f t="shared" si="7"/>
        <v>#REF!</v>
      </c>
      <c r="Y46" s="47"/>
      <c r="Z46" s="118" t="s">
        <v>156</v>
      </c>
      <c r="AA46" s="120" t="e">
        <f>X46-U46</f>
        <v>#REF!</v>
      </c>
      <c r="AB46" s="120"/>
    </row>
    <row r="47" spans="1:28" s="105" customFormat="1" ht="18.95" customHeight="1">
      <c r="A47" s="307">
        <v>31</v>
      </c>
      <c r="B47" s="261"/>
      <c r="C47" s="431" t="s">
        <v>411</v>
      </c>
      <c r="D47" s="499" t="s">
        <v>380</v>
      </c>
      <c r="E47" s="470" t="s">
        <v>167</v>
      </c>
      <c r="F47" s="237" t="s">
        <v>157</v>
      </c>
      <c r="G47" s="360" t="e">
        <f>VLOOKUP($C$17:$C$60,#REF!,9,0)</f>
        <v>#REF!</v>
      </c>
      <c r="H47" s="47">
        <v>25000</v>
      </c>
      <c r="I47" s="47" t="s">
        <v>355</v>
      </c>
      <c r="J47" s="47" t="e">
        <f t="shared" si="2"/>
        <v>#REF!</v>
      </c>
      <c r="K47" s="47" t="e">
        <f t="shared" si="3"/>
        <v>#REF!</v>
      </c>
      <c r="L47" s="516" t="e">
        <f>VLOOKUP($C$17:$C$60,#REF!,11,0)</f>
        <v>#REF!</v>
      </c>
      <c r="M47" s="366" t="e">
        <f>VLOOKUP($C$17:$C$60,#REF!,11,0)</f>
        <v>#REF!</v>
      </c>
      <c r="N47" s="365" t="e">
        <f t="shared" si="4"/>
        <v>#REF!</v>
      </c>
      <c r="O47" s="366" t="e">
        <f>VLOOKUP($C$17:$C$60,#REF!,15,0)</f>
        <v>#REF!</v>
      </c>
      <c r="P47" s="366" t="e">
        <f>VLOOKUP($C$17:$C$60,#REF!,16,0)</f>
        <v>#REF!</v>
      </c>
      <c r="Q47" s="238" t="e">
        <f t="shared" si="8"/>
        <v>#REF!</v>
      </c>
      <c r="R47" s="47" t="e">
        <f t="shared" si="5"/>
        <v>#REF!</v>
      </c>
      <c r="S47" s="47"/>
      <c r="T47" s="47"/>
      <c r="U47" s="47" t="e">
        <f t="shared" si="6"/>
        <v>#REF!</v>
      </c>
      <c r="V47" s="47"/>
      <c r="W47" s="47"/>
      <c r="X47" s="65" t="e">
        <f t="shared" si="7"/>
        <v>#REF!</v>
      </c>
      <c r="Y47" s="47"/>
      <c r="Z47" s="118" t="s">
        <v>156</v>
      </c>
      <c r="AA47" s="120"/>
      <c r="AB47" s="120"/>
    </row>
    <row r="48" spans="1:28" s="105" customFormat="1" ht="18.95" customHeight="1">
      <c r="A48" s="307">
        <v>32</v>
      </c>
      <c r="B48" s="261"/>
      <c r="C48" s="431" t="s">
        <v>346</v>
      </c>
      <c r="D48" s="499" t="s">
        <v>389</v>
      </c>
      <c r="E48" s="470" t="s">
        <v>167</v>
      </c>
      <c r="F48" s="237" t="s">
        <v>157</v>
      </c>
      <c r="G48" s="360" t="e">
        <f>VLOOKUP($C$17:$C$60,#REF!,9,0)</f>
        <v>#REF!</v>
      </c>
      <c r="H48" s="47">
        <v>25000</v>
      </c>
      <c r="I48" s="47" t="s">
        <v>355</v>
      </c>
      <c r="J48" s="47" t="e">
        <f t="shared" si="2"/>
        <v>#REF!</v>
      </c>
      <c r="K48" s="47" t="e">
        <f t="shared" si="3"/>
        <v>#REF!</v>
      </c>
      <c r="L48" s="516" t="e">
        <f>VLOOKUP($C$17:$C$60,#REF!,11,0)</f>
        <v>#REF!</v>
      </c>
      <c r="M48" s="366" t="e">
        <f>VLOOKUP($C$17:$C$60,#REF!,11,0)</f>
        <v>#REF!</v>
      </c>
      <c r="N48" s="365" t="e">
        <f t="shared" si="4"/>
        <v>#REF!</v>
      </c>
      <c r="O48" s="366" t="e">
        <f>VLOOKUP($C$17:$C$60,#REF!,15,0)</f>
        <v>#REF!</v>
      </c>
      <c r="P48" s="366" t="e">
        <f>VLOOKUP($C$17:$C$60,#REF!,16,0)</f>
        <v>#REF!</v>
      </c>
      <c r="Q48" s="238" t="e">
        <f t="shared" si="8"/>
        <v>#REF!</v>
      </c>
      <c r="R48" s="47" t="e">
        <f t="shared" si="5"/>
        <v>#REF!</v>
      </c>
      <c r="S48" s="47"/>
      <c r="T48" s="47"/>
      <c r="U48" s="47" t="e">
        <f t="shared" si="6"/>
        <v>#REF!</v>
      </c>
      <c r="V48" s="47"/>
      <c r="W48" s="47"/>
      <c r="X48" s="65" t="e">
        <f t="shared" si="7"/>
        <v>#REF!</v>
      </c>
      <c r="Y48" s="47"/>
      <c r="Z48" s="118" t="s">
        <v>156</v>
      </c>
      <c r="AA48" s="120"/>
      <c r="AB48" s="120"/>
    </row>
    <row r="49" spans="1:28" s="105" customFormat="1" ht="18.95" customHeight="1">
      <c r="A49" s="307">
        <v>33</v>
      </c>
      <c r="B49" s="261"/>
      <c r="C49" s="431" t="s">
        <v>331</v>
      </c>
      <c r="D49" s="499" t="s">
        <v>382</v>
      </c>
      <c r="E49" s="470" t="s">
        <v>167</v>
      </c>
      <c r="F49" s="237" t="s">
        <v>157</v>
      </c>
      <c r="G49" s="360" t="e">
        <f>VLOOKUP($C$17:$C$60,#REF!,9,0)</f>
        <v>#REF!</v>
      </c>
      <c r="H49" s="47">
        <v>25000</v>
      </c>
      <c r="I49" s="47" t="s">
        <v>355</v>
      </c>
      <c r="J49" s="47" t="e">
        <f t="shared" si="2"/>
        <v>#REF!</v>
      </c>
      <c r="K49" s="47" t="e">
        <f t="shared" si="3"/>
        <v>#REF!</v>
      </c>
      <c r="L49" s="516" t="e">
        <f>VLOOKUP($C$17:$C$60,#REF!,11,0)</f>
        <v>#REF!</v>
      </c>
      <c r="M49" s="366" t="e">
        <f>VLOOKUP($C$17:$C$60,#REF!,11,0)</f>
        <v>#REF!</v>
      </c>
      <c r="N49" s="365" t="e">
        <f t="shared" si="4"/>
        <v>#REF!</v>
      </c>
      <c r="O49" s="366" t="e">
        <f>VLOOKUP($C$17:$C$60,#REF!,15,0)</f>
        <v>#REF!</v>
      </c>
      <c r="P49" s="366" t="e">
        <f>VLOOKUP($C$17:$C$60,#REF!,16,0)</f>
        <v>#REF!</v>
      </c>
      <c r="Q49" s="238" t="e">
        <f t="shared" si="8"/>
        <v>#REF!</v>
      </c>
      <c r="R49" s="47" t="e">
        <f t="shared" si="5"/>
        <v>#REF!</v>
      </c>
      <c r="S49" s="47"/>
      <c r="T49" s="47"/>
      <c r="U49" s="47" t="e">
        <f t="shared" si="6"/>
        <v>#REF!</v>
      </c>
      <c r="V49" s="47"/>
      <c r="W49" s="47"/>
      <c r="X49" s="65" t="e">
        <f t="shared" si="7"/>
        <v>#REF!</v>
      </c>
      <c r="Y49" s="47"/>
      <c r="Z49" s="118" t="s">
        <v>156</v>
      </c>
      <c r="AA49" s="120"/>
      <c r="AB49" s="120"/>
    </row>
    <row r="50" spans="1:28" s="105" customFormat="1" ht="18.95" customHeight="1">
      <c r="A50" s="307">
        <v>34</v>
      </c>
      <c r="B50" s="261"/>
      <c r="C50" s="431" t="s">
        <v>343</v>
      </c>
      <c r="D50" s="499" t="s">
        <v>369</v>
      </c>
      <c r="E50" s="470" t="s">
        <v>167</v>
      </c>
      <c r="F50" s="237" t="s">
        <v>157</v>
      </c>
      <c r="G50" s="360" t="e">
        <f>VLOOKUP($C$17:$C$60,#REF!,9,0)</f>
        <v>#REF!</v>
      </c>
      <c r="H50" s="47">
        <v>25000</v>
      </c>
      <c r="I50" s="47" t="s">
        <v>355</v>
      </c>
      <c r="J50" s="47" t="e">
        <f t="shared" si="2"/>
        <v>#REF!</v>
      </c>
      <c r="K50" s="47" t="e">
        <f t="shared" si="3"/>
        <v>#REF!</v>
      </c>
      <c r="L50" s="516" t="e">
        <f>VLOOKUP($C$17:$C$60,#REF!,11,0)</f>
        <v>#REF!</v>
      </c>
      <c r="M50" s="366" t="e">
        <f>VLOOKUP($C$17:$C$60,#REF!,11,0)</f>
        <v>#REF!</v>
      </c>
      <c r="N50" s="365" t="e">
        <f t="shared" si="4"/>
        <v>#REF!</v>
      </c>
      <c r="O50" s="366" t="e">
        <f>VLOOKUP($C$17:$C$60,#REF!,15,0)</f>
        <v>#REF!</v>
      </c>
      <c r="P50" s="366" t="e">
        <f>VLOOKUP($C$17:$C$60,#REF!,16,0)</f>
        <v>#REF!</v>
      </c>
      <c r="Q50" s="238" t="e">
        <f t="shared" si="8"/>
        <v>#REF!</v>
      </c>
      <c r="R50" s="47" t="e">
        <f t="shared" si="5"/>
        <v>#REF!</v>
      </c>
      <c r="S50" s="47"/>
      <c r="T50" s="47"/>
      <c r="U50" s="47" t="e">
        <f t="shared" si="6"/>
        <v>#REF!</v>
      </c>
      <c r="V50" s="47"/>
      <c r="W50" s="47"/>
      <c r="X50" s="65" t="e">
        <f t="shared" si="7"/>
        <v>#REF!</v>
      </c>
      <c r="Y50" s="47"/>
      <c r="Z50" s="118" t="s">
        <v>156</v>
      </c>
      <c r="AA50" s="120"/>
      <c r="AB50" s="120"/>
    </row>
    <row r="51" spans="1:28" s="105" customFormat="1" ht="18.95" customHeight="1">
      <c r="A51" s="307">
        <v>35</v>
      </c>
      <c r="B51" s="261"/>
      <c r="C51" s="431" t="s">
        <v>413</v>
      </c>
      <c r="D51" s="499" t="s">
        <v>393</v>
      </c>
      <c r="E51" s="470" t="s">
        <v>167</v>
      </c>
      <c r="F51" s="237" t="s">
        <v>157</v>
      </c>
      <c r="G51" s="360" t="e">
        <f>VLOOKUP($C$17:$C$60,#REF!,9,0)</f>
        <v>#REF!</v>
      </c>
      <c r="H51" s="47">
        <v>25000</v>
      </c>
      <c r="I51" s="47" t="s">
        <v>355</v>
      </c>
      <c r="J51" s="47" t="e">
        <f t="shared" si="2"/>
        <v>#REF!</v>
      </c>
      <c r="K51" s="47" t="e">
        <f t="shared" ref="K51:K60" si="9">J51</f>
        <v>#REF!</v>
      </c>
      <c r="L51" s="516" t="e">
        <f>VLOOKUP($C$17:$C$60,#REF!,11,0)</f>
        <v>#REF!</v>
      </c>
      <c r="M51" s="366" t="e">
        <f>VLOOKUP($C$17:$C$60,#REF!,11,0)</f>
        <v>#REF!</v>
      </c>
      <c r="N51" s="365" t="e">
        <f t="shared" si="4"/>
        <v>#REF!</v>
      </c>
      <c r="O51" s="366" t="e">
        <f>VLOOKUP($C$17:$C$60,#REF!,15,0)</f>
        <v>#REF!</v>
      </c>
      <c r="P51" s="366" t="e">
        <f>VLOOKUP($C$17:$C$60,#REF!,16,0)</f>
        <v>#REF!</v>
      </c>
      <c r="Q51" s="238" t="e">
        <f t="shared" si="8"/>
        <v>#REF!</v>
      </c>
      <c r="R51" s="47" t="e">
        <f t="shared" si="5"/>
        <v>#REF!</v>
      </c>
      <c r="S51" s="47"/>
      <c r="T51" s="47"/>
      <c r="U51" s="47" t="e">
        <f t="shared" si="6"/>
        <v>#REF!</v>
      </c>
      <c r="V51" s="47"/>
      <c r="W51" s="47"/>
      <c r="X51" s="65" t="e">
        <f t="shared" si="7"/>
        <v>#REF!</v>
      </c>
      <c r="Y51" s="47"/>
      <c r="Z51" s="118" t="s">
        <v>156</v>
      </c>
      <c r="AA51" s="120"/>
      <c r="AB51" s="120"/>
    </row>
    <row r="52" spans="1:28" s="105" customFormat="1" ht="18.95" customHeight="1">
      <c r="A52" s="307">
        <v>36</v>
      </c>
      <c r="B52" s="261"/>
      <c r="C52" s="431" t="s">
        <v>153</v>
      </c>
      <c r="D52" s="499" t="s">
        <v>387</v>
      </c>
      <c r="E52" s="470" t="s">
        <v>167</v>
      </c>
      <c r="F52" s="237" t="s">
        <v>157</v>
      </c>
      <c r="G52" s="360" t="e">
        <f>VLOOKUP($C$17:$C$60,#REF!,9,0)</f>
        <v>#REF!</v>
      </c>
      <c r="H52" s="47">
        <v>25000</v>
      </c>
      <c r="I52" s="47" t="s">
        <v>355</v>
      </c>
      <c r="J52" s="47" t="e">
        <f t="shared" si="2"/>
        <v>#REF!</v>
      </c>
      <c r="K52" s="47" t="e">
        <f t="shared" si="9"/>
        <v>#REF!</v>
      </c>
      <c r="L52" s="516" t="e">
        <f>VLOOKUP($C$17:$C$60,#REF!,11,0)</f>
        <v>#REF!</v>
      </c>
      <c r="M52" s="366" t="e">
        <f>VLOOKUP($C$17:$C$60,#REF!,11,0)</f>
        <v>#REF!</v>
      </c>
      <c r="N52" s="365" t="e">
        <f t="shared" si="4"/>
        <v>#REF!</v>
      </c>
      <c r="O52" s="366" t="e">
        <f>VLOOKUP($C$17:$C$60,#REF!,15,0)</f>
        <v>#REF!</v>
      </c>
      <c r="P52" s="366" t="e">
        <f>VLOOKUP($C$17:$C$60,#REF!,16,0)</f>
        <v>#REF!</v>
      </c>
      <c r="Q52" s="238" t="e">
        <f t="shared" si="8"/>
        <v>#REF!</v>
      </c>
      <c r="R52" s="47" t="e">
        <f t="shared" si="5"/>
        <v>#REF!</v>
      </c>
      <c r="S52" s="47"/>
      <c r="T52" s="47"/>
      <c r="U52" s="47" t="e">
        <f t="shared" si="6"/>
        <v>#REF!</v>
      </c>
      <c r="V52" s="47"/>
      <c r="W52" s="47"/>
      <c r="X52" s="65" t="e">
        <f t="shared" si="7"/>
        <v>#REF!</v>
      </c>
      <c r="Y52" s="47"/>
      <c r="Z52" s="118" t="s">
        <v>156</v>
      </c>
      <c r="AA52" s="120"/>
      <c r="AB52" s="120"/>
    </row>
    <row r="53" spans="1:28" s="105" customFormat="1" ht="18.95" customHeight="1">
      <c r="A53" s="307">
        <v>37</v>
      </c>
      <c r="B53" s="261"/>
      <c r="C53" s="431" t="s">
        <v>162</v>
      </c>
      <c r="D53" s="499" t="s">
        <v>383</v>
      </c>
      <c r="E53" s="470" t="s">
        <v>167</v>
      </c>
      <c r="F53" s="237" t="s">
        <v>157</v>
      </c>
      <c r="G53" s="360" t="e">
        <f>VLOOKUP($C$17:$C$60,#REF!,9,0)</f>
        <v>#REF!</v>
      </c>
      <c r="H53" s="47">
        <v>25000</v>
      </c>
      <c r="I53" s="47" t="s">
        <v>355</v>
      </c>
      <c r="J53" s="47" t="e">
        <f t="shared" si="2"/>
        <v>#REF!</v>
      </c>
      <c r="K53" s="47" t="e">
        <f t="shared" si="9"/>
        <v>#REF!</v>
      </c>
      <c r="L53" s="516" t="e">
        <f>VLOOKUP($C$17:$C$60,#REF!,11,0)</f>
        <v>#REF!</v>
      </c>
      <c r="M53" s="366" t="e">
        <f>VLOOKUP($C$17:$C$60,#REF!,11,0)</f>
        <v>#REF!</v>
      </c>
      <c r="N53" s="365" t="e">
        <f t="shared" si="4"/>
        <v>#REF!</v>
      </c>
      <c r="O53" s="366" t="e">
        <f>VLOOKUP($C$17:$C$60,#REF!,15,0)</f>
        <v>#REF!</v>
      </c>
      <c r="P53" s="366" t="e">
        <f>VLOOKUP($C$17:$C$60,#REF!,16,0)</f>
        <v>#REF!</v>
      </c>
      <c r="Q53" s="238" t="e">
        <f t="shared" si="8"/>
        <v>#REF!</v>
      </c>
      <c r="R53" s="47" t="e">
        <f t="shared" si="5"/>
        <v>#REF!</v>
      </c>
      <c r="S53" s="47"/>
      <c r="T53" s="47"/>
      <c r="U53" s="47" t="e">
        <f t="shared" si="6"/>
        <v>#REF!</v>
      </c>
      <c r="V53" s="47"/>
      <c r="W53" s="47"/>
      <c r="X53" s="65" t="e">
        <f t="shared" si="7"/>
        <v>#REF!</v>
      </c>
      <c r="Y53" s="47"/>
      <c r="Z53" s="118" t="s">
        <v>156</v>
      </c>
      <c r="AA53" s="120"/>
      <c r="AB53" s="120"/>
    </row>
    <row r="54" spans="1:28" s="105" customFormat="1" ht="18.95" customHeight="1">
      <c r="A54" s="307">
        <v>38</v>
      </c>
      <c r="B54" s="261"/>
      <c r="C54" s="431" t="s">
        <v>148</v>
      </c>
      <c r="D54" s="499" t="s">
        <v>378</v>
      </c>
      <c r="E54" s="470" t="s">
        <v>167</v>
      </c>
      <c r="F54" s="237" t="s">
        <v>157</v>
      </c>
      <c r="G54" s="360" t="e">
        <f>VLOOKUP($C$17:$C$60,#REF!,9,0)</f>
        <v>#REF!</v>
      </c>
      <c r="H54" s="47">
        <v>25000</v>
      </c>
      <c r="I54" s="47" t="s">
        <v>355</v>
      </c>
      <c r="J54" s="47" t="e">
        <f t="shared" si="2"/>
        <v>#REF!</v>
      </c>
      <c r="K54" s="47" t="e">
        <f t="shared" si="9"/>
        <v>#REF!</v>
      </c>
      <c r="L54" s="516" t="e">
        <f>VLOOKUP($C$17:$C$60,#REF!,11,0)</f>
        <v>#REF!</v>
      </c>
      <c r="M54" s="366" t="e">
        <f>VLOOKUP($C$17:$C$60,#REF!,11,0)</f>
        <v>#REF!</v>
      </c>
      <c r="N54" s="365" t="e">
        <f t="shared" si="4"/>
        <v>#REF!</v>
      </c>
      <c r="O54" s="366" t="e">
        <f>VLOOKUP($C$17:$C$60,#REF!,15,0)</f>
        <v>#REF!</v>
      </c>
      <c r="P54" s="366" t="e">
        <f>VLOOKUP($C$17:$C$60,#REF!,16,0)</f>
        <v>#REF!</v>
      </c>
      <c r="Q54" s="238" t="e">
        <f t="shared" si="8"/>
        <v>#REF!</v>
      </c>
      <c r="R54" s="47" t="e">
        <f t="shared" si="5"/>
        <v>#REF!</v>
      </c>
      <c r="S54" s="47"/>
      <c r="T54" s="47"/>
      <c r="U54" s="47" t="e">
        <f t="shared" si="6"/>
        <v>#REF!</v>
      </c>
      <c r="V54" s="47"/>
      <c r="W54" s="47"/>
      <c r="X54" s="65" t="e">
        <f t="shared" si="7"/>
        <v>#REF!</v>
      </c>
      <c r="Y54" s="47"/>
      <c r="Z54" s="118" t="s">
        <v>156</v>
      </c>
      <c r="AA54" s="120"/>
      <c r="AB54" s="120"/>
    </row>
    <row r="55" spans="1:28" s="105" customFormat="1" ht="18.95" customHeight="1">
      <c r="A55" s="307">
        <v>39</v>
      </c>
      <c r="B55" s="261"/>
      <c r="C55" s="431" t="s">
        <v>348</v>
      </c>
      <c r="D55" s="499" t="s">
        <v>395</v>
      </c>
      <c r="E55" s="470" t="s">
        <v>167</v>
      </c>
      <c r="F55" s="237" t="s">
        <v>157</v>
      </c>
      <c r="G55" s="360" t="e">
        <f>VLOOKUP($C$17:$C$60,#REF!,9,0)</f>
        <v>#REF!</v>
      </c>
      <c r="H55" s="47">
        <v>25000</v>
      </c>
      <c r="I55" s="47" t="s">
        <v>355</v>
      </c>
      <c r="J55" s="47" t="e">
        <f t="shared" si="2"/>
        <v>#REF!</v>
      </c>
      <c r="K55" s="47" t="e">
        <f t="shared" si="9"/>
        <v>#REF!</v>
      </c>
      <c r="L55" s="516" t="e">
        <f>VLOOKUP($C$17:$C$60,#REF!,11,0)</f>
        <v>#REF!</v>
      </c>
      <c r="M55" s="366" t="e">
        <f>VLOOKUP($C$17:$C$60,#REF!,11,0)</f>
        <v>#REF!</v>
      </c>
      <c r="N55" s="365" t="e">
        <f t="shared" si="4"/>
        <v>#REF!</v>
      </c>
      <c r="O55" s="366" t="e">
        <f>VLOOKUP($C$17:$C$60,#REF!,15,0)</f>
        <v>#REF!</v>
      </c>
      <c r="P55" s="366" t="e">
        <f>VLOOKUP($C$17:$C$60,#REF!,16,0)</f>
        <v>#REF!</v>
      </c>
      <c r="Q55" s="238" t="e">
        <f t="shared" si="8"/>
        <v>#REF!</v>
      </c>
      <c r="R55" s="47" t="e">
        <f t="shared" si="5"/>
        <v>#REF!</v>
      </c>
      <c r="S55" s="47"/>
      <c r="T55" s="47"/>
      <c r="U55" s="47" t="e">
        <f t="shared" si="6"/>
        <v>#REF!</v>
      </c>
      <c r="V55" s="47"/>
      <c r="W55" s="47"/>
      <c r="X55" s="65" t="e">
        <f t="shared" si="7"/>
        <v>#REF!</v>
      </c>
      <c r="Y55" s="47"/>
      <c r="Z55" s="118" t="s">
        <v>156</v>
      </c>
      <c r="AA55" s="120"/>
      <c r="AB55" s="120"/>
    </row>
    <row r="56" spans="1:28" s="105" customFormat="1" ht="18.95" customHeight="1">
      <c r="A56" s="307">
        <v>40</v>
      </c>
      <c r="B56" s="261"/>
      <c r="C56" s="431" t="s">
        <v>151</v>
      </c>
      <c r="D56" s="499" t="s">
        <v>385</v>
      </c>
      <c r="E56" s="470" t="s">
        <v>167</v>
      </c>
      <c r="F56" s="237" t="s">
        <v>157</v>
      </c>
      <c r="G56" s="360" t="e">
        <f>VLOOKUP($C$17:$C$60,#REF!,9,0)</f>
        <v>#REF!</v>
      </c>
      <c r="H56" s="47">
        <v>25000</v>
      </c>
      <c r="I56" s="47" t="s">
        <v>355</v>
      </c>
      <c r="J56" s="47" t="e">
        <f t="shared" si="2"/>
        <v>#REF!</v>
      </c>
      <c r="K56" s="47" t="e">
        <f t="shared" si="9"/>
        <v>#REF!</v>
      </c>
      <c r="L56" s="516" t="e">
        <f>VLOOKUP($C$17:$C$60,#REF!,11,0)</f>
        <v>#REF!</v>
      </c>
      <c r="M56" s="366" t="e">
        <f>VLOOKUP($C$17:$C$60,#REF!,11,0)</f>
        <v>#REF!</v>
      </c>
      <c r="N56" s="365" t="e">
        <f t="shared" si="4"/>
        <v>#REF!</v>
      </c>
      <c r="O56" s="366" t="e">
        <f>VLOOKUP($C$17:$C$60,#REF!,15,0)</f>
        <v>#REF!</v>
      </c>
      <c r="P56" s="366" t="e">
        <f>VLOOKUP($C$17:$C$60,#REF!,16,0)</f>
        <v>#REF!</v>
      </c>
      <c r="Q56" s="238" t="e">
        <f t="shared" si="8"/>
        <v>#REF!</v>
      </c>
      <c r="R56" s="47" t="e">
        <f t="shared" si="5"/>
        <v>#REF!</v>
      </c>
      <c r="S56" s="47"/>
      <c r="T56" s="47"/>
      <c r="U56" s="47" t="e">
        <f t="shared" si="6"/>
        <v>#REF!</v>
      </c>
      <c r="V56" s="47"/>
      <c r="W56" s="47"/>
      <c r="X56" s="65" t="e">
        <f t="shared" si="7"/>
        <v>#REF!</v>
      </c>
      <c r="Y56" s="47"/>
      <c r="Z56" s="118" t="s">
        <v>156</v>
      </c>
      <c r="AA56" s="120"/>
      <c r="AB56" s="120"/>
    </row>
    <row r="57" spans="1:28" s="105" customFormat="1" ht="18.95" customHeight="1">
      <c r="A57" s="307">
        <v>41</v>
      </c>
      <c r="B57" s="261"/>
      <c r="C57" s="431" t="s">
        <v>415</v>
      </c>
      <c r="D57" s="499" t="s">
        <v>396</v>
      </c>
      <c r="E57" s="470" t="s">
        <v>167</v>
      </c>
      <c r="F57" s="237" t="s">
        <v>157</v>
      </c>
      <c r="G57" s="360" t="e">
        <f>VLOOKUP($C$17:$C$60,#REF!,9,0)</f>
        <v>#REF!</v>
      </c>
      <c r="H57" s="47">
        <v>25000</v>
      </c>
      <c r="I57" s="47" t="s">
        <v>355</v>
      </c>
      <c r="J57" s="47" t="e">
        <f t="shared" si="2"/>
        <v>#REF!</v>
      </c>
      <c r="K57" s="47" t="e">
        <f t="shared" si="9"/>
        <v>#REF!</v>
      </c>
      <c r="L57" s="516" t="e">
        <f>VLOOKUP($C$17:$C$60,#REF!,11,0)</f>
        <v>#REF!</v>
      </c>
      <c r="M57" s="366" t="e">
        <f>VLOOKUP($C$17:$C$60,#REF!,11,0)</f>
        <v>#REF!</v>
      </c>
      <c r="N57" s="365" t="e">
        <f>L57*IF(M57="A",1600,IF(M57="B",1500,IF(M57="C",1400)))</f>
        <v>#REF!</v>
      </c>
      <c r="O57" s="366" t="e">
        <f>VLOOKUP($C$17:$C$60,#REF!,15,0)</f>
        <v>#REF!</v>
      </c>
      <c r="P57" s="366" t="e">
        <f>VLOOKUP($C$17:$C$60,#REF!,16,0)</f>
        <v>#REF!</v>
      </c>
      <c r="Q57" s="238" t="e">
        <f t="shared" si="8"/>
        <v>#REF!</v>
      </c>
      <c r="R57" s="47" t="e">
        <f t="shared" si="5"/>
        <v>#REF!</v>
      </c>
      <c r="S57" s="47"/>
      <c r="T57" s="47"/>
      <c r="U57" s="47" t="e">
        <f t="shared" si="6"/>
        <v>#REF!</v>
      </c>
      <c r="V57" s="47"/>
      <c r="W57" s="47"/>
      <c r="X57" s="65" t="e">
        <f t="shared" si="7"/>
        <v>#REF!</v>
      </c>
      <c r="Y57" s="47"/>
      <c r="Z57" s="118" t="s">
        <v>156</v>
      </c>
      <c r="AA57" s="120"/>
      <c r="AB57" s="120"/>
    </row>
    <row r="58" spans="1:28" s="105" customFormat="1" ht="18.95" customHeight="1">
      <c r="A58" s="307">
        <v>42</v>
      </c>
      <c r="B58" s="261"/>
      <c r="C58" s="431" t="s">
        <v>486</v>
      </c>
      <c r="D58" s="499"/>
      <c r="E58" s="470" t="s">
        <v>167</v>
      </c>
      <c r="F58" s="237" t="s">
        <v>157</v>
      </c>
      <c r="G58" s="360" t="e">
        <f>VLOOKUP($C$17:$C$60,#REF!,9,0)</f>
        <v>#REF!</v>
      </c>
      <c r="H58" s="47">
        <v>25000</v>
      </c>
      <c r="I58" s="47" t="s">
        <v>355</v>
      </c>
      <c r="J58" s="47" t="e">
        <f t="shared" si="2"/>
        <v>#REF!</v>
      </c>
      <c r="K58" s="47" t="e">
        <f t="shared" si="9"/>
        <v>#REF!</v>
      </c>
      <c r="L58" s="516"/>
      <c r="M58" s="366"/>
      <c r="N58" s="365">
        <f>L58*IF(M58="A",1600,IF(M58="B",1500,IF(M58="C",1400)))</f>
        <v>0</v>
      </c>
      <c r="O58" s="366" t="e">
        <f>VLOOKUP($C$17:$C$60,#REF!,15,0)</f>
        <v>#REF!</v>
      </c>
      <c r="P58" s="366" t="e">
        <f>VLOOKUP($C$17:$C$60,#REF!,16,0)</f>
        <v>#REF!</v>
      </c>
      <c r="Q58" s="238" t="e">
        <f t="shared" si="8"/>
        <v>#REF!</v>
      </c>
      <c r="R58" s="47" t="e">
        <f t="shared" si="5"/>
        <v>#REF!</v>
      </c>
      <c r="S58" s="47"/>
      <c r="T58" s="47"/>
      <c r="U58" s="47" t="e">
        <f t="shared" si="6"/>
        <v>#REF!</v>
      </c>
      <c r="V58" s="47"/>
      <c r="W58" s="47"/>
      <c r="X58" s="65" t="e">
        <f t="shared" si="7"/>
        <v>#REF!</v>
      </c>
      <c r="Y58" s="47"/>
      <c r="Z58" s="118" t="s">
        <v>156</v>
      </c>
      <c r="AA58" s="120"/>
      <c r="AB58" s="120"/>
    </row>
    <row r="59" spans="1:28" s="105" customFormat="1" ht="18.95" customHeight="1">
      <c r="A59" s="307">
        <v>43</v>
      </c>
      <c r="B59" s="261"/>
      <c r="C59" s="431" t="s">
        <v>487</v>
      </c>
      <c r="D59" s="499"/>
      <c r="E59" s="470" t="s">
        <v>167</v>
      </c>
      <c r="F59" s="237" t="s">
        <v>157</v>
      </c>
      <c r="G59" s="360" t="e">
        <f>VLOOKUP($C$17:$C$60,#REF!,9,0)</f>
        <v>#REF!</v>
      </c>
      <c r="H59" s="47">
        <v>25000</v>
      </c>
      <c r="I59" s="47" t="s">
        <v>355</v>
      </c>
      <c r="J59" s="47" t="e">
        <f t="shared" si="2"/>
        <v>#REF!</v>
      </c>
      <c r="K59" s="47" t="e">
        <f t="shared" si="9"/>
        <v>#REF!</v>
      </c>
      <c r="L59" s="516"/>
      <c r="M59" s="366"/>
      <c r="N59" s="365">
        <f>L59*IF(M59="A",1600,IF(M59="B",1500,IF(M59="C",1400)))</f>
        <v>0</v>
      </c>
      <c r="O59" s="366" t="e">
        <f>VLOOKUP($C$17:$C$60,#REF!,15,0)</f>
        <v>#REF!</v>
      </c>
      <c r="P59" s="366" t="e">
        <f>VLOOKUP($C$17:$C$60,#REF!,16,0)</f>
        <v>#REF!</v>
      </c>
      <c r="Q59" s="238" t="e">
        <f t="shared" si="8"/>
        <v>#REF!</v>
      </c>
      <c r="R59" s="47" t="e">
        <f t="shared" si="5"/>
        <v>#REF!</v>
      </c>
      <c r="S59" s="47"/>
      <c r="T59" s="47"/>
      <c r="U59" s="47" t="e">
        <f t="shared" si="6"/>
        <v>#REF!</v>
      </c>
      <c r="V59" s="47"/>
      <c r="W59" s="47"/>
      <c r="X59" s="65" t="e">
        <f t="shared" si="7"/>
        <v>#REF!</v>
      </c>
      <c r="Y59" s="47"/>
      <c r="Z59" s="118" t="s">
        <v>156</v>
      </c>
      <c r="AA59" s="120"/>
      <c r="AB59" s="120"/>
    </row>
    <row r="60" spans="1:28" s="105" customFormat="1" ht="18.95" customHeight="1">
      <c r="A60" s="307">
        <v>44</v>
      </c>
      <c r="B60" s="261"/>
      <c r="C60" s="434" t="s">
        <v>488</v>
      </c>
      <c r="D60" s="499"/>
      <c r="E60" s="470" t="s">
        <v>167</v>
      </c>
      <c r="F60" s="237" t="s">
        <v>157</v>
      </c>
      <c r="G60" s="360" t="e">
        <f>VLOOKUP($C$17:$C$60,#REF!,9,0)</f>
        <v>#REF!</v>
      </c>
      <c r="H60" s="47">
        <v>25000</v>
      </c>
      <c r="I60" s="47" t="s">
        <v>355</v>
      </c>
      <c r="J60" s="47" t="e">
        <f t="shared" si="2"/>
        <v>#REF!</v>
      </c>
      <c r="K60" s="47" t="e">
        <f t="shared" si="9"/>
        <v>#REF!</v>
      </c>
      <c r="L60" s="516"/>
      <c r="M60" s="366"/>
      <c r="N60" s="365">
        <f>L60*IF(M60="A",1600,IF(M60="B",1500,IF(M60="C",1400)))</f>
        <v>0</v>
      </c>
      <c r="O60" s="366" t="e">
        <f>VLOOKUP($C$17:$C$60,#REF!,15,0)</f>
        <v>#REF!</v>
      </c>
      <c r="P60" s="366" t="e">
        <f>VLOOKUP($C$17:$C$60,#REF!,16,0)</f>
        <v>#REF!</v>
      </c>
      <c r="Q60" s="238" t="e">
        <f t="shared" si="8"/>
        <v>#REF!</v>
      </c>
      <c r="R60" s="47" t="e">
        <f t="shared" si="5"/>
        <v>#REF!</v>
      </c>
      <c r="S60" s="47"/>
      <c r="T60" s="47"/>
      <c r="U60" s="47" t="e">
        <f t="shared" si="6"/>
        <v>#REF!</v>
      </c>
      <c r="V60" s="47"/>
      <c r="W60" s="47"/>
      <c r="X60" s="65" t="e">
        <f t="shared" si="7"/>
        <v>#REF!</v>
      </c>
      <c r="Y60" s="47"/>
      <c r="Z60" s="118" t="s">
        <v>156</v>
      </c>
      <c r="AA60" s="120"/>
      <c r="AB60" s="120"/>
    </row>
    <row r="61" spans="1:28" s="105" customFormat="1" ht="18.95" customHeight="1">
      <c r="A61" s="4518" t="s">
        <v>450</v>
      </c>
      <c r="B61" s="4518"/>
      <c r="C61" s="4518"/>
      <c r="D61" s="497"/>
      <c r="E61" s="497"/>
      <c r="F61" s="657"/>
      <c r="G61" s="357" t="e">
        <f>SUM(G17:G60)</f>
        <v>#REF!</v>
      </c>
      <c r="H61" s="104"/>
      <c r="I61" s="104"/>
      <c r="J61" s="363" t="e">
        <f t="shared" ref="J61:X61" si="10">SUM(J17:J60)</f>
        <v>#REF!</v>
      </c>
      <c r="K61" s="363" t="e">
        <f t="shared" si="10"/>
        <v>#REF!</v>
      </c>
      <c r="L61" s="363" t="e">
        <f t="shared" si="10"/>
        <v>#REF!</v>
      </c>
      <c r="M61" s="363" t="e">
        <f t="shared" si="10"/>
        <v>#REF!</v>
      </c>
      <c r="N61" s="363" t="e">
        <f t="shared" si="10"/>
        <v>#REF!</v>
      </c>
      <c r="O61" s="363" t="e">
        <f t="shared" si="10"/>
        <v>#REF!</v>
      </c>
      <c r="P61" s="363" t="e">
        <f t="shared" si="10"/>
        <v>#REF!</v>
      </c>
      <c r="Q61" s="363" t="e">
        <f t="shared" si="10"/>
        <v>#REF!</v>
      </c>
      <c r="R61" s="363" t="e">
        <f t="shared" si="10"/>
        <v>#REF!</v>
      </c>
      <c r="S61" s="363">
        <f t="shared" si="10"/>
        <v>0</v>
      </c>
      <c r="T61" s="363">
        <f t="shared" si="10"/>
        <v>0</v>
      </c>
      <c r="U61" s="363" t="e">
        <f t="shared" si="10"/>
        <v>#REF!</v>
      </c>
      <c r="V61" s="363">
        <f t="shared" si="10"/>
        <v>0</v>
      </c>
      <c r="W61" s="363">
        <f t="shared" si="10"/>
        <v>0</v>
      </c>
      <c r="X61" s="363" t="e">
        <f t="shared" si="10"/>
        <v>#REF!</v>
      </c>
      <c r="Y61" s="104"/>
      <c r="Z61" s="264"/>
      <c r="AA61" s="120"/>
      <c r="AB61" s="120"/>
    </row>
    <row r="62" spans="1:28" s="105" customFormat="1" ht="21" customHeight="1">
      <c r="A62" s="4493" t="s">
        <v>510</v>
      </c>
      <c r="B62" s="4493"/>
      <c r="C62" s="4493"/>
      <c r="D62" s="4493"/>
      <c r="E62" s="4493"/>
      <c r="F62" s="4493"/>
      <c r="G62" s="4493"/>
      <c r="H62" s="4493"/>
      <c r="I62" s="4493"/>
      <c r="J62" s="4493"/>
      <c r="K62" s="4493"/>
      <c r="L62" s="4493"/>
      <c r="M62" s="4493"/>
      <c r="N62" s="4493"/>
      <c r="O62" s="4493"/>
      <c r="P62" s="4493"/>
      <c r="Q62" s="4493"/>
      <c r="R62" s="4493"/>
      <c r="S62" s="4493"/>
      <c r="T62" s="4493"/>
      <c r="U62" s="4493"/>
      <c r="V62" s="4493"/>
      <c r="W62" s="4493"/>
      <c r="X62" s="4493"/>
      <c r="Y62" s="4493"/>
      <c r="Z62" s="4493"/>
      <c r="AA62" s="120"/>
      <c r="AB62" s="120"/>
    </row>
    <row r="63" spans="1:28" ht="18" customHeight="1">
      <c r="G63" s="177"/>
      <c r="K63" s="108"/>
      <c r="L63" s="367"/>
      <c r="M63" s="367"/>
      <c r="N63" s="367"/>
      <c r="O63" s="367"/>
      <c r="Q63" s="108"/>
      <c r="R63" s="108"/>
      <c r="S63" s="108"/>
      <c r="T63" s="108"/>
      <c r="U63" s="108"/>
      <c r="V63" s="4494" t="s">
        <v>428</v>
      </c>
      <c r="W63" s="4494"/>
      <c r="X63" s="4494"/>
      <c r="Y63" s="4494"/>
      <c r="Z63" s="4494"/>
      <c r="AA63" s="108"/>
      <c r="AB63" s="109" t="e">
        <f>+#REF!-#REF!-#REF!-#REF!-#REF!</f>
        <v>#REF!</v>
      </c>
    </row>
    <row r="64" spans="1:28" s="519" customFormat="1" ht="18.75" customHeight="1">
      <c r="B64" s="4222" t="s">
        <v>19</v>
      </c>
      <c r="C64" s="4222"/>
      <c r="D64" s="4222"/>
      <c r="E64" s="4222"/>
      <c r="F64" s="4222"/>
      <c r="G64" s="520"/>
      <c r="H64" s="521"/>
      <c r="I64" s="4222" t="s">
        <v>117</v>
      </c>
      <c r="J64" s="4222"/>
      <c r="K64" s="4222"/>
      <c r="L64" s="4222"/>
      <c r="M64" s="656"/>
      <c r="N64" s="656"/>
      <c r="O64" s="4222" t="s">
        <v>93</v>
      </c>
      <c r="P64" s="4222"/>
      <c r="Q64" s="4222"/>
      <c r="R64" s="4222"/>
      <c r="S64" s="4222"/>
      <c r="T64" s="656"/>
      <c r="U64" s="521"/>
      <c r="V64" s="521"/>
      <c r="W64" s="4222" t="s">
        <v>21</v>
      </c>
      <c r="X64" s="4222"/>
      <c r="Y64" s="4222"/>
      <c r="Z64" s="656"/>
    </row>
    <row r="65" spans="1:43" s="522" customFormat="1" ht="18.75">
      <c r="C65" s="523"/>
      <c r="E65" s="655"/>
      <c r="F65" s="655"/>
      <c r="G65" s="524"/>
      <c r="L65" s="524"/>
      <c r="N65" s="523"/>
      <c r="P65" s="525"/>
      <c r="U65" s="523"/>
      <c r="Z65" s="655"/>
      <c r="AA65" s="523"/>
      <c r="AB65" s="523"/>
    </row>
    <row r="66" spans="1:43" s="522" customFormat="1" ht="18.75">
      <c r="C66" s="523"/>
      <c r="E66" s="655"/>
      <c r="F66" s="655"/>
      <c r="G66" s="524"/>
      <c r="L66" s="524"/>
      <c r="N66" s="523"/>
      <c r="P66" s="525"/>
      <c r="U66" s="523"/>
      <c r="Z66" s="655"/>
      <c r="AA66" s="523"/>
      <c r="AB66" s="523"/>
    </row>
    <row r="67" spans="1:43" s="522" customFormat="1" ht="18.75">
      <c r="C67" s="523"/>
      <c r="E67" s="655"/>
      <c r="F67" s="655"/>
      <c r="G67" s="524"/>
      <c r="L67" s="524"/>
      <c r="N67" s="523"/>
      <c r="P67" s="525"/>
      <c r="U67" s="523"/>
      <c r="Z67" s="655"/>
      <c r="AA67" s="523"/>
      <c r="AB67" s="523"/>
    </row>
    <row r="68" spans="1:43" s="522" customFormat="1" ht="18.75">
      <c r="C68" s="523"/>
      <c r="E68" s="655"/>
      <c r="F68" s="655"/>
      <c r="G68" s="4487"/>
      <c r="H68" s="4487"/>
      <c r="N68" s="523"/>
      <c r="P68" s="525"/>
      <c r="R68" s="523"/>
      <c r="S68" s="523"/>
      <c r="T68" s="523"/>
      <c r="U68" s="523"/>
      <c r="V68" s="523"/>
      <c r="W68" s="523"/>
      <c r="X68" s="523"/>
      <c r="Z68" s="655"/>
    </row>
    <row r="69" spans="1:43" s="522" customFormat="1" ht="18.75">
      <c r="C69" s="523"/>
      <c r="E69" s="655"/>
      <c r="F69" s="655"/>
      <c r="G69" s="4485"/>
      <c r="H69" s="4485"/>
      <c r="I69" s="4485"/>
      <c r="P69" s="525"/>
      <c r="Q69" s="526"/>
      <c r="R69" s="523"/>
      <c r="S69" s="523"/>
      <c r="T69" s="523"/>
      <c r="U69" s="523"/>
      <c r="V69" s="523"/>
      <c r="W69" s="523"/>
      <c r="X69" s="523"/>
      <c r="Z69" s="655"/>
    </row>
    <row r="70" spans="1:43" s="522" customFormat="1" ht="18.75">
      <c r="E70" s="655"/>
      <c r="F70" s="4485"/>
      <c r="G70" s="4485"/>
      <c r="H70" s="4486"/>
      <c r="I70" s="4486"/>
      <c r="J70" s="4486"/>
      <c r="L70" s="4482"/>
      <c r="M70" s="4482"/>
      <c r="N70" s="4482"/>
      <c r="O70" s="4482"/>
      <c r="P70" s="525"/>
      <c r="Q70" s="523"/>
      <c r="R70" s="523"/>
      <c r="S70" s="523"/>
      <c r="T70" s="523"/>
      <c r="U70" s="523"/>
      <c r="V70" s="523"/>
      <c r="W70" s="523"/>
      <c r="Z70" s="655"/>
    </row>
    <row r="71" spans="1:43" s="522" customFormat="1" ht="18.75">
      <c r="E71" s="655"/>
      <c r="F71" s="655"/>
      <c r="H71" s="4486"/>
      <c r="I71" s="4486"/>
      <c r="M71" s="4487"/>
      <c r="N71" s="4487"/>
      <c r="P71" s="525"/>
      <c r="R71" s="523"/>
      <c r="S71" s="523"/>
      <c r="T71" s="523"/>
      <c r="U71" s="4482"/>
      <c r="V71" s="4482"/>
      <c r="W71" s="523"/>
      <c r="Z71" s="655"/>
    </row>
    <row r="72" spans="1:43">
      <c r="M72" s="4483"/>
      <c r="N72" s="4483"/>
      <c r="P72" s="4198"/>
      <c r="Q72" s="4198"/>
      <c r="R72" s="4198"/>
      <c r="S72" s="110"/>
      <c r="T72" s="110"/>
      <c r="U72" s="110"/>
      <c r="V72" s="110"/>
      <c r="W72" s="4198" t="s">
        <v>34</v>
      </c>
      <c r="X72" s="4198"/>
      <c r="Y72" s="4198"/>
      <c r="Z72" s="247"/>
    </row>
    <row r="73" spans="1:43">
      <c r="M73" s="4483"/>
      <c r="N73" s="4483"/>
      <c r="U73" s="108"/>
    </row>
    <row r="74" spans="1:43">
      <c r="M74" s="4484"/>
      <c r="N74" s="4484"/>
    </row>
    <row r="76" spans="1:43" s="429" customFormat="1">
      <c r="A76" s="107"/>
      <c r="B76" s="106"/>
      <c r="C76" s="107"/>
      <c r="D76" s="107"/>
      <c r="G76" s="94"/>
      <c r="H76" s="94"/>
      <c r="I76" s="107"/>
      <c r="J76" s="94"/>
      <c r="K76" s="94"/>
      <c r="L76" s="107"/>
      <c r="M76" s="107"/>
      <c r="N76" s="107"/>
      <c r="O76" s="107"/>
      <c r="P76" s="376"/>
      <c r="Q76" s="94"/>
      <c r="R76" s="94"/>
      <c r="S76" s="94"/>
      <c r="T76" s="94"/>
      <c r="U76" s="94"/>
      <c r="V76" s="94"/>
      <c r="W76" s="94"/>
      <c r="X76" s="4094"/>
      <c r="Y76" s="40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</row>
    <row r="81" spans="1:43" s="429" customFormat="1">
      <c r="A81" s="107"/>
      <c r="B81" s="106"/>
      <c r="C81" s="107"/>
      <c r="D81" s="107"/>
      <c r="G81" s="94">
        <f>+G4</f>
        <v>0</v>
      </c>
      <c r="H81" s="94"/>
      <c r="I81" s="107"/>
      <c r="J81" s="94"/>
      <c r="K81" s="94"/>
      <c r="L81" s="107"/>
      <c r="M81" s="107"/>
      <c r="N81" s="107"/>
      <c r="O81" s="107"/>
      <c r="P81" s="376"/>
      <c r="Q81" s="94"/>
      <c r="R81" s="94"/>
      <c r="S81" s="94"/>
      <c r="T81" s="94"/>
      <c r="U81" s="94"/>
      <c r="V81" s="94"/>
      <c r="W81" s="94"/>
      <c r="X81" s="94"/>
      <c r="Y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</row>
    <row r="82" spans="1:43" s="429" customFormat="1">
      <c r="A82" s="107"/>
      <c r="B82" s="106"/>
      <c r="C82" s="107"/>
      <c r="D82" s="107"/>
      <c r="G82" s="94"/>
      <c r="H82" s="94"/>
      <c r="I82" s="107"/>
      <c r="J82" s="163"/>
      <c r="K82" s="94"/>
      <c r="L82" s="107"/>
      <c r="M82" s="107"/>
      <c r="N82" s="107"/>
      <c r="O82" s="107"/>
      <c r="P82" s="376"/>
      <c r="Q82" s="94"/>
      <c r="R82" s="94"/>
      <c r="S82" s="94"/>
      <c r="T82" s="94"/>
      <c r="U82" s="94"/>
      <c r="V82" s="94"/>
      <c r="W82" s="94"/>
      <c r="X82" s="94"/>
      <c r="Y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</row>
  </sheetData>
  <mergeCells count="52">
    <mergeCell ref="R1:Y1"/>
    <mergeCell ref="A2:F2"/>
    <mergeCell ref="R2:Y2"/>
    <mergeCell ref="A4:Z4"/>
    <mergeCell ref="A5:Z5"/>
    <mergeCell ref="A8:A10"/>
    <mergeCell ref="B8:C9"/>
    <mergeCell ref="D8:D10"/>
    <mergeCell ref="E8:E10"/>
    <mergeCell ref="A1:F1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V8:V10"/>
    <mergeCell ref="W8:W10"/>
    <mergeCell ref="X8:X10"/>
    <mergeCell ref="Y8:Y10"/>
    <mergeCell ref="Z8:Z10"/>
    <mergeCell ref="G69:I69"/>
    <mergeCell ref="A62:Z62"/>
    <mergeCell ref="V63:Z63"/>
    <mergeCell ref="A13:C13"/>
    <mergeCell ref="A16:F16"/>
    <mergeCell ref="A61:C61"/>
    <mergeCell ref="B64:F64"/>
    <mergeCell ref="I64:L64"/>
    <mergeCell ref="O64:S64"/>
    <mergeCell ref="W64:Y64"/>
    <mergeCell ref="G68:H68"/>
    <mergeCell ref="F70:G70"/>
    <mergeCell ref="H70:J70"/>
    <mergeCell ref="L70:M70"/>
    <mergeCell ref="N70:O70"/>
    <mergeCell ref="H71:I71"/>
    <mergeCell ref="M71:N71"/>
    <mergeCell ref="X76:Y76"/>
    <mergeCell ref="U71:V71"/>
    <mergeCell ref="M72:N72"/>
    <mergeCell ref="P72:R72"/>
    <mergeCell ref="W72:Y72"/>
    <mergeCell ref="M73:N73"/>
    <mergeCell ref="M74:N74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3"/>
  <sheetViews>
    <sheetView topLeftCell="A102" workbookViewId="0">
      <selection activeCell="E201" sqref="E201"/>
    </sheetView>
  </sheetViews>
  <sheetFormatPr defaultColWidth="8.85546875" defaultRowHeight="12.75"/>
  <cols>
    <col min="1" max="1" width="3.5703125" style="32" customWidth="1"/>
    <col min="2" max="2" width="12.28515625" style="31" customWidth="1"/>
    <col min="3" max="3" width="16" style="31" customWidth="1"/>
    <col min="4" max="4" width="5.42578125" style="31" customWidth="1"/>
    <col min="5" max="5" width="8.42578125" style="31" customWidth="1"/>
    <col min="6" max="6" width="2.85546875" style="31" customWidth="1"/>
    <col min="7" max="7" width="9.85546875" style="592" hidden="1" customWidth="1"/>
    <col min="8" max="8" width="4" style="608" customWidth="1"/>
    <col min="9" max="9" width="12" style="31" customWidth="1"/>
    <col min="10" max="10" width="16" style="31" customWidth="1"/>
    <col min="11" max="11" width="5.7109375" style="31" customWidth="1"/>
    <col min="12" max="12" width="9" style="31" customWidth="1"/>
    <col min="13" max="13" width="3.5703125" style="31" customWidth="1"/>
    <col min="14" max="14" width="4" style="609" customWidth="1"/>
    <col min="15" max="15" width="12.7109375" style="31" customWidth="1"/>
    <col min="16" max="16" width="16.28515625" style="31" customWidth="1"/>
    <col min="17" max="17" width="5.42578125" style="31" customWidth="1"/>
    <col min="18" max="18" width="8.42578125" style="31" customWidth="1"/>
    <col min="19" max="19" width="6" style="31" customWidth="1"/>
    <col min="20" max="20" width="13.5703125" style="31" bestFit="1" customWidth="1"/>
    <col min="21" max="16384" width="8.85546875" style="31"/>
  </cols>
  <sheetData>
    <row r="1" spans="1:19" ht="22.5">
      <c r="A1" s="4530" t="s">
        <v>505</v>
      </c>
      <c r="B1" s="4530"/>
      <c r="C1" s="4530"/>
      <c r="D1" s="4530"/>
      <c r="E1" s="4530"/>
      <c r="F1" s="4530"/>
      <c r="G1" s="4530"/>
      <c r="H1" s="4530"/>
      <c r="I1" s="4530"/>
      <c r="J1" s="4530"/>
      <c r="K1" s="4530"/>
      <c r="L1" s="4530"/>
      <c r="M1" s="4530"/>
      <c r="N1" s="4530"/>
      <c r="O1" s="4530"/>
      <c r="P1" s="4530"/>
      <c r="Q1" s="4530"/>
      <c r="R1" s="4530"/>
    </row>
    <row r="2" spans="1:19">
      <c r="A2" s="605"/>
      <c r="B2" s="586"/>
      <c r="C2" s="586"/>
      <c r="D2" s="586"/>
      <c r="E2" s="586"/>
      <c r="F2" s="586"/>
      <c r="G2" s="602"/>
      <c r="H2" s="617"/>
      <c r="I2" s="586"/>
      <c r="J2" s="586"/>
      <c r="K2" s="586"/>
      <c r="L2" s="586"/>
      <c r="M2" s="586"/>
      <c r="N2" s="4527"/>
      <c r="O2" s="4528"/>
      <c r="P2" s="4528"/>
      <c r="Q2" s="4528"/>
      <c r="R2" s="586"/>
      <c r="S2" s="586"/>
    </row>
    <row r="3" spans="1:19" ht="16.5" customHeight="1">
      <c r="A3" s="604">
        <v>1</v>
      </c>
      <c r="B3" s="215"/>
      <c r="C3" s="612" t="s">
        <v>504</v>
      </c>
      <c r="D3" s="613"/>
      <c r="E3" s="614"/>
      <c r="F3" s="154"/>
      <c r="G3" s="154"/>
      <c r="H3" s="618">
        <v>9</v>
      </c>
      <c r="I3" s="215"/>
      <c r="J3" s="612" t="s">
        <v>504</v>
      </c>
      <c r="K3" s="613"/>
      <c r="L3" s="614"/>
      <c r="M3" s="154"/>
      <c r="N3" s="628" t="s">
        <v>227</v>
      </c>
      <c r="O3" s="215"/>
      <c r="P3" s="612" t="s">
        <v>504</v>
      </c>
      <c r="Q3" s="613"/>
      <c r="R3" s="614"/>
    </row>
    <row r="4" spans="1:19" ht="22.5" customHeight="1">
      <c r="B4" s="134" t="s">
        <v>1</v>
      </c>
      <c r="C4" s="642" t="s">
        <v>328</v>
      </c>
      <c r="D4" s="649" t="s">
        <v>507</v>
      </c>
      <c r="E4" s="641" t="s">
        <v>72</v>
      </c>
      <c r="F4" s="572"/>
      <c r="G4" s="615" t="e">
        <f>SUMIF(I3:I104,B13,L3:L104)+SUMIF(B3:B104,B13,E3:E104)+SUMIF(O3:O91,B13,R3:R91)</f>
        <v>#REF!</v>
      </c>
      <c r="H4" s="619"/>
      <c r="I4" s="134" t="s">
        <v>1</v>
      </c>
      <c r="J4" s="643" t="s">
        <v>300</v>
      </c>
      <c r="K4" s="649" t="s">
        <v>509</v>
      </c>
      <c r="L4" s="601" t="s">
        <v>72</v>
      </c>
      <c r="M4" s="572"/>
      <c r="N4" s="623">
        <v>17</v>
      </c>
      <c r="O4" s="134" t="s">
        <v>1</v>
      </c>
      <c r="P4" s="537" t="s">
        <v>298</v>
      </c>
      <c r="Q4" s="135"/>
      <c r="R4" s="601" t="s">
        <v>72</v>
      </c>
    </row>
    <row r="5" spans="1:19" ht="18">
      <c r="B5" s="136" t="s">
        <v>205</v>
      </c>
      <c r="C5" s="137" t="s">
        <v>206</v>
      </c>
      <c r="D5" s="138"/>
      <c r="E5" s="158">
        <f>D5*25000</f>
        <v>0</v>
      </c>
      <c r="F5" s="573"/>
      <c r="G5" s="616" t="e">
        <f>#REF!+#REF!</f>
        <v>#REF!</v>
      </c>
      <c r="H5" s="618"/>
      <c r="I5" s="136" t="s">
        <v>205</v>
      </c>
      <c r="J5" s="137" t="s">
        <v>206</v>
      </c>
      <c r="K5" s="138"/>
      <c r="L5" s="158"/>
      <c r="M5" s="580"/>
      <c r="N5" s="628"/>
      <c r="O5" s="136" t="s">
        <v>205</v>
      </c>
      <c r="P5" s="137" t="s">
        <v>206</v>
      </c>
      <c r="Q5" s="138"/>
      <c r="R5" s="158"/>
    </row>
    <row r="6" spans="1:19">
      <c r="B6" s="140" t="s">
        <v>207</v>
      </c>
      <c r="C6" s="141" t="s">
        <v>208</v>
      </c>
      <c r="D6" s="142" t="e">
        <f>VLOOKUP('lương con lào '!C4,#REF!,13,0)</f>
        <v>#REF!</v>
      </c>
      <c r="E6" s="159" t="e">
        <f>D6*25000</f>
        <v>#REF!</v>
      </c>
      <c r="F6" s="573"/>
      <c r="H6" s="618"/>
      <c r="I6" s="140" t="s">
        <v>207</v>
      </c>
      <c r="J6" s="141" t="s">
        <v>208</v>
      </c>
      <c r="K6" s="142" t="e">
        <f>VLOOKUP('lương con lào '!J4,#REF!,13,0)</f>
        <v>#REF!</v>
      </c>
      <c r="L6" s="159" t="e">
        <f>K6*25000</f>
        <v>#REF!</v>
      </c>
      <c r="M6" s="580"/>
      <c r="N6" s="628"/>
      <c r="O6" s="140" t="s">
        <v>207</v>
      </c>
      <c r="P6" s="141" t="s">
        <v>208</v>
      </c>
      <c r="Q6" s="142" t="e">
        <f>VLOOKUP('lương con lào '!P4,#REF!,13,0)</f>
        <v>#REF!</v>
      </c>
      <c r="R6" s="159" t="e">
        <f>Q6*25000</f>
        <v>#REF!</v>
      </c>
    </row>
    <row r="7" spans="1:19">
      <c r="B7" s="140" t="s">
        <v>508</v>
      </c>
      <c r="C7" s="141" t="s">
        <v>209</v>
      </c>
      <c r="D7" s="142" t="e">
        <f>VLOOKUP('lương con lào '!C4,#REF!,14,0)</f>
        <v>#REF!</v>
      </c>
      <c r="E7" s="159" t="e">
        <f>D7*35000</f>
        <v>#REF!</v>
      </c>
      <c r="F7" s="573"/>
      <c r="H7" s="618"/>
      <c r="I7" s="140" t="s">
        <v>508</v>
      </c>
      <c r="J7" s="141" t="s">
        <v>209</v>
      </c>
      <c r="K7" s="142" t="e">
        <f>VLOOKUP('lương con lào '!J4,#REF!,14,0)</f>
        <v>#REF!</v>
      </c>
      <c r="L7" s="159" t="e">
        <f>K7*35000</f>
        <v>#REF!</v>
      </c>
      <c r="M7" s="580"/>
      <c r="N7" s="628"/>
      <c r="O7" s="140" t="s">
        <v>508</v>
      </c>
      <c r="P7" s="141" t="s">
        <v>209</v>
      </c>
      <c r="Q7" s="142" t="e">
        <f>VLOOKUP('lương con lào '!P4,#REF!,14,0)</f>
        <v>#REF!</v>
      </c>
      <c r="R7" s="159" t="e">
        <f>Q7*35000</f>
        <v>#REF!</v>
      </c>
    </row>
    <row r="8" spans="1:19">
      <c r="B8" s="140" t="s">
        <v>210</v>
      </c>
      <c r="C8" s="141" t="s">
        <v>211</v>
      </c>
      <c r="D8" s="142" t="e">
        <f>VLOOKUP('lương con lào '!C4,#REF!,10,0)</f>
        <v>#REF!</v>
      </c>
      <c r="E8" s="159" t="e">
        <f>VLOOKUP('lương con lào '!C4,#REF!,12,0)</f>
        <v>#REF!</v>
      </c>
      <c r="F8" s="573"/>
      <c r="H8" s="618"/>
      <c r="I8" s="140" t="s">
        <v>210</v>
      </c>
      <c r="J8" s="141" t="s">
        <v>211</v>
      </c>
      <c r="K8" s="142" t="e">
        <f>VLOOKUP('lương con lào '!J4,#REF!,10,0)</f>
        <v>#REF!</v>
      </c>
      <c r="L8" s="159" t="e">
        <f>VLOOKUP('lương con lào '!J4,#REF!,12,0)</f>
        <v>#REF!</v>
      </c>
      <c r="M8" s="580"/>
      <c r="N8" s="628"/>
      <c r="O8" s="140" t="s">
        <v>210</v>
      </c>
      <c r="P8" s="141" t="s">
        <v>211</v>
      </c>
      <c r="Q8" s="142" t="e">
        <f>VLOOKUP('lương con lào '!P4,#REF!,10,0)</f>
        <v>#REF!</v>
      </c>
      <c r="R8" s="159" t="e">
        <f>VLOOKUP('lương con lào '!P4,#REF!,12,0)</f>
        <v>#REF!</v>
      </c>
    </row>
    <row r="9" spans="1:19">
      <c r="B9" s="140" t="s">
        <v>506</v>
      </c>
      <c r="C9" s="141"/>
      <c r="D9" s="142" t="e">
        <f>VLOOKUP('lương con lào '!C4,#REF!,11,0)</f>
        <v>#REF!</v>
      </c>
      <c r="E9" s="159"/>
      <c r="F9" s="573"/>
      <c r="H9" s="618"/>
      <c r="I9" s="140" t="s">
        <v>506</v>
      </c>
      <c r="J9" s="141"/>
      <c r="K9" s="142" t="e">
        <f>VLOOKUP('lương con lào '!J4,#REF!,11,0)</f>
        <v>#REF!</v>
      </c>
      <c r="L9" s="159"/>
      <c r="M9" s="580"/>
      <c r="N9" s="628"/>
      <c r="O9" s="140" t="s">
        <v>506</v>
      </c>
      <c r="P9" s="141"/>
      <c r="Q9" s="142" t="e">
        <f>VLOOKUP('lương con lào '!P4,#REF!,11,0)</f>
        <v>#REF!</v>
      </c>
      <c r="R9" s="159"/>
    </row>
    <row r="10" spans="1:19">
      <c r="B10" s="143" t="s">
        <v>212</v>
      </c>
      <c r="C10" s="141" t="s">
        <v>213</v>
      </c>
      <c r="D10" s="160"/>
      <c r="E10" s="141"/>
      <c r="F10" s="574"/>
      <c r="H10" s="618"/>
      <c r="I10" s="143" t="s">
        <v>212</v>
      </c>
      <c r="J10" s="141" t="s">
        <v>213</v>
      </c>
      <c r="K10" s="160"/>
      <c r="L10" s="141"/>
      <c r="M10" s="581"/>
      <c r="N10" s="628"/>
      <c r="O10" s="143" t="s">
        <v>212</v>
      </c>
      <c r="P10" s="141" t="s">
        <v>213</v>
      </c>
      <c r="Q10" s="160"/>
      <c r="R10" s="141"/>
    </row>
    <row r="11" spans="1:19">
      <c r="B11" s="144" t="s">
        <v>214</v>
      </c>
      <c r="C11" s="141" t="s">
        <v>215</v>
      </c>
      <c r="D11" s="160"/>
      <c r="E11" s="141"/>
      <c r="F11" s="574"/>
      <c r="H11" s="618"/>
      <c r="I11" s="144" t="s">
        <v>214</v>
      </c>
      <c r="J11" s="141" t="s">
        <v>215</v>
      </c>
      <c r="K11" s="160"/>
      <c r="L11" s="141"/>
      <c r="M11" s="581"/>
      <c r="N11" s="628"/>
      <c r="O11" s="144" t="s">
        <v>214</v>
      </c>
      <c r="P11" s="141" t="s">
        <v>215</v>
      </c>
      <c r="Q11" s="160"/>
      <c r="R11" s="141"/>
    </row>
    <row r="12" spans="1:19">
      <c r="B12" s="140" t="s">
        <v>216</v>
      </c>
      <c r="C12" s="141" t="s">
        <v>217</v>
      </c>
      <c r="D12" s="160"/>
      <c r="E12" s="142">
        <f>SUM(E11)</f>
        <v>0</v>
      </c>
      <c r="F12" s="575"/>
      <c r="H12" s="618"/>
      <c r="I12" s="140" t="s">
        <v>216</v>
      </c>
      <c r="J12" s="141" t="s">
        <v>217</v>
      </c>
      <c r="K12" s="160"/>
      <c r="L12" s="142">
        <f>SUM(L11)</f>
        <v>0</v>
      </c>
      <c r="M12" s="154"/>
      <c r="N12" s="629"/>
      <c r="O12" s="140" t="s">
        <v>216</v>
      </c>
      <c r="P12" s="141" t="s">
        <v>217</v>
      </c>
      <c r="Q12" s="160"/>
      <c r="R12" s="142">
        <f>SUM(R11)</f>
        <v>0</v>
      </c>
    </row>
    <row r="13" spans="1:19">
      <c r="B13" s="146" t="s">
        <v>218</v>
      </c>
      <c r="C13" s="147" t="s">
        <v>219</v>
      </c>
      <c r="D13" s="161"/>
      <c r="E13" s="149" t="e">
        <f>(E8+E7+E6+E5)-E12</f>
        <v>#REF!</v>
      </c>
      <c r="F13" s="576"/>
      <c r="H13" s="620"/>
      <c r="I13" s="146" t="s">
        <v>218</v>
      </c>
      <c r="J13" s="147" t="s">
        <v>219</v>
      </c>
      <c r="K13" s="161"/>
      <c r="L13" s="149" t="e">
        <f>(L8+L7+L6+L5)-L12</f>
        <v>#REF!</v>
      </c>
      <c r="M13" s="153"/>
      <c r="N13" s="628"/>
      <c r="O13" s="146" t="s">
        <v>218</v>
      </c>
      <c r="P13" s="147" t="s">
        <v>219</v>
      </c>
      <c r="Q13" s="161"/>
      <c r="R13" s="149" t="e">
        <f>(R8+R7+R6+R5)-R12</f>
        <v>#REF!</v>
      </c>
    </row>
    <row r="14" spans="1:19">
      <c r="B14" s="150"/>
      <c r="C14" s="151"/>
      <c r="D14" s="152"/>
      <c r="E14" s="153"/>
      <c r="F14" s="153"/>
      <c r="H14" s="621"/>
      <c r="I14" s="150"/>
      <c r="J14" s="151"/>
      <c r="K14" s="152"/>
      <c r="L14" s="153"/>
      <c r="M14" s="153"/>
      <c r="N14" s="628"/>
      <c r="O14" s="150"/>
      <c r="P14" s="151"/>
      <c r="Q14" s="152"/>
      <c r="R14" s="153"/>
    </row>
    <row r="15" spans="1:19">
      <c r="A15" s="605"/>
      <c r="B15" s="600"/>
      <c r="C15" s="603"/>
      <c r="D15" s="603"/>
      <c r="E15" s="603"/>
      <c r="F15" s="603"/>
      <c r="G15" s="602"/>
      <c r="H15" s="622"/>
      <c r="I15" s="600"/>
      <c r="J15" s="603"/>
      <c r="K15" s="603"/>
      <c r="L15" s="603"/>
      <c r="M15" s="603"/>
      <c r="N15" s="617"/>
      <c r="O15" s="600"/>
      <c r="P15" s="603"/>
      <c r="Q15" s="603"/>
      <c r="R15" s="603"/>
      <c r="S15" s="586"/>
    </row>
    <row r="16" spans="1:19">
      <c r="A16" s="604">
        <v>2</v>
      </c>
      <c r="B16" s="215"/>
      <c r="C16" s="612" t="s">
        <v>504</v>
      </c>
      <c r="D16" s="613"/>
      <c r="E16" s="614"/>
      <c r="F16" s="154"/>
      <c r="H16" s="623">
        <v>10</v>
      </c>
      <c r="I16" s="215"/>
      <c r="J16" s="612" t="s">
        <v>504</v>
      </c>
      <c r="K16" s="613"/>
      <c r="L16" s="614"/>
      <c r="M16" s="154"/>
      <c r="N16" s="628">
        <v>18</v>
      </c>
      <c r="O16" s="215"/>
      <c r="P16" s="612" t="s">
        <v>504</v>
      </c>
      <c r="Q16" s="613"/>
      <c r="R16" s="614"/>
    </row>
    <row r="17" spans="1:19" ht="18">
      <c r="A17" s="604"/>
      <c r="B17" s="134" t="s">
        <v>1</v>
      </c>
      <c r="C17" s="537" t="s">
        <v>293</v>
      </c>
      <c r="D17" s="155"/>
      <c r="E17" s="156" t="s">
        <v>72</v>
      </c>
      <c r="F17" s="571"/>
      <c r="H17" s="624"/>
      <c r="I17" s="134" t="s">
        <v>1</v>
      </c>
      <c r="J17" s="537" t="s">
        <v>339</v>
      </c>
      <c r="K17" s="155"/>
      <c r="L17" s="156" t="s">
        <v>72</v>
      </c>
      <c r="M17" s="571"/>
      <c r="N17" s="628"/>
      <c r="O17" s="134" t="s">
        <v>1</v>
      </c>
      <c r="P17" s="537" t="s">
        <v>292</v>
      </c>
      <c r="Q17" s="155"/>
      <c r="R17" s="156" t="s">
        <v>72</v>
      </c>
    </row>
    <row r="18" spans="1:19" ht="18">
      <c r="B18" s="136" t="s">
        <v>205</v>
      </c>
      <c r="C18" s="137" t="s">
        <v>206</v>
      </c>
      <c r="D18" s="172"/>
      <c r="F18" s="577"/>
      <c r="H18" s="618"/>
      <c r="I18" s="136" t="s">
        <v>205</v>
      </c>
      <c r="J18" s="137" t="s">
        <v>206</v>
      </c>
      <c r="K18" s="138"/>
      <c r="L18" s="139"/>
      <c r="M18" s="150"/>
      <c r="N18" s="628"/>
      <c r="O18" s="136" t="s">
        <v>205</v>
      </c>
      <c r="P18" s="137" t="s">
        <v>206</v>
      </c>
      <c r="Q18" s="138"/>
      <c r="R18" s="139"/>
    </row>
    <row r="19" spans="1:19">
      <c r="B19" s="140" t="s">
        <v>207</v>
      </c>
      <c r="C19" s="141" t="s">
        <v>208</v>
      </c>
      <c r="D19" s="610" t="e">
        <f>VLOOKUP('lương con lào '!C17,#REF!,13,0)</f>
        <v>#REF!</v>
      </c>
      <c r="E19" s="159" t="e">
        <f>D19*25000</f>
        <v>#REF!</v>
      </c>
      <c r="F19" s="577"/>
      <c r="H19" s="618"/>
      <c r="I19" s="140" t="s">
        <v>207</v>
      </c>
      <c r="J19" s="141" t="s">
        <v>208</v>
      </c>
      <c r="K19" s="142" t="e">
        <f>VLOOKUP('lương con lào '!J17,#REF!,13,0)</f>
        <v>#REF!</v>
      </c>
      <c r="L19" s="159" t="e">
        <f>K19*25000</f>
        <v>#REF!</v>
      </c>
      <c r="M19" s="150"/>
      <c r="N19" s="628"/>
      <c r="O19" s="140" t="s">
        <v>207</v>
      </c>
      <c r="P19" s="141" t="s">
        <v>208</v>
      </c>
      <c r="Q19" s="142" t="e">
        <f>VLOOKUP('lương con lào '!P17,#REF!,13,0)</f>
        <v>#REF!</v>
      </c>
      <c r="R19" s="159" t="e">
        <f>Q19*25000</f>
        <v>#REF!</v>
      </c>
    </row>
    <row r="20" spans="1:19">
      <c r="B20" s="140" t="s">
        <v>508</v>
      </c>
      <c r="C20" s="141" t="s">
        <v>209</v>
      </c>
      <c r="D20" s="142" t="e">
        <f>VLOOKUP('lương con lào '!C17,#REF!,14,0)</f>
        <v>#REF!</v>
      </c>
      <c r="E20" s="159" t="e">
        <f>D20*35000</f>
        <v>#REF!</v>
      </c>
      <c r="F20" s="577"/>
      <c r="H20" s="618"/>
      <c r="I20" s="140" t="s">
        <v>508</v>
      </c>
      <c r="J20" s="141" t="s">
        <v>209</v>
      </c>
      <c r="K20" s="142" t="e">
        <f>VLOOKUP('lương con lào '!J17,#REF!,14,0)</f>
        <v>#REF!</v>
      </c>
      <c r="L20" s="159" t="e">
        <f>K20*35000</f>
        <v>#REF!</v>
      </c>
      <c r="M20" s="595"/>
      <c r="N20" s="648"/>
      <c r="O20" s="140" t="s">
        <v>508</v>
      </c>
      <c r="P20" s="141" t="s">
        <v>209</v>
      </c>
      <c r="Q20" s="142" t="e">
        <f>VLOOKUP('lương con lào '!P17,#REF!,14,0)</f>
        <v>#REF!</v>
      </c>
      <c r="R20" s="159" t="e">
        <f>Q20*35000</f>
        <v>#REF!</v>
      </c>
    </row>
    <row r="21" spans="1:19">
      <c r="B21" s="140" t="s">
        <v>210</v>
      </c>
      <c r="C21" s="141" t="s">
        <v>211</v>
      </c>
      <c r="D21" s="142" t="e">
        <f>VLOOKUP('lương con lào '!C17,#REF!,10,0)</f>
        <v>#REF!</v>
      </c>
      <c r="E21" s="159" t="e">
        <f>VLOOKUP('lương con lào '!C17,#REF!,12,0)</f>
        <v>#REF!</v>
      </c>
      <c r="F21" s="573"/>
      <c r="H21" s="618"/>
      <c r="I21" s="140" t="s">
        <v>210</v>
      </c>
      <c r="J21" s="141" t="s">
        <v>211</v>
      </c>
      <c r="K21" s="142" t="e">
        <f>VLOOKUP('lương con lào '!J17,#REF!,10,0)</f>
        <v>#REF!</v>
      </c>
      <c r="L21" s="159" t="e">
        <f>VLOOKUP('lương con lào '!J17,#REF!,12,0)</f>
        <v>#REF!</v>
      </c>
      <c r="M21" s="580"/>
      <c r="N21" s="628"/>
      <c r="O21" s="140" t="s">
        <v>210</v>
      </c>
      <c r="P21" s="141" t="s">
        <v>211</v>
      </c>
      <c r="Q21" s="142" t="e">
        <f>VLOOKUP('lương con lào '!P17,#REF!,10,0)</f>
        <v>#REF!</v>
      </c>
      <c r="R21" s="159" t="e">
        <f>VLOOKUP('lương con lào '!P17,#REF!,12,0)</f>
        <v>#REF!</v>
      </c>
    </row>
    <row r="22" spans="1:19">
      <c r="B22" s="140" t="s">
        <v>506</v>
      </c>
      <c r="C22" s="141"/>
      <c r="D22" s="142" t="e">
        <f>VLOOKUP('lương con lào '!C17,#REF!,11,0)</f>
        <v>#REF!</v>
      </c>
      <c r="E22" s="159"/>
      <c r="F22" s="573"/>
      <c r="H22" s="618"/>
      <c r="I22" s="140" t="s">
        <v>506</v>
      </c>
      <c r="J22" s="141"/>
      <c r="K22" s="142" t="e">
        <f>VLOOKUP('lương con lào '!J17,#REF!,11,0)</f>
        <v>#REF!</v>
      </c>
      <c r="L22" s="159"/>
      <c r="M22" s="580"/>
      <c r="N22" s="628"/>
      <c r="O22" s="140" t="s">
        <v>506</v>
      </c>
      <c r="P22" s="141"/>
      <c r="Q22" s="142" t="e">
        <f>VLOOKUP('lương con lào '!P17,#REF!,11,0)</f>
        <v>#REF!</v>
      </c>
      <c r="R22" s="159"/>
    </row>
    <row r="23" spans="1:19">
      <c r="B23" s="143" t="s">
        <v>212</v>
      </c>
      <c r="C23" s="141" t="s">
        <v>213</v>
      </c>
      <c r="D23" s="141"/>
      <c r="E23" s="141"/>
      <c r="F23" s="574"/>
      <c r="H23" s="618"/>
      <c r="I23" s="143" t="s">
        <v>212</v>
      </c>
      <c r="J23" s="141" t="s">
        <v>213</v>
      </c>
      <c r="K23" s="141"/>
      <c r="L23" s="141"/>
      <c r="M23" s="581"/>
      <c r="N23" s="628"/>
      <c r="O23" s="143" t="s">
        <v>212</v>
      </c>
      <c r="P23" s="141" t="s">
        <v>213</v>
      </c>
      <c r="Q23" s="141"/>
      <c r="R23" s="141"/>
    </row>
    <row r="24" spans="1:19">
      <c r="B24" s="144" t="s">
        <v>214</v>
      </c>
      <c r="C24" s="141" t="s">
        <v>215</v>
      </c>
      <c r="D24" s="141"/>
      <c r="E24" s="141"/>
      <c r="F24" s="574"/>
      <c r="H24" s="618"/>
      <c r="I24" s="144" t="s">
        <v>214</v>
      </c>
      <c r="J24" s="141" t="s">
        <v>215</v>
      </c>
      <c r="K24" s="141"/>
      <c r="L24" s="141"/>
      <c r="M24" s="581"/>
      <c r="N24" s="628"/>
      <c r="O24" s="144" t="s">
        <v>214</v>
      </c>
      <c r="P24" s="141" t="s">
        <v>215</v>
      </c>
      <c r="Q24" s="141"/>
      <c r="R24" s="141"/>
    </row>
    <row r="25" spans="1:19" ht="15">
      <c r="B25" s="140" t="s">
        <v>216</v>
      </c>
      <c r="C25" s="141" t="s">
        <v>217</v>
      </c>
      <c r="D25" s="145"/>
      <c r="E25" s="142">
        <f>SUM(E24)</f>
        <v>0</v>
      </c>
      <c r="F25" s="575"/>
      <c r="H25" s="618"/>
      <c r="I25" s="140" t="s">
        <v>216</v>
      </c>
      <c r="J25" s="141" t="s">
        <v>217</v>
      </c>
      <c r="K25" s="145"/>
      <c r="L25" s="142">
        <f>SUM(L24)</f>
        <v>0</v>
      </c>
      <c r="M25" s="154"/>
      <c r="N25" s="628"/>
      <c r="O25" s="140" t="s">
        <v>216</v>
      </c>
      <c r="P25" s="141" t="s">
        <v>217</v>
      </c>
      <c r="Q25" s="145"/>
      <c r="R25" s="142">
        <f>SUM(R24)</f>
        <v>0</v>
      </c>
    </row>
    <row r="26" spans="1:19">
      <c r="B26" s="146" t="s">
        <v>218</v>
      </c>
      <c r="C26" s="147" t="s">
        <v>219</v>
      </c>
      <c r="D26" s="148"/>
      <c r="E26" s="149" t="e">
        <f>(E22+E21+E20+E19)-E25</f>
        <v>#REF!</v>
      </c>
      <c r="F26" s="576"/>
      <c r="H26" s="620"/>
      <c r="I26" s="146" t="s">
        <v>218</v>
      </c>
      <c r="J26" s="147" t="s">
        <v>219</v>
      </c>
      <c r="K26" s="148"/>
      <c r="L26" s="149" t="e">
        <f>(L21+L20+L19+L18)-L25</f>
        <v>#REF!</v>
      </c>
      <c r="M26" s="153"/>
      <c r="N26" s="628"/>
      <c r="O26" s="146" t="s">
        <v>218</v>
      </c>
      <c r="P26" s="147" t="s">
        <v>219</v>
      </c>
      <c r="Q26" s="148"/>
      <c r="R26" s="149" t="e">
        <f>(R21+R20+R19+R18)-R25</f>
        <v>#REF!</v>
      </c>
    </row>
    <row r="27" spans="1:19">
      <c r="B27" s="150"/>
      <c r="C27" s="151"/>
      <c r="D27" s="152"/>
      <c r="E27" s="153"/>
      <c r="F27" s="153"/>
      <c r="H27" s="621"/>
      <c r="I27" s="150"/>
      <c r="J27" s="151"/>
      <c r="K27" s="152"/>
      <c r="L27" s="153"/>
      <c r="M27" s="153"/>
      <c r="N27" s="628"/>
      <c r="O27" s="150"/>
      <c r="P27" s="151"/>
      <c r="Q27" s="152"/>
      <c r="R27" s="153"/>
    </row>
    <row r="28" spans="1:19">
      <c r="A28" s="605"/>
      <c r="B28" s="600"/>
      <c r="C28" s="600"/>
      <c r="D28" s="600"/>
      <c r="E28" s="600"/>
      <c r="F28" s="600"/>
      <c r="G28" s="602"/>
      <c r="H28" s="625"/>
      <c r="I28" s="600"/>
      <c r="J28" s="600"/>
      <c r="K28" s="600"/>
      <c r="L28" s="600"/>
      <c r="M28" s="600"/>
      <c r="N28" s="617"/>
      <c r="O28" s="600"/>
      <c r="P28" s="600"/>
      <c r="Q28" s="600"/>
      <c r="R28" s="600"/>
      <c r="S28" s="586"/>
    </row>
    <row r="29" spans="1:19">
      <c r="A29" s="604">
        <v>3</v>
      </c>
      <c r="B29" s="215"/>
      <c r="C29" s="612" t="s">
        <v>504</v>
      </c>
      <c r="D29" s="613"/>
      <c r="E29" s="614"/>
      <c r="F29" s="154"/>
      <c r="G29" s="154"/>
      <c r="H29" s="623">
        <v>11</v>
      </c>
      <c r="I29" s="215"/>
      <c r="J29" s="612" t="s">
        <v>504</v>
      </c>
      <c r="K29" s="613"/>
      <c r="L29" s="614"/>
      <c r="M29" s="154"/>
      <c r="N29" s="628">
        <v>19</v>
      </c>
      <c r="O29" s="215"/>
      <c r="P29" s="612" t="s">
        <v>504</v>
      </c>
      <c r="Q29" s="613"/>
      <c r="R29" s="614"/>
    </row>
    <row r="30" spans="1:19" ht="18">
      <c r="A30" s="604"/>
      <c r="B30" s="134" t="s">
        <v>1</v>
      </c>
      <c r="C30" s="537" t="s">
        <v>304</v>
      </c>
      <c r="D30" s="155"/>
      <c r="E30" s="156" t="s">
        <v>72</v>
      </c>
      <c r="F30" s="571"/>
      <c r="G30" s="571"/>
      <c r="H30" s="624"/>
      <c r="I30" s="134" t="s">
        <v>1</v>
      </c>
      <c r="J30" s="537" t="s">
        <v>341</v>
      </c>
      <c r="K30" s="155"/>
      <c r="L30" s="156" t="s">
        <v>72</v>
      </c>
      <c r="M30" s="571"/>
      <c r="N30" s="628"/>
      <c r="O30" s="134" t="s">
        <v>1</v>
      </c>
      <c r="P30" s="537" t="s">
        <v>296</v>
      </c>
      <c r="Q30" s="155"/>
      <c r="R30" s="156" t="s">
        <v>72</v>
      </c>
    </row>
    <row r="31" spans="1:19" ht="12.95" customHeight="1">
      <c r="A31" s="604"/>
      <c r="B31" s="136" t="s">
        <v>205</v>
      </c>
      <c r="C31" s="137" t="s">
        <v>206</v>
      </c>
      <c r="D31" s="611"/>
      <c r="F31" s="577"/>
      <c r="G31" s="154"/>
      <c r="H31" s="618"/>
      <c r="I31" s="136" t="s">
        <v>205</v>
      </c>
      <c r="J31" s="137" t="s">
        <v>206</v>
      </c>
      <c r="K31" s="138"/>
      <c r="L31" s="139"/>
      <c r="M31" s="150"/>
      <c r="N31" s="628"/>
      <c r="O31" s="136" t="s">
        <v>205</v>
      </c>
      <c r="P31" s="137" t="s">
        <v>206</v>
      </c>
      <c r="Q31" s="138"/>
      <c r="R31" s="139"/>
    </row>
    <row r="32" spans="1:19" ht="12.75" customHeight="1">
      <c r="B32" s="140" t="s">
        <v>207</v>
      </c>
      <c r="C32" s="141" t="s">
        <v>208</v>
      </c>
      <c r="D32" s="142" t="e">
        <f>VLOOKUP('lương con lào '!C30,#REF!,13,0)</f>
        <v>#REF!</v>
      </c>
      <c r="E32" s="159" t="e">
        <f>D32*25000</f>
        <v>#REF!</v>
      </c>
      <c r="F32" s="577"/>
      <c r="G32" s="154"/>
      <c r="H32" s="618"/>
      <c r="I32" s="140" t="s">
        <v>207</v>
      </c>
      <c r="J32" s="141" t="s">
        <v>208</v>
      </c>
      <c r="K32" s="142" t="e">
        <f>VLOOKUP('lương con lào '!J30,#REF!,13,0)</f>
        <v>#REF!</v>
      </c>
      <c r="L32" s="159" t="e">
        <f>K32*25000</f>
        <v>#REF!</v>
      </c>
      <c r="M32" s="150"/>
      <c r="N32" s="628"/>
      <c r="O32" s="140" t="s">
        <v>207</v>
      </c>
      <c r="P32" s="141" t="s">
        <v>208</v>
      </c>
      <c r="Q32" s="142" t="e">
        <f>VLOOKUP('lương con lào '!P30,#REF!,13,0)</f>
        <v>#REF!</v>
      </c>
      <c r="R32" s="159" t="e">
        <f>Q32*25000</f>
        <v>#REF!</v>
      </c>
    </row>
    <row r="33" spans="1:19">
      <c r="B33" s="140" t="s">
        <v>508</v>
      </c>
      <c r="C33" s="141" t="s">
        <v>209</v>
      </c>
      <c r="D33" s="142" t="e">
        <f>VLOOKUP('lương con lào '!C30,#REF!,14,0)</f>
        <v>#REF!</v>
      </c>
      <c r="E33" s="159" t="e">
        <f>D33*35000</f>
        <v>#REF!</v>
      </c>
      <c r="F33" s="577"/>
      <c r="G33" s="154"/>
      <c r="H33" s="618"/>
      <c r="I33" s="140" t="s">
        <v>508</v>
      </c>
      <c r="J33" s="141" t="s">
        <v>209</v>
      </c>
      <c r="K33" s="142" t="e">
        <f>VLOOKUP('lương con lào '!J30,#REF!,14,0)</f>
        <v>#REF!</v>
      </c>
      <c r="L33" s="159" t="e">
        <f>K33*35000</f>
        <v>#REF!</v>
      </c>
      <c r="M33" s="150"/>
      <c r="N33" s="628"/>
      <c r="O33" s="140" t="s">
        <v>508</v>
      </c>
      <c r="P33" s="141" t="s">
        <v>209</v>
      </c>
      <c r="Q33" s="142" t="e">
        <f>VLOOKUP('lương con lào '!P30,#REF!,14,0)</f>
        <v>#REF!</v>
      </c>
      <c r="R33" s="159" t="e">
        <f>Q33*35000</f>
        <v>#REF!</v>
      </c>
    </row>
    <row r="34" spans="1:19">
      <c r="B34" s="140" t="s">
        <v>210</v>
      </c>
      <c r="C34" s="141" t="s">
        <v>211</v>
      </c>
      <c r="D34" s="142" t="e">
        <f>VLOOKUP('lương con lào '!C30,#REF!,10,0)</f>
        <v>#REF!</v>
      </c>
      <c r="E34" s="159" t="e">
        <f>VLOOKUP('lương con lào '!C30,#REF!,12,0)</f>
        <v>#REF!</v>
      </c>
      <c r="F34" s="573"/>
      <c r="G34" s="154"/>
      <c r="H34" s="618"/>
      <c r="I34" s="140" t="s">
        <v>210</v>
      </c>
      <c r="J34" s="141" t="s">
        <v>211</v>
      </c>
      <c r="K34" s="142" t="e">
        <f>VLOOKUP('lương con lào '!J30,#REF!,10,0)</f>
        <v>#REF!</v>
      </c>
      <c r="L34" s="159" t="e">
        <f>VLOOKUP('lương con lào '!J30,#REF!,12,0)</f>
        <v>#REF!</v>
      </c>
      <c r="M34" s="580"/>
      <c r="N34" s="628"/>
      <c r="O34" s="140" t="s">
        <v>210</v>
      </c>
      <c r="P34" s="141" t="s">
        <v>211</v>
      </c>
      <c r="Q34" s="142" t="e">
        <f>VLOOKUP('lương con lào '!P30,#REF!,10,0)</f>
        <v>#REF!</v>
      </c>
      <c r="R34" s="159" t="e">
        <f>VLOOKUP('lương con lào '!P30,#REF!,12,0)</f>
        <v>#REF!</v>
      </c>
    </row>
    <row r="35" spans="1:19">
      <c r="B35" s="140" t="s">
        <v>506</v>
      </c>
      <c r="C35" s="141"/>
      <c r="D35" s="142" t="e">
        <f>VLOOKUP('lương con lào '!C30,#REF!,11,0)</f>
        <v>#REF!</v>
      </c>
      <c r="E35" s="159"/>
      <c r="F35" s="573"/>
      <c r="G35" s="154"/>
      <c r="H35" s="618"/>
      <c r="I35" s="140" t="s">
        <v>506</v>
      </c>
      <c r="J35" s="141"/>
      <c r="K35" s="142" t="e">
        <f>VLOOKUP('lương con lào '!J30,#REF!,11,0)</f>
        <v>#REF!</v>
      </c>
      <c r="L35" s="159"/>
      <c r="M35" s="580"/>
      <c r="N35" s="628"/>
      <c r="O35" s="140" t="s">
        <v>506</v>
      </c>
      <c r="P35" s="141"/>
      <c r="Q35" s="142" t="e">
        <f>VLOOKUP('lương con lào '!P30,#REF!,11,0)</f>
        <v>#REF!</v>
      </c>
      <c r="R35" s="159"/>
    </row>
    <row r="36" spans="1:19">
      <c r="B36" s="143" t="s">
        <v>212</v>
      </c>
      <c r="C36" s="141" t="s">
        <v>213</v>
      </c>
      <c r="D36" s="141"/>
      <c r="E36" s="141"/>
      <c r="F36" s="574"/>
      <c r="G36" s="581"/>
      <c r="H36" s="618"/>
      <c r="I36" s="143" t="s">
        <v>212</v>
      </c>
      <c r="J36" s="141" t="s">
        <v>213</v>
      </c>
      <c r="K36" s="141"/>
      <c r="L36" s="141"/>
      <c r="M36" s="581"/>
      <c r="N36" s="628"/>
      <c r="O36" s="143" t="s">
        <v>212</v>
      </c>
      <c r="P36" s="141" t="s">
        <v>213</v>
      </c>
      <c r="Q36" s="141"/>
      <c r="R36" s="141"/>
    </row>
    <row r="37" spans="1:19">
      <c r="B37" s="144" t="s">
        <v>214</v>
      </c>
      <c r="C37" s="141" t="s">
        <v>215</v>
      </c>
      <c r="D37" s="141"/>
      <c r="E37" s="141"/>
      <c r="F37" s="644"/>
      <c r="G37" s="582"/>
      <c r="H37" s="618"/>
      <c r="I37" s="144" t="s">
        <v>214</v>
      </c>
      <c r="J37" s="141" t="s">
        <v>215</v>
      </c>
      <c r="K37" s="141"/>
      <c r="L37" s="141"/>
      <c r="M37" s="581"/>
      <c r="N37" s="628"/>
      <c r="O37" s="144" t="s">
        <v>214</v>
      </c>
      <c r="P37" s="141" t="s">
        <v>215</v>
      </c>
      <c r="Q37" s="141"/>
      <c r="R37" s="141"/>
    </row>
    <row r="38" spans="1:19" ht="15">
      <c r="B38" s="140" t="s">
        <v>216</v>
      </c>
      <c r="C38" s="141" t="s">
        <v>217</v>
      </c>
      <c r="D38" s="145"/>
      <c r="E38" s="142">
        <f>SUM(E37)</f>
        <v>0</v>
      </c>
      <c r="F38" s="575"/>
      <c r="G38" s="154"/>
      <c r="H38" s="618"/>
      <c r="I38" s="140" t="s">
        <v>216</v>
      </c>
      <c r="J38" s="141" t="s">
        <v>217</v>
      </c>
      <c r="K38" s="145"/>
      <c r="L38" s="142">
        <f>SUM(L37)</f>
        <v>0</v>
      </c>
      <c r="M38" s="154"/>
      <c r="N38" s="628"/>
      <c r="O38" s="140" t="s">
        <v>216</v>
      </c>
      <c r="P38" s="141" t="s">
        <v>217</v>
      </c>
      <c r="Q38" s="145"/>
      <c r="R38" s="142">
        <f>SUM(R37)</f>
        <v>0</v>
      </c>
    </row>
    <row r="39" spans="1:19">
      <c r="B39" s="146" t="s">
        <v>218</v>
      </c>
      <c r="C39" s="147" t="s">
        <v>219</v>
      </c>
      <c r="D39" s="148"/>
      <c r="E39" s="149" t="e">
        <f>(E35+E34+E33+E32)-E38</f>
        <v>#REF!</v>
      </c>
      <c r="F39" s="576"/>
      <c r="G39" s="152"/>
      <c r="H39" s="620"/>
      <c r="I39" s="146" t="s">
        <v>218</v>
      </c>
      <c r="J39" s="147" t="s">
        <v>219</v>
      </c>
      <c r="K39" s="148"/>
      <c r="L39" s="149" t="e">
        <f>(L34+L33+L32+L31)-L38</f>
        <v>#REF!</v>
      </c>
      <c r="M39" s="153"/>
      <c r="N39" s="628"/>
      <c r="O39" s="146" t="s">
        <v>218</v>
      </c>
      <c r="P39" s="147" t="s">
        <v>219</v>
      </c>
      <c r="Q39" s="148"/>
      <c r="R39" s="149" t="e">
        <f>(R34+R33+R32+R31)-R38</f>
        <v>#REF!</v>
      </c>
    </row>
    <row r="40" spans="1:19">
      <c r="B40" s="150"/>
      <c r="C40" s="151"/>
      <c r="D40" s="152"/>
      <c r="E40" s="153"/>
      <c r="F40" s="153"/>
      <c r="G40" s="152"/>
      <c r="H40" s="621"/>
      <c r="I40" s="150"/>
      <c r="J40" s="151"/>
      <c r="K40" s="152"/>
      <c r="L40" s="153"/>
      <c r="M40" s="153"/>
      <c r="N40" s="628"/>
      <c r="O40" s="579"/>
      <c r="P40" s="579"/>
      <c r="Q40" s="579"/>
    </row>
    <row r="41" spans="1:19">
      <c r="A41" s="605"/>
      <c r="B41" s="600"/>
      <c r="C41" s="600"/>
      <c r="D41" s="600"/>
      <c r="E41" s="600"/>
      <c r="F41" s="600"/>
      <c r="G41" s="600"/>
      <c r="H41" s="625"/>
      <c r="I41" s="600"/>
      <c r="J41" s="600"/>
      <c r="K41" s="600"/>
      <c r="L41" s="600"/>
      <c r="M41" s="600"/>
      <c r="N41" s="625"/>
      <c r="O41" s="600"/>
      <c r="P41" s="600"/>
      <c r="Q41" s="600"/>
      <c r="R41" s="600"/>
      <c r="S41" s="586"/>
    </row>
    <row r="42" spans="1:19">
      <c r="A42" s="32">
        <v>4</v>
      </c>
      <c r="B42" s="215"/>
      <c r="C42" s="612" t="s">
        <v>504</v>
      </c>
      <c r="D42" s="613"/>
      <c r="E42" s="614"/>
      <c r="F42" s="154"/>
      <c r="G42" s="154"/>
      <c r="H42" s="623">
        <v>12</v>
      </c>
      <c r="I42" s="215"/>
      <c r="J42" s="612" t="s">
        <v>504</v>
      </c>
      <c r="K42" s="613"/>
      <c r="L42" s="614"/>
      <c r="M42" s="154"/>
      <c r="N42" s="623">
        <v>20</v>
      </c>
      <c r="O42" s="215"/>
      <c r="P42" s="612" t="s">
        <v>504</v>
      </c>
      <c r="Q42" s="613"/>
      <c r="R42" s="614"/>
    </row>
    <row r="43" spans="1:19" ht="18">
      <c r="B43" s="134" t="s">
        <v>1</v>
      </c>
      <c r="C43" s="537" t="s">
        <v>299</v>
      </c>
      <c r="D43" s="155"/>
      <c r="E43" s="156" t="s">
        <v>72</v>
      </c>
      <c r="F43" s="571"/>
      <c r="G43" s="571"/>
      <c r="H43" s="624"/>
      <c r="I43" s="134" t="s">
        <v>1</v>
      </c>
      <c r="J43" s="537" t="s">
        <v>290</v>
      </c>
      <c r="K43" s="155"/>
      <c r="L43" s="156" t="s">
        <v>72</v>
      </c>
      <c r="M43" s="571"/>
      <c r="N43" s="624"/>
      <c r="O43" s="134" t="s">
        <v>1</v>
      </c>
      <c r="P43" s="537" t="s">
        <v>297</v>
      </c>
      <c r="Q43" s="155"/>
      <c r="R43" s="156" t="s">
        <v>72</v>
      </c>
    </row>
    <row r="44" spans="1:19" ht="18">
      <c r="B44" s="136" t="s">
        <v>205</v>
      </c>
      <c r="C44" s="137" t="s">
        <v>206</v>
      </c>
      <c r="D44" s="138"/>
      <c r="E44" s="139"/>
      <c r="F44" s="577"/>
      <c r="G44" s="154"/>
      <c r="H44" s="618"/>
      <c r="I44" s="136" t="s">
        <v>205</v>
      </c>
      <c r="J44" s="137" t="s">
        <v>206</v>
      </c>
      <c r="K44" s="138"/>
      <c r="L44" s="139"/>
      <c r="M44" s="150"/>
      <c r="N44" s="618"/>
      <c r="O44" s="136" t="s">
        <v>205</v>
      </c>
      <c r="P44" s="137" t="s">
        <v>206</v>
      </c>
      <c r="Q44" s="138"/>
      <c r="R44" s="139"/>
    </row>
    <row r="45" spans="1:19">
      <c r="B45" s="140" t="s">
        <v>207</v>
      </c>
      <c r="C45" s="141" t="s">
        <v>208</v>
      </c>
      <c r="D45" s="142" t="e">
        <f>VLOOKUP('lương con lào '!C43,#REF!,13,0)</f>
        <v>#REF!</v>
      </c>
      <c r="E45" s="159" t="e">
        <f>D45*25000</f>
        <v>#REF!</v>
      </c>
      <c r="F45" s="577"/>
      <c r="G45" s="154"/>
      <c r="H45" s="618"/>
      <c r="I45" s="140" t="s">
        <v>207</v>
      </c>
      <c r="J45" s="141" t="s">
        <v>208</v>
      </c>
      <c r="K45" s="142" t="e">
        <f>VLOOKUP('lương con lào '!J43,#REF!,13,0)</f>
        <v>#REF!</v>
      </c>
      <c r="L45" s="159" t="e">
        <f>K45*25000</f>
        <v>#REF!</v>
      </c>
      <c r="M45" s="150"/>
      <c r="N45" s="618"/>
      <c r="O45" s="140" t="s">
        <v>207</v>
      </c>
      <c r="P45" s="141" t="s">
        <v>208</v>
      </c>
      <c r="Q45" s="142" t="e">
        <f>VLOOKUP('lương con lào '!P43,#REF!,13,0)</f>
        <v>#REF!</v>
      </c>
      <c r="R45" s="159" t="e">
        <f>Q45*25000</f>
        <v>#REF!</v>
      </c>
    </row>
    <row r="46" spans="1:19">
      <c r="B46" s="140" t="s">
        <v>508</v>
      </c>
      <c r="C46" s="141" t="s">
        <v>209</v>
      </c>
      <c r="D46" s="142" t="e">
        <f>VLOOKUP('lương con lào '!C43,#REF!,14,0)</f>
        <v>#REF!</v>
      </c>
      <c r="E46" s="159" t="e">
        <f>D46*35000</f>
        <v>#REF!</v>
      </c>
      <c r="F46" s="577"/>
      <c r="G46" s="154"/>
      <c r="H46" s="618"/>
      <c r="I46" s="140" t="s">
        <v>508</v>
      </c>
      <c r="J46" s="141" t="s">
        <v>209</v>
      </c>
      <c r="K46" s="142" t="e">
        <f>VLOOKUP('lương con lào '!J43,#REF!,14,0)</f>
        <v>#REF!</v>
      </c>
      <c r="L46" s="159" t="e">
        <f>K46*35000</f>
        <v>#REF!</v>
      </c>
      <c r="M46" s="150"/>
      <c r="N46" s="618"/>
      <c r="O46" s="140" t="s">
        <v>508</v>
      </c>
      <c r="P46" s="141" t="s">
        <v>209</v>
      </c>
      <c r="Q46" s="142" t="e">
        <f>VLOOKUP('lương con lào '!P43,#REF!,14,0)</f>
        <v>#REF!</v>
      </c>
      <c r="R46" s="159" t="e">
        <f>Q46*35000</f>
        <v>#REF!</v>
      </c>
    </row>
    <row r="47" spans="1:19">
      <c r="B47" s="140" t="s">
        <v>210</v>
      </c>
      <c r="C47" s="141" t="s">
        <v>211</v>
      </c>
      <c r="D47" s="142" t="e">
        <f>VLOOKUP('lương con lào '!C43,#REF!,10,0)</f>
        <v>#REF!</v>
      </c>
      <c r="E47" s="159" t="e">
        <f>VLOOKUP('lương con lào '!C43,#REF!,12,0)</f>
        <v>#REF!</v>
      </c>
      <c r="F47" s="578"/>
      <c r="G47" s="593"/>
      <c r="H47" s="618"/>
      <c r="I47" s="140" t="s">
        <v>210</v>
      </c>
      <c r="J47" s="141" t="s">
        <v>211</v>
      </c>
      <c r="K47" s="142" t="e">
        <f>VLOOKUP('lương con lào '!J43,#REF!,10,0)</f>
        <v>#REF!</v>
      </c>
      <c r="L47" s="159" t="e">
        <f>VLOOKUP('lương con lào '!J43,#REF!,12,0)</f>
        <v>#REF!</v>
      </c>
      <c r="M47" s="583"/>
      <c r="N47" s="618"/>
      <c r="O47" s="140" t="s">
        <v>210</v>
      </c>
      <c r="P47" s="141" t="s">
        <v>211</v>
      </c>
      <c r="Q47" s="142" t="e">
        <f>VLOOKUP('lương con lào '!P43,#REF!,10,0)</f>
        <v>#REF!</v>
      </c>
      <c r="R47" s="159" t="e">
        <f>VLOOKUP('lương con lào '!P43,#REF!,12,0)</f>
        <v>#REF!</v>
      </c>
    </row>
    <row r="48" spans="1:19">
      <c r="B48" s="140" t="s">
        <v>506</v>
      </c>
      <c r="C48" s="141"/>
      <c r="D48" s="142" t="e">
        <f>VLOOKUP('lương con lào '!C43,#REF!,11,0)</f>
        <v>#REF!</v>
      </c>
      <c r="E48" s="159"/>
      <c r="F48" s="578"/>
      <c r="G48" s="593"/>
      <c r="H48" s="618"/>
      <c r="I48" s="140" t="s">
        <v>506</v>
      </c>
      <c r="J48" s="141"/>
      <c r="K48" s="142" t="e">
        <f>VLOOKUP('lương con lào '!J43,#REF!,11,0)</f>
        <v>#REF!</v>
      </c>
      <c r="L48" s="159"/>
      <c r="M48" s="583"/>
      <c r="N48" s="618"/>
      <c r="O48" s="140" t="s">
        <v>506</v>
      </c>
      <c r="P48" s="141"/>
      <c r="Q48" s="142" t="e">
        <f>VLOOKUP('lương con lào '!P43,#REF!,11,0)</f>
        <v>#REF!</v>
      </c>
      <c r="R48" s="159"/>
    </row>
    <row r="49" spans="1:19">
      <c r="B49" s="143" t="s">
        <v>212</v>
      </c>
      <c r="C49" s="141" t="s">
        <v>213</v>
      </c>
      <c r="D49" s="141"/>
      <c r="E49" s="141"/>
      <c r="F49" s="574"/>
      <c r="G49" s="581"/>
      <c r="H49" s="618"/>
      <c r="I49" s="143" t="s">
        <v>212</v>
      </c>
      <c r="J49" s="141" t="s">
        <v>213</v>
      </c>
      <c r="K49" s="141"/>
      <c r="L49" s="141"/>
      <c r="M49" s="581"/>
      <c r="N49" s="618"/>
      <c r="O49" s="143" t="s">
        <v>212</v>
      </c>
      <c r="P49" s="141" t="s">
        <v>213</v>
      </c>
      <c r="Q49" s="141"/>
      <c r="R49" s="141"/>
    </row>
    <row r="50" spans="1:19">
      <c r="B50" s="144" t="s">
        <v>214</v>
      </c>
      <c r="C50" s="141" t="s">
        <v>215</v>
      </c>
      <c r="D50" s="141"/>
      <c r="E50" s="141"/>
      <c r="F50" s="574"/>
      <c r="G50" s="581"/>
      <c r="H50" s="618"/>
      <c r="I50" s="144" t="s">
        <v>214</v>
      </c>
      <c r="J50" s="141" t="s">
        <v>215</v>
      </c>
      <c r="K50" s="141"/>
      <c r="L50" s="141"/>
      <c r="M50" s="581"/>
      <c r="N50" s="618"/>
      <c r="O50" s="144" t="s">
        <v>214</v>
      </c>
      <c r="P50" s="141" t="s">
        <v>215</v>
      </c>
      <c r="Q50" s="141"/>
      <c r="R50" s="141"/>
    </row>
    <row r="51" spans="1:19" ht="15">
      <c r="B51" s="140" t="s">
        <v>216</v>
      </c>
      <c r="C51" s="141" t="s">
        <v>217</v>
      </c>
      <c r="D51" s="145"/>
      <c r="E51" s="142">
        <f>SUM(E50)</f>
        <v>0</v>
      </c>
      <c r="F51" s="575"/>
      <c r="G51" s="154"/>
      <c r="H51" s="618"/>
      <c r="I51" s="140" t="s">
        <v>216</v>
      </c>
      <c r="J51" s="141" t="s">
        <v>217</v>
      </c>
      <c r="K51" s="145"/>
      <c r="L51" s="645">
        <f>SUM(L50)</f>
        <v>0</v>
      </c>
      <c r="M51" s="646"/>
      <c r="N51" s="618"/>
      <c r="O51" s="140" t="s">
        <v>216</v>
      </c>
      <c r="P51" s="141" t="s">
        <v>217</v>
      </c>
      <c r="Q51" s="145"/>
      <c r="R51" s="647">
        <f>SUM(R50)</f>
        <v>0</v>
      </c>
    </row>
    <row r="52" spans="1:19">
      <c r="B52" s="146" t="s">
        <v>218</v>
      </c>
      <c r="C52" s="147" t="s">
        <v>219</v>
      </c>
      <c r="D52" s="148"/>
      <c r="E52" s="149" t="e">
        <f>(E47+E46+E45+E44)-E51</f>
        <v>#REF!</v>
      </c>
      <c r="F52" s="576"/>
      <c r="G52" s="152"/>
      <c r="H52" s="620"/>
      <c r="I52" s="146" t="s">
        <v>218</v>
      </c>
      <c r="J52" s="147" t="s">
        <v>219</v>
      </c>
      <c r="K52" s="148"/>
      <c r="L52" s="149" t="e">
        <f>(L47+L46+L45+L44)-L51</f>
        <v>#REF!</v>
      </c>
      <c r="M52" s="153"/>
      <c r="N52" s="620"/>
      <c r="O52" s="146" t="s">
        <v>218</v>
      </c>
      <c r="P52" s="147" t="s">
        <v>219</v>
      </c>
      <c r="Q52" s="148"/>
      <c r="R52" s="149" t="e">
        <f>(R47+R46+R45+R44)-R51</f>
        <v>#REF!</v>
      </c>
    </row>
    <row r="53" spans="1:19" ht="15">
      <c r="B53" s="157"/>
      <c r="C53" s="157"/>
      <c r="D53" s="157"/>
      <c r="E53" s="157"/>
      <c r="F53" s="157"/>
      <c r="G53" s="594"/>
      <c r="H53" s="626"/>
      <c r="I53" s="157"/>
      <c r="J53" s="157"/>
      <c r="K53" s="157"/>
      <c r="L53" s="157"/>
      <c r="M53" s="157"/>
      <c r="N53" s="626"/>
      <c r="O53" s="584"/>
      <c r="P53" s="584"/>
      <c r="Q53" s="584"/>
      <c r="R53" s="157"/>
    </row>
    <row r="54" spans="1:19">
      <c r="A54" s="605"/>
      <c r="B54" s="600"/>
      <c r="C54" s="600"/>
      <c r="D54" s="600"/>
      <c r="E54" s="600"/>
      <c r="F54" s="600"/>
      <c r="G54" s="600"/>
      <c r="H54" s="625"/>
      <c r="I54" s="600"/>
      <c r="J54" s="600"/>
      <c r="K54" s="600"/>
      <c r="L54" s="600"/>
      <c r="M54" s="600"/>
      <c r="N54" s="625"/>
      <c r="O54" s="600"/>
      <c r="P54" s="600"/>
      <c r="Q54" s="600"/>
      <c r="R54" s="600"/>
      <c r="S54" s="586"/>
    </row>
    <row r="55" spans="1:19">
      <c r="A55" s="32">
        <v>5</v>
      </c>
      <c r="B55" s="215"/>
      <c r="C55" s="612" t="s">
        <v>504</v>
      </c>
      <c r="D55" s="613"/>
      <c r="E55" s="614"/>
      <c r="F55" s="154"/>
      <c r="G55" s="154"/>
      <c r="H55" s="623">
        <v>13</v>
      </c>
      <c r="I55" s="215"/>
      <c r="J55" s="612" t="s">
        <v>504</v>
      </c>
      <c r="K55" s="613"/>
      <c r="L55" s="614"/>
      <c r="M55" s="154"/>
      <c r="N55" s="623">
        <v>21</v>
      </c>
      <c r="O55" s="215"/>
      <c r="P55" s="612" t="s">
        <v>504</v>
      </c>
      <c r="Q55" s="613"/>
      <c r="R55" s="614"/>
    </row>
    <row r="56" spans="1:19" ht="18">
      <c r="B56" s="134" t="s">
        <v>1</v>
      </c>
      <c r="C56" s="537" t="s">
        <v>288</v>
      </c>
      <c r="D56" s="155"/>
      <c r="E56" s="156" t="s">
        <v>72</v>
      </c>
      <c r="F56" s="571"/>
      <c r="G56" s="571"/>
      <c r="H56" s="624"/>
      <c r="I56" s="134" t="s">
        <v>1</v>
      </c>
      <c r="J56" s="537" t="s">
        <v>342</v>
      </c>
      <c r="K56" s="155"/>
      <c r="L56" s="156" t="s">
        <v>72</v>
      </c>
      <c r="M56" s="571"/>
      <c r="N56" s="624"/>
      <c r="O56" s="134" t="s">
        <v>1</v>
      </c>
      <c r="P56" s="537" t="s">
        <v>340</v>
      </c>
      <c r="Q56" s="155"/>
      <c r="R56" s="156" t="s">
        <v>72</v>
      </c>
    </row>
    <row r="57" spans="1:19" ht="18">
      <c r="B57" s="136" t="s">
        <v>205</v>
      </c>
      <c r="C57" s="137" t="s">
        <v>206</v>
      </c>
      <c r="D57" s="138"/>
      <c r="E57" s="139"/>
      <c r="F57" s="577"/>
      <c r="G57" s="154"/>
      <c r="H57" s="618"/>
      <c r="I57" s="136" t="s">
        <v>205</v>
      </c>
      <c r="J57" s="137" t="s">
        <v>206</v>
      </c>
      <c r="K57" s="138"/>
      <c r="L57" s="139"/>
      <c r="M57" s="150"/>
      <c r="N57" s="618"/>
      <c r="O57" s="136" t="s">
        <v>205</v>
      </c>
      <c r="P57" s="137" t="s">
        <v>206</v>
      </c>
      <c r="Q57" s="138"/>
      <c r="R57" s="139"/>
    </row>
    <row r="58" spans="1:19">
      <c r="B58" s="140" t="s">
        <v>207</v>
      </c>
      <c r="C58" s="141" t="s">
        <v>208</v>
      </c>
      <c r="D58" s="142" t="e">
        <f>VLOOKUP('lương con lào '!C56,#REF!,13,0)</f>
        <v>#REF!</v>
      </c>
      <c r="E58" s="159" t="e">
        <f>D58*25000</f>
        <v>#REF!</v>
      </c>
      <c r="F58" s="577"/>
      <c r="G58" s="154"/>
      <c r="H58" s="618"/>
      <c r="I58" s="140" t="s">
        <v>207</v>
      </c>
      <c r="J58" s="141" t="s">
        <v>208</v>
      </c>
      <c r="K58" s="142" t="e">
        <f>VLOOKUP('lương con lào '!J56,#REF!,13,0)</f>
        <v>#REF!</v>
      </c>
      <c r="L58" s="159" t="e">
        <f>K58*25000</f>
        <v>#REF!</v>
      </c>
      <c r="M58" s="150"/>
      <c r="N58" s="618"/>
      <c r="O58" s="140" t="s">
        <v>207</v>
      </c>
      <c r="P58" s="141" t="s">
        <v>208</v>
      </c>
      <c r="Q58" s="142" t="e">
        <f>VLOOKUP('lương con lào '!P56,#REF!,13,0)</f>
        <v>#REF!</v>
      </c>
      <c r="R58" s="159" t="e">
        <f>Q58*25000</f>
        <v>#REF!</v>
      </c>
    </row>
    <row r="59" spans="1:19">
      <c r="B59" s="140" t="s">
        <v>508</v>
      </c>
      <c r="C59" s="141" t="s">
        <v>209</v>
      </c>
      <c r="D59" s="142" t="e">
        <f>VLOOKUP('lương con lào '!C56,#REF!,14,0)</f>
        <v>#REF!</v>
      </c>
      <c r="E59" s="159" t="e">
        <f>D59*35000</f>
        <v>#REF!</v>
      </c>
      <c r="F59" s="577"/>
      <c r="G59" s="154"/>
      <c r="H59" s="618"/>
      <c r="I59" s="140" t="s">
        <v>508</v>
      </c>
      <c r="J59" s="141" t="s">
        <v>209</v>
      </c>
      <c r="K59" s="142" t="e">
        <f>VLOOKUP('lương con lào '!J56,#REF!,14,0)</f>
        <v>#REF!</v>
      </c>
      <c r="L59" s="159" t="e">
        <f>K59*35000</f>
        <v>#REF!</v>
      </c>
      <c r="M59" s="150"/>
      <c r="N59" s="618"/>
      <c r="O59" s="140" t="s">
        <v>508</v>
      </c>
      <c r="P59" s="141" t="s">
        <v>209</v>
      </c>
      <c r="Q59" s="142" t="e">
        <f>VLOOKUP('lương con lào '!P56,#REF!,14,0)</f>
        <v>#REF!</v>
      </c>
      <c r="R59" s="159" t="e">
        <f>Q59*35000</f>
        <v>#REF!</v>
      </c>
    </row>
    <row r="60" spans="1:19">
      <c r="B60" s="140" t="s">
        <v>210</v>
      </c>
      <c r="C60" s="141" t="s">
        <v>211</v>
      </c>
      <c r="D60" s="142" t="e">
        <f>VLOOKUP('lương con lào '!C56,#REF!,10,0)</f>
        <v>#REF!</v>
      </c>
      <c r="E60" s="159" t="e">
        <f>VLOOKUP('lương con lào '!C56,#REF!,12,0)</f>
        <v>#REF!</v>
      </c>
      <c r="F60" s="573"/>
      <c r="G60" s="154"/>
      <c r="H60" s="618"/>
      <c r="I60" s="140" t="s">
        <v>210</v>
      </c>
      <c r="J60" s="141" t="s">
        <v>211</v>
      </c>
      <c r="K60" s="142" t="e">
        <f>VLOOKUP('lương con lào '!J56,#REF!,10,0)</f>
        <v>#REF!</v>
      </c>
      <c r="L60" s="159" t="e">
        <f>VLOOKUP('lương con lào '!J56,#REF!,12,0)</f>
        <v>#REF!</v>
      </c>
      <c r="M60" s="580"/>
      <c r="N60" s="618"/>
      <c r="O60" s="140" t="s">
        <v>210</v>
      </c>
      <c r="P60" s="141" t="s">
        <v>211</v>
      </c>
      <c r="Q60" s="142" t="e">
        <f>VLOOKUP('lương con lào '!P56,#REF!,10,0)</f>
        <v>#REF!</v>
      </c>
      <c r="R60" s="159" t="e">
        <f>VLOOKUP('lương con lào '!P56,#REF!,12,0)</f>
        <v>#REF!</v>
      </c>
    </row>
    <row r="61" spans="1:19">
      <c r="B61" s="140" t="s">
        <v>506</v>
      </c>
      <c r="C61" s="141"/>
      <c r="D61" s="142" t="e">
        <f>VLOOKUP('lương con lào '!C56,#REF!,11,0)</f>
        <v>#REF!</v>
      </c>
      <c r="E61" s="159"/>
      <c r="F61" s="573"/>
      <c r="G61" s="154"/>
      <c r="H61" s="618"/>
      <c r="I61" s="140" t="s">
        <v>506</v>
      </c>
      <c r="J61" s="141"/>
      <c r="K61" s="142" t="e">
        <f>VLOOKUP('lương con lào '!J56,#REF!,11,0)</f>
        <v>#REF!</v>
      </c>
      <c r="L61" s="159"/>
      <c r="M61" s="580"/>
      <c r="N61" s="618"/>
      <c r="O61" s="140" t="s">
        <v>506</v>
      </c>
      <c r="P61" s="141"/>
      <c r="Q61" s="142" t="e">
        <f>VLOOKUP('lương con lào '!P56,#REF!,11,0)</f>
        <v>#REF!</v>
      </c>
      <c r="R61" s="159"/>
    </row>
    <row r="62" spans="1:19">
      <c r="B62" s="143" t="s">
        <v>212</v>
      </c>
      <c r="C62" s="141" t="s">
        <v>213</v>
      </c>
      <c r="D62" s="141"/>
      <c r="E62" s="141"/>
      <c r="F62" s="574"/>
      <c r="G62" s="581"/>
      <c r="H62" s="618"/>
      <c r="I62" s="143" t="s">
        <v>212</v>
      </c>
      <c r="J62" s="141" t="s">
        <v>213</v>
      </c>
      <c r="K62" s="141"/>
      <c r="L62" s="141"/>
      <c r="M62" s="581"/>
      <c r="N62" s="618"/>
      <c r="O62" s="143" t="s">
        <v>212</v>
      </c>
      <c r="P62" s="141" t="s">
        <v>213</v>
      </c>
      <c r="Q62" s="141"/>
      <c r="R62" s="141"/>
    </row>
    <row r="63" spans="1:19">
      <c r="B63" s="144" t="s">
        <v>214</v>
      </c>
      <c r="C63" s="141" t="s">
        <v>215</v>
      </c>
      <c r="D63" s="141"/>
      <c r="E63" s="141"/>
      <c r="F63" s="574"/>
      <c r="G63" s="581"/>
      <c r="H63" s="618"/>
      <c r="I63" s="144" t="s">
        <v>214</v>
      </c>
      <c r="J63" s="141" t="s">
        <v>215</v>
      </c>
      <c r="K63" s="141"/>
      <c r="L63" s="162"/>
      <c r="M63" s="585"/>
      <c r="N63" s="618"/>
      <c r="O63" s="144" t="s">
        <v>214</v>
      </c>
      <c r="P63" s="141" t="s">
        <v>215</v>
      </c>
      <c r="Q63" s="141"/>
      <c r="R63" s="162"/>
    </row>
    <row r="64" spans="1:19" ht="15">
      <c r="B64" s="140" t="s">
        <v>216</v>
      </c>
      <c r="C64" s="141" t="s">
        <v>217</v>
      </c>
      <c r="D64" s="145"/>
      <c r="E64" s="142">
        <f>SUM(E63)</f>
        <v>0</v>
      </c>
      <c r="F64" s="575"/>
      <c r="G64" s="154"/>
      <c r="H64" s="618"/>
      <c r="I64" s="140" t="s">
        <v>216</v>
      </c>
      <c r="J64" s="141" t="s">
        <v>217</v>
      </c>
      <c r="K64" s="145"/>
      <c r="L64" s="159">
        <f>SUM(L63)</f>
        <v>0</v>
      </c>
      <c r="M64" s="580"/>
      <c r="N64" s="618"/>
      <c r="O64" s="140" t="s">
        <v>216</v>
      </c>
      <c r="P64" s="141" t="s">
        <v>217</v>
      </c>
      <c r="Q64" s="145"/>
      <c r="R64" s="159">
        <f>SUM(R63)</f>
        <v>0</v>
      </c>
    </row>
    <row r="65" spans="1:19">
      <c r="B65" s="146" t="s">
        <v>218</v>
      </c>
      <c r="C65" s="147" t="s">
        <v>219</v>
      </c>
      <c r="D65" s="148"/>
      <c r="E65" s="149" t="e">
        <f>(E60+E59+E58+E57)-E64</f>
        <v>#REF!</v>
      </c>
      <c r="F65" s="576"/>
      <c r="G65" s="152"/>
      <c r="H65" s="620"/>
      <c r="I65" s="146" t="s">
        <v>218</v>
      </c>
      <c r="J65" s="147" t="s">
        <v>219</v>
      </c>
      <c r="K65" s="148"/>
      <c r="L65" s="149" t="e">
        <f>(L60+L59+L58+L57)-L64</f>
        <v>#REF!</v>
      </c>
      <c r="M65" s="153"/>
      <c r="N65" s="620"/>
      <c r="O65" s="146" t="s">
        <v>218</v>
      </c>
      <c r="P65" s="147" t="s">
        <v>219</v>
      </c>
      <c r="Q65" s="148"/>
      <c r="R65" s="149" t="e">
        <f>(R60+R59+R58+R57)-R64</f>
        <v>#REF!</v>
      </c>
    </row>
    <row r="66" spans="1:19">
      <c r="B66" s="150"/>
      <c r="C66" s="151"/>
      <c r="D66" s="152"/>
      <c r="E66" s="153"/>
      <c r="F66" s="153"/>
      <c r="G66" s="152"/>
      <c r="H66" s="621"/>
      <c r="I66" s="150"/>
      <c r="J66" s="151"/>
      <c r="K66" s="152"/>
      <c r="L66" s="153"/>
      <c r="M66" s="153"/>
      <c r="N66" s="621"/>
      <c r="O66" s="150"/>
      <c r="P66" s="151"/>
      <c r="Q66" s="152"/>
      <c r="R66" s="153"/>
    </row>
    <row r="67" spans="1:19">
      <c r="A67" s="605"/>
      <c r="B67" s="600"/>
      <c r="C67" s="600"/>
      <c r="D67" s="600"/>
      <c r="E67" s="600"/>
      <c r="F67" s="600"/>
      <c r="G67" s="600"/>
      <c r="H67" s="625"/>
      <c r="I67" s="600"/>
      <c r="J67" s="600"/>
      <c r="K67" s="600"/>
      <c r="L67" s="600"/>
      <c r="M67" s="600"/>
      <c r="N67" s="625"/>
      <c r="O67" s="600"/>
      <c r="P67" s="600"/>
      <c r="Q67" s="600"/>
      <c r="R67" s="600"/>
      <c r="S67" s="586"/>
    </row>
    <row r="68" spans="1:19">
      <c r="A68" s="32">
        <v>6</v>
      </c>
      <c r="B68" s="215"/>
      <c r="C68" s="612" t="s">
        <v>504</v>
      </c>
      <c r="D68" s="613"/>
      <c r="E68" s="614"/>
      <c r="F68" s="154"/>
      <c r="G68" s="154"/>
      <c r="H68" s="623">
        <v>14</v>
      </c>
      <c r="I68" s="215"/>
      <c r="J68" s="612" t="s">
        <v>504</v>
      </c>
      <c r="K68" s="613"/>
      <c r="L68" s="614"/>
      <c r="M68" s="154"/>
      <c r="N68" s="623">
        <v>22</v>
      </c>
      <c r="O68" s="215"/>
      <c r="P68" s="612" t="s">
        <v>504</v>
      </c>
      <c r="Q68" s="613"/>
      <c r="R68" s="614"/>
    </row>
    <row r="69" spans="1:19" ht="18">
      <c r="B69" s="134" t="s">
        <v>1</v>
      </c>
      <c r="C69" s="537" t="s">
        <v>303</v>
      </c>
      <c r="D69" s="155"/>
      <c r="E69" s="156" t="s">
        <v>72</v>
      </c>
      <c r="F69" s="571"/>
      <c r="G69" s="571"/>
      <c r="H69" s="624"/>
      <c r="I69" s="134" t="s">
        <v>1</v>
      </c>
      <c r="J69" s="537" t="s">
        <v>302</v>
      </c>
      <c r="K69" s="155"/>
      <c r="L69" s="156" t="s">
        <v>72</v>
      </c>
      <c r="M69" s="571"/>
      <c r="N69" s="624"/>
      <c r="O69" s="134" t="s">
        <v>1</v>
      </c>
      <c r="P69" s="537" t="s">
        <v>404</v>
      </c>
      <c r="Q69" s="155"/>
      <c r="R69" s="156" t="s">
        <v>72</v>
      </c>
    </row>
    <row r="70" spans="1:19" ht="18">
      <c r="B70" s="136" t="s">
        <v>205</v>
      </c>
      <c r="C70" s="137" t="s">
        <v>206</v>
      </c>
      <c r="D70" s="138"/>
      <c r="E70" s="139"/>
      <c r="F70" s="577"/>
      <c r="G70" s="154"/>
      <c r="H70" s="618"/>
      <c r="I70" s="136" t="s">
        <v>205</v>
      </c>
      <c r="J70" s="137" t="s">
        <v>206</v>
      </c>
      <c r="K70" s="138"/>
      <c r="L70" s="139"/>
      <c r="M70" s="150"/>
      <c r="N70" s="618"/>
      <c r="O70" s="136" t="s">
        <v>205</v>
      </c>
      <c r="P70" s="137" t="s">
        <v>206</v>
      </c>
      <c r="Q70" s="138"/>
      <c r="R70" s="139"/>
    </row>
    <row r="71" spans="1:19">
      <c r="B71" s="140" t="s">
        <v>207</v>
      </c>
      <c r="C71" s="141" t="s">
        <v>208</v>
      </c>
      <c r="D71" s="142" t="e">
        <f>VLOOKUP('lương con lào '!C69,#REF!,13,0)</f>
        <v>#REF!</v>
      </c>
      <c r="E71" s="159" t="e">
        <f>D71*25000</f>
        <v>#REF!</v>
      </c>
      <c r="F71" s="577"/>
      <c r="G71" s="154"/>
      <c r="H71" s="618"/>
      <c r="I71" s="140" t="s">
        <v>207</v>
      </c>
      <c r="J71" s="141" t="s">
        <v>208</v>
      </c>
      <c r="K71" s="142" t="e">
        <f>VLOOKUP('lương con lào '!J69,#REF!,13,0)</f>
        <v>#REF!</v>
      </c>
      <c r="L71" s="159" t="e">
        <f>K71*25000</f>
        <v>#REF!</v>
      </c>
      <c r="M71" s="150"/>
      <c r="N71" s="618"/>
      <c r="O71" s="140" t="s">
        <v>207</v>
      </c>
      <c r="P71" s="141" t="s">
        <v>208</v>
      </c>
      <c r="Q71" s="142" t="e">
        <f>VLOOKUP('lương con lào '!P69,#REF!,13,0)</f>
        <v>#REF!</v>
      </c>
      <c r="R71" s="159" t="e">
        <f>Q71*25000</f>
        <v>#REF!</v>
      </c>
    </row>
    <row r="72" spans="1:19">
      <c r="B72" s="140" t="s">
        <v>508</v>
      </c>
      <c r="C72" s="141" t="s">
        <v>209</v>
      </c>
      <c r="D72" s="142" t="e">
        <f>VLOOKUP('lương con lào '!C69,#REF!,14,0)</f>
        <v>#REF!</v>
      </c>
      <c r="E72" s="159" t="e">
        <f>D72*35000</f>
        <v>#REF!</v>
      </c>
      <c r="F72" s="577"/>
      <c r="G72" s="154"/>
      <c r="H72" s="618"/>
      <c r="I72" s="140" t="s">
        <v>508</v>
      </c>
      <c r="J72" s="141" t="s">
        <v>209</v>
      </c>
      <c r="K72" s="142" t="e">
        <f>VLOOKUP('lương con lào '!J69,#REF!,14,0)</f>
        <v>#REF!</v>
      </c>
      <c r="L72" s="159" t="e">
        <f>K72*35000</f>
        <v>#REF!</v>
      </c>
      <c r="M72" s="150"/>
      <c r="N72" s="618"/>
      <c r="O72" s="140" t="s">
        <v>508</v>
      </c>
      <c r="P72" s="141" t="s">
        <v>209</v>
      </c>
      <c r="Q72" s="142" t="e">
        <f>VLOOKUP('lương con lào '!P69,#REF!,14,0)</f>
        <v>#REF!</v>
      </c>
      <c r="R72" s="159" t="e">
        <f>Q72*35000</f>
        <v>#REF!</v>
      </c>
    </row>
    <row r="73" spans="1:19">
      <c r="B73" s="140" t="s">
        <v>210</v>
      </c>
      <c r="C73" s="141" t="s">
        <v>211</v>
      </c>
      <c r="D73" s="142" t="e">
        <f>VLOOKUP('lương con lào '!C69,#REF!,10,0)</f>
        <v>#REF!</v>
      </c>
      <c r="E73" s="159" t="e">
        <f>VLOOKUP('lương con lào '!C69,#REF!,12,0)</f>
        <v>#REF!</v>
      </c>
      <c r="F73" s="573"/>
      <c r="G73" s="154"/>
      <c r="H73" s="618"/>
      <c r="I73" s="140" t="s">
        <v>210</v>
      </c>
      <c r="J73" s="141" t="s">
        <v>211</v>
      </c>
      <c r="K73" s="142" t="e">
        <f>VLOOKUP('lương con lào '!J69,#REF!,10,0)</f>
        <v>#REF!</v>
      </c>
      <c r="L73" s="159" t="e">
        <f>VLOOKUP('lương con lào '!J69,#REF!,12,0)</f>
        <v>#REF!</v>
      </c>
      <c r="M73" s="580"/>
      <c r="N73" s="618"/>
      <c r="O73" s="140" t="s">
        <v>210</v>
      </c>
      <c r="P73" s="141" t="s">
        <v>211</v>
      </c>
      <c r="Q73" s="142" t="e">
        <f>VLOOKUP('lương con lào '!P69,#REF!,10,0)</f>
        <v>#REF!</v>
      </c>
      <c r="R73" s="159" t="e">
        <f>VLOOKUP('lương con lào '!P69,#REF!,12,0)</f>
        <v>#REF!</v>
      </c>
    </row>
    <row r="74" spans="1:19">
      <c r="B74" s="140" t="s">
        <v>506</v>
      </c>
      <c r="C74" s="141"/>
      <c r="D74" s="142" t="e">
        <f>VLOOKUP('lương con lào '!C69,#REF!,11,0)</f>
        <v>#REF!</v>
      </c>
      <c r="E74" s="159"/>
      <c r="F74" s="573"/>
      <c r="G74" s="154"/>
      <c r="H74" s="618"/>
      <c r="I74" s="140" t="s">
        <v>506</v>
      </c>
      <c r="J74" s="141"/>
      <c r="K74" s="142" t="e">
        <f>VLOOKUP('lương con lào '!J69,#REF!,11,0)</f>
        <v>#REF!</v>
      </c>
      <c r="L74" s="159"/>
      <c r="M74" s="580"/>
      <c r="N74" s="618"/>
      <c r="O74" s="140" t="s">
        <v>506</v>
      </c>
      <c r="P74" s="141"/>
      <c r="Q74" s="142" t="e">
        <f>VLOOKUP('lương con lào '!P69,#REF!,11,0)</f>
        <v>#REF!</v>
      </c>
      <c r="R74" s="159"/>
    </row>
    <row r="75" spans="1:19">
      <c r="B75" s="143" t="s">
        <v>212</v>
      </c>
      <c r="C75" s="141" t="s">
        <v>213</v>
      </c>
      <c r="D75" s="141"/>
      <c r="E75" s="141"/>
      <c r="F75" s="574"/>
      <c r="G75" s="581"/>
      <c r="H75" s="618"/>
      <c r="I75" s="143" t="s">
        <v>212</v>
      </c>
      <c r="J75" s="141" t="s">
        <v>213</v>
      </c>
      <c r="K75" s="141"/>
      <c r="L75" s="141"/>
      <c r="M75" s="581"/>
      <c r="N75" s="618"/>
      <c r="O75" s="143" t="s">
        <v>212</v>
      </c>
      <c r="P75" s="141" t="s">
        <v>213</v>
      </c>
      <c r="Q75" s="141"/>
      <c r="R75" s="141"/>
    </row>
    <row r="76" spans="1:19">
      <c r="B76" s="144" t="s">
        <v>214</v>
      </c>
      <c r="C76" s="141" t="s">
        <v>215</v>
      </c>
      <c r="D76" s="141"/>
      <c r="E76" s="141"/>
      <c r="F76" s="574"/>
      <c r="G76" s="581"/>
      <c r="H76" s="618"/>
      <c r="I76" s="144" t="s">
        <v>214</v>
      </c>
      <c r="J76" s="141" t="s">
        <v>215</v>
      </c>
      <c r="K76" s="141"/>
      <c r="L76" s="141"/>
      <c r="M76" s="581"/>
      <c r="N76" s="618"/>
      <c r="O76" s="144" t="s">
        <v>214</v>
      </c>
      <c r="P76" s="141" t="s">
        <v>215</v>
      </c>
      <c r="Q76" s="141"/>
      <c r="R76" s="141"/>
    </row>
    <row r="77" spans="1:19" ht="15">
      <c r="B77" s="140" t="s">
        <v>216</v>
      </c>
      <c r="C77" s="141" t="s">
        <v>217</v>
      </c>
      <c r="D77" s="145"/>
      <c r="E77" s="142">
        <f>SUM(E76)</f>
        <v>0</v>
      </c>
      <c r="F77" s="575"/>
      <c r="G77" s="154"/>
      <c r="H77" s="618"/>
      <c r="I77" s="140" t="s">
        <v>216</v>
      </c>
      <c r="J77" s="141" t="s">
        <v>217</v>
      </c>
      <c r="K77" s="145"/>
      <c r="L77" s="645">
        <f>SUM(L76)</f>
        <v>0</v>
      </c>
      <c r="M77" s="646"/>
      <c r="N77" s="618"/>
      <c r="O77" s="140" t="s">
        <v>216</v>
      </c>
      <c r="P77" s="141" t="s">
        <v>217</v>
      </c>
      <c r="Q77" s="145"/>
      <c r="R77" s="645">
        <f>SUM(R76)</f>
        <v>0</v>
      </c>
    </row>
    <row r="78" spans="1:19">
      <c r="B78" s="146" t="s">
        <v>218</v>
      </c>
      <c r="C78" s="147" t="s">
        <v>219</v>
      </c>
      <c r="D78" s="148"/>
      <c r="E78" s="149" t="e">
        <f>(E73+E72+E71+E70)-E77</f>
        <v>#REF!</v>
      </c>
      <c r="F78" s="576"/>
      <c r="G78" s="152"/>
      <c r="H78" s="620"/>
      <c r="I78" s="146" t="s">
        <v>218</v>
      </c>
      <c r="J78" s="147" t="s">
        <v>219</v>
      </c>
      <c r="K78" s="148"/>
      <c r="L78" s="149" t="e">
        <f>(L73+L72+L71+L70)-L77</f>
        <v>#REF!</v>
      </c>
      <c r="M78" s="153"/>
      <c r="N78" s="620"/>
      <c r="O78" s="146" t="s">
        <v>218</v>
      </c>
      <c r="P78" s="147" t="s">
        <v>219</v>
      </c>
      <c r="Q78" s="148"/>
      <c r="R78" s="149" t="e">
        <f>(R73+R72+R71+R70)-R77</f>
        <v>#REF!</v>
      </c>
    </row>
    <row r="79" spans="1:19" ht="15">
      <c r="B79" s="157"/>
      <c r="C79" s="157"/>
      <c r="D79" s="157"/>
      <c r="E79" s="157"/>
      <c r="F79" s="157"/>
      <c r="G79" s="594"/>
      <c r="H79" s="626"/>
      <c r="I79" s="157"/>
      <c r="J79" s="157"/>
      <c r="K79" s="157"/>
      <c r="L79" s="157"/>
      <c r="M79" s="157"/>
      <c r="N79" s="626"/>
      <c r="O79" s="584"/>
      <c r="P79" s="584"/>
      <c r="Q79" s="584"/>
      <c r="R79" s="157"/>
    </row>
    <row r="80" spans="1:19">
      <c r="A80" s="605"/>
      <c r="B80" s="600"/>
      <c r="C80" s="600"/>
      <c r="D80" s="600"/>
      <c r="E80" s="600"/>
      <c r="F80" s="600"/>
      <c r="G80" s="600"/>
      <c r="H80" s="625"/>
      <c r="I80" s="600"/>
      <c r="J80" s="600"/>
      <c r="K80" s="600"/>
      <c r="L80" s="600"/>
      <c r="M80" s="600"/>
      <c r="N80" s="625"/>
      <c r="O80" s="600"/>
      <c r="P80" s="600"/>
      <c r="Q80" s="600"/>
      <c r="R80" s="600"/>
    </row>
    <row r="81" spans="1:18">
      <c r="A81" s="32">
        <v>7</v>
      </c>
      <c r="B81" s="215"/>
      <c r="C81" s="612" t="s">
        <v>504</v>
      </c>
      <c r="D81" s="613"/>
      <c r="E81" s="614"/>
      <c r="F81" s="154"/>
      <c r="G81" s="154"/>
      <c r="H81" s="623">
        <v>15</v>
      </c>
      <c r="I81" s="215"/>
      <c r="J81" s="612" t="s">
        <v>504</v>
      </c>
      <c r="K81" s="613"/>
      <c r="L81" s="614"/>
      <c r="M81" s="154"/>
      <c r="N81" s="623">
        <v>23</v>
      </c>
      <c r="O81" s="215"/>
      <c r="P81" s="612" t="s">
        <v>504</v>
      </c>
      <c r="Q81" s="613"/>
      <c r="R81" s="614"/>
    </row>
    <row r="82" spans="1:18" ht="18">
      <c r="B82" s="134" t="s">
        <v>1</v>
      </c>
      <c r="C82" s="537" t="s">
        <v>291</v>
      </c>
      <c r="D82" s="155"/>
      <c r="E82" s="156" t="s">
        <v>72</v>
      </c>
      <c r="F82" s="571"/>
      <c r="G82" s="571"/>
      <c r="H82" s="624"/>
      <c r="I82" s="134" t="s">
        <v>1</v>
      </c>
      <c r="J82" s="537" t="s">
        <v>305</v>
      </c>
      <c r="K82" s="155"/>
      <c r="L82" s="156" t="s">
        <v>72</v>
      </c>
      <c r="M82" s="571"/>
      <c r="N82" s="624"/>
      <c r="O82" s="134" t="s">
        <v>1</v>
      </c>
      <c r="P82" s="537" t="s">
        <v>294</v>
      </c>
      <c r="Q82" s="155"/>
      <c r="R82" s="156" t="s">
        <v>72</v>
      </c>
    </row>
    <row r="83" spans="1:18" ht="18">
      <c r="B83" s="136" t="s">
        <v>205</v>
      </c>
      <c r="C83" s="137" t="s">
        <v>206</v>
      </c>
      <c r="D83" s="138"/>
      <c r="E83" s="139"/>
      <c r="F83" s="577"/>
      <c r="G83" s="154"/>
      <c r="H83" s="618"/>
      <c r="I83" s="136" t="s">
        <v>205</v>
      </c>
      <c r="J83" s="137" t="s">
        <v>206</v>
      </c>
      <c r="K83" s="138"/>
      <c r="L83" s="139"/>
      <c r="M83" s="150"/>
      <c r="N83" s="618"/>
      <c r="O83" s="136" t="s">
        <v>205</v>
      </c>
      <c r="P83" s="137" t="s">
        <v>206</v>
      </c>
      <c r="Q83" s="138"/>
      <c r="R83" s="139"/>
    </row>
    <row r="84" spans="1:18">
      <c r="B84" s="140" t="s">
        <v>207</v>
      </c>
      <c r="C84" s="141" t="s">
        <v>208</v>
      </c>
      <c r="D84" s="142" t="e">
        <f>VLOOKUP('lương con lào '!C82,#REF!,13,0)</f>
        <v>#REF!</v>
      </c>
      <c r="E84" s="159" t="e">
        <f>D84*25000</f>
        <v>#REF!</v>
      </c>
      <c r="F84" s="577"/>
      <c r="G84" s="154"/>
      <c r="H84" s="618"/>
      <c r="I84" s="140" t="s">
        <v>207</v>
      </c>
      <c r="J84" s="141" t="s">
        <v>208</v>
      </c>
      <c r="K84" s="142" t="e">
        <f>VLOOKUP('lương con lào '!J82,#REF!,13,0)</f>
        <v>#REF!</v>
      </c>
      <c r="L84" s="159" t="e">
        <f>K84*25000</f>
        <v>#REF!</v>
      </c>
      <c r="M84" s="150"/>
      <c r="N84" s="618"/>
      <c r="O84" s="140" t="s">
        <v>207</v>
      </c>
      <c r="P84" s="141" t="s">
        <v>208</v>
      </c>
      <c r="Q84" s="142" t="e">
        <f>VLOOKUP('lương con lào '!P82,#REF!,13,0)</f>
        <v>#REF!</v>
      </c>
      <c r="R84" s="159" t="e">
        <f>Q84*25000</f>
        <v>#REF!</v>
      </c>
    </row>
    <row r="85" spans="1:18">
      <c r="B85" s="140" t="s">
        <v>508</v>
      </c>
      <c r="C85" s="141" t="s">
        <v>209</v>
      </c>
      <c r="D85" s="142" t="e">
        <f>VLOOKUP('lương con lào '!C82,#REF!,14,0)</f>
        <v>#REF!</v>
      </c>
      <c r="E85" s="159" t="e">
        <f>D85*35000</f>
        <v>#REF!</v>
      </c>
      <c r="F85" s="577"/>
      <c r="G85" s="154"/>
      <c r="H85" s="618"/>
      <c r="I85" s="140" t="s">
        <v>508</v>
      </c>
      <c r="J85" s="141" t="s">
        <v>209</v>
      </c>
      <c r="K85" s="142" t="e">
        <f>VLOOKUP('lương con lào '!J82,#REF!,14,0)</f>
        <v>#REF!</v>
      </c>
      <c r="L85" s="159" t="e">
        <f>K85*35000</f>
        <v>#REF!</v>
      </c>
      <c r="M85" s="150"/>
      <c r="N85" s="618"/>
      <c r="O85" s="140" t="s">
        <v>508</v>
      </c>
      <c r="P85" s="141" t="s">
        <v>209</v>
      </c>
      <c r="Q85" s="142" t="e">
        <f>VLOOKUP('lương con lào '!P82,#REF!,14,0)</f>
        <v>#REF!</v>
      </c>
      <c r="R85" s="159" t="e">
        <f>Q85*35000</f>
        <v>#REF!</v>
      </c>
    </row>
    <row r="86" spans="1:18">
      <c r="B86" s="140" t="s">
        <v>210</v>
      </c>
      <c r="C86" s="141" t="s">
        <v>211</v>
      </c>
      <c r="D86" s="142" t="e">
        <f>VLOOKUP('lương con lào '!C82,#REF!,10,0)</f>
        <v>#REF!</v>
      </c>
      <c r="E86" s="159" t="e">
        <f>VLOOKUP('lương con lào '!C82,#REF!,12,0)</f>
        <v>#REF!</v>
      </c>
      <c r="F86" s="573"/>
      <c r="G86" s="154"/>
      <c r="H86" s="618"/>
      <c r="I86" s="140" t="s">
        <v>210</v>
      </c>
      <c r="J86" s="141" t="s">
        <v>211</v>
      </c>
      <c r="K86" s="142" t="e">
        <f>VLOOKUP('lương con lào '!J82,#REF!,10,0)</f>
        <v>#REF!</v>
      </c>
      <c r="L86" s="159" t="e">
        <f>VLOOKUP('lương con lào '!J82,#REF!,12,0)</f>
        <v>#REF!</v>
      </c>
      <c r="M86" s="580"/>
      <c r="N86" s="618"/>
      <c r="O86" s="140" t="s">
        <v>210</v>
      </c>
      <c r="P86" s="141" t="s">
        <v>211</v>
      </c>
      <c r="Q86" s="142" t="e">
        <f>VLOOKUP('lương con lào '!P82,#REF!,10,0)</f>
        <v>#REF!</v>
      </c>
      <c r="R86" s="159" t="e">
        <f>VLOOKUP('lương con lào '!P82,#REF!,12,0)</f>
        <v>#REF!</v>
      </c>
    </row>
    <row r="87" spans="1:18">
      <c r="B87" s="140" t="s">
        <v>506</v>
      </c>
      <c r="C87" s="141"/>
      <c r="D87" s="142" t="e">
        <f>VLOOKUP('lương con lào '!C82,#REF!,11,0)</f>
        <v>#REF!</v>
      </c>
      <c r="E87" s="159"/>
      <c r="F87" s="573"/>
      <c r="G87" s="154"/>
      <c r="H87" s="618"/>
      <c r="I87" s="140" t="s">
        <v>506</v>
      </c>
      <c r="J87" s="141"/>
      <c r="K87" s="142" t="e">
        <f>VLOOKUP('lương con lào '!J82,#REF!,11,0)</f>
        <v>#REF!</v>
      </c>
      <c r="L87" s="159"/>
      <c r="M87" s="580"/>
      <c r="N87" s="618"/>
      <c r="O87" s="140" t="s">
        <v>506</v>
      </c>
      <c r="P87" s="141"/>
      <c r="Q87" s="142" t="e">
        <f>VLOOKUP('lương con lào '!P82,#REF!,11,0)</f>
        <v>#REF!</v>
      </c>
      <c r="R87" s="159"/>
    </row>
    <row r="88" spans="1:18">
      <c r="B88" s="143" t="s">
        <v>212</v>
      </c>
      <c r="C88" s="141" t="s">
        <v>213</v>
      </c>
      <c r="D88" s="141"/>
      <c r="E88" s="141"/>
      <c r="F88" s="574"/>
      <c r="G88" s="581"/>
      <c r="H88" s="618"/>
      <c r="I88" s="143" t="s">
        <v>212</v>
      </c>
      <c r="J88" s="141" t="s">
        <v>213</v>
      </c>
      <c r="K88" s="141"/>
      <c r="L88" s="141"/>
      <c r="M88" s="581"/>
      <c r="N88" s="618"/>
      <c r="O88" s="143" t="s">
        <v>212</v>
      </c>
      <c r="P88" s="141" t="s">
        <v>213</v>
      </c>
      <c r="Q88" s="141"/>
      <c r="R88" s="141"/>
    </row>
    <row r="89" spans="1:18">
      <c r="B89" s="144" t="s">
        <v>214</v>
      </c>
      <c r="C89" s="141" t="s">
        <v>215</v>
      </c>
      <c r="D89" s="141"/>
      <c r="E89" s="141"/>
      <c r="F89" s="574"/>
      <c r="G89" s="581"/>
      <c r="H89" s="618"/>
      <c r="I89" s="144" t="s">
        <v>214</v>
      </c>
      <c r="J89" s="141" t="s">
        <v>215</v>
      </c>
      <c r="K89" s="141"/>
      <c r="L89" s="141"/>
      <c r="M89" s="581"/>
      <c r="N89" s="618"/>
      <c r="O89" s="144" t="s">
        <v>214</v>
      </c>
      <c r="P89" s="141" t="s">
        <v>215</v>
      </c>
      <c r="Q89" s="141"/>
      <c r="R89" s="141"/>
    </row>
    <row r="90" spans="1:18" ht="15">
      <c r="B90" s="140" t="s">
        <v>216</v>
      </c>
      <c r="C90" s="141" t="s">
        <v>217</v>
      </c>
      <c r="D90" s="145"/>
      <c r="E90" s="142">
        <f>SUM(E89)</f>
        <v>0</v>
      </c>
      <c r="F90" s="575"/>
      <c r="G90" s="154"/>
      <c r="H90" s="618"/>
      <c r="I90" s="140" t="s">
        <v>216</v>
      </c>
      <c r="J90" s="141" t="s">
        <v>217</v>
      </c>
      <c r="K90" s="145"/>
      <c r="L90" s="142">
        <f>SUM(L89)</f>
        <v>0</v>
      </c>
      <c r="M90" s="154"/>
      <c r="N90" s="618"/>
      <c r="O90" s="140" t="s">
        <v>216</v>
      </c>
      <c r="P90" s="141" t="s">
        <v>217</v>
      </c>
      <c r="Q90" s="145"/>
      <c r="R90" s="142">
        <f>SUM(R89)</f>
        <v>0</v>
      </c>
    </row>
    <row r="91" spans="1:18">
      <c r="B91" s="146" t="s">
        <v>218</v>
      </c>
      <c r="C91" s="147" t="s">
        <v>219</v>
      </c>
      <c r="D91" s="148"/>
      <c r="E91" s="149" t="e">
        <f>(E86+E85+E84+E83)-E90</f>
        <v>#REF!</v>
      </c>
      <c r="F91" s="576"/>
      <c r="G91" s="152"/>
      <c r="H91" s="620"/>
      <c r="I91" s="146" t="s">
        <v>218</v>
      </c>
      <c r="J91" s="147" t="s">
        <v>219</v>
      </c>
      <c r="K91" s="148"/>
      <c r="L91" s="149" t="e">
        <f>(L86+L85+L84+L83)-L90</f>
        <v>#REF!</v>
      </c>
      <c r="M91" s="153"/>
      <c r="N91" s="620"/>
      <c r="O91" s="146" t="s">
        <v>218</v>
      </c>
      <c r="P91" s="147" t="s">
        <v>219</v>
      </c>
      <c r="Q91" s="148"/>
      <c r="R91" s="149" t="e">
        <f>(R86+R85+R84+R83)-R90</f>
        <v>#REF!</v>
      </c>
    </row>
    <row r="92" spans="1:18">
      <c r="B92" s="150"/>
      <c r="C92" s="151"/>
      <c r="D92" s="152"/>
      <c r="E92" s="153"/>
      <c r="F92" s="153"/>
      <c r="G92" s="152"/>
      <c r="H92" s="621"/>
      <c r="I92" s="150"/>
      <c r="J92" s="151"/>
      <c r="K92" s="152"/>
      <c r="L92" s="153"/>
      <c r="M92" s="153"/>
      <c r="N92" s="627"/>
      <c r="O92" s="630"/>
      <c r="P92" s="631"/>
      <c r="Q92" s="632"/>
      <c r="R92" s="153"/>
    </row>
    <row r="93" spans="1:18">
      <c r="A93" s="605"/>
      <c r="B93" s="600"/>
      <c r="C93" s="600"/>
      <c r="D93" s="600"/>
      <c r="E93" s="600"/>
      <c r="F93" s="600"/>
      <c r="G93" s="600"/>
      <c r="H93" s="625"/>
      <c r="I93" s="600"/>
      <c r="J93" s="600"/>
      <c r="K93" s="600"/>
      <c r="L93" s="600"/>
      <c r="M93" s="633"/>
      <c r="N93" s="607"/>
      <c r="O93" s="600"/>
      <c r="P93" s="600"/>
      <c r="Q93" s="600"/>
      <c r="R93" s="600"/>
    </row>
    <row r="94" spans="1:18">
      <c r="A94" s="32">
        <v>8</v>
      </c>
      <c r="B94" s="215"/>
      <c r="C94" s="612" t="s">
        <v>504</v>
      </c>
      <c r="D94" s="613"/>
      <c r="E94" s="614"/>
      <c r="F94" s="154"/>
      <c r="G94" s="154"/>
      <c r="H94" s="623">
        <v>16</v>
      </c>
      <c r="I94" s="215"/>
      <c r="J94" s="612" t="s">
        <v>504</v>
      </c>
      <c r="K94" s="613"/>
      <c r="L94" s="614"/>
      <c r="M94" s="634"/>
      <c r="N94" s="580"/>
      <c r="O94" s="4529"/>
      <c r="P94" s="4529"/>
      <c r="Q94" s="4529"/>
      <c r="R94" s="4529"/>
    </row>
    <row r="95" spans="1:18" ht="18">
      <c r="B95" s="134" t="s">
        <v>1</v>
      </c>
      <c r="C95" s="537" t="s">
        <v>403</v>
      </c>
      <c r="D95" s="155"/>
      <c r="E95" s="156" t="s">
        <v>72</v>
      </c>
      <c r="F95" s="571"/>
      <c r="G95" s="571"/>
      <c r="H95" s="624"/>
      <c r="I95" s="134" t="s">
        <v>1</v>
      </c>
      <c r="J95" s="537" t="s">
        <v>354</v>
      </c>
      <c r="K95" s="155"/>
      <c r="L95" s="156" t="s">
        <v>72</v>
      </c>
      <c r="M95" s="635"/>
      <c r="N95" s="606"/>
      <c r="O95" s="595"/>
      <c r="P95" s="599"/>
      <c r="Q95" s="596"/>
      <c r="R95" s="571"/>
    </row>
    <row r="96" spans="1:18" ht="18">
      <c r="B96" s="136" t="s">
        <v>205</v>
      </c>
      <c r="C96" s="137" t="s">
        <v>206</v>
      </c>
      <c r="D96" s="138"/>
      <c r="E96" s="139"/>
      <c r="F96" s="577"/>
      <c r="G96" s="154"/>
      <c r="H96" s="618"/>
      <c r="I96" s="136" t="s">
        <v>205</v>
      </c>
      <c r="J96" s="137" t="s">
        <v>206</v>
      </c>
      <c r="K96" s="138"/>
      <c r="L96" s="139"/>
      <c r="M96" s="636"/>
      <c r="N96" s="580"/>
      <c r="O96" s="595"/>
      <c r="P96" s="597"/>
      <c r="Q96" s="593"/>
      <c r="R96" s="150"/>
    </row>
    <row r="97" spans="1:19">
      <c r="B97" s="140" t="s">
        <v>207</v>
      </c>
      <c r="C97" s="141" t="s">
        <v>208</v>
      </c>
      <c r="D97" s="142" t="e">
        <f>VLOOKUP('lương con lào '!C95,#REF!,13,0)</f>
        <v>#REF!</v>
      </c>
      <c r="E97" s="159" t="e">
        <f>D97*25000</f>
        <v>#REF!</v>
      </c>
      <c r="F97" s="577"/>
      <c r="G97" s="154"/>
      <c r="H97" s="618"/>
      <c r="I97" s="140" t="s">
        <v>207</v>
      </c>
      <c r="J97" s="141" t="s">
        <v>208</v>
      </c>
      <c r="K97" s="142" t="e">
        <f>VLOOKUP('lương con lào '!J95,#REF!,13,0)</f>
        <v>#REF!</v>
      </c>
      <c r="L97" s="159" t="e">
        <f>K97*25000</f>
        <v>#REF!</v>
      </c>
      <c r="M97" s="636"/>
      <c r="N97" s="580"/>
      <c r="O97" s="595"/>
      <c r="P97" s="581"/>
      <c r="Q97" s="593"/>
      <c r="R97" s="150"/>
    </row>
    <row r="98" spans="1:19">
      <c r="B98" s="140" t="s">
        <v>508</v>
      </c>
      <c r="C98" s="141" t="s">
        <v>209</v>
      </c>
      <c r="D98" s="142" t="e">
        <f>VLOOKUP('lương con lào '!C95,#REF!,14,0)</f>
        <v>#REF!</v>
      </c>
      <c r="E98" s="159" t="e">
        <f>D98*35000</f>
        <v>#REF!</v>
      </c>
      <c r="F98" s="577"/>
      <c r="G98" s="154"/>
      <c r="H98" s="618"/>
      <c r="I98" s="140" t="s">
        <v>508</v>
      </c>
      <c r="J98" s="141" t="s">
        <v>209</v>
      </c>
      <c r="K98" s="142" t="e">
        <f>VLOOKUP('lương con lào '!J95,#REF!,14,0)</f>
        <v>#REF!</v>
      </c>
      <c r="L98" s="159" t="e">
        <f>K98*35000</f>
        <v>#REF!</v>
      </c>
      <c r="M98" s="636"/>
      <c r="N98" s="580"/>
      <c r="O98" s="595"/>
      <c r="P98" s="581"/>
      <c r="Q98" s="593"/>
      <c r="R98" s="150"/>
    </row>
    <row r="99" spans="1:19">
      <c r="B99" s="140" t="s">
        <v>210</v>
      </c>
      <c r="C99" s="141" t="s">
        <v>211</v>
      </c>
      <c r="D99" s="142" t="e">
        <f>VLOOKUP('lương con lào '!C95,#REF!,10,0)</f>
        <v>#REF!</v>
      </c>
      <c r="E99" s="159" t="e">
        <f>VLOOKUP('lương con lào '!C95,#REF!,12,0)</f>
        <v>#REF!</v>
      </c>
      <c r="F99" s="573"/>
      <c r="G99" s="154"/>
      <c r="H99" s="618"/>
      <c r="I99" s="140" t="s">
        <v>210</v>
      </c>
      <c r="J99" s="141" t="s">
        <v>211</v>
      </c>
      <c r="K99" s="142" t="e">
        <f>VLOOKUP('lương con lào '!J95,#REF!,10,0)</f>
        <v>#REF!</v>
      </c>
      <c r="L99" s="159" t="e">
        <f>VLOOKUP('lương con lào '!J95,#REF!,12,0)</f>
        <v>#REF!</v>
      </c>
      <c r="M99" s="637"/>
      <c r="N99" s="580"/>
      <c r="O99" s="595"/>
      <c r="P99" s="581"/>
      <c r="Q99" s="593"/>
      <c r="R99" s="580"/>
    </row>
    <row r="100" spans="1:19">
      <c r="B100" s="140" t="s">
        <v>506</v>
      </c>
      <c r="C100" s="141"/>
      <c r="D100" s="142" t="e">
        <f>VLOOKUP('lương con lào '!C95,#REF!,11,0)</f>
        <v>#REF!</v>
      </c>
      <c r="E100" s="159"/>
      <c r="F100" s="573"/>
      <c r="G100" s="154"/>
      <c r="H100" s="618"/>
      <c r="I100" s="140" t="s">
        <v>506</v>
      </c>
      <c r="J100" s="141"/>
      <c r="K100" s="142" t="e">
        <f>VLOOKUP('lương con lào '!J95,#REF!,11,0)</f>
        <v>#REF!</v>
      </c>
      <c r="L100" s="159"/>
      <c r="M100" s="637"/>
      <c r="N100" s="580"/>
      <c r="O100" s="595"/>
      <c r="P100" s="581"/>
      <c r="Q100" s="593"/>
      <c r="R100" s="580"/>
    </row>
    <row r="101" spans="1:19">
      <c r="B101" s="143" t="s">
        <v>212</v>
      </c>
      <c r="C101" s="141" t="s">
        <v>213</v>
      </c>
      <c r="D101" s="141"/>
      <c r="E101" s="141"/>
      <c r="F101" s="574"/>
      <c r="G101" s="581"/>
      <c r="H101" s="618"/>
      <c r="I101" s="143" t="s">
        <v>212</v>
      </c>
      <c r="J101" s="141" t="s">
        <v>213</v>
      </c>
      <c r="K101" s="141"/>
      <c r="L101" s="141"/>
      <c r="M101" s="638"/>
      <c r="N101" s="580"/>
      <c r="O101" s="150"/>
      <c r="P101" s="581"/>
      <c r="Q101" s="581"/>
      <c r="R101" s="581"/>
    </row>
    <row r="102" spans="1:19">
      <c r="B102" s="144" t="s">
        <v>214</v>
      </c>
      <c r="C102" s="141" t="s">
        <v>215</v>
      </c>
      <c r="D102" s="141"/>
      <c r="E102" s="141"/>
      <c r="F102" s="574"/>
      <c r="G102" s="581"/>
      <c r="H102" s="618"/>
      <c r="I102" s="144" t="s">
        <v>214</v>
      </c>
      <c r="J102" s="141" t="s">
        <v>215</v>
      </c>
      <c r="K102" s="141"/>
      <c r="L102" s="141"/>
      <c r="M102" s="638"/>
      <c r="N102" s="580"/>
      <c r="O102" s="598"/>
      <c r="P102" s="581"/>
      <c r="Q102" s="581"/>
      <c r="R102" s="581"/>
    </row>
    <row r="103" spans="1:19" ht="15">
      <c r="B103" s="140" t="s">
        <v>216</v>
      </c>
      <c r="C103" s="141" t="s">
        <v>217</v>
      </c>
      <c r="D103" s="145"/>
      <c r="E103" s="142">
        <f>SUM(E102)</f>
        <v>0</v>
      </c>
      <c r="F103" s="575"/>
      <c r="G103" s="154"/>
      <c r="H103" s="618"/>
      <c r="I103" s="140" t="s">
        <v>216</v>
      </c>
      <c r="J103" s="141" t="s">
        <v>217</v>
      </c>
      <c r="K103" s="145"/>
      <c r="L103" s="142">
        <f>SUM(L102)</f>
        <v>0</v>
      </c>
      <c r="M103" s="634"/>
      <c r="N103" s="580"/>
      <c r="O103" s="595"/>
      <c r="P103" s="581"/>
      <c r="Q103" s="584"/>
      <c r="R103" s="154"/>
    </row>
    <row r="104" spans="1:19">
      <c r="B104" s="146" t="s">
        <v>218</v>
      </c>
      <c r="C104" s="147" t="s">
        <v>219</v>
      </c>
      <c r="D104" s="148"/>
      <c r="E104" s="149" t="e">
        <f>(E99+E98+E97+E96)-E103</f>
        <v>#REF!</v>
      </c>
      <c r="F104" s="576"/>
      <c r="G104" s="152"/>
      <c r="H104" s="620"/>
      <c r="I104" s="146" t="s">
        <v>218</v>
      </c>
      <c r="J104" s="147" t="s">
        <v>219</v>
      </c>
      <c r="K104" s="148"/>
      <c r="L104" s="149" t="e">
        <f>(L99+L98+L97+L96)-L103</f>
        <v>#REF!</v>
      </c>
      <c r="M104" s="639"/>
      <c r="N104" s="153"/>
      <c r="O104" s="150"/>
      <c r="P104" s="151"/>
      <c r="Q104" s="152"/>
      <c r="R104" s="153"/>
    </row>
    <row r="105" spans="1:19">
      <c r="B105" s="150"/>
      <c r="C105" s="151"/>
      <c r="D105" s="152"/>
      <c r="E105" s="153"/>
      <c r="F105" s="153"/>
      <c r="G105" s="152"/>
      <c r="H105" s="627"/>
      <c r="I105" s="150"/>
      <c r="J105" s="151"/>
      <c r="K105" s="152"/>
      <c r="L105" s="153"/>
      <c r="M105" s="640"/>
    </row>
    <row r="106" spans="1:19">
      <c r="A106" s="605"/>
      <c r="B106" s="587"/>
      <c r="C106" s="588"/>
      <c r="D106" s="589"/>
      <c r="E106" s="590"/>
      <c r="F106" s="590"/>
      <c r="G106" s="589"/>
      <c r="H106" s="590"/>
      <c r="I106" s="587"/>
      <c r="J106" s="588"/>
      <c r="K106" s="589"/>
      <c r="L106" s="590"/>
      <c r="M106" s="153"/>
    </row>
    <row r="107" spans="1:19" ht="30">
      <c r="A107" s="4532" t="s">
        <v>405</v>
      </c>
      <c r="B107" s="4532"/>
      <c r="C107" s="4532"/>
      <c r="D107" s="4532"/>
      <c r="E107" s="4532"/>
      <c r="F107" s="4532"/>
      <c r="G107" s="4532"/>
      <c r="H107" s="4532"/>
      <c r="I107" s="4532"/>
      <c r="J107" s="4532"/>
      <c r="K107" s="4532"/>
      <c r="L107" s="4532"/>
      <c r="M107" s="591"/>
    </row>
    <row r="108" spans="1:19">
      <c r="B108" s="150"/>
      <c r="C108" s="151"/>
      <c r="D108" s="152"/>
      <c r="E108" s="153"/>
      <c r="F108" s="153"/>
      <c r="G108" s="152"/>
      <c r="H108" s="153"/>
      <c r="I108" s="150"/>
      <c r="J108" s="151"/>
      <c r="K108" s="152"/>
      <c r="L108" s="153"/>
      <c r="M108" s="153"/>
    </row>
    <row r="109" spans="1:19">
      <c r="B109" s="4531">
        <f>N2</f>
        <v>0</v>
      </c>
      <c r="C109" s="4531"/>
      <c r="D109" s="4531"/>
      <c r="E109" s="153"/>
      <c r="F109" s="153"/>
      <c r="G109" s="152"/>
      <c r="H109" s="153"/>
      <c r="I109" s="4531">
        <f>N2</f>
        <v>0</v>
      </c>
      <c r="J109" s="4531"/>
      <c r="K109" s="4531"/>
      <c r="L109" s="153"/>
      <c r="M109" s="153"/>
    </row>
    <row r="110" spans="1:19">
      <c r="A110" s="605"/>
      <c r="B110" s="586"/>
      <c r="C110" s="586"/>
      <c r="D110" s="586"/>
      <c r="E110" s="586"/>
      <c r="F110" s="586"/>
      <c r="G110" s="602"/>
      <c r="H110" s="617"/>
      <c r="I110" s="586"/>
      <c r="J110" s="586"/>
      <c r="K110" s="586"/>
      <c r="L110" s="586"/>
      <c r="M110" s="586"/>
      <c r="N110" s="4527"/>
      <c r="O110" s="4528"/>
      <c r="P110" s="4528"/>
      <c r="Q110" s="4528"/>
      <c r="R110" s="586"/>
      <c r="S110" s="586"/>
    </row>
    <row r="111" spans="1:19" ht="16.5" customHeight="1">
      <c r="A111" s="604">
        <v>1</v>
      </c>
      <c r="B111" s="215"/>
      <c r="C111" s="612" t="s">
        <v>504</v>
      </c>
      <c r="D111" s="613"/>
      <c r="E111" s="614"/>
      <c r="F111" s="154"/>
      <c r="G111" s="154"/>
      <c r="H111" s="618">
        <v>9</v>
      </c>
      <c r="I111" s="215"/>
      <c r="J111" s="612" t="s">
        <v>504</v>
      </c>
      <c r="K111" s="613"/>
      <c r="L111" s="614"/>
      <c r="M111" s="154"/>
      <c r="N111" s="628" t="s">
        <v>227</v>
      </c>
      <c r="O111" s="215"/>
      <c r="P111" s="612" t="s">
        <v>504</v>
      </c>
      <c r="Q111" s="613"/>
      <c r="R111" s="614"/>
    </row>
    <row r="112" spans="1:19" ht="22.5" customHeight="1">
      <c r="B112" s="134" t="s">
        <v>1</v>
      </c>
      <c r="C112" s="642"/>
      <c r="D112" s="649"/>
      <c r="E112" s="641" t="s">
        <v>72</v>
      </c>
      <c r="F112" s="572"/>
      <c r="G112" s="615" t="e">
        <f>SUMIF(I111:I212,B121,L111:L212)+SUMIF(B111:B212,B121,E111:E212)+SUMIF(O111:O199,B121,R111:R199)</f>
        <v>#REF!</v>
      </c>
      <c r="H112" s="619"/>
      <c r="I112" s="134" t="s">
        <v>1</v>
      </c>
      <c r="J112" s="643" t="s">
        <v>300</v>
      </c>
      <c r="K112" s="649" t="s">
        <v>509</v>
      </c>
      <c r="L112" s="601" t="s">
        <v>72</v>
      </c>
      <c r="M112" s="572"/>
      <c r="N112" s="623">
        <v>17</v>
      </c>
      <c r="O112" s="134" t="s">
        <v>1</v>
      </c>
      <c r="P112" s="537" t="s">
        <v>298</v>
      </c>
      <c r="Q112" s="135"/>
      <c r="R112" s="601" t="s">
        <v>72</v>
      </c>
    </row>
    <row r="113" spans="1:19" ht="18">
      <c r="B113" s="136" t="s">
        <v>205</v>
      </c>
      <c r="C113" s="137" t="s">
        <v>206</v>
      </c>
      <c r="D113" s="138"/>
      <c r="E113" s="158">
        <f>D113*25000</f>
        <v>0</v>
      </c>
      <c r="F113" s="573"/>
      <c r="G113" s="616" t="e">
        <f>#REF!+#REF!</f>
        <v>#REF!</v>
      </c>
      <c r="H113" s="618"/>
      <c r="I113" s="136" t="s">
        <v>205</v>
      </c>
      <c r="J113" s="137" t="s">
        <v>206</v>
      </c>
      <c r="K113" s="138"/>
      <c r="L113" s="158"/>
      <c r="M113" s="580"/>
      <c r="N113" s="628"/>
      <c r="O113" s="136" t="s">
        <v>205</v>
      </c>
      <c r="P113" s="137" t="s">
        <v>206</v>
      </c>
      <c r="Q113" s="138"/>
      <c r="R113" s="158"/>
    </row>
    <row r="114" spans="1:19">
      <c r="B114" s="140" t="s">
        <v>207</v>
      </c>
      <c r="C114" s="141" t="s">
        <v>208</v>
      </c>
      <c r="D114" s="142" t="e">
        <f>VLOOKUP('lương con lào '!C112,#REF!,13,0)</f>
        <v>#REF!</v>
      </c>
      <c r="E114" s="159" t="e">
        <f>D114*25000</f>
        <v>#REF!</v>
      </c>
      <c r="F114" s="573"/>
      <c r="H114" s="618"/>
      <c r="I114" s="140" t="s">
        <v>207</v>
      </c>
      <c r="J114" s="141" t="s">
        <v>208</v>
      </c>
      <c r="K114" s="142" t="e">
        <f>VLOOKUP('lương con lào '!J112,#REF!,13,0)</f>
        <v>#REF!</v>
      </c>
      <c r="L114" s="159" t="e">
        <f>K114*25000</f>
        <v>#REF!</v>
      </c>
      <c r="M114" s="580"/>
      <c r="N114" s="628"/>
      <c r="O114" s="140" t="s">
        <v>207</v>
      </c>
      <c r="P114" s="141" t="s">
        <v>208</v>
      </c>
      <c r="Q114" s="142" t="e">
        <f>VLOOKUP('lương con lào '!P112,#REF!,13,0)</f>
        <v>#REF!</v>
      </c>
      <c r="R114" s="159" t="e">
        <f>Q114*25000</f>
        <v>#REF!</v>
      </c>
    </row>
    <row r="115" spans="1:19">
      <c r="B115" s="140" t="s">
        <v>508</v>
      </c>
      <c r="C115" s="141" t="s">
        <v>209</v>
      </c>
      <c r="D115" s="142" t="e">
        <f>VLOOKUP('lương con lào '!C112,#REF!,14,0)</f>
        <v>#REF!</v>
      </c>
      <c r="E115" s="159" t="e">
        <f>D115*35000</f>
        <v>#REF!</v>
      </c>
      <c r="F115" s="573"/>
      <c r="H115" s="618"/>
      <c r="I115" s="140" t="s">
        <v>508</v>
      </c>
      <c r="J115" s="141" t="s">
        <v>209</v>
      </c>
      <c r="K115" s="142" t="e">
        <f>VLOOKUP('lương con lào '!J112,#REF!,14,0)</f>
        <v>#REF!</v>
      </c>
      <c r="L115" s="159" t="e">
        <f>K115*35000</f>
        <v>#REF!</v>
      </c>
      <c r="M115" s="580"/>
      <c r="N115" s="628"/>
      <c r="O115" s="140" t="s">
        <v>508</v>
      </c>
      <c r="P115" s="141" t="s">
        <v>209</v>
      </c>
      <c r="Q115" s="142" t="e">
        <f>VLOOKUP('lương con lào '!P112,#REF!,14,0)</f>
        <v>#REF!</v>
      </c>
      <c r="R115" s="159" t="e">
        <f>Q115*35000</f>
        <v>#REF!</v>
      </c>
    </row>
    <row r="116" spans="1:19">
      <c r="B116" s="140" t="s">
        <v>210</v>
      </c>
      <c r="C116" s="141" t="s">
        <v>211</v>
      </c>
      <c r="D116" s="142" t="e">
        <f>VLOOKUP('lương con lào '!C112,#REF!,10,0)</f>
        <v>#REF!</v>
      </c>
      <c r="E116" s="159" t="e">
        <f>VLOOKUP('lương con lào '!C112,#REF!,12,0)</f>
        <v>#REF!</v>
      </c>
      <c r="F116" s="573"/>
      <c r="H116" s="618"/>
      <c r="I116" s="140" t="s">
        <v>210</v>
      </c>
      <c r="J116" s="141" t="s">
        <v>211</v>
      </c>
      <c r="K116" s="142" t="e">
        <f>VLOOKUP('lương con lào '!J112,#REF!,10,0)</f>
        <v>#REF!</v>
      </c>
      <c r="L116" s="159" t="e">
        <f>VLOOKUP('lương con lào '!J112,#REF!,12,0)</f>
        <v>#REF!</v>
      </c>
      <c r="M116" s="580"/>
      <c r="N116" s="628"/>
      <c r="O116" s="140" t="s">
        <v>210</v>
      </c>
      <c r="P116" s="141" t="s">
        <v>211</v>
      </c>
      <c r="Q116" s="142" t="e">
        <f>VLOOKUP('lương con lào '!P112,#REF!,10,0)</f>
        <v>#REF!</v>
      </c>
      <c r="R116" s="159" t="e">
        <f>VLOOKUP('lương con lào '!P112,#REF!,12,0)</f>
        <v>#REF!</v>
      </c>
    </row>
    <row r="117" spans="1:19">
      <c r="B117" s="140" t="s">
        <v>506</v>
      </c>
      <c r="C117" s="141"/>
      <c r="D117" s="142" t="e">
        <f>VLOOKUP('lương con lào '!C112,#REF!,11,0)</f>
        <v>#REF!</v>
      </c>
      <c r="E117" s="159"/>
      <c r="F117" s="573"/>
      <c r="H117" s="618"/>
      <c r="I117" s="140" t="s">
        <v>506</v>
      </c>
      <c r="J117" s="141"/>
      <c r="K117" s="142" t="e">
        <f>VLOOKUP('lương con lào '!J112,#REF!,11,0)</f>
        <v>#REF!</v>
      </c>
      <c r="L117" s="159"/>
      <c r="M117" s="580"/>
      <c r="N117" s="628"/>
      <c r="O117" s="140" t="s">
        <v>506</v>
      </c>
      <c r="P117" s="141"/>
      <c r="Q117" s="142" t="e">
        <f>VLOOKUP('lương con lào '!P112,#REF!,11,0)</f>
        <v>#REF!</v>
      </c>
      <c r="R117" s="159"/>
    </row>
    <row r="118" spans="1:19">
      <c r="B118" s="143" t="s">
        <v>212</v>
      </c>
      <c r="C118" s="141" t="s">
        <v>213</v>
      </c>
      <c r="D118" s="160"/>
      <c r="E118" s="141"/>
      <c r="F118" s="574"/>
      <c r="H118" s="618"/>
      <c r="I118" s="143" t="s">
        <v>212</v>
      </c>
      <c r="J118" s="141" t="s">
        <v>213</v>
      </c>
      <c r="K118" s="160"/>
      <c r="L118" s="141"/>
      <c r="M118" s="581"/>
      <c r="N118" s="628"/>
      <c r="O118" s="143" t="s">
        <v>212</v>
      </c>
      <c r="P118" s="141" t="s">
        <v>213</v>
      </c>
      <c r="Q118" s="160"/>
      <c r="R118" s="141"/>
    </row>
    <row r="119" spans="1:19">
      <c r="B119" s="144" t="s">
        <v>214</v>
      </c>
      <c r="C119" s="141" t="s">
        <v>215</v>
      </c>
      <c r="D119" s="160"/>
      <c r="E119" s="141"/>
      <c r="F119" s="574"/>
      <c r="H119" s="618"/>
      <c r="I119" s="144" t="s">
        <v>214</v>
      </c>
      <c r="J119" s="141" t="s">
        <v>215</v>
      </c>
      <c r="K119" s="160"/>
      <c r="L119" s="141"/>
      <c r="M119" s="581"/>
      <c r="N119" s="628"/>
      <c r="O119" s="144" t="s">
        <v>214</v>
      </c>
      <c r="P119" s="141" t="s">
        <v>215</v>
      </c>
      <c r="Q119" s="160"/>
      <c r="R119" s="141"/>
    </row>
    <row r="120" spans="1:19">
      <c r="B120" s="140" t="s">
        <v>216</v>
      </c>
      <c r="C120" s="141" t="s">
        <v>217</v>
      </c>
      <c r="D120" s="160"/>
      <c r="E120" s="142">
        <f>SUM(E119)</f>
        <v>0</v>
      </c>
      <c r="F120" s="575"/>
      <c r="H120" s="618"/>
      <c r="I120" s="140" t="s">
        <v>216</v>
      </c>
      <c r="J120" s="141" t="s">
        <v>217</v>
      </c>
      <c r="K120" s="160"/>
      <c r="L120" s="142">
        <f>SUM(L119)</f>
        <v>0</v>
      </c>
      <c r="M120" s="154"/>
      <c r="N120" s="629"/>
      <c r="O120" s="140" t="s">
        <v>216</v>
      </c>
      <c r="P120" s="141" t="s">
        <v>217</v>
      </c>
      <c r="Q120" s="160"/>
      <c r="R120" s="142">
        <f>SUM(R119)</f>
        <v>0</v>
      </c>
    </row>
    <row r="121" spans="1:19">
      <c r="B121" s="146" t="s">
        <v>218</v>
      </c>
      <c r="C121" s="147" t="s">
        <v>219</v>
      </c>
      <c r="D121" s="161"/>
      <c r="E121" s="149" t="e">
        <f>(E116+E115+E114+E113)-E120</f>
        <v>#REF!</v>
      </c>
      <c r="F121" s="576"/>
      <c r="H121" s="620"/>
      <c r="I121" s="146" t="s">
        <v>218</v>
      </c>
      <c r="J121" s="147" t="s">
        <v>219</v>
      </c>
      <c r="K121" s="161"/>
      <c r="L121" s="149" t="e">
        <f>(L116+L115+L114+L113)-L120</f>
        <v>#REF!</v>
      </c>
      <c r="M121" s="153"/>
      <c r="N121" s="628"/>
      <c r="O121" s="146" t="s">
        <v>218</v>
      </c>
      <c r="P121" s="147" t="s">
        <v>219</v>
      </c>
      <c r="Q121" s="161"/>
      <c r="R121" s="149" t="e">
        <f>(R116+R115+R114+R113)-R120</f>
        <v>#REF!</v>
      </c>
    </row>
    <row r="122" spans="1:19">
      <c r="B122" s="150"/>
      <c r="C122" s="151"/>
      <c r="D122" s="152"/>
      <c r="E122" s="153"/>
      <c r="F122" s="153"/>
      <c r="H122" s="621"/>
      <c r="I122" s="150"/>
      <c r="J122" s="151"/>
      <c r="K122" s="152"/>
      <c r="L122" s="153"/>
      <c r="M122" s="153"/>
      <c r="N122" s="628"/>
      <c r="O122" s="150"/>
      <c r="P122" s="151"/>
      <c r="Q122" s="152"/>
      <c r="R122" s="153"/>
    </row>
    <row r="123" spans="1:19">
      <c r="A123" s="605"/>
      <c r="B123" s="600"/>
      <c r="C123" s="603"/>
      <c r="D123" s="603"/>
      <c r="E123" s="603"/>
      <c r="F123" s="603"/>
      <c r="G123" s="602"/>
      <c r="H123" s="622"/>
      <c r="I123" s="600"/>
      <c r="J123" s="603"/>
      <c r="K123" s="603"/>
      <c r="L123" s="603"/>
      <c r="M123" s="603"/>
      <c r="N123" s="617"/>
      <c r="O123" s="600"/>
      <c r="P123" s="603"/>
      <c r="Q123" s="603"/>
      <c r="R123" s="603"/>
      <c r="S123" s="586"/>
    </row>
    <row r="124" spans="1:19">
      <c r="A124" s="604">
        <v>2</v>
      </c>
      <c r="B124" s="215"/>
      <c r="C124" s="612" t="s">
        <v>504</v>
      </c>
      <c r="D124" s="613"/>
      <c r="E124" s="614"/>
      <c r="F124" s="154"/>
      <c r="H124" s="623">
        <v>10</v>
      </c>
      <c r="I124" s="215"/>
      <c r="J124" s="612" t="s">
        <v>504</v>
      </c>
      <c r="K124" s="613"/>
      <c r="L124" s="614"/>
      <c r="M124" s="154"/>
      <c r="N124" s="628">
        <v>18</v>
      </c>
      <c r="O124" s="215"/>
      <c r="P124" s="612" t="s">
        <v>504</v>
      </c>
      <c r="Q124" s="613"/>
      <c r="R124" s="614"/>
    </row>
    <row r="125" spans="1:19" ht="18">
      <c r="A125" s="604"/>
      <c r="B125" s="134" t="s">
        <v>1</v>
      </c>
      <c r="C125" s="537"/>
      <c r="D125" s="155"/>
      <c r="E125" s="156" t="s">
        <v>72</v>
      </c>
      <c r="F125" s="571"/>
      <c r="H125" s="624"/>
      <c r="I125" s="134" t="s">
        <v>1</v>
      </c>
      <c r="J125" s="537" t="s">
        <v>339</v>
      </c>
      <c r="K125" s="155"/>
      <c r="L125" s="156" t="s">
        <v>72</v>
      </c>
      <c r="M125" s="571"/>
      <c r="N125" s="628"/>
      <c r="O125" s="134" t="s">
        <v>1</v>
      </c>
      <c r="P125" s="537" t="s">
        <v>292</v>
      </c>
      <c r="Q125" s="155"/>
      <c r="R125" s="156" t="s">
        <v>72</v>
      </c>
    </row>
    <row r="126" spans="1:19" ht="18">
      <c r="B126" s="136" t="s">
        <v>205</v>
      </c>
      <c r="C126" s="137" t="s">
        <v>206</v>
      </c>
      <c r="D126" s="172"/>
      <c r="F126" s="577"/>
      <c r="H126" s="618"/>
      <c r="I126" s="136" t="s">
        <v>205</v>
      </c>
      <c r="J126" s="137" t="s">
        <v>206</v>
      </c>
      <c r="K126" s="138"/>
      <c r="L126" s="139"/>
      <c r="M126" s="150"/>
      <c r="N126" s="628"/>
      <c r="O126" s="136" t="s">
        <v>205</v>
      </c>
      <c r="P126" s="137" t="s">
        <v>206</v>
      </c>
      <c r="Q126" s="138"/>
      <c r="R126" s="139"/>
    </row>
    <row r="127" spans="1:19">
      <c r="B127" s="140" t="s">
        <v>207</v>
      </c>
      <c r="C127" s="141" t="s">
        <v>208</v>
      </c>
      <c r="D127" s="610" t="e">
        <f>VLOOKUP('lương con lào '!C125,#REF!,13,0)</f>
        <v>#REF!</v>
      </c>
      <c r="E127" s="159" t="e">
        <f>D127*25000</f>
        <v>#REF!</v>
      </c>
      <c r="F127" s="577"/>
      <c r="H127" s="618"/>
      <c r="I127" s="140" t="s">
        <v>207</v>
      </c>
      <c r="J127" s="141" t="s">
        <v>208</v>
      </c>
      <c r="K127" s="142" t="e">
        <f>VLOOKUP('lương con lào '!J125,#REF!,13,0)</f>
        <v>#REF!</v>
      </c>
      <c r="L127" s="159" t="e">
        <f>K127*25000</f>
        <v>#REF!</v>
      </c>
      <c r="M127" s="150"/>
      <c r="N127" s="628"/>
      <c r="O127" s="140" t="s">
        <v>207</v>
      </c>
      <c r="P127" s="141" t="s">
        <v>208</v>
      </c>
      <c r="Q127" s="142" t="e">
        <f>VLOOKUP('lương con lào '!P125,#REF!,13,0)</f>
        <v>#REF!</v>
      </c>
      <c r="R127" s="159" t="e">
        <f>Q127*25000</f>
        <v>#REF!</v>
      </c>
    </row>
    <row r="128" spans="1:19">
      <c r="B128" s="140" t="s">
        <v>508</v>
      </c>
      <c r="C128" s="141" t="s">
        <v>209</v>
      </c>
      <c r="D128" s="142" t="e">
        <f>VLOOKUP('lương con lào '!C125,#REF!,14,0)</f>
        <v>#REF!</v>
      </c>
      <c r="E128" s="159" t="e">
        <f>D128*35000</f>
        <v>#REF!</v>
      </c>
      <c r="F128" s="577"/>
      <c r="H128" s="618"/>
      <c r="I128" s="140" t="s">
        <v>508</v>
      </c>
      <c r="J128" s="141" t="s">
        <v>209</v>
      </c>
      <c r="K128" s="142" t="e">
        <f>VLOOKUP('lương con lào '!J125,#REF!,14,0)</f>
        <v>#REF!</v>
      </c>
      <c r="L128" s="159" t="e">
        <f>K128*35000</f>
        <v>#REF!</v>
      </c>
      <c r="M128" s="595"/>
      <c r="N128" s="648"/>
      <c r="O128" s="140" t="s">
        <v>508</v>
      </c>
      <c r="P128" s="141" t="s">
        <v>209</v>
      </c>
      <c r="Q128" s="142" t="e">
        <f>VLOOKUP('lương con lào '!P125,#REF!,14,0)</f>
        <v>#REF!</v>
      </c>
      <c r="R128" s="159" t="e">
        <f>Q128*35000</f>
        <v>#REF!</v>
      </c>
    </row>
    <row r="129" spans="1:19">
      <c r="B129" s="140" t="s">
        <v>210</v>
      </c>
      <c r="C129" s="141" t="s">
        <v>211</v>
      </c>
      <c r="D129" s="142" t="e">
        <f>VLOOKUP('lương con lào '!C125,#REF!,10,0)</f>
        <v>#REF!</v>
      </c>
      <c r="E129" s="159" t="e">
        <f>VLOOKUP('lương con lào '!C125,#REF!,12,0)</f>
        <v>#REF!</v>
      </c>
      <c r="F129" s="573"/>
      <c r="H129" s="618"/>
      <c r="I129" s="140" t="s">
        <v>210</v>
      </c>
      <c r="J129" s="141" t="s">
        <v>211</v>
      </c>
      <c r="K129" s="142" t="e">
        <f>VLOOKUP('lương con lào '!J125,#REF!,10,0)</f>
        <v>#REF!</v>
      </c>
      <c r="L129" s="159" t="e">
        <f>VLOOKUP('lương con lào '!J125,#REF!,12,0)</f>
        <v>#REF!</v>
      </c>
      <c r="M129" s="580"/>
      <c r="N129" s="628"/>
      <c r="O129" s="140" t="s">
        <v>210</v>
      </c>
      <c r="P129" s="141" t="s">
        <v>211</v>
      </c>
      <c r="Q129" s="142" t="e">
        <f>VLOOKUP('lương con lào '!P125,#REF!,10,0)</f>
        <v>#REF!</v>
      </c>
      <c r="R129" s="159" t="e">
        <f>VLOOKUP('lương con lào '!P125,#REF!,12,0)</f>
        <v>#REF!</v>
      </c>
    </row>
    <row r="130" spans="1:19">
      <c r="B130" s="140" t="s">
        <v>506</v>
      </c>
      <c r="C130" s="141"/>
      <c r="D130" s="142" t="e">
        <f>VLOOKUP('lương con lào '!C125,#REF!,11,0)</f>
        <v>#REF!</v>
      </c>
      <c r="E130" s="159"/>
      <c r="F130" s="573"/>
      <c r="H130" s="618"/>
      <c r="I130" s="140" t="s">
        <v>506</v>
      </c>
      <c r="J130" s="141"/>
      <c r="K130" s="142" t="e">
        <f>VLOOKUP('lương con lào '!J125,#REF!,11,0)</f>
        <v>#REF!</v>
      </c>
      <c r="L130" s="159"/>
      <c r="M130" s="580"/>
      <c r="N130" s="628"/>
      <c r="O130" s="140" t="s">
        <v>506</v>
      </c>
      <c r="P130" s="141"/>
      <c r="Q130" s="142" t="e">
        <f>VLOOKUP('lương con lào '!P125,#REF!,11,0)</f>
        <v>#REF!</v>
      </c>
      <c r="R130" s="159"/>
    </row>
    <row r="131" spans="1:19">
      <c r="B131" s="143" t="s">
        <v>212</v>
      </c>
      <c r="C131" s="141" t="s">
        <v>213</v>
      </c>
      <c r="D131" s="141"/>
      <c r="E131" s="141"/>
      <c r="F131" s="574"/>
      <c r="H131" s="618"/>
      <c r="I131" s="143" t="s">
        <v>212</v>
      </c>
      <c r="J131" s="141" t="s">
        <v>213</v>
      </c>
      <c r="K131" s="141"/>
      <c r="L131" s="141"/>
      <c r="M131" s="581"/>
      <c r="N131" s="628"/>
      <c r="O131" s="143" t="s">
        <v>212</v>
      </c>
      <c r="P131" s="141" t="s">
        <v>213</v>
      </c>
      <c r="Q131" s="141"/>
      <c r="R131" s="141"/>
    </row>
    <row r="132" spans="1:19">
      <c r="B132" s="144" t="s">
        <v>214</v>
      </c>
      <c r="C132" s="141" t="s">
        <v>215</v>
      </c>
      <c r="D132" s="141"/>
      <c r="E132" s="141"/>
      <c r="F132" s="574"/>
      <c r="H132" s="618"/>
      <c r="I132" s="144" t="s">
        <v>214</v>
      </c>
      <c r="J132" s="141" t="s">
        <v>215</v>
      </c>
      <c r="K132" s="141"/>
      <c r="L132" s="141"/>
      <c r="M132" s="581"/>
      <c r="N132" s="628"/>
      <c r="O132" s="144" t="s">
        <v>214</v>
      </c>
      <c r="P132" s="141" t="s">
        <v>215</v>
      </c>
      <c r="Q132" s="141"/>
      <c r="R132" s="141"/>
    </row>
    <row r="133" spans="1:19" ht="15">
      <c r="B133" s="140" t="s">
        <v>216</v>
      </c>
      <c r="C133" s="141" t="s">
        <v>217</v>
      </c>
      <c r="D133" s="145"/>
      <c r="E133" s="142">
        <f>SUM(E132)</f>
        <v>0</v>
      </c>
      <c r="F133" s="575"/>
      <c r="H133" s="618"/>
      <c r="I133" s="140" t="s">
        <v>216</v>
      </c>
      <c r="J133" s="141" t="s">
        <v>217</v>
      </c>
      <c r="K133" s="145"/>
      <c r="L133" s="142">
        <f>SUM(L132)</f>
        <v>0</v>
      </c>
      <c r="M133" s="154"/>
      <c r="N133" s="628"/>
      <c r="O133" s="140" t="s">
        <v>216</v>
      </c>
      <c r="P133" s="141" t="s">
        <v>217</v>
      </c>
      <c r="Q133" s="145"/>
      <c r="R133" s="142">
        <f>SUM(R132)</f>
        <v>0</v>
      </c>
    </row>
    <row r="134" spans="1:19">
      <c r="B134" s="146" t="s">
        <v>218</v>
      </c>
      <c r="C134" s="147" t="s">
        <v>219</v>
      </c>
      <c r="D134" s="148"/>
      <c r="E134" s="149" t="e">
        <f>(E130+E129+E128+E127)-E133</f>
        <v>#REF!</v>
      </c>
      <c r="F134" s="576"/>
      <c r="H134" s="620"/>
      <c r="I134" s="146" t="s">
        <v>218</v>
      </c>
      <c r="J134" s="147" t="s">
        <v>219</v>
      </c>
      <c r="K134" s="148"/>
      <c r="L134" s="149" t="e">
        <f>(L129+L128+L127+L126)-L133</f>
        <v>#REF!</v>
      </c>
      <c r="M134" s="153"/>
      <c r="N134" s="628"/>
      <c r="O134" s="146" t="s">
        <v>218</v>
      </c>
      <c r="P134" s="147" t="s">
        <v>219</v>
      </c>
      <c r="Q134" s="148"/>
      <c r="R134" s="149" t="e">
        <f>(R129+R128+R127+R126)-R133</f>
        <v>#REF!</v>
      </c>
    </row>
    <row r="135" spans="1:19">
      <c r="B135" s="150"/>
      <c r="C135" s="151"/>
      <c r="D135" s="152"/>
      <c r="E135" s="153"/>
      <c r="F135" s="153"/>
      <c r="H135" s="621"/>
      <c r="I135" s="150"/>
      <c r="J135" s="151"/>
      <c r="K135" s="152"/>
      <c r="L135" s="153"/>
      <c r="M135" s="153"/>
      <c r="N135" s="628"/>
      <c r="O135" s="150"/>
      <c r="P135" s="151"/>
      <c r="Q135" s="152"/>
      <c r="R135" s="153"/>
    </row>
    <row r="136" spans="1:19">
      <c r="A136" s="605"/>
      <c r="B136" s="600"/>
      <c r="C136" s="600"/>
      <c r="D136" s="600"/>
      <c r="E136" s="600"/>
      <c r="F136" s="600"/>
      <c r="G136" s="602"/>
      <c r="H136" s="625"/>
      <c r="I136" s="600"/>
      <c r="J136" s="600"/>
      <c r="K136" s="600"/>
      <c r="L136" s="600"/>
      <c r="M136" s="600"/>
      <c r="N136" s="617"/>
      <c r="O136" s="600"/>
      <c r="P136" s="600"/>
      <c r="Q136" s="600"/>
      <c r="R136" s="600"/>
      <c r="S136" s="586"/>
    </row>
    <row r="137" spans="1:19">
      <c r="A137" s="604">
        <v>3</v>
      </c>
      <c r="B137" s="215"/>
      <c r="C137" s="612" t="s">
        <v>504</v>
      </c>
      <c r="D137" s="613"/>
      <c r="E137" s="614"/>
      <c r="F137" s="154"/>
      <c r="G137" s="154"/>
      <c r="H137" s="623">
        <v>11</v>
      </c>
      <c r="I137" s="215"/>
      <c r="J137" s="612" t="s">
        <v>504</v>
      </c>
      <c r="K137" s="613"/>
      <c r="L137" s="614"/>
      <c r="M137" s="154"/>
      <c r="N137" s="628">
        <v>19</v>
      </c>
      <c r="O137" s="215"/>
      <c r="P137" s="612" t="s">
        <v>504</v>
      </c>
      <c r="Q137" s="613"/>
      <c r="R137" s="614"/>
    </row>
    <row r="138" spans="1:19" ht="18">
      <c r="A138" s="604"/>
      <c r="B138" s="134" t="s">
        <v>1</v>
      </c>
      <c r="C138" s="537"/>
      <c r="D138" s="155"/>
      <c r="E138" s="156" t="s">
        <v>72</v>
      </c>
      <c r="F138" s="571"/>
      <c r="G138" s="571"/>
      <c r="H138" s="624"/>
      <c r="I138" s="134" t="s">
        <v>1</v>
      </c>
      <c r="J138" s="537" t="s">
        <v>341</v>
      </c>
      <c r="K138" s="155"/>
      <c r="L138" s="156" t="s">
        <v>72</v>
      </c>
      <c r="M138" s="571"/>
      <c r="N138" s="628"/>
      <c r="O138" s="134" t="s">
        <v>1</v>
      </c>
      <c r="P138" s="537" t="s">
        <v>296</v>
      </c>
      <c r="Q138" s="155"/>
      <c r="R138" s="156" t="s">
        <v>72</v>
      </c>
    </row>
    <row r="139" spans="1:19" ht="12.95" customHeight="1">
      <c r="A139" s="604"/>
      <c r="B139" s="136" t="s">
        <v>205</v>
      </c>
      <c r="C139" s="137" t="s">
        <v>206</v>
      </c>
      <c r="D139" s="611"/>
      <c r="F139" s="577"/>
      <c r="G139" s="154"/>
      <c r="H139" s="618"/>
      <c r="I139" s="136" t="s">
        <v>205</v>
      </c>
      <c r="J139" s="137" t="s">
        <v>206</v>
      </c>
      <c r="K139" s="138"/>
      <c r="L139" s="139"/>
      <c r="M139" s="150"/>
      <c r="N139" s="628"/>
      <c r="O139" s="136" t="s">
        <v>205</v>
      </c>
      <c r="P139" s="137" t="s">
        <v>206</v>
      </c>
      <c r="Q139" s="138"/>
      <c r="R139" s="139"/>
    </row>
    <row r="140" spans="1:19" ht="12.75" customHeight="1">
      <c r="B140" s="140" t="s">
        <v>207</v>
      </c>
      <c r="C140" s="141" t="s">
        <v>208</v>
      </c>
      <c r="D140" s="142" t="e">
        <f>VLOOKUP('lương con lào '!C138,#REF!,13,0)</f>
        <v>#REF!</v>
      </c>
      <c r="E140" s="159" t="e">
        <f>D140*25000</f>
        <v>#REF!</v>
      </c>
      <c r="F140" s="577"/>
      <c r="G140" s="154"/>
      <c r="H140" s="618"/>
      <c r="I140" s="140" t="s">
        <v>207</v>
      </c>
      <c r="J140" s="141" t="s">
        <v>208</v>
      </c>
      <c r="K140" s="142" t="e">
        <f>VLOOKUP('lương con lào '!J138,#REF!,13,0)</f>
        <v>#REF!</v>
      </c>
      <c r="L140" s="159" t="e">
        <f>K140*25000</f>
        <v>#REF!</v>
      </c>
      <c r="M140" s="150"/>
      <c r="N140" s="628"/>
      <c r="O140" s="140" t="s">
        <v>207</v>
      </c>
      <c r="P140" s="141" t="s">
        <v>208</v>
      </c>
      <c r="Q140" s="142" t="e">
        <f>VLOOKUP('lương con lào '!P138,#REF!,13,0)</f>
        <v>#REF!</v>
      </c>
      <c r="R140" s="159" t="e">
        <f>Q140*25000</f>
        <v>#REF!</v>
      </c>
    </row>
    <row r="141" spans="1:19">
      <c r="B141" s="140" t="s">
        <v>508</v>
      </c>
      <c r="C141" s="141" t="s">
        <v>209</v>
      </c>
      <c r="D141" s="142" t="e">
        <f>VLOOKUP('lương con lào '!C138,#REF!,14,0)</f>
        <v>#REF!</v>
      </c>
      <c r="E141" s="159" t="e">
        <f>D141*35000</f>
        <v>#REF!</v>
      </c>
      <c r="F141" s="577"/>
      <c r="G141" s="154"/>
      <c r="H141" s="618"/>
      <c r="I141" s="140" t="s">
        <v>508</v>
      </c>
      <c r="J141" s="141" t="s">
        <v>209</v>
      </c>
      <c r="K141" s="142" t="e">
        <f>VLOOKUP('lương con lào '!J138,#REF!,14,0)</f>
        <v>#REF!</v>
      </c>
      <c r="L141" s="159" t="e">
        <f>K141*35000</f>
        <v>#REF!</v>
      </c>
      <c r="M141" s="150"/>
      <c r="N141" s="628"/>
      <c r="O141" s="140" t="s">
        <v>508</v>
      </c>
      <c r="P141" s="141" t="s">
        <v>209</v>
      </c>
      <c r="Q141" s="142" t="e">
        <f>VLOOKUP('lương con lào '!P138,#REF!,14,0)</f>
        <v>#REF!</v>
      </c>
      <c r="R141" s="159" t="e">
        <f>Q141*35000</f>
        <v>#REF!</v>
      </c>
    </row>
    <row r="142" spans="1:19">
      <c r="B142" s="140" t="s">
        <v>210</v>
      </c>
      <c r="C142" s="141" t="s">
        <v>211</v>
      </c>
      <c r="D142" s="142" t="e">
        <f>VLOOKUP('lương con lào '!C138,#REF!,10,0)</f>
        <v>#REF!</v>
      </c>
      <c r="E142" s="159" t="e">
        <f>VLOOKUP('lương con lào '!C138,#REF!,12,0)</f>
        <v>#REF!</v>
      </c>
      <c r="F142" s="573"/>
      <c r="G142" s="154"/>
      <c r="H142" s="618"/>
      <c r="I142" s="140" t="s">
        <v>210</v>
      </c>
      <c r="J142" s="141" t="s">
        <v>211</v>
      </c>
      <c r="K142" s="142" t="e">
        <f>VLOOKUP('lương con lào '!J138,#REF!,10,0)</f>
        <v>#REF!</v>
      </c>
      <c r="L142" s="159" t="e">
        <f>VLOOKUP('lương con lào '!J138,#REF!,12,0)</f>
        <v>#REF!</v>
      </c>
      <c r="M142" s="580"/>
      <c r="N142" s="628"/>
      <c r="O142" s="140" t="s">
        <v>210</v>
      </c>
      <c r="P142" s="141" t="s">
        <v>211</v>
      </c>
      <c r="Q142" s="142" t="e">
        <f>VLOOKUP('lương con lào '!P138,#REF!,10,0)</f>
        <v>#REF!</v>
      </c>
      <c r="R142" s="159" t="e">
        <f>VLOOKUP('lương con lào '!P138,#REF!,12,0)</f>
        <v>#REF!</v>
      </c>
    </row>
    <row r="143" spans="1:19">
      <c r="B143" s="140" t="s">
        <v>506</v>
      </c>
      <c r="C143" s="141"/>
      <c r="D143" s="142" t="e">
        <f>VLOOKUP('lương con lào '!C138,#REF!,11,0)</f>
        <v>#REF!</v>
      </c>
      <c r="E143" s="159"/>
      <c r="F143" s="573"/>
      <c r="G143" s="154"/>
      <c r="H143" s="618"/>
      <c r="I143" s="140" t="s">
        <v>506</v>
      </c>
      <c r="J143" s="141"/>
      <c r="K143" s="142" t="e">
        <f>VLOOKUP('lương con lào '!J138,#REF!,11,0)</f>
        <v>#REF!</v>
      </c>
      <c r="L143" s="159"/>
      <c r="M143" s="580"/>
      <c r="N143" s="628"/>
      <c r="O143" s="140" t="s">
        <v>506</v>
      </c>
      <c r="P143" s="141"/>
      <c r="Q143" s="142" t="e">
        <f>VLOOKUP('lương con lào '!P138,#REF!,11,0)</f>
        <v>#REF!</v>
      </c>
      <c r="R143" s="159"/>
    </row>
    <row r="144" spans="1:19">
      <c r="B144" s="143" t="s">
        <v>212</v>
      </c>
      <c r="C144" s="141" t="s">
        <v>213</v>
      </c>
      <c r="D144" s="141"/>
      <c r="E144" s="141"/>
      <c r="F144" s="574"/>
      <c r="G144" s="581"/>
      <c r="H144" s="618"/>
      <c r="I144" s="143" t="s">
        <v>212</v>
      </c>
      <c r="J144" s="141" t="s">
        <v>213</v>
      </c>
      <c r="K144" s="141"/>
      <c r="L144" s="141"/>
      <c r="M144" s="581"/>
      <c r="N144" s="628"/>
      <c r="O144" s="143" t="s">
        <v>212</v>
      </c>
      <c r="P144" s="141" t="s">
        <v>213</v>
      </c>
      <c r="Q144" s="141"/>
      <c r="R144" s="141"/>
    </row>
    <row r="145" spans="1:19">
      <c r="B145" s="144" t="s">
        <v>214</v>
      </c>
      <c r="C145" s="141" t="s">
        <v>215</v>
      </c>
      <c r="D145" s="141"/>
      <c r="E145" s="141"/>
      <c r="F145" s="644"/>
      <c r="G145" s="582"/>
      <c r="H145" s="618"/>
      <c r="I145" s="144" t="s">
        <v>214</v>
      </c>
      <c r="J145" s="141" t="s">
        <v>215</v>
      </c>
      <c r="K145" s="141"/>
      <c r="L145" s="141"/>
      <c r="M145" s="581"/>
      <c r="N145" s="628"/>
      <c r="O145" s="144" t="s">
        <v>214</v>
      </c>
      <c r="P145" s="141" t="s">
        <v>215</v>
      </c>
      <c r="Q145" s="141"/>
      <c r="R145" s="141"/>
    </row>
    <row r="146" spans="1:19" ht="15">
      <c r="B146" s="140" t="s">
        <v>216</v>
      </c>
      <c r="C146" s="141" t="s">
        <v>217</v>
      </c>
      <c r="D146" s="145"/>
      <c r="E146" s="142">
        <f>SUM(E145)</f>
        <v>0</v>
      </c>
      <c r="F146" s="575"/>
      <c r="G146" s="154"/>
      <c r="H146" s="618"/>
      <c r="I146" s="140" t="s">
        <v>216</v>
      </c>
      <c r="J146" s="141" t="s">
        <v>217</v>
      </c>
      <c r="K146" s="145"/>
      <c r="L146" s="142">
        <f>SUM(L145)</f>
        <v>0</v>
      </c>
      <c r="M146" s="154"/>
      <c r="N146" s="628"/>
      <c r="O146" s="140" t="s">
        <v>216</v>
      </c>
      <c r="P146" s="141" t="s">
        <v>217</v>
      </c>
      <c r="Q146" s="145"/>
      <c r="R146" s="142">
        <f>SUM(R145)</f>
        <v>0</v>
      </c>
    </row>
    <row r="147" spans="1:19">
      <c r="B147" s="146" t="s">
        <v>218</v>
      </c>
      <c r="C147" s="147" t="s">
        <v>219</v>
      </c>
      <c r="D147" s="148"/>
      <c r="E147" s="149" t="e">
        <f>(E143+E142+E141+E140)-E146</f>
        <v>#REF!</v>
      </c>
      <c r="F147" s="576"/>
      <c r="G147" s="152"/>
      <c r="H147" s="620"/>
      <c r="I147" s="146" t="s">
        <v>218</v>
      </c>
      <c r="J147" s="147" t="s">
        <v>219</v>
      </c>
      <c r="K147" s="148"/>
      <c r="L147" s="149" t="e">
        <f>(L142+L141+L140+L139)-L146</f>
        <v>#REF!</v>
      </c>
      <c r="M147" s="153"/>
      <c r="N147" s="628"/>
      <c r="O147" s="146" t="s">
        <v>218</v>
      </c>
      <c r="P147" s="147" t="s">
        <v>219</v>
      </c>
      <c r="Q147" s="148"/>
      <c r="R147" s="149" t="e">
        <f>(R142+R141+R140+R139)-R146</f>
        <v>#REF!</v>
      </c>
    </row>
    <row r="148" spans="1:19">
      <c r="B148" s="150"/>
      <c r="C148" s="151"/>
      <c r="D148" s="152"/>
      <c r="E148" s="153"/>
      <c r="F148" s="153"/>
      <c r="G148" s="152"/>
      <c r="H148" s="621"/>
      <c r="I148" s="150"/>
      <c r="J148" s="151"/>
      <c r="K148" s="152"/>
      <c r="L148" s="153"/>
      <c r="M148" s="153"/>
      <c r="N148" s="628"/>
      <c r="O148" s="579"/>
      <c r="P148" s="579"/>
      <c r="Q148" s="579"/>
    </row>
    <row r="149" spans="1:19">
      <c r="A149" s="605"/>
      <c r="B149" s="600"/>
      <c r="C149" s="600"/>
      <c r="D149" s="600"/>
      <c r="E149" s="600"/>
      <c r="F149" s="600"/>
      <c r="G149" s="600"/>
      <c r="H149" s="625"/>
      <c r="I149" s="600"/>
      <c r="J149" s="600"/>
      <c r="K149" s="600"/>
      <c r="L149" s="600"/>
      <c r="M149" s="600"/>
      <c r="N149" s="625"/>
      <c r="O149" s="600"/>
      <c r="P149" s="600"/>
      <c r="Q149" s="600"/>
      <c r="R149" s="600"/>
      <c r="S149" s="586"/>
    </row>
    <row r="150" spans="1:19">
      <c r="A150" s="32">
        <v>4</v>
      </c>
      <c r="B150" s="215"/>
      <c r="C150" s="612" t="s">
        <v>504</v>
      </c>
      <c r="D150" s="613"/>
      <c r="E150" s="614"/>
      <c r="F150" s="154"/>
      <c r="G150" s="154"/>
      <c r="H150" s="623">
        <v>12</v>
      </c>
      <c r="I150" s="215"/>
      <c r="J150" s="612" t="s">
        <v>504</v>
      </c>
      <c r="K150" s="613"/>
      <c r="L150" s="614"/>
      <c r="M150" s="154"/>
      <c r="N150" s="623">
        <v>20</v>
      </c>
      <c r="O150" s="215"/>
      <c r="P150" s="612" t="s">
        <v>504</v>
      </c>
      <c r="Q150" s="613"/>
      <c r="R150" s="614"/>
    </row>
    <row r="151" spans="1:19" ht="18">
      <c r="B151" s="134" t="s">
        <v>1</v>
      </c>
      <c r="C151" s="537"/>
      <c r="D151" s="155"/>
      <c r="E151" s="156" t="s">
        <v>72</v>
      </c>
      <c r="F151" s="571"/>
      <c r="G151" s="571"/>
      <c r="H151" s="624"/>
      <c r="I151" s="134" t="s">
        <v>1</v>
      </c>
      <c r="J151" s="537" t="s">
        <v>290</v>
      </c>
      <c r="K151" s="155"/>
      <c r="L151" s="156" t="s">
        <v>72</v>
      </c>
      <c r="M151" s="571"/>
      <c r="N151" s="624"/>
      <c r="O151" s="134" t="s">
        <v>1</v>
      </c>
      <c r="P151" s="537" t="s">
        <v>297</v>
      </c>
      <c r="Q151" s="155"/>
      <c r="R151" s="156" t="s">
        <v>72</v>
      </c>
    </row>
    <row r="152" spans="1:19" ht="18">
      <c r="B152" s="136" t="s">
        <v>205</v>
      </c>
      <c r="C152" s="137" t="s">
        <v>206</v>
      </c>
      <c r="D152" s="138"/>
      <c r="E152" s="139"/>
      <c r="F152" s="577"/>
      <c r="G152" s="154"/>
      <c r="H152" s="618"/>
      <c r="I152" s="136" t="s">
        <v>205</v>
      </c>
      <c r="J152" s="137" t="s">
        <v>206</v>
      </c>
      <c r="K152" s="138"/>
      <c r="L152" s="139"/>
      <c r="M152" s="150"/>
      <c r="N152" s="618"/>
      <c r="O152" s="136" t="s">
        <v>205</v>
      </c>
      <c r="P152" s="137" t="s">
        <v>206</v>
      </c>
      <c r="Q152" s="138"/>
      <c r="R152" s="139"/>
    </row>
    <row r="153" spans="1:19">
      <c r="B153" s="140" t="s">
        <v>207</v>
      </c>
      <c r="C153" s="141" t="s">
        <v>208</v>
      </c>
      <c r="D153" s="142" t="e">
        <f>VLOOKUP('lương con lào '!C151,#REF!,13,0)</f>
        <v>#REF!</v>
      </c>
      <c r="E153" s="159" t="e">
        <f>D153*25000</f>
        <v>#REF!</v>
      </c>
      <c r="F153" s="577"/>
      <c r="G153" s="154"/>
      <c r="H153" s="618"/>
      <c r="I153" s="140" t="s">
        <v>207</v>
      </c>
      <c r="J153" s="141" t="s">
        <v>208</v>
      </c>
      <c r="K153" s="142" t="e">
        <f>VLOOKUP('lương con lào '!J151,#REF!,13,0)</f>
        <v>#REF!</v>
      </c>
      <c r="L153" s="159" t="e">
        <f>K153*25000</f>
        <v>#REF!</v>
      </c>
      <c r="M153" s="150"/>
      <c r="N153" s="618"/>
      <c r="O153" s="140" t="s">
        <v>207</v>
      </c>
      <c r="P153" s="141" t="s">
        <v>208</v>
      </c>
      <c r="Q153" s="142" t="e">
        <f>VLOOKUP('lương con lào '!P151,#REF!,13,0)</f>
        <v>#REF!</v>
      </c>
      <c r="R153" s="159" t="e">
        <f>Q153*25000</f>
        <v>#REF!</v>
      </c>
    </row>
    <row r="154" spans="1:19">
      <c r="B154" s="140" t="s">
        <v>508</v>
      </c>
      <c r="C154" s="141" t="s">
        <v>209</v>
      </c>
      <c r="D154" s="142" t="e">
        <f>VLOOKUP('lương con lào '!C151,#REF!,14,0)</f>
        <v>#REF!</v>
      </c>
      <c r="E154" s="159" t="e">
        <f>D154*35000</f>
        <v>#REF!</v>
      </c>
      <c r="F154" s="577"/>
      <c r="G154" s="154"/>
      <c r="H154" s="618"/>
      <c r="I154" s="140" t="s">
        <v>508</v>
      </c>
      <c r="J154" s="141" t="s">
        <v>209</v>
      </c>
      <c r="K154" s="142" t="e">
        <f>VLOOKUP('lương con lào '!J151,#REF!,14,0)</f>
        <v>#REF!</v>
      </c>
      <c r="L154" s="159" t="e">
        <f>K154*35000</f>
        <v>#REF!</v>
      </c>
      <c r="M154" s="150"/>
      <c r="N154" s="618"/>
      <c r="O154" s="140" t="s">
        <v>508</v>
      </c>
      <c r="P154" s="141" t="s">
        <v>209</v>
      </c>
      <c r="Q154" s="142" t="e">
        <f>VLOOKUP('lương con lào '!P151,#REF!,14,0)</f>
        <v>#REF!</v>
      </c>
      <c r="R154" s="159" t="e">
        <f>Q154*35000</f>
        <v>#REF!</v>
      </c>
    </row>
    <row r="155" spans="1:19">
      <c r="B155" s="140" t="s">
        <v>210</v>
      </c>
      <c r="C155" s="141" t="s">
        <v>211</v>
      </c>
      <c r="D155" s="142" t="e">
        <f>VLOOKUP('lương con lào '!C151,#REF!,10,0)</f>
        <v>#REF!</v>
      </c>
      <c r="E155" s="159" t="e">
        <f>VLOOKUP('lương con lào '!C151,#REF!,12,0)</f>
        <v>#REF!</v>
      </c>
      <c r="F155" s="578"/>
      <c r="G155" s="593"/>
      <c r="H155" s="618"/>
      <c r="I155" s="140" t="s">
        <v>210</v>
      </c>
      <c r="J155" s="141" t="s">
        <v>211</v>
      </c>
      <c r="K155" s="142" t="e">
        <f>VLOOKUP('lương con lào '!J151,#REF!,10,0)</f>
        <v>#REF!</v>
      </c>
      <c r="L155" s="159" t="e">
        <f>VLOOKUP('lương con lào '!J151,#REF!,12,0)</f>
        <v>#REF!</v>
      </c>
      <c r="M155" s="583"/>
      <c r="N155" s="618"/>
      <c r="O155" s="140" t="s">
        <v>210</v>
      </c>
      <c r="P155" s="141" t="s">
        <v>211</v>
      </c>
      <c r="Q155" s="142" t="e">
        <f>VLOOKUP('lương con lào '!P151,#REF!,10,0)</f>
        <v>#REF!</v>
      </c>
      <c r="R155" s="159" t="e">
        <f>VLOOKUP('lương con lào '!P151,#REF!,12,0)</f>
        <v>#REF!</v>
      </c>
    </row>
    <row r="156" spans="1:19">
      <c r="B156" s="140" t="s">
        <v>506</v>
      </c>
      <c r="C156" s="141"/>
      <c r="D156" s="142" t="e">
        <f>VLOOKUP('lương con lào '!C151,#REF!,11,0)</f>
        <v>#REF!</v>
      </c>
      <c r="E156" s="159"/>
      <c r="F156" s="578"/>
      <c r="G156" s="593"/>
      <c r="H156" s="618"/>
      <c r="I156" s="140" t="s">
        <v>506</v>
      </c>
      <c r="J156" s="141"/>
      <c r="K156" s="142" t="e">
        <f>VLOOKUP('lương con lào '!J151,#REF!,11,0)</f>
        <v>#REF!</v>
      </c>
      <c r="L156" s="159"/>
      <c r="M156" s="583"/>
      <c r="N156" s="618"/>
      <c r="O156" s="140" t="s">
        <v>506</v>
      </c>
      <c r="P156" s="141"/>
      <c r="Q156" s="142" t="e">
        <f>VLOOKUP('lương con lào '!P151,#REF!,11,0)</f>
        <v>#REF!</v>
      </c>
      <c r="R156" s="159"/>
    </row>
    <row r="157" spans="1:19">
      <c r="B157" s="143" t="s">
        <v>212</v>
      </c>
      <c r="C157" s="141" t="s">
        <v>213</v>
      </c>
      <c r="D157" s="141"/>
      <c r="E157" s="141"/>
      <c r="F157" s="574"/>
      <c r="G157" s="581"/>
      <c r="H157" s="618"/>
      <c r="I157" s="143" t="s">
        <v>212</v>
      </c>
      <c r="J157" s="141" t="s">
        <v>213</v>
      </c>
      <c r="K157" s="141"/>
      <c r="L157" s="141"/>
      <c r="M157" s="581"/>
      <c r="N157" s="618"/>
      <c r="O157" s="143" t="s">
        <v>212</v>
      </c>
      <c r="P157" s="141" t="s">
        <v>213</v>
      </c>
      <c r="Q157" s="141"/>
      <c r="R157" s="141"/>
    </row>
    <row r="158" spans="1:19">
      <c r="B158" s="144" t="s">
        <v>214</v>
      </c>
      <c r="C158" s="141" t="s">
        <v>215</v>
      </c>
      <c r="D158" s="141"/>
      <c r="E158" s="141"/>
      <c r="F158" s="574"/>
      <c r="G158" s="581"/>
      <c r="H158" s="618"/>
      <c r="I158" s="144" t="s">
        <v>214</v>
      </c>
      <c r="J158" s="141" t="s">
        <v>215</v>
      </c>
      <c r="K158" s="141"/>
      <c r="L158" s="141"/>
      <c r="M158" s="581"/>
      <c r="N158" s="618"/>
      <c r="O158" s="144" t="s">
        <v>214</v>
      </c>
      <c r="P158" s="141" t="s">
        <v>215</v>
      </c>
      <c r="Q158" s="141"/>
      <c r="R158" s="141"/>
    </row>
    <row r="159" spans="1:19" ht="15">
      <c r="B159" s="140" t="s">
        <v>216</v>
      </c>
      <c r="C159" s="141" t="s">
        <v>217</v>
      </c>
      <c r="D159" s="145"/>
      <c r="E159" s="142">
        <f>SUM(E158)</f>
        <v>0</v>
      </c>
      <c r="F159" s="575"/>
      <c r="G159" s="154"/>
      <c r="H159" s="618"/>
      <c r="I159" s="140" t="s">
        <v>216</v>
      </c>
      <c r="J159" s="141" t="s">
        <v>217</v>
      </c>
      <c r="K159" s="145"/>
      <c r="L159" s="645">
        <f>SUM(L158)</f>
        <v>0</v>
      </c>
      <c r="M159" s="646"/>
      <c r="N159" s="618"/>
      <c r="O159" s="140" t="s">
        <v>216</v>
      </c>
      <c r="P159" s="141" t="s">
        <v>217</v>
      </c>
      <c r="Q159" s="145"/>
      <c r="R159" s="647">
        <f>SUM(R158)</f>
        <v>0</v>
      </c>
    </row>
    <row r="160" spans="1:19">
      <c r="B160" s="146" t="s">
        <v>218</v>
      </c>
      <c r="C160" s="147" t="s">
        <v>219</v>
      </c>
      <c r="D160" s="148"/>
      <c r="E160" s="149" t="e">
        <f>(E155+E154+E153+E152)-E159</f>
        <v>#REF!</v>
      </c>
      <c r="F160" s="576"/>
      <c r="G160" s="152"/>
      <c r="H160" s="620"/>
      <c r="I160" s="146" t="s">
        <v>218</v>
      </c>
      <c r="J160" s="147" t="s">
        <v>219</v>
      </c>
      <c r="K160" s="148"/>
      <c r="L160" s="149" t="e">
        <f>(L155+L154+L153+L152)-L159</f>
        <v>#REF!</v>
      </c>
      <c r="M160" s="153"/>
      <c r="N160" s="620"/>
      <c r="O160" s="146" t="s">
        <v>218</v>
      </c>
      <c r="P160" s="147" t="s">
        <v>219</v>
      </c>
      <c r="Q160" s="148"/>
      <c r="R160" s="149" t="e">
        <f>(R155+R154+R153+R152)-R159</f>
        <v>#REF!</v>
      </c>
    </row>
    <row r="161" spans="1:19" ht="15">
      <c r="B161" s="157"/>
      <c r="C161" s="157"/>
      <c r="D161" s="157"/>
      <c r="E161" s="157"/>
      <c r="F161" s="157"/>
      <c r="G161" s="594"/>
      <c r="H161" s="626"/>
      <c r="I161" s="157"/>
      <c r="J161" s="157"/>
      <c r="K161" s="157"/>
      <c r="L161" s="157"/>
      <c r="M161" s="157"/>
      <c r="N161" s="626"/>
      <c r="O161" s="584"/>
      <c r="P161" s="584"/>
      <c r="Q161" s="584"/>
      <c r="R161" s="157"/>
    </row>
    <row r="162" spans="1:19">
      <c r="A162" s="605"/>
      <c r="B162" s="600"/>
      <c r="C162" s="600"/>
      <c r="D162" s="600"/>
      <c r="E162" s="600"/>
      <c r="F162" s="600"/>
      <c r="G162" s="600"/>
      <c r="H162" s="625"/>
      <c r="I162" s="600"/>
      <c r="J162" s="600"/>
      <c r="K162" s="600"/>
      <c r="L162" s="600"/>
      <c r="M162" s="600"/>
      <c r="N162" s="625"/>
      <c r="O162" s="600"/>
      <c r="P162" s="600"/>
      <c r="Q162" s="600"/>
      <c r="R162" s="600"/>
      <c r="S162" s="586"/>
    </row>
    <row r="163" spans="1:19">
      <c r="A163" s="32">
        <v>5</v>
      </c>
      <c r="B163" s="215"/>
      <c r="C163" s="612" t="s">
        <v>504</v>
      </c>
      <c r="D163" s="613"/>
      <c r="E163" s="614"/>
      <c r="F163" s="154"/>
      <c r="G163" s="154"/>
      <c r="H163" s="623">
        <v>13</v>
      </c>
      <c r="I163" s="215"/>
      <c r="J163" s="612" t="s">
        <v>504</v>
      </c>
      <c r="K163" s="613"/>
      <c r="L163" s="614"/>
      <c r="M163" s="154"/>
      <c r="N163" s="623">
        <v>21</v>
      </c>
      <c r="O163" s="215"/>
      <c r="P163" s="612" t="s">
        <v>504</v>
      </c>
      <c r="Q163" s="613"/>
      <c r="R163" s="614"/>
    </row>
    <row r="164" spans="1:19" ht="18">
      <c r="B164" s="134" t="s">
        <v>1</v>
      </c>
      <c r="C164" s="537"/>
      <c r="D164" s="155"/>
      <c r="E164" s="156" t="s">
        <v>72</v>
      </c>
      <c r="F164" s="571"/>
      <c r="G164" s="571"/>
      <c r="H164" s="624"/>
      <c r="I164" s="134" t="s">
        <v>1</v>
      </c>
      <c r="J164" s="537" t="s">
        <v>342</v>
      </c>
      <c r="K164" s="155"/>
      <c r="L164" s="156" t="s">
        <v>72</v>
      </c>
      <c r="M164" s="571"/>
      <c r="N164" s="624"/>
      <c r="O164" s="134" t="s">
        <v>1</v>
      </c>
      <c r="P164" s="537" t="s">
        <v>340</v>
      </c>
      <c r="Q164" s="155"/>
      <c r="R164" s="156" t="s">
        <v>72</v>
      </c>
    </row>
    <row r="165" spans="1:19" ht="18">
      <c r="B165" s="136" t="s">
        <v>205</v>
      </c>
      <c r="C165" s="137" t="s">
        <v>206</v>
      </c>
      <c r="D165" s="138"/>
      <c r="E165" s="139"/>
      <c r="F165" s="577"/>
      <c r="G165" s="154"/>
      <c r="H165" s="618"/>
      <c r="I165" s="136" t="s">
        <v>205</v>
      </c>
      <c r="J165" s="137" t="s">
        <v>206</v>
      </c>
      <c r="K165" s="138"/>
      <c r="L165" s="139"/>
      <c r="M165" s="150"/>
      <c r="N165" s="618"/>
      <c r="O165" s="136" t="s">
        <v>205</v>
      </c>
      <c r="P165" s="137" t="s">
        <v>206</v>
      </c>
      <c r="Q165" s="138"/>
      <c r="R165" s="139"/>
    </row>
    <row r="166" spans="1:19">
      <c r="B166" s="140" t="s">
        <v>207</v>
      </c>
      <c r="C166" s="141" t="s">
        <v>208</v>
      </c>
      <c r="D166" s="142" t="e">
        <f>VLOOKUP('lương con lào '!C164,#REF!,13,0)</f>
        <v>#REF!</v>
      </c>
      <c r="E166" s="159" t="e">
        <f>D166*25000</f>
        <v>#REF!</v>
      </c>
      <c r="F166" s="577"/>
      <c r="G166" s="154"/>
      <c r="H166" s="618"/>
      <c r="I166" s="140" t="s">
        <v>207</v>
      </c>
      <c r="J166" s="141" t="s">
        <v>208</v>
      </c>
      <c r="K166" s="142" t="e">
        <f>VLOOKUP('lương con lào '!J164,#REF!,13,0)</f>
        <v>#REF!</v>
      </c>
      <c r="L166" s="159" t="e">
        <f>K166*25000</f>
        <v>#REF!</v>
      </c>
      <c r="M166" s="150"/>
      <c r="N166" s="618"/>
      <c r="O166" s="140" t="s">
        <v>207</v>
      </c>
      <c r="P166" s="141" t="s">
        <v>208</v>
      </c>
      <c r="Q166" s="142" t="e">
        <f>VLOOKUP('lương con lào '!P164,#REF!,13,0)</f>
        <v>#REF!</v>
      </c>
      <c r="R166" s="159" t="e">
        <f>Q166*25000</f>
        <v>#REF!</v>
      </c>
    </row>
    <row r="167" spans="1:19">
      <c r="B167" s="140" t="s">
        <v>508</v>
      </c>
      <c r="C167" s="141" t="s">
        <v>209</v>
      </c>
      <c r="D167" s="142" t="e">
        <f>VLOOKUP('lương con lào '!C164,#REF!,14,0)</f>
        <v>#REF!</v>
      </c>
      <c r="E167" s="159" t="e">
        <f>D167*35000</f>
        <v>#REF!</v>
      </c>
      <c r="F167" s="577"/>
      <c r="G167" s="154"/>
      <c r="H167" s="618"/>
      <c r="I167" s="140" t="s">
        <v>508</v>
      </c>
      <c r="J167" s="141" t="s">
        <v>209</v>
      </c>
      <c r="K167" s="142" t="e">
        <f>VLOOKUP('lương con lào '!J164,#REF!,14,0)</f>
        <v>#REF!</v>
      </c>
      <c r="L167" s="159" t="e">
        <f>K167*35000</f>
        <v>#REF!</v>
      </c>
      <c r="M167" s="150"/>
      <c r="N167" s="618"/>
      <c r="O167" s="140" t="s">
        <v>508</v>
      </c>
      <c r="P167" s="141" t="s">
        <v>209</v>
      </c>
      <c r="Q167" s="142" t="e">
        <f>VLOOKUP('lương con lào '!P164,#REF!,14,0)</f>
        <v>#REF!</v>
      </c>
      <c r="R167" s="159" t="e">
        <f>Q167*35000</f>
        <v>#REF!</v>
      </c>
    </row>
    <row r="168" spans="1:19">
      <c r="B168" s="140" t="s">
        <v>210</v>
      </c>
      <c r="C168" s="141" t="s">
        <v>211</v>
      </c>
      <c r="D168" s="142" t="e">
        <f>VLOOKUP('lương con lào '!C164,#REF!,10,0)</f>
        <v>#REF!</v>
      </c>
      <c r="E168" s="159" t="e">
        <f>VLOOKUP('lương con lào '!C164,#REF!,12,0)</f>
        <v>#REF!</v>
      </c>
      <c r="F168" s="573"/>
      <c r="G168" s="154"/>
      <c r="H168" s="618"/>
      <c r="I168" s="140" t="s">
        <v>210</v>
      </c>
      <c r="J168" s="141" t="s">
        <v>211</v>
      </c>
      <c r="K168" s="142" t="e">
        <f>VLOOKUP('lương con lào '!J164,#REF!,10,0)</f>
        <v>#REF!</v>
      </c>
      <c r="L168" s="159" t="e">
        <f>VLOOKUP('lương con lào '!J164,#REF!,12,0)</f>
        <v>#REF!</v>
      </c>
      <c r="M168" s="580"/>
      <c r="N168" s="618"/>
      <c r="O168" s="140" t="s">
        <v>210</v>
      </c>
      <c r="P168" s="141" t="s">
        <v>211</v>
      </c>
      <c r="Q168" s="142" t="e">
        <f>VLOOKUP('lương con lào '!P164,#REF!,10,0)</f>
        <v>#REF!</v>
      </c>
      <c r="R168" s="159" t="e">
        <f>VLOOKUP('lương con lào '!P164,#REF!,12,0)</f>
        <v>#REF!</v>
      </c>
    </row>
    <row r="169" spans="1:19">
      <c r="B169" s="140" t="s">
        <v>506</v>
      </c>
      <c r="C169" s="141"/>
      <c r="D169" s="142" t="e">
        <f>VLOOKUP('lương con lào '!C164,#REF!,11,0)</f>
        <v>#REF!</v>
      </c>
      <c r="E169" s="159"/>
      <c r="F169" s="573"/>
      <c r="G169" s="154"/>
      <c r="H169" s="618"/>
      <c r="I169" s="140" t="s">
        <v>506</v>
      </c>
      <c r="J169" s="141"/>
      <c r="K169" s="142" t="e">
        <f>VLOOKUP('lương con lào '!J164,#REF!,11,0)</f>
        <v>#REF!</v>
      </c>
      <c r="L169" s="159"/>
      <c r="M169" s="580"/>
      <c r="N169" s="618"/>
      <c r="O169" s="140" t="s">
        <v>506</v>
      </c>
      <c r="P169" s="141"/>
      <c r="Q169" s="142" t="e">
        <f>VLOOKUP('lương con lào '!P164,#REF!,11,0)</f>
        <v>#REF!</v>
      </c>
      <c r="R169" s="159"/>
    </row>
    <row r="170" spans="1:19">
      <c r="B170" s="143" t="s">
        <v>212</v>
      </c>
      <c r="C170" s="141" t="s">
        <v>213</v>
      </c>
      <c r="D170" s="141"/>
      <c r="E170" s="141"/>
      <c r="F170" s="574"/>
      <c r="G170" s="581"/>
      <c r="H170" s="618"/>
      <c r="I170" s="143" t="s">
        <v>212</v>
      </c>
      <c r="J170" s="141" t="s">
        <v>213</v>
      </c>
      <c r="K170" s="141"/>
      <c r="L170" s="141"/>
      <c r="M170" s="581"/>
      <c r="N170" s="618"/>
      <c r="O170" s="143" t="s">
        <v>212</v>
      </c>
      <c r="P170" s="141" t="s">
        <v>213</v>
      </c>
      <c r="Q170" s="141"/>
      <c r="R170" s="141"/>
    </row>
    <row r="171" spans="1:19">
      <c r="B171" s="144" t="s">
        <v>214</v>
      </c>
      <c r="C171" s="141" t="s">
        <v>215</v>
      </c>
      <c r="D171" s="141"/>
      <c r="E171" s="141"/>
      <c r="F171" s="574"/>
      <c r="G171" s="581"/>
      <c r="H171" s="618"/>
      <c r="I171" s="144" t="s">
        <v>214</v>
      </c>
      <c r="J171" s="141" t="s">
        <v>215</v>
      </c>
      <c r="K171" s="141"/>
      <c r="L171" s="162"/>
      <c r="M171" s="585"/>
      <c r="N171" s="618"/>
      <c r="O171" s="144" t="s">
        <v>214</v>
      </c>
      <c r="P171" s="141" t="s">
        <v>215</v>
      </c>
      <c r="Q171" s="141"/>
      <c r="R171" s="162"/>
    </row>
    <row r="172" spans="1:19" ht="15">
      <c r="B172" s="140" t="s">
        <v>216</v>
      </c>
      <c r="C172" s="141" t="s">
        <v>217</v>
      </c>
      <c r="D172" s="145"/>
      <c r="E172" s="142">
        <f>SUM(E171)</f>
        <v>0</v>
      </c>
      <c r="F172" s="575"/>
      <c r="G172" s="154"/>
      <c r="H172" s="618"/>
      <c r="I172" s="140" t="s">
        <v>216</v>
      </c>
      <c r="J172" s="141" t="s">
        <v>217</v>
      </c>
      <c r="K172" s="145"/>
      <c r="L172" s="159">
        <f>SUM(L171)</f>
        <v>0</v>
      </c>
      <c r="M172" s="580"/>
      <c r="N172" s="618"/>
      <c r="O172" s="140" t="s">
        <v>216</v>
      </c>
      <c r="P172" s="141" t="s">
        <v>217</v>
      </c>
      <c r="Q172" s="145"/>
      <c r="R172" s="159">
        <f>SUM(R171)</f>
        <v>0</v>
      </c>
    </row>
    <row r="173" spans="1:19">
      <c r="B173" s="146" t="s">
        <v>218</v>
      </c>
      <c r="C173" s="147" t="s">
        <v>219</v>
      </c>
      <c r="D173" s="148"/>
      <c r="E173" s="149" t="e">
        <f>(E168+E167+E166+E165)-E172</f>
        <v>#REF!</v>
      </c>
      <c r="F173" s="576"/>
      <c r="G173" s="152"/>
      <c r="H173" s="620"/>
      <c r="I173" s="146" t="s">
        <v>218</v>
      </c>
      <c r="J173" s="147" t="s">
        <v>219</v>
      </c>
      <c r="K173" s="148"/>
      <c r="L173" s="149" t="e">
        <f>(L168+L167+L166+L165)-L172</f>
        <v>#REF!</v>
      </c>
      <c r="M173" s="153"/>
      <c r="N173" s="620"/>
      <c r="O173" s="146" t="s">
        <v>218</v>
      </c>
      <c r="P173" s="147" t="s">
        <v>219</v>
      </c>
      <c r="Q173" s="148"/>
      <c r="R173" s="149" t="e">
        <f>(R168+R167+R166+R165)-R172</f>
        <v>#REF!</v>
      </c>
    </row>
    <row r="174" spans="1:19">
      <c r="B174" s="150"/>
      <c r="C174" s="151"/>
      <c r="D174" s="152"/>
      <c r="E174" s="153"/>
      <c r="F174" s="153"/>
      <c r="G174" s="152"/>
      <c r="H174" s="621"/>
      <c r="I174" s="150"/>
      <c r="J174" s="151"/>
      <c r="K174" s="152"/>
      <c r="L174" s="153"/>
      <c r="M174" s="153"/>
      <c r="N174" s="621"/>
      <c r="O174" s="150"/>
      <c r="P174" s="151"/>
      <c r="Q174" s="152"/>
      <c r="R174" s="153"/>
    </row>
    <row r="175" spans="1:19">
      <c r="A175" s="605"/>
      <c r="B175" s="600"/>
      <c r="C175" s="600"/>
      <c r="D175" s="600"/>
      <c r="E175" s="600"/>
      <c r="F175" s="600"/>
      <c r="G175" s="600"/>
      <c r="H175" s="625"/>
      <c r="I175" s="600"/>
      <c r="J175" s="600"/>
      <c r="K175" s="600"/>
      <c r="L175" s="600"/>
      <c r="M175" s="600"/>
      <c r="N175" s="625"/>
      <c r="O175" s="600"/>
      <c r="P175" s="600"/>
      <c r="Q175" s="600"/>
      <c r="R175" s="600"/>
      <c r="S175" s="586"/>
    </row>
    <row r="176" spans="1:19">
      <c r="A176" s="32">
        <v>6</v>
      </c>
      <c r="B176" s="215"/>
      <c r="C176" s="612" t="s">
        <v>504</v>
      </c>
      <c r="D176" s="613"/>
      <c r="E176" s="614"/>
      <c r="F176" s="154"/>
      <c r="G176" s="154"/>
      <c r="H176" s="623">
        <v>14</v>
      </c>
      <c r="I176" s="215"/>
      <c r="J176" s="612" t="s">
        <v>504</v>
      </c>
      <c r="K176" s="613"/>
      <c r="L176" s="614"/>
      <c r="M176" s="154"/>
      <c r="N176" s="623">
        <v>22</v>
      </c>
      <c r="O176" s="215"/>
      <c r="P176" s="612" t="s">
        <v>504</v>
      </c>
      <c r="Q176" s="613"/>
      <c r="R176" s="614"/>
    </row>
    <row r="177" spans="1:18" ht="18">
      <c r="B177" s="134" t="s">
        <v>1</v>
      </c>
      <c r="C177" s="537"/>
      <c r="D177" s="155"/>
      <c r="E177" s="156" t="s">
        <v>72</v>
      </c>
      <c r="F177" s="571"/>
      <c r="G177" s="571"/>
      <c r="H177" s="624"/>
      <c r="I177" s="134" t="s">
        <v>1</v>
      </c>
      <c r="J177" s="537" t="s">
        <v>302</v>
      </c>
      <c r="K177" s="155"/>
      <c r="L177" s="156" t="s">
        <v>72</v>
      </c>
      <c r="M177" s="571"/>
      <c r="N177" s="624"/>
      <c r="O177" s="134" t="s">
        <v>1</v>
      </c>
      <c r="P177" s="537" t="s">
        <v>404</v>
      </c>
      <c r="Q177" s="155"/>
      <c r="R177" s="156" t="s">
        <v>72</v>
      </c>
    </row>
    <row r="178" spans="1:18" ht="18">
      <c r="B178" s="136" t="s">
        <v>205</v>
      </c>
      <c r="C178" s="137" t="s">
        <v>206</v>
      </c>
      <c r="D178" s="138"/>
      <c r="E178" s="139"/>
      <c r="F178" s="577"/>
      <c r="G178" s="154"/>
      <c r="H178" s="618"/>
      <c r="I178" s="136" t="s">
        <v>205</v>
      </c>
      <c r="J178" s="137" t="s">
        <v>206</v>
      </c>
      <c r="K178" s="138"/>
      <c r="L178" s="139"/>
      <c r="M178" s="150"/>
      <c r="N178" s="618"/>
      <c r="O178" s="136" t="s">
        <v>205</v>
      </c>
      <c r="P178" s="137" t="s">
        <v>206</v>
      </c>
      <c r="Q178" s="138"/>
      <c r="R178" s="139"/>
    </row>
    <row r="179" spans="1:18">
      <c r="B179" s="140" t="s">
        <v>207</v>
      </c>
      <c r="C179" s="141" t="s">
        <v>208</v>
      </c>
      <c r="D179" s="142" t="e">
        <f>VLOOKUP('lương con lào '!C177,#REF!,13,0)</f>
        <v>#REF!</v>
      </c>
      <c r="E179" s="159" t="e">
        <f>D179*25000</f>
        <v>#REF!</v>
      </c>
      <c r="F179" s="577"/>
      <c r="G179" s="154"/>
      <c r="H179" s="618"/>
      <c r="I179" s="140" t="s">
        <v>207</v>
      </c>
      <c r="J179" s="141" t="s">
        <v>208</v>
      </c>
      <c r="K179" s="142" t="e">
        <f>VLOOKUP('lương con lào '!J177,#REF!,13,0)</f>
        <v>#REF!</v>
      </c>
      <c r="L179" s="159" t="e">
        <f>K179*25000</f>
        <v>#REF!</v>
      </c>
      <c r="M179" s="150"/>
      <c r="N179" s="618"/>
      <c r="O179" s="140" t="s">
        <v>207</v>
      </c>
      <c r="P179" s="141" t="s">
        <v>208</v>
      </c>
      <c r="Q179" s="142" t="e">
        <f>VLOOKUP('lương con lào '!P177,#REF!,13,0)</f>
        <v>#REF!</v>
      </c>
      <c r="R179" s="159" t="e">
        <f>Q179*25000</f>
        <v>#REF!</v>
      </c>
    </row>
    <row r="180" spans="1:18">
      <c r="B180" s="140" t="s">
        <v>508</v>
      </c>
      <c r="C180" s="141" t="s">
        <v>209</v>
      </c>
      <c r="D180" s="142" t="e">
        <f>VLOOKUP('lương con lào '!C177,#REF!,14,0)</f>
        <v>#REF!</v>
      </c>
      <c r="E180" s="159" t="e">
        <f>D180*35000</f>
        <v>#REF!</v>
      </c>
      <c r="F180" s="577"/>
      <c r="G180" s="154"/>
      <c r="H180" s="618"/>
      <c r="I180" s="140" t="s">
        <v>508</v>
      </c>
      <c r="J180" s="141" t="s">
        <v>209</v>
      </c>
      <c r="K180" s="142" t="e">
        <f>VLOOKUP('lương con lào '!J177,#REF!,14,0)</f>
        <v>#REF!</v>
      </c>
      <c r="L180" s="159" t="e">
        <f>K180*35000</f>
        <v>#REF!</v>
      </c>
      <c r="M180" s="150"/>
      <c r="N180" s="618"/>
      <c r="O180" s="140" t="s">
        <v>508</v>
      </c>
      <c r="P180" s="141" t="s">
        <v>209</v>
      </c>
      <c r="Q180" s="142" t="e">
        <f>VLOOKUP('lương con lào '!P177,#REF!,14,0)</f>
        <v>#REF!</v>
      </c>
      <c r="R180" s="159" t="e">
        <f>Q180*35000</f>
        <v>#REF!</v>
      </c>
    </row>
    <row r="181" spans="1:18">
      <c r="B181" s="140" t="s">
        <v>210</v>
      </c>
      <c r="C181" s="141" t="s">
        <v>211</v>
      </c>
      <c r="D181" s="142" t="e">
        <f>VLOOKUP('lương con lào '!C177,#REF!,10,0)</f>
        <v>#REF!</v>
      </c>
      <c r="E181" s="159" t="e">
        <f>VLOOKUP('lương con lào '!C177,#REF!,12,0)</f>
        <v>#REF!</v>
      </c>
      <c r="F181" s="573"/>
      <c r="G181" s="154"/>
      <c r="H181" s="618"/>
      <c r="I181" s="140" t="s">
        <v>210</v>
      </c>
      <c r="J181" s="141" t="s">
        <v>211</v>
      </c>
      <c r="K181" s="142" t="e">
        <f>VLOOKUP('lương con lào '!J177,#REF!,10,0)</f>
        <v>#REF!</v>
      </c>
      <c r="L181" s="159" t="e">
        <f>VLOOKUP('lương con lào '!J177,#REF!,12,0)</f>
        <v>#REF!</v>
      </c>
      <c r="M181" s="580"/>
      <c r="N181" s="618"/>
      <c r="O181" s="140" t="s">
        <v>210</v>
      </c>
      <c r="P181" s="141" t="s">
        <v>211</v>
      </c>
      <c r="Q181" s="142" t="e">
        <f>VLOOKUP('lương con lào '!P177,#REF!,10,0)</f>
        <v>#REF!</v>
      </c>
      <c r="R181" s="159" t="e">
        <f>VLOOKUP('lương con lào '!P177,#REF!,12,0)</f>
        <v>#REF!</v>
      </c>
    </row>
    <row r="182" spans="1:18">
      <c r="B182" s="140" t="s">
        <v>506</v>
      </c>
      <c r="C182" s="141"/>
      <c r="D182" s="142" t="e">
        <f>VLOOKUP('lương con lào '!C177,#REF!,11,0)</f>
        <v>#REF!</v>
      </c>
      <c r="E182" s="159"/>
      <c r="F182" s="573"/>
      <c r="G182" s="154"/>
      <c r="H182" s="618"/>
      <c r="I182" s="140" t="s">
        <v>506</v>
      </c>
      <c r="J182" s="141"/>
      <c r="K182" s="142" t="e">
        <f>VLOOKUP('lương con lào '!J177,#REF!,11,0)</f>
        <v>#REF!</v>
      </c>
      <c r="L182" s="159"/>
      <c r="M182" s="580"/>
      <c r="N182" s="618"/>
      <c r="O182" s="140" t="s">
        <v>506</v>
      </c>
      <c r="P182" s="141"/>
      <c r="Q182" s="142" t="e">
        <f>VLOOKUP('lương con lào '!P177,#REF!,11,0)</f>
        <v>#REF!</v>
      </c>
      <c r="R182" s="159"/>
    </row>
    <row r="183" spans="1:18">
      <c r="B183" s="143" t="s">
        <v>212</v>
      </c>
      <c r="C183" s="141" t="s">
        <v>213</v>
      </c>
      <c r="D183" s="141"/>
      <c r="E183" s="141"/>
      <c r="F183" s="574"/>
      <c r="G183" s="581"/>
      <c r="H183" s="618"/>
      <c r="I183" s="143" t="s">
        <v>212</v>
      </c>
      <c r="J183" s="141" t="s">
        <v>213</v>
      </c>
      <c r="K183" s="141"/>
      <c r="L183" s="141"/>
      <c r="M183" s="581"/>
      <c r="N183" s="618"/>
      <c r="O183" s="143" t="s">
        <v>212</v>
      </c>
      <c r="P183" s="141" t="s">
        <v>213</v>
      </c>
      <c r="Q183" s="141"/>
      <c r="R183" s="141"/>
    </row>
    <row r="184" spans="1:18">
      <c r="B184" s="144" t="s">
        <v>214</v>
      </c>
      <c r="C184" s="141" t="s">
        <v>215</v>
      </c>
      <c r="D184" s="141"/>
      <c r="E184" s="141"/>
      <c r="F184" s="574"/>
      <c r="G184" s="581"/>
      <c r="H184" s="618"/>
      <c r="I184" s="144" t="s">
        <v>214</v>
      </c>
      <c r="J184" s="141" t="s">
        <v>215</v>
      </c>
      <c r="K184" s="141"/>
      <c r="L184" s="141"/>
      <c r="M184" s="581"/>
      <c r="N184" s="618"/>
      <c r="O184" s="144" t="s">
        <v>214</v>
      </c>
      <c r="P184" s="141" t="s">
        <v>215</v>
      </c>
      <c r="Q184" s="141"/>
      <c r="R184" s="141"/>
    </row>
    <row r="185" spans="1:18" ht="15">
      <c r="B185" s="140" t="s">
        <v>216</v>
      </c>
      <c r="C185" s="141" t="s">
        <v>217</v>
      </c>
      <c r="D185" s="145"/>
      <c r="E185" s="142">
        <f>SUM(E184)</f>
        <v>0</v>
      </c>
      <c r="F185" s="575"/>
      <c r="G185" s="154"/>
      <c r="H185" s="618"/>
      <c r="I185" s="140" t="s">
        <v>216</v>
      </c>
      <c r="J185" s="141" t="s">
        <v>217</v>
      </c>
      <c r="K185" s="145"/>
      <c r="L185" s="645">
        <f>SUM(L184)</f>
        <v>0</v>
      </c>
      <c r="M185" s="646"/>
      <c r="N185" s="618"/>
      <c r="O185" s="140" t="s">
        <v>216</v>
      </c>
      <c r="P185" s="141" t="s">
        <v>217</v>
      </c>
      <c r="Q185" s="145"/>
      <c r="R185" s="645">
        <f>SUM(R184)</f>
        <v>0</v>
      </c>
    </row>
    <row r="186" spans="1:18">
      <c r="B186" s="146" t="s">
        <v>218</v>
      </c>
      <c r="C186" s="147" t="s">
        <v>219</v>
      </c>
      <c r="D186" s="148"/>
      <c r="E186" s="149" t="e">
        <f>(E181+E180+E179+E178)-E185</f>
        <v>#REF!</v>
      </c>
      <c r="F186" s="576"/>
      <c r="G186" s="152"/>
      <c r="H186" s="620"/>
      <c r="I186" s="146" t="s">
        <v>218</v>
      </c>
      <c r="J186" s="147" t="s">
        <v>219</v>
      </c>
      <c r="K186" s="148"/>
      <c r="L186" s="149" t="e">
        <f>(L181+L180+L179+L178)-L185</f>
        <v>#REF!</v>
      </c>
      <c r="M186" s="153"/>
      <c r="N186" s="620"/>
      <c r="O186" s="146" t="s">
        <v>218</v>
      </c>
      <c r="P186" s="147" t="s">
        <v>219</v>
      </c>
      <c r="Q186" s="148"/>
      <c r="R186" s="149" t="e">
        <f>(R181+R180+R179+R178)-R185</f>
        <v>#REF!</v>
      </c>
    </row>
    <row r="187" spans="1:18" ht="15">
      <c r="B187" s="157"/>
      <c r="C187" s="157"/>
      <c r="D187" s="157"/>
      <c r="E187" s="157"/>
      <c r="F187" s="157"/>
      <c r="G187" s="594"/>
      <c r="H187" s="626"/>
      <c r="I187" s="157"/>
      <c r="J187" s="157"/>
      <c r="K187" s="157"/>
      <c r="L187" s="157"/>
      <c r="M187" s="157"/>
      <c r="N187" s="626"/>
      <c r="O187" s="584"/>
      <c r="P187" s="584"/>
      <c r="Q187" s="584"/>
      <c r="R187" s="157"/>
    </row>
    <row r="188" spans="1:18">
      <c r="A188" s="605"/>
      <c r="B188" s="600"/>
      <c r="C188" s="600"/>
      <c r="D188" s="600"/>
      <c r="E188" s="600"/>
      <c r="F188" s="600"/>
      <c r="G188" s="600"/>
      <c r="H188" s="625"/>
      <c r="I188" s="600"/>
      <c r="J188" s="600"/>
      <c r="K188" s="600"/>
      <c r="L188" s="600"/>
      <c r="M188" s="600"/>
      <c r="N188" s="625"/>
      <c r="O188" s="600"/>
      <c r="P188" s="600"/>
      <c r="Q188" s="600"/>
      <c r="R188" s="600"/>
    </row>
    <row r="189" spans="1:18">
      <c r="A189" s="32">
        <v>7</v>
      </c>
      <c r="B189" s="215"/>
      <c r="C189" s="612" t="s">
        <v>504</v>
      </c>
      <c r="D189" s="613"/>
      <c r="E189" s="614"/>
      <c r="F189" s="154"/>
      <c r="G189" s="154"/>
      <c r="H189" s="623">
        <v>15</v>
      </c>
      <c r="I189" s="215"/>
      <c r="J189" s="612" t="s">
        <v>504</v>
      </c>
      <c r="K189" s="613"/>
      <c r="L189" s="614"/>
      <c r="M189" s="154"/>
      <c r="N189" s="623">
        <v>23</v>
      </c>
      <c r="O189" s="215"/>
      <c r="P189" s="612" t="s">
        <v>504</v>
      </c>
      <c r="Q189" s="613"/>
      <c r="R189" s="614"/>
    </row>
    <row r="190" spans="1:18" ht="18">
      <c r="B190" s="134" t="s">
        <v>1</v>
      </c>
      <c r="C190" s="537"/>
      <c r="D190" s="155"/>
      <c r="E190" s="156" t="s">
        <v>72</v>
      </c>
      <c r="F190" s="571"/>
      <c r="G190" s="571"/>
      <c r="H190" s="624"/>
      <c r="I190" s="134" t="s">
        <v>1</v>
      </c>
      <c r="J190" s="537" t="s">
        <v>305</v>
      </c>
      <c r="K190" s="155"/>
      <c r="L190" s="156" t="s">
        <v>72</v>
      </c>
      <c r="M190" s="571"/>
      <c r="N190" s="624"/>
      <c r="O190" s="134" t="s">
        <v>1</v>
      </c>
      <c r="P190" s="537" t="s">
        <v>294</v>
      </c>
      <c r="Q190" s="155"/>
      <c r="R190" s="156" t="s">
        <v>72</v>
      </c>
    </row>
    <row r="191" spans="1:18" ht="18">
      <c r="B191" s="136" t="s">
        <v>205</v>
      </c>
      <c r="C191" s="137" t="s">
        <v>206</v>
      </c>
      <c r="D191" s="138"/>
      <c r="E191" s="139"/>
      <c r="F191" s="577"/>
      <c r="G191" s="154"/>
      <c r="H191" s="618"/>
      <c r="I191" s="136" t="s">
        <v>205</v>
      </c>
      <c r="J191" s="137" t="s">
        <v>206</v>
      </c>
      <c r="K191" s="138"/>
      <c r="L191" s="139"/>
      <c r="M191" s="150"/>
      <c r="N191" s="618"/>
      <c r="O191" s="136" t="s">
        <v>205</v>
      </c>
      <c r="P191" s="137" t="s">
        <v>206</v>
      </c>
      <c r="Q191" s="138"/>
      <c r="R191" s="139"/>
    </row>
    <row r="192" spans="1:18">
      <c r="B192" s="140" t="s">
        <v>207</v>
      </c>
      <c r="C192" s="141" t="s">
        <v>208</v>
      </c>
      <c r="D192" s="142" t="e">
        <f>VLOOKUP('lương con lào '!C190,#REF!,13,0)</f>
        <v>#REF!</v>
      </c>
      <c r="E192" s="159" t="e">
        <f>D192*25000</f>
        <v>#REF!</v>
      </c>
      <c r="F192" s="577"/>
      <c r="G192" s="154"/>
      <c r="H192" s="618"/>
      <c r="I192" s="140" t="s">
        <v>207</v>
      </c>
      <c r="J192" s="141" t="s">
        <v>208</v>
      </c>
      <c r="K192" s="142" t="e">
        <f>VLOOKUP('lương con lào '!J190,#REF!,13,0)</f>
        <v>#REF!</v>
      </c>
      <c r="L192" s="159" t="e">
        <f>K192*25000</f>
        <v>#REF!</v>
      </c>
      <c r="M192" s="150"/>
      <c r="N192" s="618"/>
      <c r="O192" s="140" t="s">
        <v>207</v>
      </c>
      <c r="P192" s="141" t="s">
        <v>208</v>
      </c>
      <c r="Q192" s="142" t="e">
        <f>VLOOKUP('lương con lào '!P190,#REF!,13,0)</f>
        <v>#REF!</v>
      </c>
      <c r="R192" s="159" t="e">
        <f>Q192*25000</f>
        <v>#REF!</v>
      </c>
    </row>
    <row r="193" spans="1:18">
      <c r="B193" s="140" t="s">
        <v>508</v>
      </c>
      <c r="C193" s="141" t="s">
        <v>209</v>
      </c>
      <c r="D193" s="142" t="e">
        <f>VLOOKUP('lương con lào '!C190,#REF!,14,0)</f>
        <v>#REF!</v>
      </c>
      <c r="E193" s="159" t="e">
        <f>D193*35000</f>
        <v>#REF!</v>
      </c>
      <c r="F193" s="577"/>
      <c r="G193" s="154"/>
      <c r="H193" s="618"/>
      <c r="I193" s="140" t="s">
        <v>508</v>
      </c>
      <c r="J193" s="141" t="s">
        <v>209</v>
      </c>
      <c r="K193" s="142" t="e">
        <f>VLOOKUP('lương con lào '!J190,#REF!,14,0)</f>
        <v>#REF!</v>
      </c>
      <c r="L193" s="159" t="e">
        <f>K193*35000</f>
        <v>#REF!</v>
      </c>
      <c r="M193" s="150"/>
      <c r="N193" s="618"/>
      <c r="O193" s="140" t="s">
        <v>508</v>
      </c>
      <c r="P193" s="141" t="s">
        <v>209</v>
      </c>
      <c r="Q193" s="142" t="e">
        <f>VLOOKUP('lương con lào '!P190,#REF!,14,0)</f>
        <v>#REF!</v>
      </c>
      <c r="R193" s="159" t="e">
        <f>Q193*35000</f>
        <v>#REF!</v>
      </c>
    </row>
    <row r="194" spans="1:18">
      <c r="B194" s="140" t="s">
        <v>210</v>
      </c>
      <c r="C194" s="141" t="s">
        <v>211</v>
      </c>
      <c r="D194" s="142" t="e">
        <f>VLOOKUP('lương con lào '!C190,#REF!,10,0)</f>
        <v>#REF!</v>
      </c>
      <c r="E194" s="159" t="e">
        <f>VLOOKUP('lương con lào '!C190,#REF!,12,0)</f>
        <v>#REF!</v>
      </c>
      <c r="F194" s="573"/>
      <c r="G194" s="154"/>
      <c r="H194" s="618"/>
      <c r="I194" s="140" t="s">
        <v>210</v>
      </c>
      <c r="J194" s="141" t="s">
        <v>211</v>
      </c>
      <c r="K194" s="142" t="e">
        <f>VLOOKUP('lương con lào '!J190,#REF!,10,0)</f>
        <v>#REF!</v>
      </c>
      <c r="L194" s="159" t="e">
        <f>VLOOKUP('lương con lào '!J190,#REF!,12,0)</f>
        <v>#REF!</v>
      </c>
      <c r="M194" s="580"/>
      <c r="N194" s="618"/>
      <c r="O194" s="140" t="s">
        <v>210</v>
      </c>
      <c r="P194" s="141" t="s">
        <v>211</v>
      </c>
      <c r="Q194" s="142" t="e">
        <f>VLOOKUP('lương con lào '!P190,#REF!,10,0)</f>
        <v>#REF!</v>
      </c>
      <c r="R194" s="159" t="e">
        <f>VLOOKUP('lương con lào '!P190,#REF!,12,0)</f>
        <v>#REF!</v>
      </c>
    </row>
    <row r="195" spans="1:18">
      <c r="B195" s="140" t="s">
        <v>506</v>
      </c>
      <c r="C195" s="141"/>
      <c r="D195" s="142" t="e">
        <f>VLOOKUP('lương con lào '!C190,#REF!,11,0)</f>
        <v>#REF!</v>
      </c>
      <c r="E195" s="159"/>
      <c r="F195" s="573"/>
      <c r="G195" s="154"/>
      <c r="H195" s="618"/>
      <c r="I195" s="140" t="s">
        <v>506</v>
      </c>
      <c r="J195" s="141"/>
      <c r="K195" s="142" t="e">
        <f>VLOOKUP('lương con lào '!J190,#REF!,11,0)</f>
        <v>#REF!</v>
      </c>
      <c r="L195" s="159"/>
      <c r="M195" s="580"/>
      <c r="N195" s="618"/>
      <c r="O195" s="140" t="s">
        <v>506</v>
      </c>
      <c r="P195" s="141"/>
      <c r="Q195" s="142" t="e">
        <f>VLOOKUP('lương con lào '!P190,#REF!,11,0)</f>
        <v>#REF!</v>
      </c>
      <c r="R195" s="159"/>
    </row>
    <row r="196" spans="1:18">
      <c r="B196" s="143" t="s">
        <v>212</v>
      </c>
      <c r="C196" s="141" t="s">
        <v>213</v>
      </c>
      <c r="D196" s="141"/>
      <c r="E196" s="141"/>
      <c r="F196" s="574"/>
      <c r="G196" s="581"/>
      <c r="H196" s="618"/>
      <c r="I196" s="143" t="s">
        <v>212</v>
      </c>
      <c r="J196" s="141" t="s">
        <v>213</v>
      </c>
      <c r="K196" s="141"/>
      <c r="L196" s="141"/>
      <c r="M196" s="581"/>
      <c r="N196" s="618"/>
      <c r="O196" s="143" t="s">
        <v>212</v>
      </c>
      <c r="P196" s="141" t="s">
        <v>213</v>
      </c>
      <c r="Q196" s="141"/>
      <c r="R196" s="141"/>
    </row>
    <row r="197" spans="1:18">
      <c r="B197" s="144" t="s">
        <v>214</v>
      </c>
      <c r="C197" s="141" t="s">
        <v>215</v>
      </c>
      <c r="D197" s="141"/>
      <c r="E197" s="141"/>
      <c r="F197" s="574"/>
      <c r="G197" s="581"/>
      <c r="H197" s="618"/>
      <c r="I197" s="144" t="s">
        <v>214</v>
      </c>
      <c r="J197" s="141" t="s">
        <v>215</v>
      </c>
      <c r="K197" s="141"/>
      <c r="L197" s="141"/>
      <c r="M197" s="581"/>
      <c r="N197" s="618"/>
      <c r="O197" s="144" t="s">
        <v>214</v>
      </c>
      <c r="P197" s="141" t="s">
        <v>215</v>
      </c>
      <c r="Q197" s="141"/>
      <c r="R197" s="141"/>
    </row>
    <row r="198" spans="1:18" ht="15">
      <c r="B198" s="140" t="s">
        <v>216</v>
      </c>
      <c r="C198" s="141" t="s">
        <v>217</v>
      </c>
      <c r="D198" s="145"/>
      <c r="E198" s="142">
        <f>SUM(E197)</f>
        <v>0</v>
      </c>
      <c r="F198" s="575"/>
      <c r="G198" s="154"/>
      <c r="H198" s="618"/>
      <c r="I198" s="140" t="s">
        <v>216</v>
      </c>
      <c r="J198" s="141" t="s">
        <v>217</v>
      </c>
      <c r="K198" s="145"/>
      <c r="L198" s="142">
        <f>SUM(L197)</f>
        <v>0</v>
      </c>
      <c r="M198" s="154"/>
      <c r="N198" s="618"/>
      <c r="O198" s="140" t="s">
        <v>216</v>
      </c>
      <c r="P198" s="141" t="s">
        <v>217</v>
      </c>
      <c r="Q198" s="145"/>
      <c r="R198" s="142">
        <f>SUM(R197)</f>
        <v>0</v>
      </c>
    </row>
    <row r="199" spans="1:18">
      <c r="B199" s="146" t="s">
        <v>218</v>
      </c>
      <c r="C199" s="147" t="s">
        <v>219</v>
      </c>
      <c r="D199" s="148"/>
      <c r="E199" s="149" t="e">
        <f>(E194+E193+E192+E191)-E198</f>
        <v>#REF!</v>
      </c>
      <c r="F199" s="576"/>
      <c r="G199" s="152"/>
      <c r="H199" s="620"/>
      <c r="I199" s="146" t="s">
        <v>218</v>
      </c>
      <c r="J199" s="147" t="s">
        <v>219</v>
      </c>
      <c r="K199" s="148"/>
      <c r="L199" s="149" t="e">
        <f>(L194+L193+L192+L191)-L198</f>
        <v>#REF!</v>
      </c>
      <c r="M199" s="153"/>
      <c r="N199" s="620"/>
      <c r="O199" s="146" t="s">
        <v>218</v>
      </c>
      <c r="P199" s="147" t="s">
        <v>219</v>
      </c>
      <c r="Q199" s="148"/>
      <c r="R199" s="149" t="e">
        <f>(R194+R193+R192+R191)-R198</f>
        <v>#REF!</v>
      </c>
    </row>
    <row r="200" spans="1:18">
      <c r="B200" s="150"/>
      <c r="C200" s="151"/>
      <c r="D200" s="152"/>
      <c r="E200" s="153"/>
      <c r="F200" s="153"/>
      <c r="G200" s="152"/>
      <c r="H200" s="621"/>
      <c r="I200" s="150"/>
      <c r="J200" s="151"/>
      <c r="K200" s="152"/>
      <c r="L200" s="153"/>
      <c r="M200" s="153"/>
      <c r="N200" s="627"/>
      <c r="O200" s="630"/>
      <c r="P200" s="631"/>
      <c r="Q200" s="632"/>
      <c r="R200" s="153"/>
    </row>
    <row r="201" spans="1:18">
      <c r="A201" s="605"/>
      <c r="B201" s="600"/>
      <c r="C201" s="600"/>
      <c r="D201" s="600"/>
      <c r="E201" s="600"/>
      <c r="F201" s="600"/>
      <c r="G201" s="600"/>
      <c r="H201" s="625"/>
      <c r="I201" s="600"/>
      <c r="J201" s="600"/>
      <c r="K201" s="600"/>
      <c r="L201" s="600"/>
      <c r="M201" s="633"/>
      <c r="N201" s="607"/>
      <c r="O201" s="600"/>
      <c r="P201" s="600"/>
      <c r="Q201" s="600"/>
      <c r="R201" s="600"/>
    </row>
    <row r="202" spans="1:18">
      <c r="A202" s="32">
        <v>8</v>
      </c>
      <c r="B202" s="215"/>
      <c r="C202" s="612" t="s">
        <v>504</v>
      </c>
      <c r="D202" s="613"/>
      <c r="E202" s="614"/>
      <c r="F202" s="154"/>
      <c r="G202" s="154"/>
      <c r="H202" s="623">
        <v>16</v>
      </c>
      <c r="I202" s="215"/>
      <c r="J202" s="612" t="s">
        <v>504</v>
      </c>
      <c r="K202" s="613"/>
      <c r="L202" s="614"/>
      <c r="M202" s="634"/>
      <c r="N202" s="580"/>
      <c r="O202" s="4529"/>
      <c r="P202" s="4529"/>
      <c r="Q202" s="4529"/>
      <c r="R202" s="4529"/>
    </row>
    <row r="203" spans="1:18" ht="18">
      <c r="B203" s="134" t="s">
        <v>1</v>
      </c>
      <c r="C203" s="537"/>
      <c r="D203" s="155"/>
      <c r="E203" s="156" t="s">
        <v>72</v>
      </c>
      <c r="F203" s="571"/>
      <c r="G203" s="571"/>
      <c r="H203" s="624"/>
      <c r="I203" s="134" t="s">
        <v>1</v>
      </c>
      <c r="J203" s="537" t="s">
        <v>354</v>
      </c>
      <c r="K203" s="155"/>
      <c r="L203" s="156" t="s">
        <v>72</v>
      </c>
      <c r="M203" s="635"/>
      <c r="N203" s="606"/>
      <c r="O203" s="595"/>
      <c r="P203" s="599"/>
      <c r="Q203" s="596"/>
      <c r="R203" s="571"/>
    </row>
    <row r="204" spans="1:18" ht="18">
      <c r="B204" s="136" t="s">
        <v>205</v>
      </c>
      <c r="C204" s="137" t="s">
        <v>206</v>
      </c>
      <c r="D204" s="138"/>
      <c r="E204" s="139"/>
      <c r="F204" s="577"/>
      <c r="G204" s="154"/>
      <c r="H204" s="618"/>
      <c r="I204" s="136" t="s">
        <v>205</v>
      </c>
      <c r="J204" s="137" t="s">
        <v>206</v>
      </c>
      <c r="K204" s="138"/>
      <c r="L204" s="139"/>
      <c r="M204" s="636"/>
      <c r="N204" s="580"/>
      <c r="O204" s="595"/>
      <c r="P204" s="597"/>
      <c r="Q204" s="593"/>
      <c r="R204" s="150"/>
    </row>
    <row r="205" spans="1:18">
      <c r="B205" s="140" t="s">
        <v>207</v>
      </c>
      <c r="C205" s="141" t="s">
        <v>208</v>
      </c>
      <c r="D205" s="142" t="e">
        <f>VLOOKUP('lương con lào '!C203,#REF!,13,0)</f>
        <v>#REF!</v>
      </c>
      <c r="E205" s="159" t="e">
        <f>D205*25000</f>
        <v>#REF!</v>
      </c>
      <c r="F205" s="577"/>
      <c r="G205" s="154"/>
      <c r="H205" s="618"/>
      <c r="I205" s="140" t="s">
        <v>207</v>
      </c>
      <c r="J205" s="141" t="s">
        <v>208</v>
      </c>
      <c r="K205" s="142" t="e">
        <f>VLOOKUP('lương con lào '!J203,#REF!,13,0)</f>
        <v>#REF!</v>
      </c>
      <c r="L205" s="159" t="e">
        <f>K205*25000</f>
        <v>#REF!</v>
      </c>
      <c r="M205" s="636"/>
      <c r="N205" s="580"/>
      <c r="O205" s="595"/>
      <c r="P205" s="581"/>
      <c r="Q205" s="593"/>
      <c r="R205" s="150"/>
    </row>
    <row r="206" spans="1:18">
      <c r="B206" s="140" t="s">
        <v>508</v>
      </c>
      <c r="C206" s="141" t="s">
        <v>209</v>
      </c>
      <c r="D206" s="142" t="e">
        <f>VLOOKUP('lương con lào '!C203,#REF!,14,0)</f>
        <v>#REF!</v>
      </c>
      <c r="E206" s="159" t="e">
        <f>D206*35000</f>
        <v>#REF!</v>
      </c>
      <c r="F206" s="577"/>
      <c r="G206" s="154"/>
      <c r="H206" s="618"/>
      <c r="I206" s="140" t="s">
        <v>508</v>
      </c>
      <c r="J206" s="141" t="s">
        <v>209</v>
      </c>
      <c r="K206" s="142" t="e">
        <f>VLOOKUP('lương con lào '!J203,#REF!,14,0)</f>
        <v>#REF!</v>
      </c>
      <c r="L206" s="159" t="e">
        <f>K206*35000</f>
        <v>#REF!</v>
      </c>
      <c r="M206" s="636"/>
      <c r="N206" s="580"/>
      <c r="O206" s="595"/>
      <c r="P206" s="581"/>
      <c r="Q206" s="593"/>
      <c r="R206" s="150"/>
    </row>
    <row r="207" spans="1:18">
      <c r="B207" s="140" t="s">
        <v>210</v>
      </c>
      <c r="C207" s="141" t="s">
        <v>211</v>
      </c>
      <c r="D207" s="142" t="e">
        <f>VLOOKUP('lương con lào '!C203,#REF!,10,0)</f>
        <v>#REF!</v>
      </c>
      <c r="E207" s="159" t="e">
        <f>VLOOKUP('lương con lào '!C203,#REF!,12,0)</f>
        <v>#REF!</v>
      </c>
      <c r="F207" s="573"/>
      <c r="G207" s="154"/>
      <c r="H207" s="618"/>
      <c r="I207" s="140" t="s">
        <v>210</v>
      </c>
      <c r="J207" s="141" t="s">
        <v>211</v>
      </c>
      <c r="K207" s="142" t="e">
        <f>VLOOKUP('lương con lào '!J203,#REF!,10,0)</f>
        <v>#REF!</v>
      </c>
      <c r="L207" s="159" t="e">
        <f>VLOOKUP('lương con lào '!J203,#REF!,12,0)</f>
        <v>#REF!</v>
      </c>
      <c r="M207" s="637"/>
      <c r="N207" s="580"/>
      <c r="O207" s="595"/>
      <c r="P207" s="581"/>
      <c r="Q207" s="593"/>
      <c r="R207" s="580"/>
    </row>
    <row r="208" spans="1:18">
      <c r="B208" s="140" t="s">
        <v>506</v>
      </c>
      <c r="C208" s="141"/>
      <c r="D208" s="142" t="e">
        <f>VLOOKUP('lương con lào '!C203,#REF!,11,0)</f>
        <v>#REF!</v>
      </c>
      <c r="E208" s="159"/>
      <c r="F208" s="573"/>
      <c r="G208" s="154"/>
      <c r="H208" s="618"/>
      <c r="I208" s="140" t="s">
        <v>506</v>
      </c>
      <c r="J208" s="141"/>
      <c r="K208" s="142" t="e">
        <f>VLOOKUP('lương con lào '!J203,#REF!,11,0)</f>
        <v>#REF!</v>
      </c>
      <c r="L208" s="159"/>
      <c r="M208" s="637"/>
      <c r="N208" s="580"/>
      <c r="O208" s="595"/>
      <c r="P208" s="581"/>
      <c r="Q208" s="593"/>
      <c r="R208" s="580"/>
    </row>
    <row r="209" spans="2:18">
      <c r="B209" s="143" t="s">
        <v>212</v>
      </c>
      <c r="C209" s="141" t="s">
        <v>213</v>
      </c>
      <c r="D209" s="141"/>
      <c r="E209" s="141"/>
      <c r="F209" s="574"/>
      <c r="G209" s="581"/>
      <c r="H209" s="618"/>
      <c r="I209" s="143" t="s">
        <v>212</v>
      </c>
      <c r="J209" s="141" t="s">
        <v>213</v>
      </c>
      <c r="K209" s="141"/>
      <c r="L209" s="141"/>
      <c r="M209" s="638"/>
      <c r="N209" s="580"/>
      <c r="O209" s="150"/>
      <c r="P209" s="581"/>
      <c r="Q209" s="581"/>
      <c r="R209" s="581"/>
    </row>
    <row r="210" spans="2:18">
      <c r="B210" s="144" t="s">
        <v>214</v>
      </c>
      <c r="C210" s="141" t="s">
        <v>215</v>
      </c>
      <c r="D210" s="141"/>
      <c r="E210" s="141"/>
      <c r="F210" s="574"/>
      <c r="G210" s="581"/>
      <c r="H210" s="618"/>
      <c r="I210" s="144" t="s">
        <v>214</v>
      </c>
      <c r="J210" s="141" t="s">
        <v>215</v>
      </c>
      <c r="K210" s="141"/>
      <c r="L210" s="141"/>
      <c r="M210" s="638"/>
      <c r="N210" s="580"/>
      <c r="O210" s="598"/>
      <c r="P210" s="581"/>
      <c r="Q210" s="581"/>
      <c r="R210" s="581"/>
    </row>
    <row r="211" spans="2:18" ht="15">
      <c r="B211" s="140" t="s">
        <v>216</v>
      </c>
      <c r="C211" s="141" t="s">
        <v>217</v>
      </c>
      <c r="D211" s="145"/>
      <c r="E211" s="142">
        <f>SUM(E210)</f>
        <v>0</v>
      </c>
      <c r="F211" s="575"/>
      <c r="G211" s="154"/>
      <c r="H211" s="618"/>
      <c r="I211" s="140" t="s">
        <v>216</v>
      </c>
      <c r="J211" s="141" t="s">
        <v>217</v>
      </c>
      <c r="K211" s="145"/>
      <c r="L211" s="142">
        <f>SUM(L210)</f>
        <v>0</v>
      </c>
      <c r="M211" s="634"/>
      <c r="N211" s="580"/>
      <c r="O211" s="595"/>
      <c r="P211" s="581"/>
      <c r="Q211" s="584"/>
      <c r="R211" s="154"/>
    </row>
    <row r="212" spans="2:18">
      <c r="B212" s="146" t="s">
        <v>218</v>
      </c>
      <c r="C212" s="147" t="s">
        <v>219</v>
      </c>
      <c r="D212" s="148"/>
      <c r="E212" s="149" t="e">
        <f>(E207+E206+E205+E204)-E211</f>
        <v>#REF!</v>
      </c>
      <c r="F212" s="576"/>
      <c r="G212" s="152"/>
      <c r="H212" s="620"/>
      <c r="I212" s="146" t="s">
        <v>218</v>
      </c>
      <c r="J212" s="147" t="s">
        <v>219</v>
      </c>
      <c r="K212" s="148"/>
      <c r="L212" s="149" t="e">
        <f>(L207+L206+L205+L204)-L211</f>
        <v>#REF!</v>
      </c>
      <c r="M212" s="639"/>
      <c r="N212" s="153"/>
      <c r="O212" s="150"/>
      <c r="P212" s="151"/>
      <c r="Q212" s="152"/>
      <c r="R212" s="153"/>
    </row>
    <row r="213" spans="2:18">
      <c r="B213" s="150"/>
      <c r="C213" s="151"/>
      <c r="D213" s="152"/>
      <c r="E213" s="153"/>
      <c r="F213" s="153"/>
      <c r="G213" s="152"/>
      <c r="H213" s="627"/>
      <c r="I213" s="150"/>
      <c r="J213" s="151"/>
      <c r="K213" s="152"/>
      <c r="L213" s="153"/>
      <c r="M213" s="640"/>
    </row>
  </sheetData>
  <mergeCells count="8">
    <mergeCell ref="N110:Q110"/>
    <mergeCell ref="O202:R202"/>
    <mergeCell ref="A1:R1"/>
    <mergeCell ref="O94:R94"/>
    <mergeCell ref="N2:Q2"/>
    <mergeCell ref="I109:K109"/>
    <mergeCell ref="B109:D109"/>
    <mergeCell ref="A107:L107"/>
  </mergeCells>
  <phoneticPr fontId="36" type="noConversion"/>
  <printOptions horizontalCentered="1"/>
  <pageMargins left="0" right="0" top="0.2" bottom="0.21" header="0.2" footer="0.21"/>
  <pageSetup paperSize="9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CV86"/>
  <sheetViews>
    <sheetView topLeftCell="A43" workbookViewId="0">
      <selection activeCell="B74" sqref="B74:B76"/>
    </sheetView>
  </sheetViews>
  <sheetFormatPr defaultColWidth="9.140625" defaultRowHeight="12.75"/>
  <cols>
    <col min="1" max="1" width="3.5703125" style="28" customWidth="1"/>
    <col min="2" max="2" width="12.7109375" style="28" customWidth="1"/>
    <col min="3" max="3" width="17.140625" style="22" customWidth="1"/>
    <col min="4" max="34" width="3.5703125" style="22" customWidth="1"/>
    <col min="35" max="35" width="7" style="28" customWidth="1"/>
    <col min="36" max="36" width="4.7109375" style="28" hidden="1" customWidth="1"/>
    <col min="37" max="37" width="6" style="22" hidden="1" customWidth="1"/>
    <col min="38" max="40" width="3.5703125" style="22" hidden="1" customWidth="1"/>
    <col min="41" max="41" width="5.42578125" style="22" hidden="1" customWidth="1"/>
    <col min="42" max="42" width="5.42578125" style="22" customWidth="1"/>
    <col min="43" max="43" width="7.28515625" style="22" customWidth="1"/>
    <col min="44" max="44" width="5.7109375" style="22" customWidth="1"/>
    <col min="45" max="45" width="12.42578125" style="22" customWidth="1"/>
    <col min="46" max="46" width="5.7109375" style="22" customWidth="1"/>
    <col min="47" max="16384" width="9.140625" style="22"/>
  </cols>
  <sheetData>
    <row r="1" spans="1:100" ht="14.25" customHeight="1">
      <c r="A1" s="4534" t="s">
        <v>250</v>
      </c>
      <c r="B1" s="4534"/>
      <c r="C1" s="4534"/>
      <c r="D1" s="4534"/>
      <c r="E1" s="4534"/>
      <c r="F1" s="4534"/>
      <c r="G1" s="4534"/>
      <c r="H1" s="4534"/>
      <c r="I1" s="4534"/>
      <c r="J1" s="21"/>
      <c r="K1" s="21"/>
      <c r="L1" s="21"/>
      <c r="O1" s="21"/>
      <c r="P1" s="21"/>
      <c r="Q1" s="21"/>
      <c r="R1" s="21"/>
      <c r="S1" s="21"/>
      <c r="T1" s="21"/>
      <c r="U1" s="4535" t="s">
        <v>23</v>
      </c>
      <c r="V1" s="4535"/>
      <c r="W1" s="4535"/>
      <c r="X1" s="4535"/>
      <c r="Y1" s="4535"/>
      <c r="Z1" s="4535"/>
      <c r="AA1" s="4535"/>
      <c r="AB1" s="4535"/>
      <c r="AC1" s="4535"/>
      <c r="AD1" s="4535"/>
      <c r="AE1" s="4535"/>
      <c r="AF1" s="4535"/>
      <c r="AG1" s="4535"/>
      <c r="AH1" s="4535"/>
      <c r="AI1" s="4535"/>
      <c r="AJ1" s="4535"/>
      <c r="AK1" s="4535"/>
      <c r="AL1" s="4535"/>
      <c r="AM1" s="4535"/>
      <c r="AN1" s="4535"/>
      <c r="AO1" s="4535"/>
    </row>
    <row r="2" spans="1:100" ht="14.25" customHeight="1">
      <c r="A2" s="4535" t="s">
        <v>90</v>
      </c>
      <c r="B2" s="4535"/>
      <c r="C2" s="4535"/>
      <c r="D2" s="4535"/>
      <c r="E2" s="4535"/>
      <c r="F2" s="4535"/>
      <c r="G2" s="4535"/>
      <c r="H2" s="4535"/>
      <c r="I2" s="4535"/>
      <c r="J2" s="23"/>
      <c r="K2" s="23"/>
      <c r="L2" s="23"/>
      <c r="O2" s="23"/>
      <c r="P2" s="23"/>
      <c r="Q2" s="23"/>
      <c r="R2" s="23"/>
      <c r="S2" s="23"/>
      <c r="T2" s="23"/>
      <c r="U2" s="4534" t="s">
        <v>45</v>
      </c>
      <c r="V2" s="4534"/>
      <c r="W2" s="4534"/>
      <c r="X2" s="4534"/>
      <c r="Y2" s="4534"/>
      <c r="Z2" s="4534"/>
      <c r="AA2" s="4534"/>
      <c r="AB2" s="4534"/>
      <c r="AC2" s="4534"/>
      <c r="AD2" s="4534"/>
      <c r="AE2" s="4534"/>
      <c r="AF2" s="4534"/>
      <c r="AG2" s="4534"/>
      <c r="AH2" s="4534"/>
      <c r="AI2" s="4534"/>
      <c r="AJ2" s="4534"/>
      <c r="AK2" s="4534"/>
      <c r="AL2" s="4534"/>
      <c r="AM2" s="4534"/>
      <c r="AN2" s="4534"/>
      <c r="AO2" s="4534"/>
    </row>
    <row r="3" spans="1:100" ht="34.5" customHeight="1">
      <c r="A3" s="4536" t="s">
        <v>790</v>
      </c>
      <c r="B3" s="4536"/>
      <c r="C3" s="4536"/>
      <c r="D3" s="4536"/>
      <c r="E3" s="4536"/>
      <c r="F3" s="4536"/>
      <c r="G3" s="4536"/>
      <c r="H3" s="4536"/>
      <c r="I3" s="4536"/>
      <c r="J3" s="4536"/>
      <c r="K3" s="4536"/>
      <c r="L3" s="4536"/>
      <c r="M3" s="4536"/>
      <c r="N3" s="4536"/>
      <c r="O3" s="4536"/>
      <c r="P3" s="4536"/>
      <c r="Q3" s="4536"/>
      <c r="R3" s="4536"/>
      <c r="S3" s="4536"/>
      <c r="T3" s="4536"/>
      <c r="U3" s="4536"/>
      <c r="V3" s="4536"/>
      <c r="W3" s="4536"/>
      <c r="X3" s="4536"/>
      <c r="Y3" s="4536"/>
      <c r="Z3" s="4536"/>
      <c r="AA3" s="4536"/>
      <c r="AB3" s="4536"/>
      <c r="AC3" s="4536"/>
      <c r="AD3" s="4536"/>
      <c r="AE3" s="4536"/>
      <c r="AF3" s="4536"/>
      <c r="AG3" s="4536"/>
      <c r="AH3" s="4536"/>
      <c r="AI3" s="4536"/>
      <c r="AJ3" s="4536"/>
      <c r="AK3" s="4536"/>
      <c r="AL3" s="4536"/>
      <c r="AM3" s="4536"/>
      <c r="AN3" s="4536"/>
      <c r="AO3" s="4536"/>
    </row>
    <row r="4" spans="1:100" ht="24.75" customHeight="1">
      <c r="A4" s="4537" t="s">
        <v>791</v>
      </c>
      <c r="B4" s="4537"/>
      <c r="C4" s="4538"/>
      <c r="D4" s="4538"/>
      <c r="E4" s="4538"/>
      <c r="F4" s="4538"/>
      <c r="G4" s="4538"/>
      <c r="H4" s="4538"/>
      <c r="I4" s="4538"/>
      <c r="J4" s="4538"/>
      <c r="K4" s="4538"/>
      <c r="L4" s="4538"/>
      <c r="M4" s="4538"/>
      <c r="N4" s="4538"/>
      <c r="O4" s="4538"/>
      <c r="P4" s="4538"/>
      <c r="Q4" s="4538"/>
      <c r="R4" s="4538"/>
      <c r="S4" s="4538"/>
      <c r="T4" s="4538"/>
      <c r="U4" s="4538"/>
      <c r="V4" s="4538"/>
      <c r="W4" s="4538"/>
      <c r="X4" s="4538"/>
      <c r="Y4" s="4538"/>
      <c r="Z4" s="4538"/>
      <c r="AA4" s="4538"/>
      <c r="AB4" s="4538"/>
      <c r="AC4" s="4538"/>
      <c r="AD4" s="4538"/>
      <c r="AE4" s="4538"/>
      <c r="AF4" s="4538"/>
      <c r="AG4" s="4538"/>
      <c r="AH4" s="4538"/>
      <c r="AI4" s="4538"/>
      <c r="AJ4" s="4538"/>
      <c r="AK4" s="4538"/>
      <c r="AL4" s="4538"/>
      <c r="AM4" s="4538"/>
      <c r="AN4" s="4538"/>
      <c r="AO4" s="4538"/>
    </row>
    <row r="5" spans="1:100" ht="14.25" customHeight="1">
      <c r="A5" s="4539" t="s">
        <v>136</v>
      </c>
      <c r="B5" s="4542" t="s">
        <v>163</v>
      </c>
      <c r="C5" s="4540" t="s">
        <v>24</v>
      </c>
      <c r="D5" s="4544" t="s">
        <v>25</v>
      </c>
      <c r="E5" s="4545"/>
      <c r="F5" s="4545"/>
      <c r="G5" s="4545"/>
      <c r="H5" s="4545"/>
      <c r="I5" s="4545"/>
      <c r="J5" s="4545"/>
      <c r="K5" s="4545"/>
      <c r="L5" s="4545"/>
      <c r="M5" s="4545"/>
      <c r="N5" s="4545"/>
      <c r="O5" s="4545"/>
      <c r="P5" s="4545"/>
      <c r="Q5" s="4545"/>
      <c r="R5" s="4545"/>
      <c r="S5" s="4545"/>
      <c r="T5" s="4545"/>
      <c r="U5" s="4545"/>
      <c r="V5" s="4545"/>
      <c r="W5" s="4545"/>
      <c r="X5" s="4545"/>
      <c r="Y5" s="4545"/>
      <c r="Z5" s="4545"/>
      <c r="AA5" s="4545"/>
      <c r="AB5" s="4545"/>
      <c r="AC5" s="4545"/>
      <c r="AD5" s="4545"/>
      <c r="AE5" s="4545"/>
      <c r="AF5" s="4545"/>
      <c r="AG5" s="4545"/>
      <c r="AH5" s="768"/>
      <c r="AI5" s="4541" t="s">
        <v>26</v>
      </c>
      <c r="AJ5" s="4541"/>
      <c r="AK5" s="4541" t="s">
        <v>27</v>
      </c>
      <c r="AL5" s="4541"/>
      <c r="AM5" s="71"/>
      <c r="AN5" s="71"/>
      <c r="AO5" s="4541" t="s">
        <v>92</v>
      </c>
    </row>
    <row r="6" spans="1:100" ht="15" customHeight="1">
      <c r="A6" s="4539"/>
      <c r="B6" s="4543"/>
      <c r="C6" s="4539"/>
      <c r="D6" s="851">
        <v>1</v>
      </c>
      <c r="E6" s="851">
        <v>2</v>
      </c>
      <c r="F6" s="851">
        <v>3</v>
      </c>
      <c r="G6" s="851">
        <v>4</v>
      </c>
      <c r="H6" s="851">
        <v>5</v>
      </c>
      <c r="I6" s="282">
        <v>6</v>
      </c>
      <c r="J6" s="851">
        <v>7</v>
      </c>
      <c r="K6" s="851">
        <v>8</v>
      </c>
      <c r="L6" s="851">
        <v>9</v>
      </c>
      <c r="M6" s="851">
        <v>10</v>
      </c>
      <c r="N6" s="851">
        <v>11</v>
      </c>
      <c r="O6" s="851">
        <v>12</v>
      </c>
      <c r="P6" s="282">
        <v>13</v>
      </c>
      <c r="Q6" s="851">
        <v>14</v>
      </c>
      <c r="R6" s="851">
        <v>15</v>
      </c>
      <c r="S6" s="851">
        <v>16</v>
      </c>
      <c r="T6" s="852">
        <v>17</v>
      </c>
      <c r="U6" s="851">
        <v>18</v>
      </c>
      <c r="V6" s="851">
        <v>19</v>
      </c>
      <c r="W6" s="282">
        <v>20</v>
      </c>
      <c r="X6" s="851">
        <v>21</v>
      </c>
      <c r="Y6" s="851">
        <v>22</v>
      </c>
      <c r="Z6" s="851">
        <v>23</v>
      </c>
      <c r="AA6" s="851">
        <v>24</v>
      </c>
      <c r="AB6" s="851">
        <v>25</v>
      </c>
      <c r="AC6" s="851">
        <v>26</v>
      </c>
      <c r="AD6" s="282">
        <v>27</v>
      </c>
      <c r="AE6" s="851">
        <v>28</v>
      </c>
      <c r="AF6" s="851">
        <v>29</v>
      </c>
      <c r="AG6" s="851">
        <v>30</v>
      </c>
      <c r="AH6" s="851">
        <v>31</v>
      </c>
      <c r="AI6" s="4539"/>
      <c r="AJ6" s="4539"/>
      <c r="AK6" s="4539"/>
      <c r="AL6" s="4539"/>
      <c r="AM6" s="220" t="s">
        <v>28</v>
      </c>
      <c r="AN6" s="71"/>
      <c r="AO6" s="4539"/>
      <c r="AP6" s="22" t="s">
        <v>28</v>
      </c>
      <c r="AQ6" s="22" t="s">
        <v>146</v>
      </c>
    </row>
    <row r="7" spans="1:100" s="37" customFormat="1" ht="15" customHeight="1">
      <c r="A7" s="732">
        <v>1</v>
      </c>
      <c r="B7" s="761" t="e">
        <f>VLOOKUP(C7,#REF!,2,0)</f>
        <v>#REF!</v>
      </c>
      <c r="C7" s="749" t="s">
        <v>132</v>
      </c>
      <c r="D7" s="744" t="s">
        <v>29</v>
      </c>
      <c r="E7" s="744" t="s">
        <v>29</v>
      </c>
      <c r="F7" s="744" t="s">
        <v>29</v>
      </c>
      <c r="G7" s="744" t="s">
        <v>29</v>
      </c>
      <c r="H7" s="744" t="s">
        <v>29</v>
      </c>
      <c r="I7" s="744" t="s">
        <v>133</v>
      </c>
      <c r="J7" s="744" t="s">
        <v>29</v>
      </c>
      <c r="K7" s="744" t="s">
        <v>29</v>
      </c>
      <c r="L7" s="744" t="s">
        <v>29</v>
      </c>
      <c r="M7" s="744" t="s">
        <v>29</v>
      </c>
      <c r="N7" s="744" t="s">
        <v>29</v>
      </c>
      <c r="O7" s="744" t="s">
        <v>29</v>
      </c>
      <c r="P7" s="744" t="s">
        <v>133</v>
      </c>
      <c r="Q7" s="744" t="s">
        <v>29</v>
      </c>
      <c r="R7" s="744" t="s">
        <v>29</v>
      </c>
      <c r="S7" s="744" t="s">
        <v>29</v>
      </c>
      <c r="T7" s="744" t="s">
        <v>29</v>
      </c>
      <c r="U7" s="744" t="s">
        <v>29</v>
      </c>
      <c r="V7" s="744" t="s">
        <v>29</v>
      </c>
      <c r="W7" s="744" t="s">
        <v>133</v>
      </c>
      <c r="X7" s="744" t="s">
        <v>29</v>
      </c>
      <c r="Y7" s="744" t="s">
        <v>29</v>
      </c>
      <c r="Z7" s="744" t="s">
        <v>29</v>
      </c>
      <c r="AA7" s="744" t="s">
        <v>29</v>
      </c>
      <c r="AB7" s="744" t="s">
        <v>29</v>
      </c>
      <c r="AC7" s="744" t="s">
        <v>29</v>
      </c>
      <c r="AD7" s="744" t="s">
        <v>133</v>
      </c>
      <c r="AE7" s="744" t="s">
        <v>29</v>
      </c>
      <c r="AF7" s="744" t="s">
        <v>29</v>
      </c>
      <c r="AG7" s="744" t="s">
        <v>29</v>
      </c>
      <c r="AH7" s="744"/>
      <c r="AI7" s="745">
        <f>COUNTIFS(D7:AH7,"x")+COUNTIF(D7:AG7,"P")</f>
        <v>26</v>
      </c>
      <c r="AJ7" s="746">
        <f>COUNTIF(D7:AE7,"B")</f>
        <v>0</v>
      </c>
      <c r="AK7" s="747">
        <f t="shared" ref="AK7:AK25" si="0">COUNTIF(D7:AG7,"x")</f>
        <v>26</v>
      </c>
      <c r="AL7" s="747">
        <f>COUNTIF(D7:AE7,"đh")+COUNTIF(D7:AE7,"NL")</f>
        <v>0</v>
      </c>
      <c r="AM7" s="748">
        <f>COUNTIF(D7:AE7,"P")</f>
        <v>0</v>
      </c>
      <c r="AN7" s="749"/>
      <c r="AO7" s="745"/>
      <c r="AP7" s="22">
        <f>COUNTIF(D7:AG7,"P")</f>
        <v>0</v>
      </c>
      <c r="AQ7" s="22">
        <f>COUNTIF(D7:AG7,"K")</f>
        <v>0</v>
      </c>
    </row>
    <row r="8" spans="1:100" s="682" customFormat="1" ht="15" customHeight="1">
      <c r="A8" s="736">
        <v>2</v>
      </c>
      <c r="B8" s="690" t="s">
        <v>338</v>
      </c>
      <c r="C8" s="753" t="s">
        <v>511</v>
      </c>
      <c r="D8" s="744" t="s">
        <v>29</v>
      </c>
      <c r="E8" s="744" t="s">
        <v>29</v>
      </c>
      <c r="F8" s="744" t="s">
        <v>29</v>
      </c>
      <c r="G8" s="744" t="s">
        <v>29</v>
      </c>
      <c r="H8" s="744" t="s">
        <v>29</v>
      </c>
      <c r="I8" s="744" t="s">
        <v>133</v>
      </c>
      <c r="J8" s="744" t="s">
        <v>29</v>
      </c>
      <c r="K8" s="744" t="s">
        <v>29</v>
      </c>
      <c r="L8" s="744" t="s">
        <v>29</v>
      </c>
      <c r="M8" s="744" t="s">
        <v>29</v>
      </c>
      <c r="N8" s="744" t="s">
        <v>29</v>
      </c>
      <c r="O8" s="744" t="s">
        <v>29</v>
      </c>
      <c r="P8" s="744" t="s">
        <v>133</v>
      </c>
      <c r="Q8" s="744" t="s">
        <v>29</v>
      </c>
      <c r="R8" s="744" t="s">
        <v>29</v>
      </c>
      <c r="S8" s="744" t="s">
        <v>29</v>
      </c>
      <c r="T8" s="744" t="s">
        <v>29</v>
      </c>
      <c r="U8" s="744" t="s">
        <v>29</v>
      </c>
      <c r="V8" s="744" t="s">
        <v>29</v>
      </c>
      <c r="W8" s="744" t="s">
        <v>133</v>
      </c>
      <c r="X8" s="744" t="s">
        <v>29</v>
      </c>
      <c r="Y8" s="744" t="s">
        <v>29</v>
      </c>
      <c r="Z8" s="744" t="s">
        <v>29</v>
      </c>
      <c r="AA8" s="744" t="s">
        <v>29</v>
      </c>
      <c r="AB8" s="744" t="s">
        <v>29</v>
      </c>
      <c r="AC8" s="744" t="s">
        <v>29</v>
      </c>
      <c r="AD8" s="744" t="s">
        <v>133</v>
      </c>
      <c r="AE8" s="744" t="s">
        <v>29</v>
      </c>
      <c r="AF8" s="744" t="s">
        <v>29</v>
      </c>
      <c r="AG8" s="744" t="s">
        <v>29</v>
      </c>
      <c r="AH8" s="744"/>
      <c r="AI8" s="745">
        <f t="shared" ref="AI8:AI27" si="1">COUNTIFS(D8:AH8,"x")+COUNTIF(D8:AG8,"P")</f>
        <v>26</v>
      </c>
      <c r="AJ8" s="750">
        <f>COUNTIF(D8:AE8,"B")</f>
        <v>0</v>
      </c>
      <c r="AK8" s="751">
        <f t="shared" si="0"/>
        <v>26</v>
      </c>
      <c r="AL8" s="751">
        <f>COUNTIF(D8:AE8,"đh")+COUNTIF(D8:AE8,"NL")</f>
        <v>0</v>
      </c>
      <c r="AM8" s="752">
        <f>COUNTIF(D8:AE8,"P")</f>
        <v>0</v>
      </c>
      <c r="AN8" s="753"/>
      <c r="AO8" s="753"/>
      <c r="AP8" s="676">
        <f>COUNTIF(D8:AG8,"P")</f>
        <v>0</v>
      </c>
      <c r="AQ8" s="676">
        <f>COUNTIF(D8:AG8,"K")</f>
        <v>0</v>
      </c>
      <c r="AR8" s="676"/>
      <c r="AS8" s="676"/>
      <c r="AT8" s="676"/>
      <c r="AU8" s="676"/>
      <c r="AV8" s="676"/>
      <c r="AW8" s="676"/>
      <c r="AX8" s="676"/>
      <c r="AY8" s="676"/>
      <c r="AZ8" s="676"/>
      <c r="BA8" s="676"/>
      <c r="BB8" s="676"/>
      <c r="BC8" s="676"/>
      <c r="BD8" s="676"/>
      <c r="BE8" s="676"/>
      <c r="BF8" s="676"/>
      <c r="BG8" s="676"/>
      <c r="BH8" s="676"/>
      <c r="BI8" s="676"/>
      <c r="BJ8" s="676"/>
      <c r="BK8" s="676"/>
      <c r="BL8" s="676"/>
      <c r="BM8" s="676"/>
      <c r="BN8" s="676"/>
      <c r="BO8" s="676"/>
      <c r="BP8" s="676"/>
      <c r="BQ8" s="676"/>
      <c r="BR8" s="676"/>
      <c r="BS8" s="676"/>
      <c r="BT8" s="676"/>
      <c r="BU8" s="676"/>
      <c r="BV8" s="676"/>
      <c r="BW8" s="676"/>
      <c r="BX8" s="676"/>
      <c r="BY8" s="676"/>
      <c r="BZ8" s="676"/>
      <c r="CA8" s="676"/>
      <c r="CB8" s="676"/>
      <c r="CC8" s="676"/>
      <c r="CD8" s="676"/>
      <c r="CE8" s="676"/>
      <c r="CF8" s="676"/>
      <c r="CG8" s="676"/>
      <c r="CH8" s="676"/>
      <c r="CI8" s="676"/>
      <c r="CJ8" s="676"/>
      <c r="CK8" s="676"/>
      <c r="CL8" s="676"/>
      <c r="CM8" s="676"/>
      <c r="CN8" s="676"/>
      <c r="CO8" s="676"/>
      <c r="CP8" s="676"/>
      <c r="CQ8" s="676"/>
      <c r="CR8" s="676"/>
      <c r="CS8" s="676"/>
      <c r="CT8" s="676"/>
      <c r="CU8" s="676"/>
      <c r="CV8" s="676"/>
    </row>
    <row r="9" spans="1:100" s="37" customFormat="1" ht="15" customHeight="1">
      <c r="A9" s="736">
        <v>3</v>
      </c>
      <c r="B9" s="762" t="e">
        <f>VLOOKUP(C9,#REF!,2,0)</f>
        <v>#REF!</v>
      </c>
      <c r="C9" s="753" t="s">
        <v>247</v>
      </c>
      <c r="D9" s="744" t="s">
        <v>29</v>
      </c>
      <c r="E9" s="744" t="s">
        <v>29</v>
      </c>
      <c r="F9" s="744" t="s">
        <v>29</v>
      </c>
      <c r="G9" s="744" t="s">
        <v>29</v>
      </c>
      <c r="H9" s="744" t="s">
        <v>29</v>
      </c>
      <c r="I9" s="744" t="s">
        <v>133</v>
      </c>
      <c r="J9" s="744" t="s">
        <v>29</v>
      </c>
      <c r="K9" s="744" t="s">
        <v>29</v>
      </c>
      <c r="L9" s="744" t="s">
        <v>29</v>
      </c>
      <c r="M9" s="744" t="s">
        <v>29</v>
      </c>
      <c r="N9" s="744" t="s">
        <v>29</v>
      </c>
      <c r="O9" s="744" t="s">
        <v>29</v>
      </c>
      <c r="P9" s="744" t="s">
        <v>133</v>
      </c>
      <c r="Q9" s="744" t="s">
        <v>29</v>
      </c>
      <c r="R9" s="744" t="s">
        <v>29</v>
      </c>
      <c r="S9" s="744" t="s">
        <v>29</v>
      </c>
      <c r="T9" s="744" t="s">
        <v>29</v>
      </c>
      <c r="U9" s="744" t="s">
        <v>29</v>
      </c>
      <c r="V9" s="744" t="s">
        <v>29</v>
      </c>
      <c r="W9" s="744" t="s">
        <v>133</v>
      </c>
      <c r="X9" s="744" t="s">
        <v>29</v>
      </c>
      <c r="Y9" s="744" t="s">
        <v>29</v>
      </c>
      <c r="Z9" s="744" t="s">
        <v>29</v>
      </c>
      <c r="AA9" s="744" t="s">
        <v>29</v>
      </c>
      <c r="AB9" s="744" t="s">
        <v>29</v>
      </c>
      <c r="AC9" s="744" t="s">
        <v>29</v>
      </c>
      <c r="AD9" s="744" t="s">
        <v>133</v>
      </c>
      <c r="AE9" s="744" t="s">
        <v>29</v>
      </c>
      <c r="AF9" s="744" t="s">
        <v>29</v>
      </c>
      <c r="AG9" s="744" t="s">
        <v>29</v>
      </c>
      <c r="AH9" s="744"/>
      <c r="AI9" s="745">
        <f t="shared" si="1"/>
        <v>26</v>
      </c>
      <c r="AJ9" s="750">
        <f>COUNTIF(D9:AE9,"B")</f>
        <v>0</v>
      </c>
      <c r="AK9" s="751">
        <f t="shared" si="0"/>
        <v>26</v>
      </c>
      <c r="AL9" s="751">
        <f>COUNTIF(D9:AE9,"đh")+COUNTIF(D9:AE9,"NL")</f>
        <v>0</v>
      </c>
      <c r="AM9" s="752">
        <f>COUNTIF(D9:AE9,"P")</f>
        <v>0</v>
      </c>
      <c r="AN9" s="753"/>
      <c r="AO9" s="753"/>
      <c r="AP9" s="22">
        <f>COUNTIF(D9:AG9,"P")</f>
        <v>0</v>
      </c>
      <c r="AQ9" s="22">
        <f>COUNTIF(D9:AG9,"K")</f>
        <v>0</v>
      </c>
    </row>
    <row r="10" spans="1:100" s="37" customFormat="1" ht="15" customHeight="1">
      <c r="A10" s="736">
        <v>4</v>
      </c>
      <c r="B10" s="762" t="e">
        <f>VLOOKUP(C10,#REF!,2,0)</f>
        <v>#REF!</v>
      </c>
      <c r="C10" s="763" t="s">
        <v>533</v>
      </c>
      <c r="D10" s="744" t="s">
        <v>29</v>
      </c>
      <c r="E10" s="744" t="s">
        <v>29</v>
      </c>
      <c r="F10" s="744" t="s">
        <v>29</v>
      </c>
      <c r="G10" s="744" t="s">
        <v>29</v>
      </c>
      <c r="H10" s="744" t="s">
        <v>29</v>
      </c>
      <c r="I10" s="744" t="s">
        <v>133</v>
      </c>
      <c r="J10" s="744" t="s">
        <v>29</v>
      </c>
      <c r="K10" s="744" t="s">
        <v>29</v>
      </c>
      <c r="L10" s="744" t="s">
        <v>29</v>
      </c>
      <c r="M10" s="744" t="s">
        <v>29</v>
      </c>
      <c r="N10" s="744" t="s">
        <v>29</v>
      </c>
      <c r="O10" s="744" t="s">
        <v>29</v>
      </c>
      <c r="P10" s="744" t="s">
        <v>133</v>
      </c>
      <c r="Q10" s="744" t="s">
        <v>707</v>
      </c>
      <c r="R10" s="744" t="s">
        <v>707</v>
      </c>
      <c r="S10" s="744" t="s">
        <v>707</v>
      </c>
      <c r="T10" s="744" t="s">
        <v>707</v>
      </c>
      <c r="U10" s="744" t="s">
        <v>707</v>
      </c>
      <c r="V10" s="744" t="s">
        <v>707</v>
      </c>
      <c r="W10" s="744" t="s">
        <v>133</v>
      </c>
      <c r="X10" s="744" t="s">
        <v>707</v>
      </c>
      <c r="Y10" s="744" t="s">
        <v>707</v>
      </c>
      <c r="Z10" s="744" t="s">
        <v>707</v>
      </c>
      <c r="AA10" s="744" t="s">
        <v>707</v>
      </c>
      <c r="AB10" s="744" t="s">
        <v>707</v>
      </c>
      <c r="AC10" s="744" t="s">
        <v>29</v>
      </c>
      <c r="AD10" s="744" t="s">
        <v>133</v>
      </c>
      <c r="AE10" s="744" t="s">
        <v>29</v>
      </c>
      <c r="AF10" s="744" t="s">
        <v>29</v>
      </c>
      <c r="AG10" s="744" t="s">
        <v>29</v>
      </c>
      <c r="AH10" s="744"/>
      <c r="AI10" s="745">
        <f t="shared" si="1"/>
        <v>26</v>
      </c>
      <c r="AJ10" s="750"/>
      <c r="AK10" s="751">
        <f t="shared" si="0"/>
        <v>15</v>
      </c>
      <c r="AL10" s="751"/>
      <c r="AM10" s="752"/>
      <c r="AN10" s="753"/>
      <c r="AO10" s="753"/>
      <c r="AP10" s="22"/>
      <c r="AQ10" s="22"/>
    </row>
    <row r="11" spans="1:100" s="37" customFormat="1" ht="15" customHeight="1">
      <c r="A11" s="736">
        <v>5</v>
      </c>
      <c r="B11" s="691" t="s">
        <v>357</v>
      </c>
      <c r="C11" s="753" t="s">
        <v>401</v>
      </c>
      <c r="D11" s="744" t="s">
        <v>29</v>
      </c>
      <c r="E11" s="744" t="s">
        <v>29</v>
      </c>
      <c r="F11" s="744" t="s">
        <v>29</v>
      </c>
      <c r="G11" s="744" t="s">
        <v>29</v>
      </c>
      <c r="H11" s="744" t="s">
        <v>29</v>
      </c>
      <c r="I11" s="744" t="s">
        <v>133</v>
      </c>
      <c r="J11" s="744" t="s">
        <v>29</v>
      </c>
      <c r="K11" s="744" t="s">
        <v>29</v>
      </c>
      <c r="L11" s="744" t="s">
        <v>29</v>
      </c>
      <c r="M11" s="744" t="s">
        <v>29</v>
      </c>
      <c r="N11" s="744" t="s">
        <v>29</v>
      </c>
      <c r="O11" s="744" t="s">
        <v>29</v>
      </c>
      <c r="P11" s="744" t="s">
        <v>133</v>
      </c>
      <c r="Q11" s="744" t="s">
        <v>29</v>
      </c>
      <c r="R11" s="744" t="s">
        <v>29</v>
      </c>
      <c r="S11" s="744" t="s">
        <v>29</v>
      </c>
      <c r="T11" s="744" t="s">
        <v>29</v>
      </c>
      <c r="U11" s="744" t="s">
        <v>29</v>
      </c>
      <c r="V11" s="744" t="s">
        <v>29</v>
      </c>
      <c r="W11" s="744" t="s">
        <v>133</v>
      </c>
      <c r="X11" s="744" t="s">
        <v>29</v>
      </c>
      <c r="Y11" s="744" t="s">
        <v>29</v>
      </c>
      <c r="Z11" s="744" t="s">
        <v>29</v>
      </c>
      <c r="AA11" s="744" t="s">
        <v>29</v>
      </c>
      <c r="AB11" s="744" t="s">
        <v>29</v>
      </c>
      <c r="AC11" s="744" t="s">
        <v>29</v>
      </c>
      <c r="AD11" s="744" t="s">
        <v>133</v>
      </c>
      <c r="AE11" s="744" t="s">
        <v>29</v>
      </c>
      <c r="AF11" s="744" t="s">
        <v>29</v>
      </c>
      <c r="AG11" s="744" t="s">
        <v>29</v>
      </c>
      <c r="AH11" s="744"/>
      <c r="AI11" s="745">
        <f t="shared" si="1"/>
        <v>26</v>
      </c>
      <c r="AJ11" s="750">
        <f>COUNTIF(D11:AE11,"B")</f>
        <v>0</v>
      </c>
      <c r="AK11" s="751">
        <f t="shared" si="0"/>
        <v>26</v>
      </c>
      <c r="AL11" s="751">
        <f>COUNTIF(D11:AE11,"đh")+COUNTIF(D11:AE11,"NL")</f>
        <v>0</v>
      </c>
      <c r="AM11" s="752">
        <f>COUNTIF(D11:AE11,"P")</f>
        <v>0</v>
      </c>
      <c r="AN11" s="753"/>
      <c r="AO11" s="753"/>
      <c r="AP11" s="22">
        <f>COUNTIF(D11:AG11,"P")</f>
        <v>0</v>
      </c>
      <c r="AQ11" s="22">
        <f>COUNTIF(D11:AG11,"K")</f>
        <v>0</v>
      </c>
    </row>
    <row r="12" spans="1:100" s="37" customFormat="1" ht="15" customHeight="1">
      <c r="A12" s="736">
        <v>6</v>
      </c>
      <c r="B12" s="691" t="s">
        <v>200</v>
      </c>
      <c r="C12" s="753" t="s">
        <v>199</v>
      </c>
      <c r="D12" s="744" t="s">
        <v>29</v>
      </c>
      <c r="E12" s="744" t="s">
        <v>29</v>
      </c>
      <c r="F12" s="744" t="s">
        <v>29</v>
      </c>
      <c r="G12" s="744" t="s">
        <v>29</v>
      </c>
      <c r="H12" s="744" t="s">
        <v>29</v>
      </c>
      <c r="I12" s="744" t="s">
        <v>133</v>
      </c>
      <c r="J12" s="744" t="s">
        <v>29</v>
      </c>
      <c r="K12" s="744" t="s">
        <v>29</v>
      </c>
      <c r="L12" s="744" t="s">
        <v>29</v>
      </c>
      <c r="M12" s="744" t="s">
        <v>29</v>
      </c>
      <c r="N12" s="744" t="s">
        <v>29</v>
      </c>
      <c r="O12" s="744" t="s">
        <v>29</v>
      </c>
      <c r="P12" s="744" t="s">
        <v>133</v>
      </c>
      <c r="Q12" s="744" t="s">
        <v>29</v>
      </c>
      <c r="R12" s="744" t="s">
        <v>29</v>
      </c>
      <c r="S12" s="744" t="s">
        <v>29</v>
      </c>
      <c r="T12" s="744" t="s">
        <v>29</v>
      </c>
      <c r="U12" s="744" t="s">
        <v>29</v>
      </c>
      <c r="V12" s="744" t="s">
        <v>29</v>
      </c>
      <c r="W12" s="744" t="s">
        <v>133</v>
      </c>
      <c r="X12" s="744" t="s">
        <v>29</v>
      </c>
      <c r="Y12" s="744" t="s">
        <v>29</v>
      </c>
      <c r="Z12" s="744" t="s">
        <v>29</v>
      </c>
      <c r="AA12" s="744" t="s">
        <v>29</v>
      </c>
      <c r="AB12" s="744" t="s">
        <v>29</v>
      </c>
      <c r="AC12" s="744" t="s">
        <v>29</v>
      </c>
      <c r="AD12" s="744" t="s">
        <v>133</v>
      </c>
      <c r="AE12" s="744" t="s">
        <v>29</v>
      </c>
      <c r="AF12" s="744" t="s">
        <v>29</v>
      </c>
      <c r="AG12" s="744" t="s">
        <v>29</v>
      </c>
      <c r="AH12" s="744"/>
      <c r="AI12" s="745">
        <f t="shared" si="1"/>
        <v>26</v>
      </c>
      <c r="AJ12" s="750"/>
      <c r="AK12" s="751">
        <f t="shared" si="0"/>
        <v>26</v>
      </c>
      <c r="AL12" s="751"/>
      <c r="AM12" s="752"/>
      <c r="AN12" s="753"/>
      <c r="AO12" s="753"/>
      <c r="AP12" s="22">
        <f>COUNTIF(D12:AG12,"P")</f>
        <v>0</v>
      </c>
      <c r="AQ12" s="22">
        <f>COUNTIF(D12:AG12,"K")</f>
        <v>0</v>
      </c>
    </row>
    <row r="13" spans="1:100" s="37" customFormat="1" ht="15" customHeight="1">
      <c r="A13" s="736">
        <v>7</v>
      </c>
      <c r="B13" s="690" t="s">
        <v>97</v>
      </c>
      <c r="C13" s="753" t="s">
        <v>34</v>
      </c>
      <c r="D13" s="744" t="s">
        <v>29</v>
      </c>
      <c r="E13" s="744" t="s">
        <v>29</v>
      </c>
      <c r="F13" s="744" t="s">
        <v>29</v>
      </c>
      <c r="G13" s="744" t="s">
        <v>29</v>
      </c>
      <c r="H13" s="744" t="s">
        <v>29</v>
      </c>
      <c r="I13" s="744" t="s">
        <v>133</v>
      </c>
      <c r="J13" s="744" t="s">
        <v>29</v>
      </c>
      <c r="K13" s="744" t="s">
        <v>29</v>
      </c>
      <c r="L13" s="744" t="s">
        <v>29</v>
      </c>
      <c r="M13" s="744" t="s">
        <v>29</v>
      </c>
      <c r="N13" s="744" t="s">
        <v>29</v>
      </c>
      <c r="O13" s="744" t="s">
        <v>29</v>
      </c>
      <c r="P13" s="744" t="s">
        <v>133</v>
      </c>
      <c r="Q13" s="744" t="s">
        <v>29</v>
      </c>
      <c r="R13" s="744" t="s">
        <v>29</v>
      </c>
      <c r="S13" s="744" t="s">
        <v>29</v>
      </c>
      <c r="T13" s="744" t="s">
        <v>29</v>
      </c>
      <c r="U13" s="744" t="s">
        <v>29</v>
      </c>
      <c r="V13" s="744" t="s">
        <v>29</v>
      </c>
      <c r="W13" s="744" t="s">
        <v>133</v>
      </c>
      <c r="X13" s="744" t="s">
        <v>29</v>
      </c>
      <c r="Y13" s="744" t="s">
        <v>29</v>
      </c>
      <c r="Z13" s="744" t="s">
        <v>29</v>
      </c>
      <c r="AA13" s="744" t="s">
        <v>29</v>
      </c>
      <c r="AB13" s="744" t="s">
        <v>29</v>
      </c>
      <c r="AC13" s="744" t="s">
        <v>29</v>
      </c>
      <c r="AD13" s="744" t="s">
        <v>133</v>
      </c>
      <c r="AE13" s="744" t="s">
        <v>29</v>
      </c>
      <c r="AF13" s="744" t="s">
        <v>29</v>
      </c>
      <c r="AG13" s="744" t="s">
        <v>29</v>
      </c>
      <c r="AH13" s="744"/>
      <c r="AI13" s="745">
        <f t="shared" si="1"/>
        <v>26</v>
      </c>
      <c r="AJ13" s="750">
        <f>COUNTIF(D13:AE13,"B")</f>
        <v>0</v>
      </c>
      <c r="AK13" s="751">
        <f t="shared" si="0"/>
        <v>26</v>
      </c>
      <c r="AL13" s="751">
        <f>COUNTIF(D13:AE13,"đh")+COUNTIF(D13:AE13,"NL")</f>
        <v>0</v>
      </c>
      <c r="AM13" s="752">
        <f>COUNTIF(D13:AE13,"P")</f>
        <v>0</v>
      </c>
      <c r="AN13" s="753"/>
      <c r="AO13" s="753"/>
      <c r="AP13" s="22">
        <f>COUNTIF(D13:AG13,"P")</f>
        <v>0</v>
      </c>
      <c r="AQ13" s="22">
        <f>COUNTIF(D13:AG13,"K")</f>
        <v>0</v>
      </c>
    </row>
    <row r="14" spans="1:100" s="37" customFormat="1" ht="15" customHeight="1">
      <c r="A14" s="736">
        <v>8</v>
      </c>
      <c r="B14" s="762" t="e">
        <f>VLOOKUP(C14,#REF!,2,0)</f>
        <v>#REF!</v>
      </c>
      <c r="C14" s="753" t="s">
        <v>59</v>
      </c>
      <c r="D14" s="744" t="s">
        <v>29</v>
      </c>
      <c r="E14" s="744" t="s">
        <v>29</v>
      </c>
      <c r="F14" s="744" t="s">
        <v>29</v>
      </c>
      <c r="G14" s="744" t="s">
        <v>29</v>
      </c>
      <c r="H14" s="744" t="s">
        <v>29</v>
      </c>
      <c r="I14" s="744" t="s">
        <v>133</v>
      </c>
      <c r="J14" s="744" t="s">
        <v>29</v>
      </c>
      <c r="K14" s="744" t="s">
        <v>29</v>
      </c>
      <c r="L14" s="744" t="s">
        <v>29</v>
      </c>
      <c r="M14" s="744" t="s">
        <v>29</v>
      </c>
      <c r="N14" s="744" t="s">
        <v>29</v>
      </c>
      <c r="O14" s="744" t="s">
        <v>29</v>
      </c>
      <c r="P14" s="744" t="s">
        <v>133</v>
      </c>
      <c r="Q14" s="744" t="s">
        <v>29</v>
      </c>
      <c r="R14" s="744" t="s">
        <v>29</v>
      </c>
      <c r="S14" s="744" t="s">
        <v>29</v>
      </c>
      <c r="T14" s="744" t="s">
        <v>29</v>
      </c>
      <c r="U14" s="744" t="s">
        <v>29</v>
      </c>
      <c r="V14" s="744" t="s">
        <v>29</v>
      </c>
      <c r="W14" s="744" t="s">
        <v>133</v>
      </c>
      <c r="X14" s="744" t="s">
        <v>29</v>
      </c>
      <c r="Y14" s="744" t="s">
        <v>29</v>
      </c>
      <c r="Z14" s="744" t="s">
        <v>29</v>
      </c>
      <c r="AA14" s="744" t="s">
        <v>29</v>
      </c>
      <c r="AB14" s="744" t="s">
        <v>29</v>
      </c>
      <c r="AC14" s="744" t="s">
        <v>29</v>
      </c>
      <c r="AD14" s="744" t="s">
        <v>133</v>
      </c>
      <c r="AE14" s="744" t="s">
        <v>29</v>
      </c>
      <c r="AF14" s="744" t="s">
        <v>29</v>
      </c>
      <c r="AG14" s="744" t="s">
        <v>29</v>
      </c>
      <c r="AH14" s="744"/>
      <c r="AI14" s="745">
        <f t="shared" si="1"/>
        <v>26</v>
      </c>
      <c r="AJ14" s="750">
        <f>COUNTIF(E14:AE14,"B")</f>
        <v>0</v>
      </c>
      <c r="AK14" s="751">
        <f t="shared" si="0"/>
        <v>26</v>
      </c>
      <c r="AL14" s="751">
        <f>COUNTIF(D14:AE14,"đh")+COUNTIF(D14:AE14,"NL")</f>
        <v>0</v>
      </c>
      <c r="AM14" s="752">
        <f>COUNTIF(D14:AE14,"P")</f>
        <v>0</v>
      </c>
      <c r="AN14" s="753"/>
      <c r="AO14" s="753"/>
      <c r="AP14" s="22">
        <f>COUNTIF(D14:AG14,"P")</f>
        <v>0</v>
      </c>
      <c r="AQ14" s="22">
        <f>COUNTIF(D14:AG14,"K")</f>
        <v>0</v>
      </c>
    </row>
    <row r="15" spans="1:100" s="37" customFormat="1" ht="15" customHeight="1">
      <c r="A15" s="736">
        <v>9</v>
      </c>
      <c r="B15" s="762" t="e">
        <f>VLOOKUP(C15,#REF!,2,0)</f>
        <v>#REF!</v>
      </c>
      <c r="C15" s="753" t="s">
        <v>467</v>
      </c>
      <c r="D15" s="744" t="s">
        <v>29</v>
      </c>
      <c r="E15" s="744" t="s">
        <v>29</v>
      </c>
      <c r="F15" s="744" t="s">
        <v>29</v>
      </c>
      <c r="G15" s="744" t="s">
        <v>29</v>
      </c>
      <c r="H15" s="744" t="s">
        <v>29</v>
      </c>
      <c r="I15" s="744" t="s">
        <v>133</v>
      </c>
      <c r="J15" s="744" t="s">
        <v>29</v>
      </c>
      <c r="K15" s="744" t="s">
        <v>29</v>
      </c>
      <c r="L15" s="744" t="s">
        <v>29</v>
      </c>
      <c r="M15" s="744" t="s">
        <v>29</v>
      </c>
      <c r="N15" s="744" t="s">
        <v>29</v>
      </c>
      <c r="O15" s="744" t="s">
        <v>29</v>
      </c>
      <c r="P15" s="744" t="s">
        <v>133</v>
      </c>
      <c r="Q15" s="744" t="s">
        <v>29</v>
      </c>
      <c r="R15" s="744" t="s">
        <v>29</v>
      </c>
      <c r="S15" s="744" t="s">
        <v>29</v>
      </c>
      <c r="T15" s="744" t="s">
        <v>29</v>
      </c>
      <c r="U15" s="744" t="s">
        <v>29</v>
      </c>
      <c r="V15" s="744" t="s">
        <v>29</v>
      </c>
      <c r="W15" s="744" t="s">
        <v>133</v>
      </c>
      <c r="X15" s="744" t="s">
        <v>29</v>
      </c>
      <c r="Y15" s="744" t="s">
        <v>29</v>
      </c>
      <c r="Z15" s="744" t="s">
        <v>29</v>
      </c>
      <c r="AA15" s="744" t="s">
        <v>29</v>
      </c>
      <c r="AB15" s="744" t="s">
        <v>29</v>
      </c>
      <c r="AC15" s="744" t="s">
        <v>29</v>
      </c>
      <c r="AD15" s="744" t="s">
        <v>133</v>
      </c>
      <c r="AE15" s="744" t="s">
        <v>29</v>
      </c>
      <c r="AF15" s="744" t="s">
        <v>29</v>
      </c>
      <c r="AG15" s="744" t="s">
        <v>29</v>
      </c>
      <c r="AH15" s="744"/>
      <c r="AI15" s="745">
        <f t="shared" si="1"/>
        <v>26</v>
      </c>
      <c r="AJ15" s="750"/>
      <c r="AK15" s="751">
        <f t="shared" si="0"/>
        <v>26</v>
      </c>
      <c r="AL15" s="751"/>
      <c r="AM15" s="752"/>
      <c r="AN15" s="753"/>
      <c r="AO15" s="753"/>
      <c r="AP15" s="22"/>
      <c r="AQ15" s="22"/>
    </row>
    <row r="16" spans="1:100" s="37" customFormat="1" ht="15" customHeight="1">
      <c r="A16" s="736">
        <v>10</v>
      </c>
      <c r="B16" s="690" t="s">
        <v>544</v>
      </c>
      <c r="C16" s="753" t="s">
        <v>543</v>
      </c>
      <c r="D16" s="744" t="s">
        <v>29</v>
      </c>
      <c r="E16" s="744" t="s">
        <v>29</v>
      </c>
      <c r="F16" s="744" t="s">
        <v>29</v>
      </c>
      <c r="G16" s="744" t="s">
        <v>29</v>
      </c>
      <c r="H16" s="744" t="s">
        <v>29</v>
      </c>
      <c r="I16" s="744" t="s">
        <v>133</v>
      </c>
      <c r="J16" s="744" t="s">
        <v>29</v>
      </c>
      <c r="K16" s="744" t="s">
        <v>29</v>
      </c>
      <c r="L16" s="744" t="s">
        <v>29</v>
      </c>
      <c r="M16" s="744" t="s">
        <v>29</v>
      </c>
      <c r="N16" s="744" t="s">
        <v>29</v>
      </c>
      <c r="O16" s="744" t="s">
        <v>29</v>
      </c>
      <c r="P16" s="744" t="s">
        <v>133</v>
      </c>
      <c r="Q16" s="744" t="s">
        <v>29</v>
      </c>
      <c r="R16" s="744" t="s">
        <v>29</v>
      </c>
      <c r="S16" s="744" t="s">
        <v>29</v>
      </c>
      <c r="T16" s="744" t="s">
        <v>29</v>
      </c>
      <c r="U16" s="744" t="s">
        <v>29</v>
      </c>
      <c r="V16" s="744" t="s">
        <v>29</v>
      </c>
      <c r="W16" s="744" t="s">
        <v>133</v>
      </c>
      <c r="X16" s="744" t="s">
        <v>29</v>
      </c>
      <c r="Y16" s="744" t="s">
        <v>29</v>
      </c>
      <c r="Z16" s="744" t="s">
        <v>29</v>
      </c>
      <c r="AA16" s="744" t="s">
        <v>29</v>
      </c>
      <c r="AB16" s="744" t="s">
        <v>29</v>
      </c>
      <c r="AC16" s="744" t="s">
        <v>29</v>
      </c>
      <c r="AD16" s="744" t="s">
        <v>133</v>
      </c>
      <c r="AE16" s="744" t="s">
        <v>29</v>
      </c>
      <c r="AF16" s="744" t="s">
        <v>29</v>
      </c>
      <c r="AG16" s="744" t="s">
        <v>29</v>
      </c>
      <c r="AH16" s="744"/>
      <c r="AI16" s="745">
        <f t="shared" si="1"/>
        <v>26</v>
      </c>
      <c r="AJ16" s="750">
        <f>COUNTIF(E16:AE16,"B")</f>
        <v>0</v>
      </c>
      <c r="AK16" s="751">
        <f t="shared" si="0"/>
        <v>26</v>
      </c>
      <c r="AL16" s="751">
        <f>COUNTIF(D16:AE16,"đh")+COUNTIF(D16:AE16,"NL")</f>
        <v>0</v>
      </c>
      <c r="AM16" s="752">
        <f>COUNTIF(D16:AE16,"P")</f>
        <v>0</v>
      </c>
      <c r="AN16" s="753"/>
      <c r="AO16" s="753"/>
      <c r="AP16" s="22">
        <f>COUNTIF(D16:AG16,"P")</f>
        <v>0</v>
      </c>
      <c r="AQ16" s="22">
        <f>COUNTIF(D16:AG16,"K")</f>
        <v>0</v>
      </c>
    </row>
    <row r="17" spans="1:44" s="676" customFormat="1" ht="15" customHeight="1">
      <c r="A17" s="736">
        <v>11</v>
      </c>
      <c r="B17" s="690" t="s">
        <v>100</v>
      </c>
      <c r="C17" s="753" t="s">
        <v>33</v>
      </c>
      <c r="D17" s="744"/>
      <c r="E17" s="744"/>
      <c r="F17" s="744"/>
      <c r="G17" s="744"/>
      <c r="H17" s="744"/>
      <c r="I17" s="744"/>
      <c r="J17" s="744"/>
      <c r="K17" s="744"/>
      <c r="L17" s="744"/>
      <c r="M17" s="744"/>
      <c r="N17" s="744"/>
      <c r="O17" s="744"/>
      <c r="P17" s="744"/>
      <c r="Q17" s="744"/>
      <c r="R17" s="744"/>
      <c r="S17" s="744"/>
      <c r="T17" s="744"/>
      <c r="U17" s="744"/>
      <c r="V17" s="744"/>
      <c r="W17" s="744"/>
      <c r="X17" s="744"/>
      <c r="Y17" s="744"/>
      <c r="Z17" s="744"/>
      <c r="AA17" s="744"/>
      <c r="AB17" s="744"/>
      <c r="AC17" s="744"/>
      <c r="AD17" s="744"/>
      <c r="AE17" s="744"/>
      <c r="AF17" s="744"/>
      <c r="AG17" s="744"/>
      <c r="AH17" s="744"/>
      <c r="AI17" s="745">
        <f t="shared" si="1"/>
        <v>0</v>
      </c>
      <c r="AJ17" s="750">
        <f>COUNTIF(E17:AE17,"B")</f>
        <v>0</v>
      </c>
      <c r="AK17" s="751">
        <f t="shared" si="0"/>
        <v>0</v>
      </c>
      <c r="AL17" s="751">
        <f>COUNTIF(D17:AE17,"đh")+COUNTIF(D17:AE17,"NL")</f>
        <v>0</v>
      </c>
      <c r="AM17" s="752">
        <f>COUNTIF(D17:AE17,"P")</f>
        <v>0</v>
      </c>
      <c r="AN17" s="753"/>
      <c r="AO17" s="753"/>
      <c r="AP17" s="676">
        <f>COUNTIF(D17:AG17,"P")</f>
        <v>0</v>
      </c>
      <c r="AQ17" s="676">
        <f>COUNTIF(D17:AG17,"K")</f>
        <v>0</v>
      </c>
    </row>
    <row r="18" spans="1:44" s="37" customFormat="1" ht="15" customHeight="1">
      <c r="A18" s="736">
        <v>12</v>
      </c>
      <c r="B18" s="762" t="e">
        <f>VLOOKUP(C18,#REF!,2,0)</f>
        <v>#REF!</v>
      </c>
      <c r="C18" s="753" t="s">
        <v>32</v>
      </c>
      <c r="D18" s="744" t="s">
        <v>29</v>
      </c>
      <c r="E18" s="744" t="s">
        <v>29</v>
      </c>
      <c r="F18" s="744" t="s">
        <v>29</v>
      </c>
      <c r="G18" s="744" t="s">
        <v>29</v>
      </c>
      <c r="H18" s="744" t="s">
        <v>29</v>
      </c>
      <c r="I18" s="744" t="s">
        <v>133</v>
      </c>
      <c r="J18" s="744" t="s">
        <v>29</v>
      </c>
      <c r="K18" s="744" t="s">
        <v>29</v>
      </c>
      <c r="L18" s="744" t="s">
        <v>29</v>
      </c>
      <c r="M18" s="744" t="s">
        <v>29</v>
      </c>
      <c r="N18" s="744" t="s">
        <v>29</v>
      </c>
      <c r="O18" s="744" t="s">
        <v>29</v>
      </c>
      <c r="P18" s="744" t="s">
        <v>133</v>
      </c>
      <c r="Q18" s="744" t="s">
        <v>29</v>
      </c>
      <c r="R18" s="744" t="s">
        <v>29</v>
      </c>
      <c r="S18" s="744" t="s">
        <v>29</v>
      </c>
      <c r="T18" s="744" t="s">
        <v>29</v>
      </c>
      <c r="U18" s="744" t="s">
        <v>29</v>
      </c>
      <c r="V18" s="744" t="s">
        <v>29</v>
      </c>
      <c r="W18" s="744" t="s">
        <v>133</v>
      </c>
      <c r="X18" s="744" t="s">
        <v>29</v>
      </c>
      <c r="Y18" s="744" t="s">
        <v>29</v>
      </c>
      <c r="Z18" s="744" t="s">
        <v>29</v>
      </c>
      <c r="AA18" s="744" t="s">
        <v>29</v>
      </c>
      <c r="AB18" s="744" t="s">
        <v>29</v>
      </c>
      <c r="AC18" s="744" t="s">
        <v>29</v>
      </c>
      <c r="AD18" s="744" t="s">
        <v>133</v>
      </c>
      <c r="AE18" s="744" t="s">
        <v>29</v>
      </c>
      <c r="AF18" s="744" t="s">
        <v>29</v>
      </c>
      <c r="AG18" s="744" t="s">
        <v>29</v>
      </c>
      <c r="AH18" s="744"/>
      <c r="AI18" s="745">
        <f t="shared" si="1"/>
        <v>26</v>
      </c>
      <c r="AJ18" s="750">
        <f>COUNTIF(E18:AE18,"B")</f>
        <v>0</v>
      </c>
      <c r="AK18" s="751">
        <f t="shared" si="0"/>
        <v>26</v>
      </c>
      <c r="AL18" s="751">
        <f>COUNTIF(D18:AE18,"đh")+COUNTIF(D18:AE18,"NL")</f>
        <v>0</v>
      </c>
      <c r="AM18" s="752">
        <f>COUNTIF(D18:AE18,"P")</f>
        <v>0</v>
      </c>
      <c r="AN18" s="753"/>
      <c r="AO18" s="753"/>
      <c r="AP18" s="22">
        <f>COUNTIF(D18:AG18,"P")</f>
        <v>0</v>
      </c>
      <c r="AQ18" s="22">
        <f>COUNTIF(D18:AG18,"K")</f>
        <v>0</v>
      </c>
    </row>
    <row r="19" spans="1:44" s="37" customFormat="1" ht="15" customHeight="1">
      <c r="A19" s="736">
        <v>13</v>
      </c>
      <c r="B19" s="690" t="s">
        <v>102</v>
      </c>
      <c r="C19" s="753" t="s">
        <v>36</v>
      </c>
      <c r="D19" s="744" t="s">
        <v>29</v>
      </c>
      <c r="E19" s="744" t="s">
        <v>29</v>
      </c>
      <c r="F19" s="744" t="s">
        <v>29</v>
      </c>
      <c r="G19" s="744" t="s">
        <v>29</v>
      </c>
      <c r="H19" s="744" t="s">
        <v>29</v>
      </c>
      <c r="I19" s="744" t="s">
        <v>133</v>
      </c>
      <c r="J19" s="744" t="s">
        <v>29</v>
      </c>
      <c r="K19" s="744" t="s">
        <v>29</v>
      </c>
      <c r="L19" s="744" t="s">
        <v>29</v>
      </c>
      <c r="M19" s="744" t="s">
        <v>29</v>
      </c>
      <c r="N19" s="744" t="s">
        <v>29</v>
      </c>
      <c r="O19" s="744" t="s">
        <v>29</v>
      </c>
      <c r="P19" s="744" t="s">
        <v>133</v>
      </c>
      <c r="Q19" s="744" t="s">
        <v>29</v>
      </c>
      <c r="R19" s="744" t="s">
        <v>29</v>
      </c>
      <c r="S19" s="744" t="s">
        <v>29</v>
      </c>
      <c r="T19" s="744" t="s">
        <v>29</v>
      </c>
      <c r="U19" s="744" t="s">
        <v>29</v>
      </c>
      <c r="V19" s="744" t="s">
        <v>29</v>
      </c>
      <c r="W19" s="744" t="s">
        <v>133</v>
      </c>
      <c r="X19" s="744" t="s">
        <v>29</v>
      </c>
      <c r="Y19" s="744" t="s">
        <v>29</v>
      </c>
      <c r="Z19" s="744" t="s">
        <v>29</v>
      </c>
      <c r="AA19" s="744" t="s">
        <v>29</v>
      </c>
      <c r="AB19" s="744" t="s">
        <v>29</v>
      </c>
      <c r="AC19" s="744" t="s">
        <v>29</v>
      </c>
      <c r="AD19" s="744" t="s">
        <v>133</v>
      </c>
      <c r="AE19" s="744" t="s">
        <v>29</v>
      </c>
      <c r="AF19" s="744" t="s">
        <v>29</v>
      </c>
      <c r="AG19" s="744" t="s">
        <v>29</v>
      </c>
      <c r="AH19" s="744"/>
      <c r="AI19" s="745">
        <f t="shared" si="1"/>
        <v>26</v>
      </c>
      <c r="AJ19" s="750">
        <f>COUNTIF(D19:AE19,"B")</f>
        <v>0</v>
      </c>
      <c r="AK19" s="751">
        <f t="shared" si="0"/>
        <v>26</v>
      </c>
      <c r="AL19" s="751">
        <f>COUNTIF(D19:AE19,"đh")+COUNTIF(D19:AE19,"NL")</f>
        <v>0</v>
      </c>
      <c r="AM19" s="752">
        <f>COUNTIF(D19:AE19,"P")</f>
        <v>0</v>
      </c>
      <c r="AN19" s="753"/>
      <c r="AO19" s="753"/>
      <c r="AP19" s="22">
        <f>COUNTIF(D19:AG19,"P")</f>
        <v>0</v>
      </c>
      <c r="AQ19" s="22">
        <f>COUNTIF(D19:AG19,"K")</f>
        <v>0</v>
      </c>
    </row>
    <row r="20" spans="1:44" s="37" customFormat="1" ht="15" customHeight="1">
      <c r="A20" s="736">
        <v>14</v>
      </c>
      <c r="B20" s="690" t="s">
        <v>537</v>
      </c>
      <c r="C20" s="753" t="s">
        <v>536</v>
      </c>
      <c r="D20" s="744" t="s">
        <v>29</v>
      </c>
      <c r="E20" s="744" t="s">
        <v>29</v>
      </c>
      <c r="F20" s="744" t="s">
        <v>29</v>
      </c>
      <c r="G20" s="744" t="s">
        <v>29</v>
      </c>
      <c r="H20" s="744" t="s">
        <v>29</v>
      </c>
      <c r="I20" s="744" t="s">
        <v>133</v>
      </c>
      <c r="J20" s="744" t="s">
        <v>29</v>
      </c>
      <c r="K20" s="744" t="s">
        <v>29</v>
      </c>
      <c r="L20" s="744" t="s">
        <v>29</v>
      </c>
      <c r="M20" s="744" t="s">
        <v>29</v>
      </c>
      <c r="N20" s="744" t="s">
        <v>29</v>
      </c>
      <c r="O20" s="744" t="s">
        <v>29</v>
      </c>
      <c r="P20" s="744" t="s">
        <v>133</v>
      </c>
      <c r="Q20" s="744" t="s">
        <v>29</v>
      </c>
      <c r="R20" s="744" t="s">
        <v>29</v>
      </c>
      <c r="S20" s="744" t="s">
        <v>29</v>
      </c>
      <c r="T20" s="744" t="s">
        <v>29</v>
      </c>
      <c r="U20" s="744" t="s">
        <v>29</v>
      </c>
      <c r="V20" s="744" t="s">
        <v>29</v>
      </c>
      <c r="W20" s="744" t="s">
        <v>133</v>
      </c>
      <c r="X20" s="744" t="s">
        <v>29</v>
      </c>
      <c r="Y20" s="744" t="s">
        <v>29</v>
      </c>
      <c r="Z20" s="744" t="s">
        <v>29</v>
      </c>
      <c r="AA20" s="744" t="s">
        <v>29</v>
      </c>
      <c r="AB20" s="744" t="s">
        <v>29</v>
      </c>
      <c r="AC20" s="744" t="s">
        <v>29</v>
      </c>
      <c r="AD20" s="744" t="s">
        <v>133</v>
      </c>
      <c r="AE20" s="744" t="s">
        <v>29</v>
      </c>
      <c r="AF20" s="744" t="s">
        <v>29</v>
      </c>
      <c r="AG20" s="744" t="s">
        <v>29</v>
      </c>
      <c r="AH20" s="744"/>
      <c r="AI20" s="745">
        <f t="shared" si="1"/>
        <v>26</v>
      </c>
      <c r="AJ20" s="750"/>
      <c r="AK20" s="751">
        <f t="shared" si="0"/>
        <v>26</v>
      </c>
      <c r="AL20" s="751"/>
      <c r="AM20" s="752"/>
      <c r="AN20" s="753"/>
      <c r="AO20" s="753"/>
      <c r="AP20" s="22"/>
      <c r="AQ20" s="22"/>
    </row>
    <row r="21" spans="1:44" s="37" customFormat="1" ht="15" customHeight="1">
      <c r="A21" s="736">
        <v>15</v>
      </c>
      <c r="B21" s="691" t="s">
        <v>542</v>
      </c>
      <c r="C21" s="689" t="s">
        <v>541</v>
      </c>
      <c r="D21" s="744" t="s">
        <v>29</v>
      </c>
      <c r="E21" s="744" t="s">
        <v>29</v>
      </c>
      <c r="F21" s="744" t="s">
        <v>29</v>
      </c>
      <c r="G21" s="744" t="s">
        <v>29</v>
      </c>
      <c r="H21" s="744" t="s">
        <v>29</v>
      </c>
      <c r="I21" s="744" t="s">
        <v>133</v>
      </c>
      <c r="J21" s="744" t="s">
        <v>29</v>
      </c>
      <c r="K21" s="744" t="s">
        <v>29</v>
      </c>
      <c r="L21" s="744" t="s">
        <v>29</v>
      </c>
      <c r="M21" s="744" t="s">
        <v>29</v>
      </c>
      <c r="N21" s="744" t="s">
        <v>29</v>
      </c>
      <c r="O21" s="744" t="s">
        <v>29</v>
      </c>
      <c r="P21" s="744" t="s">
        <v>133</v>
      </c>
      <c r="Q21" s="744" t="s">
        <v>707</v>
      </c>
      <c r="R21" s="744" t="s">
        <v>707</v>
      </c>
      <c r="S21" s="744" t="s">
        <v>707</v>
      </c>
      <c r="T21" s="744" t="s">
        <v>707</v>
      </c>
      <c r="U21" s="744" t="s">
        <v>707</v>
      </c>
      <c r="V21" s="744" t="s">
        <v>707</v>
      </c>
      <c r="W21" s="744" t="s">
        <v>133</v>
      </c>
      <c r="X21" s="744" t="s">
        <v>707</v>
      </c>
      <c r="Y21" s="744" t="s">
        <v>707</v>
      </c>
      <c r="Z21" s="744" t="s">
        <v>707</v>
      </c>
      <c r="AA21" s="744" t="s">
        <v>707</v>
      </c>
      <c r="AB21" s="744" t="s">
        <v>707</v>
      </c>
      <c r="AC21" s="744" t="s">
        <v>29</v>
      </c>
      <c r="AD21" s="744" t="s">
        <v>133</v>
      </c>
      <c r="AE21" s="744" t="s">
        <v>29</v>
      </c>
      <c r="AF21" s="744" t="s">
        <v>29</v>
      </c>
      <c r="AG21" s="744" t="s">
        <v>29</v>
      </c>
      <c r="AH21" s="744"/>
      <c r="AI21" s="745">
        <f t="shared" si="1"/>
        <v>26</v>
      </c>
      <c r="AJ21" s="750">
        <f>COUNTIF(D21:AE21,"B")</f>
        <v>0</v>
      </c>
      <c r="AK21" s="751">
        <f t="shared" si="0"/>
        <v>15</v>
      </c>
      <c r="AL21" s="751">
        <f>COUNTIF(D21:AE21,"đh")+COUNTIF(D21:AE21,"NL")</f>
        <v>0</v>
      </c>
      <c r="AM21" s="752">
        <f>COUNTIF(D21:AE21,"P")</f>
        <v>11</v>
      </c>
      <c r="AN21" s="753"/>
      <c r="AO21" s="753"/>
      <c r="AP21" s="22">
        <f>COUNTIF(D21:AG21,"P")</f>
        <v>11</v>
      </c>
      <c r="AQ21" s="22">
        <f>COUNTIF(D21:AG21,"K")</f>
        <v>0</v>
      </c>
    </row>
    <row r="22" spans="1:44" s="676" customFormat="1" ht="15" customHeight="1">
      <c r="A22" s="736">
        <v>16</v>
      </c>
      <c r="B22" s="764" t="s">
        <v>103</v>
      </c>
      <c r="C22" s="753" t="s">
        <v>37</v>
      </c>
      <c r="D22" s="744" t="s">
        <v>29</v>
      </c>
      <c r="E22" s="744" t="s">
        <v>29</v>
      </c>
      <c r="F22" s="744" t="s">
        <v>29</v>
      </c>
      <c r="G22" s="744" t="s">
        <v>29</v>
      </c>
      <c r="H22" s="744" t="s">
        <v>29</v>
      </c>
      <c r="I22" s="744" t="s">
        <v>133</v>
      </c>
      <c r="J22" s="744" t="s">
        <v>29</v>
      </c>
      <c r="K22" s="744" t="s">
        <v>29</v>
      </c>
      <c r="L22" s="744" t="s">
        <v>29</v>
      </c>
      <c r="M22" s="744" t="s">
        <v>29</v>
      </c>
      <c r="N22" s="744" t="s">
        <v>29</v>
      </c>
      <c r="O22" s="744" t="s">
        <v>29</v>
      </c>
      <c r="P22" s="744" t="s">
        <v>133</v>
      </c>
      <c r="Q22" s="744" t="s">
        <v>29</v>
      </c>
      <c r="R22" s="744" t="s">
        <v>29</v>
      </c>
      <c r="S22" s="744" t="s">
        <v>29</v>
      </c>
      <c r="T22" s="744" t="s">
        <v>29</v>
      </c>
      <c r="U22" s="744" t="s">
        <v>29</v>
      </c>
      <c r="V22" s="744" t="s">
        <v>29</v>
      </c>
      <c r="W22" s="744" t="s">
        <v>133</v>
      </c>
      <c r="X22" s="744" t="s">
        <v>29</v>
      </c>
      <c r="Y22" s="744" t="s">
        <v>29</v>
      </c>
      <c r="Z22" s="744" t="s">
        <v>29</v>
      </c>
      <c r="AA22" s="744" t="s">
        <v>29</v>
      </c>
      <c r="AB22" s="744" t="s">
        <v>29</v>
      </c>
      <c r="AC22" s="744" t="s">
        <v>29</v>
      </c>
      <c r="AD22" s="744" t="s">
        <v>133</v>
      </c>
      <c r="AE22" s="744" t="s">
        <v>29</v>
      </c>
      <c r="AF22" s="744" t="s">
        <v>29</v>
      </c>
      <c r="AG22" s="744" t="s">
        <v>29</v>
      </c>
      <c r="AH22" s="744"/>
      <c r="AI22" s="745">
        <f t="shared" si="1"/>
        <v>26</v>
      </c>
      <c r="AJ22" s="750">
        <f>COUNTIF(D22:AE22,"B")</f>
        <v>0</v>
      </c>
      <c r="AK22" s="751">
        <f t="shared" si="0"/>
        <v>26</v>
      </c>
      <c r="AL22" s="751">
        <f>COUNTIF(D22:AE22,"đh")+COUNTIF(D22:AE22,"NL")</f>
        <v>0</v>
      </c>
      <c r="AM22" s="752">
        <f>COUNTIF(D22:AE22,"P")</f>
        <v>0</v>
      </c>
      <c r="AN22" s="753"/>
      <c r="AO22" s="753"/>
      <c r="AP22" s="676">
        <f>COUNTIF(D22:AG22,"P")</f>
        <v>0</v>
      </c>
      <c r="AQ22" s="676">
        <f>COUNTIF(D22:AG22,"K")</f>
        <v>0</v>
      </c>
    </row>
    <row r="23" spans="1:44" s="37" customFormat="1" ht="15" customHeight="1">
      <c r="A23" s="736">
        <v>17</v>
      </c>
      <c r="B23" s="764" t="s">
        <v>106</v>
      </c>
      <c r="C23" s="753" t="s">
        <v>40</v>
      </c>
      <c r="D23" s="744" t="s">
        <v>29</v>
      </c>
      <c r="E23" s="744" t="s">
        <v>29</v>
      </c>
      <c r="F23" s="744" t="s">
        <v>29</v>
      </c>
      <c r="G23" s="744" t="s">
        <v>29</v>
      </c>
      <c r="H23" s="744" t="s">
        <v>29</v>
      </c>
      <c r="I23" s="744" t="s">
        <v>133</v>
      </c>
      <c r="J23" s="744" t="s">
        <v>29</v>
      </c>
      <c r="K23" s="744" t="s">
        <v>29</v>
      </c>
      <c r="L23" s="744" t="s">
        <v>29</v>
      </c>
      <c r="M23" s="744" t="s">
        <v>29</v>
      </c>
      <c r="N23" s="744" t="s">
        <v>29</v>
      </c>
      <c r="O23" s="744" t="s">
        <v>29</v>
      </c>
      <c r="P23" s="744" t="s">
        <v>133</v>
      </c>
      <c r="Q23" s="744" t="s">
        <v>29</v>
      </c>
      <c r="R23" s="744" t="s">
        <v>29</v>
      </c>
      <c r="S23" s="744" t="s">
        <v>29</v>
      </c>
      <c r="T23" s="744" t="s">
        <v>29</v>
      </c>
      <c r="U23" s="744" t="s">
        <v>29</v>
      </c>
      <c r="V23" s="744" t="s">
        <v>29</v>
      </c>
      <c r="W23" s="744" t="s">
        <v>133</v>
      </c>
      <c r="X23" s="744" t="s">
        <v>29</v>
      </c>
      <c r="Y23" s="744" t="s">
        <v>29</v>
      </c>
      <c r="Z23" s="744" t="s">
        <v>29</v>
      </c>
      <c r="AA23" s="744" t="s">
        <v>29</v>
      </c>
      <c r="AB23" s="744" t="s">
        <v>29</v>
      </c>
      <c r="AC23" s="744" t="s">
        <v>29</v>
      </c>
      <c r="AD23" s="744" t="s">
        <v>133</v>
      </c>
      <c r="AE23" s="744" t="s">
        <v>29</v>
      </c>
      <c r="AF23" s="744" t="s">
        <v>29</v>
      </c>
      <c r="AG23" s="744" t="s">
        <v>29</v>
      </c>
      <c r="AH23" s="744"/>
      <c r="AI23" s="745">
        <f t="shared" si="1"/>
        <v>26</v>
      </c>
      <c r="AJ23" s="750">
        <f>COUNTIF(D23:AE23,"B")</f>
        <v>0</v>
      </c>
      <c r="AK23" s="751">
        <f t="shared" si="0"/>
        <v>26</v>
      </c>
      <c r="AL23" s="751">
        <f>COUNTIF(D23:AE23,"đh")+COUNTIF(D23:AE23,"NL")</f>
        <v>0</v>
      </c>
      <c r="AM23" s="752">
        <f>COUNTIF(D23:AE23,"P")</f>
        <v>0</v>
      </c>
      <c r="AN23" s="753"/>
      <c r="AO23" s="753"/>
      <c r="AP23" s="22">
        <f>COUNTIF(D23:AG23,"P")</f>
        <v>0</v>
      </c>
      <c r="AQ23" s="22">
        <f>COUNTIF(D23:AG23,"K")</f>
        <v>0</v>
      </c>
    </row>
    <row r="24" spans="1:44" s="37" customFormat="1" ht="15" customHeight="1">
      <c r="A24" s="736">
        <v>18</v>
      </c>
      <c r="B24" s="690" t="s">
        <v>676</v>
      </c>
      <c r="C24" s="753" t="s">
        <v>675</v>
      </c>
      <c r="D24" s="744" t="s">
        <v>29</v>
      </c>
      <c r="E24" s="744" t="s">
        <v>29</v>
      </c>
      <c r="F24" s="744" t="s">
        <v>29</v>
      </c>
      <c r="G24" s="744" t="s">
        <v>29</v>
      </c>
      <c r="H24" s="744" t="s">
        <v>29</v>
      </c>
      <c r="I24" s="744" t="s">
        <v>133</v>
      </c>
      <c r="J24" s="744" t="s">
        <v>29</v>
      </c>
      <c r="K24" s="744" t="s">
        <v>29</v>
      </c>
      <c r="L24" s="744" t="s">
        <v>29</v>
      </c>
      <c r="M24" s="744" t="s">
        <v>29</v>
      </c>
      <c r="N24" s="744" t="s">
        <v>29</v>
      </c>
      <c r="O24" s="744" t="s">
        <v>29</v>
      </c>
      <c r="P24" s="744" t="s">
        <v>133</v>
      </c>
      <c r="Q24" s="744" t="s">
        <v>29</v>
      </c>
      <c r="R24" s="744" t="s">
        <v>29</v>
      </c>
      <c r="S24" s="744" t="s">
        <v>29</v>
      </c>
      <c r="T24" s="744" t="s">
        <v>29</v>
      </c>
      <c r="U24" s="744" t="s">
        <v>29</v>
      </c>
      <c r="V24" s="744" t="s">
        <v>29</v>
      </c>
      <c r="W24" s="744" t="s">
        <v>133</v>
      </c>
      <c r="X24" s="744" t="s">
        <v>29</v>
      </c>
      <c r="Y24" s="744" t="s">
        <v>29</v>
      </c>
      <c r="Z24" s="744" t="s">
        <v>29</v>
      </c>
      <c r="AA24" s="744" t="s">
        <v>29</v>
      </c>
      <c r="AB24" s="744" t="s">
        <v>29</v>
      </c>
      <c r="AC24" s="744" t="s">
        <v>29</v>
      </c>
      <c r="AD24" s="744" t="s">
        <v>133</v>
      </c>
      <c r="AE24" s="744" t="s">
        <v>29</v>
      </c>
      <c r="AF24" s="744" t="s">
        <v>29</v>
      </c>
      <c r="AG24" s="744" t="s">
        <v>29</v>
      </c>
      <c r="AH24" s="744"/>
      <c r="AI24" s="745">
        <f t="shared" si="1"/>
        <v>26</v>
      </c>
      <c r="AJ24" s="750">
        <f>COUNTIF(D24:AE24,"B")</f>
        <v>0</v>
      </c>
      <c r="AK24" s="751">
        <f t="shared" si="0"/>
        <v>26</v>
      </c>
      <c r="AL24" s="751">
        <f>COUNTIF(D24:AE24,"đh")+COUNTIF(D24:AE24,"NL")</f>
        <v>0</v>
      </c>
      <c r="AM24" s="752">
        <f>COUNTIF(D24:AE24,"P")</f>
        <v>0</v>
      </c>
      <c r="AN24" s="753"/>
      <c r="AO24" s="753"/>
      <c r="AP24" s="22">
        <f>COUNTIF(D24:AG24,"P")</f>
        <v>0</v>
      </c>
      <c r="AQ24" s="22">
        <f>COUNTIF(D24:AG24,"K")</f>
        <v>0</v>
      </c>
    </row>
    <row r="25" spans="1:44" s="37" customFormat="1" ht="15" customHeight="1">
      <c r="A25" s="736">
        <v>19</v>
      </c>
      <c r="B25" s="762" t="s">
        <v>338</v>
      </c>
      <c r="C25" s="685" t="s">
        <v>437</v>
      </c>
      <c r="D25" s="744" t="s">
        <v>29</v>
      </c>
      <c r="E25" s="744" t="s">
        <v>29</v>
      </c>
      <c r="F25" s="744" t="s">
        <v>29</v>
      </c>
      <c r="G25" s="744" t="s">
        <v>29</v>
      </c>
      <c r="H25" s="744" t="s">
        <v>29</v>
      </c>
      <c r="I25" s="744" t="s">
        <v>133</v>
      </c>
      <c r="J25" s="744" t="s">
        <v>29</v>
      </c>
      <c r="K25" s="744" t="s">
        <v>29</v>
      </c>
      <c r="L25" s="744" t="s">
        <v>29</v>
      </c>
      <c r="M25" s="744" t="s">
        <v>29</v>
      </c>
      <c r="N25" s="744" t="s">
        <v>29</v>
      </c>
      <c r="O25" s="744" t="s">
        <v>29</v>
      </c>
      <c r="P25" s="744" t="s">
        <v>133</v>
      </c>
      <c r="Q25" s="744" t="s">
        <v>29</v>
      </c>
      <c r="R25" s="744" t="s">
        <v>29</v>
      </c>
      <c r="S25" s="744" t="s">
        <v>29</v>
      </c>
      <c r="T25" s="744" t="s">
        <v>29</v>
      </c>
      <c r="U25" s="744" t="s">
        <v>29</v>
      </c>
      <c r="V25" s="744" t="s">
        <v>29</v>
      </c>
      <c r="W25" s="744" t="s">
        <v>133</v>
      </c>
      <c r="X25" s="744" t="s">
        <v>29</v>
      </c>
      <c r="Y25" s="744" t="s">
        <v>29</v>
      </c>
      <c r="Z25" s="744" t="s">
        <v>29</v>
      </c>
      <c r="AA25" s="744" t="s">
        <v>29</v>
      </c>
      <c r="AB25" s="744" t="s">
        <v>29</v>
      </c>
      <c r="AC25" s="744" t="s">
        <v>29</v>
      </c>
      <c r="AD25" s="744" t="s">
        <v>133</v>
      </c>
      <c r="AE25" s="744" t="s">
        <v>29</v>
      </c>
      <c r="AF25" s="744" t="s">
        <v>29</v>
      </c>
      <c r="AG25" s="744" t="s">
        <v>29</v>
      </c>
      <c r="AH25" s="744"/>
      <c r="AI25" s="745">
        <f t="shared" si="1"/>
        <v>26</v>
      </c>
      <c r="AJ25" s="750"/>
      <c r="AK25" s="751">
        <f t="shared" si="0"/>
        <v>26</v>
      </c>
      <c r="AL25" s="751">
        <f>COUNTIF(D25:AE25,"đh")+COUNTIF(D25:AE25,"NL")</f>
        <v>0</v>
      </c>
      <c r="AM25" s="752">
        <f>COUNTIF(D25:AE25,"P")</f>
        <v>0</v>
      </c>
      <c r="AN25" s="753"/>
      <c r="AO25" s="753"/>
      <c r="AP25" s="22"/>
      <c r="AQ25" s="22"/>
    </row>
    <row r="26" spans="1:44" s="37" customFormat="1" ht="15" customHeight="1">
      <c r="A26" s="736">
        <v>20</v>
      </c>
      <c r="B26" s="762" t="s">
        <v>546</v>
      </c>
      <c r="C26" s="685" t="s">
        <v>545</v>
      </c>
      <c r="D26" s="744" t="s">
        <v>29</v>
      </c>
      <c r="E26" s="744" t="s">
        <v>29</v>
      </c>
      <c r="F26" s="744" t="s">
        <v>29</v>
      </c>
      <c r="G26" s="744" t="s">
        <v>29</v>
      </c>
      <c r="H26" s="744" t="s">
        <v>29</v>
      </c>
      <c r="I26" s="744" t="s">
        <v>133</v>
      </c>
      <c r="J26" s="744" t="s">
        <v>29</v>
      </c>
      <c r="K26" s="744" t="s">
        <v>29</v>
      </c>
      <c r="L26" s="744" t="s">
        <v>29</v>
      </c>
      <c r="M26" s="744" t="s">
        <v>29</v>
      </c>
      <c r="N26" s="744" t="s">
        <v>29</v>
      </c>
      <c r="O26" s="744" t="s">
        <v>29</v>
      </c>
      <c r="P26" s="744" t="s">
        <v>133</v>
      </c>
      <c r="Q26" s="744" t="s">
        <v>29</v>
      </c>
      <c r="R26" s="744" t="s">
        <v>29</v>
      </c>
      <c r="S26" s="744" t="s">
        <v>29</v>
      </c>
      <c r="T26" s="744" t="s">
        <v>29</v>
      </c>
      <c r="U26" s="744" t="s">
        <v>29</v>
      </c>
      <c r="V26" s="744" t="s">
        <v>29</v>
      </c>
      <c r="W26" s="744" t="s">
        <v>133</v>
      </c>
      <c r="X26" s="744" t="s">
        <v>29</v>
      </c>
      <c r="Y26" s="744" t="s">
        <v>29</v>
      </c>
      <c r="Z26" s="744" t="s">
        <v>29</v>
      </c>
      <c r="AA26" s="744" t="s">
        <v>29</v>
      </c>
      <c r="AB26" s="744" t="s">
        <v>29</v>
      </c>
      <c r="AC26" s="744" t="s">
        <v>29</v>
      </c>
      <c r="AD26" s="744" t="s">
        <v>133</v>
      </c>
      <c r="AE26" s="744" t="s">
        <v>29</v>
      </c>
      <c r="AF26" s="744" t="s">
        <v>29</v>
      </c>
      <c r="AG26" s="744" t="s">
        <v>29</v>
      </c>
      <c r="AH26" s="744"/>
      <c r="AI26" s="745">
        <f t="shared" si="1"/>
        <v>26</v>
      </c>
      <c r="AJ26" s="750"/>
      <c r="AK26" s="751"/>
      <c r="AL26" s="751"/>
      <c r="AM26" s="752"/>
      <c r="AN26" s="753"/>
      <c r="AO26" s="753"/>
      <c r="AP26" s="22"/>
      <c r="AQ26" s="22"/>
    </row>
    <row r="27" spans="1:44" s="37" customFormat="1" ht="15" customHeight="1">
      <c r="A27" s="736">
        <v>21</v>
      </c>
      <c r="B27" s="846" t="s">
        <v>788</v>
      </c>
      <c r="C27" s="664" t="s">
        <v>789</v>
      </c>
      <c r="D27" s="744" t="s">
        <v>29</v>
      </c>
      <c r="E27" s="744" t="s">
        <v>29</v>
      </c>
      <c r="F27" s="744" t="s">
        <v>29</v>
      </c>
      <c r="G27" s="744" t="s">
        <v>29</v>
      </c>
      <c r="H27" s="744" t="s">
        <v>29</v>
      </c>
      <c r="I27" s="744" t="s">
        <v>133</v>
      </c>
      <c r="J27" s="744" t="s">
        <v>29</v>
      </c>
      <c r="K27" s="744" t="s">
        <v>29</v>
      </c>
      <c r="L27" s="744" t="s">
        <v>29</v>
      </c>
      <c r="M27" s="744" t="s">
        <v>29</v>
      </c>
      <c r="N27" s="744" t="s">
        <v>29</v>
      </c>
      <c r="O27" s="744" t="s">
        <v>29</v>
      </c>
      <c r="P27" s="744" t="s">
        <v>133</v>
      </c>
      <c r="Q27" s="744" t="s">
        <v>29</v>
      </c>
      <c r="R27" s="744" t="s">
        <v>29</v>
      </c>
      <c r="S27" s="744" t="s">
        <v>29</v>
      </c>
      <c r="T27" s="744" t="s">
        <v>29</v>
      </c>
      <c r="U27" s="744" t="s">
        <v>29</v>
      </c>
      <c r="V27" s="744" t="s">
        <v>29</v>
      </c>
      <c r="W27" s="744" t="s">
        <v>133</v>
      </c>
      <c r="X27" s="744" t="s">
        <v>29</v>
      </c>
      <c r="Y27" s="744" t="s">
        <v>29</v>
      </c>
      <c r="Z27" s="744" t="s">
        <v>29</v>
      </c>
      <c r="AA27" s="744" t="s">
        <v>29</v>
      </c>
      <c r="AB27" s="744" t="s">
        <v>29</v>
      </c>
      <c r="AC27" s="744" t="s">
        <v>29</v>
      </c>
      <c r="AD27" s="744" t="s">
        <v>133</v>
      </c>
      <c r="AE27" s="744" t="s">
        <v>29</v>
      </c>
      <c r="AF27" s="744" t="s">
        <v>29</v>
      </c>
      <c r="AG27" s="744" t="s">
        <v>29</v>
      </c>
      <c r="AH27" s="744"/>
      <c r="AI27" s="745">
        <f t="shared" si="1"/>
        <v>26</v>
      </c>
      <c r="AJ27" s="847"/>
      <c r="AK27" s="848"/>
      <c r="AL27" s="848"/>
      <c r="AM27" s="849"/>
      <c r="AN27" s="850"/>
      <c r="AO27" s="850"/>
      <c r="AP27" s="22"/>
      <c r="AQ27" s="22"/>
    </row>
    <row r="28" spans="1:44" s="24" customFormat="1" ht="15" customHeight="1">
      <c r="A28" s="4546" t="s">
        <v>248</v>
      </c>
      <c r="B28" s="4546"/>
      <c r="C28" s="4546"/>
      <c r="D28" s="4547"/>
      <c r="E28" s="4548"/>
      <c r="F28" s="4548"/>
      <c r="G28" s="4548"/>
      <c r="H28" s="4548"/>
      <c r="I28" s="4548"/>
      <c r="J28" s="4548"/>
      <c r="K28" s="4548"/>
      <c r="L28" s="4548"/>
      <c r="M28" s="4548"/>
      <c r="N28" s="4548"/>
      <c r="O28" s="4548"/>
      <c r="P28" s="4548"/>
      <c r="Q28" s="4548"/>
      <c r="R28" s="4548"/>
      <c r="S28" s="4548"/>
      <c r="T28" s="4548"/>
      <c r="U28" s="4548"/>
      <c r="V28" s="4548"/>
      <c r="W28" s="4548"/>
      <c r="X28" s="4548"/>
      <c r="Y28" s="4548"/>
      <c r="Z28" s="4548"/>
      <c r="AA28" s="4548"/>
      <c r="AB28" s="4548"/>
      <c r="AC28" s="4548"/>
      <c r="AD28" s="4548"/>
      <c r="AE28" s="4548"/>
      <c r="AF28" s="76"/>
      <c r="AG28" s="76"/>
      <c r="AH28" s="769"/>
      <c r="AI28" s="72">
        <f>SUM(AI7:AI27)</f>
        <v>520</v>
      </c>
      <c r="AJ28" s="72">
        <f>SUM(AJ7:AK26)</f>
        <v>446</v>
      </c>
      <c r="AK28" s="72">
        <f>SUM(AK7:AL26)</f>
        <v>446</v>
      </c>
      <c r="AL28" s="72">
        <f>SUM(AL7:AM26)</f>
        <v>11</v>
      </c>
      <c r="AM28" s="72">
        <f>SUM(AM7:AN26)</f>
        <v>11</v>
      </c>
      <c r="AN28" s="72">
        <f>SUM(AN7:AO26)</f>
        <v>0</v>
      </c>
      <c r="AO28" s="72"/>
      <c r="AP28" s="22"/>
      <c r="AR28" s="22"/>
    </row>
    <row r="29" spans="1:44" s="24" customFormat="1" ht="15" customHeight="1">
      <c r="A29" s="210"/>
      <c r="B29" s="210"/>
      <c r="C29" s="210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11"/>
      <c r="AJ29" s="211"/>
      <c r="AK29" s="211"/>
      <c r="AL29" s="211"/>
      <c r="AM29" s="211"/>
      <c r="AN29" s="211"/>
      <c r="AO29" s="211"/>
      <c r="AP29" s="22"/>
      <c r="AR29" s="22"/>
    </row>
    <row r="30" spans="1:44" ht="15" customHeight="1">
      <c r="A30" s="25"/>
      <c r="B30" s="26" t="s">
        <v>43</v>
      </c>
      <c r="D30" s="27"/>
      <c r="E30" s="27"/>
      <c r="F30" s="27"/>
      <c r="G30" s="27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549" t="s">
        <v>792</v>
      </c>
      <c r="Z30" s="4550"/>
      <c r="AA30" s="4550"/>
      <c r="AB30" s="4550"/>
      <c r="AC30" s="4550"/>
      <c r="AD30" s="4550"/>
      <c r="AE30" s="4550"/>
      <c r="AF30" s="4550"/>
      <c r="AG30" s="4550"/>
      <c r="AH30" s="4550"/>
      <c r="AI30" s="4550"/>
      <c r="AJ30" s="4550"/>
      <c r="AK30" s="4550"/>
      <c r="AL30" s="4550"/>
      <c r="AM30" s="4550"/>
      <c r="AN30" s="4550"/>
      <c r="AO30" s="4550"/>
    </row>
    <row r="31" spans="1:44" ht="18.75" customHeight="1">
      <c r="B31" s="28" t="s">
        <v>44</v>
      </c>
      <c r="C31" s="231"/>
      <c r="G31" s="27"/>
      <c r="H31" s="4551" t="s">
        <v>93</v>
      </c>
      <c r="I31" s="4551"/>
      <c r="J31" s="4551"/>
      <c r="K31" s="4551"/>
      <c r="L31" s="4551"/>
      <c r="M31" s="4551"/>
      <c r="N31" s="4551"/>
      <c r="O31" s="4551"/>
      <c r="P31" s="4551"/>
      <c r="Q31" s="4533"/>
      <c r="R31" s="4533"/>
      <c r="S31" s="4533"/>
      <c r="T31" s="4533"/>
      <c r="U31" s="4533"/>
      <c r="V31" s="4533"/>
      <c r="W31" s="4533"/>
      <c r="X31" s="4533"/>
      <c r="Y31" s="4533"/>
      <c r="Z31" s="4533"/>
      <c r="AA31" s="4551" t="s">
        <v>547</v>
      </c>
      <c r="AB31" s="4551"/>
      <c r="AC31" s="4551"/>
      <c r="AD31" s="4551"/>
      <c r="AE31" s="4551"/>
      <c r="AF31" s="4551"/>
      <c r="AG31" s="4551"/>
      <c r="AH31" s="4551"/>
      <c r="AI31" s="4551"/>
      <c r="AJ31" s="4551"/>
      <c r="AK31" s="4551"/>
      <c r="AL31" s="4551"/>
      <c r="AM31" s="4551"/>
      <c r="AN31" s="4551"/>
      <c r="AO31" s="4551"/>
    </row>
    <row r="32" spans="1:44" ht="15" customHeight="1">
      <c r="B32" s="230" t="s">
        <v>309</v>
      </c>
      <c r="C32" s="22" t="s">
        <v>310</v>
      </c>
      <c r="D32" s="27"/>
      <c r="E32" s="27"/>
      <c r="G32" s="27"/>
      <c r="M32" s="297"/>
      <c r="N32" s="297"/>
      <c r="O32" s="297"/>
      <c r="P32" s="297"/>
      <c r="Q32" s="297"/>
      <c r="R32" s="206"/>
      <c r="S32" s="206"/>
      <c r="T32" s="297"/>
      <c r="U32" s="297"/>
      <c r="V32" s="297"/>
      <c r="W32" s="297"/>
      <c r="X32" s="729"/>
      <c r="Z32" s="518"/>
      <c r="AA32" s="518"/>
      <c r="AB32" s="518"/>
      <c r="AC32" s="518"/>
      <c r="AD32" s="518"/>
      <c r="AE32" s="518"/>
      <c r="AF32" s="518"/>
      <c r="AG32" s="518"/>
      <c r="AH32" s="766"/>
      <c r="AI32" s="518"/>
      <c r="AJ32" s="518"/>
      <c r="AK32" s="518"/>
      <c r="AL32" s="518"/>
      <c r="AM32" s="518"/>
      <c r="AN32" s="518"/>
      <c r="AO32" s="518"/>
    </row>
    <row r="33" spans="1:45" ht="15.75">
      <c r="B33" s="230" t="s">
        <v>311</v>
      </c>
      <c r="C33" s="22" t="s">
        <v>312</v>
      </c>
      <c r="D33" s="27"/>
      <c r="E33" s="27"/>
      <c r="G33" s="27"/>
      <c r="H33" s="27"/>
      <c r="I33" s="27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98"/>
      <c r="AJ33" s="298"/>
      <c r="AK33" s="205"/>
      <c r="AL33" s="205"/>
      <c r="AM33" s="205"/>
      <c r="AN33" s="205"/>
      <c r="AO33" s="205"/>
    </row>
    <row r="34" spans="1:45" ht="15.75">
      <c r="B34" s="230" t="s">
        <v>313</v>
      </c>
      <c r="C34" s="22" t="s">
        <v>314</v>
      </c>
      <c r="D34" s="27"/>
      <c r="E34" s="27"/>
      <c r="G34" s="27"/>
      <c r="H34" s="27"/>
      <c r="I34" s="27"/>
      <c r="J34" s="27"/>
      <c r="K34" s="27"/>
      <c r="L34" s="27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98"/>
      <c r="AJ34" s="298"/>
      <c r="AK34" s="205"/>
      <c r="AL34" s="205"/>
      <c r="AM34" s="205"/>
      <c r="AN34" s="205"/>
      <c r="AO34" s="205"/>
    </row>
    <row r="35" spans="1:45" ht="15.75">
      <c r="B35" s="28" t="s">
        <v>315</v>
      </c>
      <c r="C35" s="22" t="s">
        <v>134</v>
      </c>
      <c r="E35" s="27"/>
      <c r="G35" s="74"/>
      <c r="H35" s="27"/>
      <c r="I35" s="27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98"/>
      <c r="AJ35" s="298"/>
      <c r="AK35" s="205"/>
      <c r="AL35" s="205"/>
      <c r="AM35" s="205"/>
      <c r="AN35" s="205"/>
      <c r="AO35" s="205"/>
    </row>
    <row r="36" spans="1:45" ht="15.75">
      <c r="B36" s="230"/>
      <c r="C36" s="21"/>
      <c r="E36" s="74"/>
      <c r="G36" s="74"/>
      <c r="H36" s="27"/>
      <c r="I36" s="27"/>
      <c r="M36" s="205"/>
      <c r="N36" s="205"/>
      <c r="O36" s="205"/>
      <c r="P36" s="205"/>
      <c r="Q36" s="205"/>
      <c r="R36" s="205"/>
      <c r="S36" s="205"/>
      <c r="T36" s="206"/>
      <c r="U36" s="206"/>
      <c r="V36" s="206"/>
      <c r="W36" s="206"/>
      <c r="X36" s="206"/>
      <c r="Z36" s="206"/>
      <c r="AA36" s="206"/>
      <c r="AB36" s="206"/>
      <c r="AC36" s="206"/>
      <c r="AD36" s="206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</row>
    <row r="37" spans="1:45" ht="15.75">
      <c r="B37" s="230"/>
      <c r="C37" s="21"/>
      <c r="E37" s="74"/>
      <c r="H37" s="27"/>
      <c r="I37" s="27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98"/>
      <c r="AJ37" s="298"/>
      <c r="AK37" s="205"/>
      <c r="AL37" s="205"/>
      <c r="AM37" s="205"/>
      <c r="AN37" s="205"/>
      <c r="AO37" s="205"/>
    </row>
    <row r="38" spans="1:45" ht="15.75">
      <c r="H38" s="27"/>
      <c r="I38" s="27"/>
      <c r="M38" s="205"/>
      <c r="N38" s="205"/>
      <c r="O38" s="205"/>
      <c r="P38" s="205"/>
      <c r="Q38" s="4533"/>
      <c r="R38" s="4533"/>
      <c r="S38" s="4533"/>
      <c r="T38" s="4533"/>
      <c r="U38" s="4533"/>
      <c r="V38" s="4533"/>
      <c r="W38" s="4533"/>
      <c r="X38" s="4533"/>
      <c r="Y38" s="4533"/>
      <c r="Z38" s="4533"/>
      <c r="AA38" s="4533" t="s">
        <v>496</v>
      </c>
      <c r="AB38" s="4533"/>
      <c r="AC38" s="4533"/>
      <c r="AD38" s="4533"/>
      <c r="AE38" s="4533"/>
      <c r="AF38" s="4533"/>
      <c r="AG38" s="4533"/>
      <c r="AH38" s="4533"/>
      <c r="AI38" s="4533"/>
      <c r="AJ38" s="4533"/>
      <c r="AK38" s="4533"/>
      <c r="AL38" s="4533"/>
      <c r="AM38" s="4533"/>
      <c r="AN38" s="4533"/>
      <c r="AO38" s="4533"/>
    </row>
    <row r="39" spans="1:45" ht="0.75" customHeight="1">
      <c r="H39" s="27"/>
      <c r="I39" s="27"/>
      <c r="M39" s="205"/>
      <c r="N39" s="4533"/>
      <c r="O39" s="4533"/>
      <c r="P39" s="4533"/>
      <c r="Q39" s="4533"/>
      <c r="R39" s="4533"/>
      <c r="S39" s="4533"/>
      <c r="T39" s="4533"/>
      <c r="U39" s="4533"/>
      <c r="V39" s="4533"/>
      <c r="W39" s="4533"/>
      <c r="X39" s="206"/>
      <c r="Y39" s="206"/>
      <c r="AI39" s="22"/>
      <c r="AJ39" s="298"/>
      <c r="AK39" s="205"/>
      <c r="AL39" s="205"/>
      <c r="AM39" s="205"/>
      <c r="AN39" s="205"/>
      <c r="AO39" s="205"/>
    </row>
    <row r="40" spans="1:45">
      <c r="C40" s="27"/>
      <c r="D40" s="73"/>
      <c r="E40" s="74"/>
      <c r="F40" s="74"/>
      <c r="G40" s="74"/>
      <c r="H40" s="27"/>
      <c r="I40" s="27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I40" s="22"/>
      <c r="AJ40" s="22"/>
    </row>
    <row r="41" spans="1:45" ht="15.75">
      <c r="A41" s="4553" t="s">
        <v>250</v>
      </c>
      <c r="B41" s="4553"/>
      <c r="C41" s="4553"/>
      <c r="D41" s="4553"/>
      <c r="E41" s="4553"/>
      <c r="F41" s="4553"/>
      <c r="G41" s="4553"/>
      <c r="H41" s="4553"/>
      <c r="I41" s="4553"/>
      <c r="J41" s="4553"/>
      <c r="K41" s="4553"/>
      <c r="L41" s="204"/>
      <c r="M41" s="205"/>
      <c r="N41" s="205"/>
      <c r="O41" s="204"/>
      <c r="P41" s="204"/>
      <c r="Q41" s="204"/>
      <c r="R41" s="204"/>
      <c r="S41" s="204"/>
      <c r="T41" s="204"/>
      <c r="U41" s="4552" t="s">
        <v>23</v>
      </c>
      <c r="V41" s="4552"/>
      <c r="W41" s="4552"/>
      <c r="X41" s="4552"/>
      <c r="Y41" s="4552"/>
      <c r="Z41" s="4552"/>
      <c r="AA41" s="4552"/>
      <c r="AB41" s="4552"/>
      <c r="AC41" s="4552"/>
      <c r="AD41" s="4552"/>
      <c r="AE41" s="4552"/>
      <c r="AF41" s="4552"/>
      <c r="AG41" s="4552"/>
      <c r="AH41" s="4552"/>
      <c r="AI41" s="4552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</row>
    <row r="42" spans="1:45" ht="15.75">
      <c r="A42" s="4554" t="s">
        <v>513</v>
      </c>
      <c r="B42" s="4554"/>
      <c r="C42" s="4554"/>
      <c r="D42" s="4554"/>
      <c r="E42" s="4554"/>
      <c r="F42" s="4554"/>
      <c r="G42" s="4554"/>
      <c r="H42" s="4554"/>
      <c r="I42" s="4554"/>
      <c r="J42" s="4554"/>
      <c r="K42" s="4554"/>
      <c r="L42" s="206"/>
      <c r="M42" s="205"/>
      <c r="N42" s="205"/>
      <c r="O42" s="206"/>
      <c r="P42" s="206"/>
      <c r="Q42" s="206"/>
      <c r="R42" s="206"/>
      <c r="S42" s="206"/>
      <c r="T42" s="206"/>
      <c r="U42" s="4553" t="s">
        <v>45</v>
      </c>
      <c r="V42" s="4553"/>
      <c r="W42" s="4553"/>
      <c r="X42" s="4553"/>
      <c r="Y42" s="4553"/>
      <c r="Z42" s="4553"/>
      <c r="AA42" s="4553"/>
      <c r="AB42" s="4553"/>
      <c r="AC42" s="4553"/>
      <c r="AD42" s="4553"/>
      <c r="AE42" s="4553"/>
      <c r="AF42" s="4553"/>
      <c r="AG42" s="4553"/>
      <c r="AH42" s="4553"/>
      <c r="AI42" s="4553"/>
      <c r="AJ42" s="4553"/>
      <c r="AK42" s="4553"/>
      <c r="AL42" s="4553"/>
      <c r="AM42" s="4553"/>
      <c r="AN42" s="4553"/>
      <c r="AO42" s="4553"/>
    </row>
    <row r="43" spans="1:45" ht="9" customHeight="1">
      <c r="A43" s="279"/>
      <c r="B43" s="279"/>
      <c r="C43" s="279"/>
      <c r="D43" s="279"/>
      <c r="E43" s="279"/>
      <c r="F43" s="692"/>
      <c r="G43" s="279"/>
      <c r="H43" s="279"/>
      <c r="I43" s="279"/>
      <c r="J43" s="206"/>
      <c r="K43" s="206"/>
      <c r="L43" s="206"/>
      <c r="M43" s="205"/>
      <c r="N43" s="205"/>
      <c r="O43" s="206"/>
      <c r="P43" s="206"/>
      <c r="Q43" s="206"/>
      <c r="R43" s="206"/>
      <c r="S43" s="206"/>
      <c r="T43" s="206"/>
      <c r="U43" s="280"/>
      <c r="V43" s="280"/>
      <c r="W43" s="280"/>
      <c r="X43" s="730"/>
      <c r="Y43" s="280"/>
      <c r="Z43" s="280"/>
      <c r="AA43" s="280"/>
      <c r="AB43" s="280"/>
      <c r="AC43" s="280"/>
      <c r="AD43" s="280"/>
      <c r="AE43" s="280"/>
      <c r="AF43" s="280"/>
      <c r="AG43" s="280"/>
      <c r="AH43" s="770"/>
      <c r="AI43" s="280"/>
      <c r="AJ43" s="280"/>
      <c r="AK43" s="280"/>
      <c r="AL43" s="280"/>
      <c r="AM43" s="280"/>
      <c r="AN43" s="280"/>
      <c r="AO43" s="280"/>
    </row>
    <row r="44" spans="1:45" ht="18.75">
      <c r="A44" s="4536" t="s">
        <v>800</v>
      </c>
      <c r="B44" s="4536"/>
      <c r="C44" s="4536"/>
      <c r="D44" s="4536"/>
      <c r="E44" s="4536"/>
      <c r="F44" s="4536"/>
      <c r="G44" s="4536"/>
      <c r="H44" s="4536"/>
      <c r="I44" s="4536"/>
      <c r="J44" s="4536"/>
      <c r="K44" s="4536"/>
      <c r="L44" s="4536"/>
      <c r="M44" s="4536"/>
      <c r="N44" s="4536"/>
      <c r="O44" s="4536"/>
      <c r="P44" s="4536"/>
      <c r="Q44" s="4536"/>
      <c r="R44" s="4536"/>
      <c r="S44" s="4536"/>
      <c r="T44" s="4536"/>
      <c r="U44" s="4536"/>
      <c r="V44" s="4536"/>
      <c r="W44" s="4536"/>
      <c r="X44" s="4536"/>
      <c r="Y44" s="4536"/>
      <c r="Z44" s="4536"/>
      <c r="AA44" s="4536"/>
      <c r="AB44" s="4536"/>
      <c r="AC44" s="4536"/>
      <c r="AD44" s="4536"/>
      <c r="AE44" s="4536"/>
      <c r="AF44" s="4536"/>
      <c r="AG44" s="4536"/>
      <c r="AH44" s="4536"/>
      <c r="AI44" s="4536"/>
      <c r="AJ44" s="4536"/>
      <c r="AK44" s="4536"/>
      <c r="AL44" s="4536"/>
      <c r="AM44" s="4536"/>
      <c r="AN44" s="4536"/>
      <c r="AO44" s="4536"/>
    </row>
    <row r="45" spans="1:45" ht="15.75">
      <c r="A45" s="4537" t="s">
        <v>802</v>
      </c>
      <c r="B45" s="4537"/>
      <c r="C45" s="4538"/>
      <c r="D45" s="4538"/>
      <c r="E45" s="4538"/>
      <c r="F45" s="4538"/>
      <c r="G45" s="4538"/>
      <c r="H45" s="4538"/>
      <c r="I45" s="4538"/>
      <c r="J45" s="4538"/>
      <c r="K45" s="4538"/>
      <c r="L45" s="4538"/>
      <c r="M45" s="4538"/>
      <c r="N45" s="4538"/>
      <c r="O45" s="4538"/>
      <c r="P45" s="4538"/>
      <c r="Q45" s="4538"/>
      <c r="R45" s="4538"/>
      <c r="S45" s="4538"/>
      <c r="T45" s="4538"/>
      <c r="U45" s="4538"/>
      <c r="V45" s="4538"/>
      <c r="W45" s="4538"/>
      <c r="X45" s="4538"/>
      <c r="Y45" s="4538"/>
      <c r="Z45" s="4538"/>
      <c r="AA45" s="4538"/>
      <c r="AB45" s="4538"/>
      <c r="AC45" s="4538"/>
      <c r="AD45" s="4538"/>
      <c r="AE45" s="4538"/>
      <c r="AF45" s="4538"/>
      <c r="AG45" s="4538"/>
      <c r="AH45" s="4538"/>
      <c r="AI45" s="4538"/>
      <c r="AJ45" s="4538"/>
      <c r="AK45" s="4538"/>
      <c r="AL45" s="4538"/>
      <c r="AM45" s="4538"/>
      <c r="AN45" s="4538"/>
      <c r="AO45" s="4538"/>
    </row>
    <row r="46" spans="1:45" ht="9.75" customHeight="1">
      <c r="A46" s="277"/>
      <c r="B46" s="277"/>
      <c r="C46" s="278"/>
      <c r="D46" s="278"/>
      <c r="E46" s="278"/>
      <c r="F46" s="693"/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731"/>
      <c r="Y46" s="278"/>
      <c r="Z46" s="278"/>
      <c r="AA46" s="278"/>
      <c r="AB46" s="278"/>
      <c r="AC46" s="278"/>
      <c r="AD46" s="278"/>
      <c r="AE46" s="278"/>
      <c r="AF46" s="278"/>
      <c r="AG46" s="278"/>
      <c r="AH46" s="767"/>
      <c r="AI46" s="278"/>
      <c r="AJ46" s="278"/>
      <c r="AK46" s="278"/>
      <c r="AL46" s="278"/>
      <c r="AM46" s="278"/>
      <c r="AN46" s="278"/>
      <c r="AO46" s="278"/>
    </row>
    <row r="47" spans="1:45" s="233" customFormat="1" ht="18.75" customHeight="1">
      <c r="A47" s="4539" t="s">
        <v>0</v>
      </c>
      <c r="B47" s="4557" t="s">
        <v>24</v>
      </c>
      <c r="C47" s="4558"/>
      <c r="D47" s="4561" t="s">
        <v>799</v>
      </c>
      <c r="E47" s="4562"/>
      <c r="F47" s="4562"/>
      <c r="G47" s="4562"/>
      <c r="H47" s="4562"/>
      <c r="I47" s="4562"/>
      <c r="J47" s="4562"/>
      <c r="K47" s="4562"/>
      <c r="L47" s="4562"/>
      <c r="M47" s="4562"/>
      <c r="N47" s="4562"/>
      <c r="O47" s="4562"/>
      <c r="P47" s="4562"/>
      <c r="Q47" s="4562"/>
      <c r="R47" s="4562"/>
      <c r="S47" s="4562"/>
      <c r="T47" s="4562"/>
      <c r="U47" s="4562"/>
      <c r="V47" s="4562"/>
      <c r="W47" s="4562"/>
      <c r="X47" s="4562"/>
      <c r="Y47" s="4562"/>
      <c r="Z47" s="4562"/>
      <c r="AA47" s="4562"/>
      <c r="AB47" s="4562"/>
      <c r="AC47" s="4562"/>
      <c r="AD47" s="4562"/>
      <c r="AE47" s="4562"/>
      <c r="AF47" s="4562"/>
      <c r="AG47" s="4563"/>
      <c r="AH47" s="771"/>
      <c r="AI47" s="4541" t="s">
        <v>61</v>
      </c>
      <c r="AJ47" s="4541"/>
      <c r="AK47" s="4541" t="s">
        <v>27</v>
      </c>
      <c r="AL47" s="4541"/>
      <c r="AM47" s="490"/>
      <c r="AN47" s="490"/>
      <c r="AO47" s="4541" t="s">
        <v>92</v>
      </c>
      <c r="AP47" s="4568" t="s">
        <v>803</v>
      </c>
    </row>
    <row r="48" spans="1:45" s="233" customFormat="1" ht="18.75" customHeight="1">
      <c r="A48" s="4542"/>
      <c r="B48" s="4559"/>
      <c r="C48" s="4560"/>
      <c r="D48" s="441">
        <v>1</v>
      </c>
      <c r="E48" s="441">
        <v>2</v>
      </c>
      <c r="F48" s="441">
        <v>3</v>
      </c>
      <c r="G48" s="441">
        <v>4</v>
      </c>
      <c r="H48" s="441">
        <v>5</v>
      </c>
      <c r="I48" s="441">
        <v>6</v>
      </c>
      <c r="J48" s="441">
        <v>7</v>
      </c>
      <c r="K48" s="441">
        <v>8</v>
      </c>
      <c r="L48" s="441">
        <v>9</v>
      </c>
      <c r="M48" s="441">
        <v>10</v>
      </c>
      <c r="N48" s="441">
        <v>11</v>
      </c>
      <c r="O48" s="441">
        <v>12</v>
      </c>
      <c r="P48" s="441">
        <v>13</v>
      </c>
      <c r="Q48" s="441">
        <v>14</v>
      </c>
      <c r="R48" s="441">
        <v>15</v>
      </c>
      <c r="S48" s="441">
        <v>16</v>
      </c>
      <c r="T48" s="441">
        <v>17</v>
      </c>
      <c r="U48" s="441">
        <v>18</v>
      </c>
      <c r="V48" s="441">
        <v>19</v>
      </c>
      <c r="W48" s="441">
        <v>20</v>
      </c>
      <c r="X48" s="441">
        <v>21</v>
      </c>
      <c r="Y48" s="441">
        <v>22</v>
      </c>
      <c r="Z48" s="441">
        <v>23</v>
      </c>
      <c r="AA48" s="441">
        <v>24</v>
      </c>
      <c r="AB48" s="441">
        <v>25</v>
      </c>
      <c r="AC48" s="441">
        <v>26</v>
      </c>
      <c r="AD48" s="441">
        <v>27</v>
      </c>
      <c r="AE48" s="441">
        <v>28</v>
      </c>
      <c r="AF48" s="441">
        <v>29</v>
      </c>
      <c r="AG48" s="441"/>
      <c r="AH48" s="441"/>
      <c r="AI48" s="4542"/>
      <c r="AJ48" s="4542"/>
      <c r="AK48" s="4542"/>
      <c r="AL48" s="4542"/>
      <c r="AM48" s="491" t="s">
        <v>28</v>
      </c>
      <c r="AN48" s="492"/>
      <c r="AO48" s="4542"/>
      <c r="AP48" s="4569"/>
    </row>
    <row r="49" spans="1:42" s="233" customFormat="1" ht="14.25" customHeight="1">
      <c r="A49" s="694">
        <v>1</v>
      </c>
      <c r="B49" s="4555" t="s">
        <v>233</v>
      </c>
      <c r="C49" s="4556"/>
      <c r="D49" s="441" t="s">
        <v>164</v>
      </c>
      <c r="E49" s="441" t="s">
        <v>164</v>
      </c>
      <c r="F49" s="441" t="s">
        <v>164</v>
      </c>
      <c r="G49" s="441" t="s">
        <v>164</v>
      </c>
      <c r="H49" s="441" t="s">
        <v>164</v>
      </c>
      <c r="I49" s="441" t="s">
        <v>164</v>
      </c>
      <c r="J49" s="441" t="s">
        <v>164</v>
      </c>
      <c r="K49" s="441" t="s">
        <v>164</v>
      </c>
      <c r="L49" s="441" t="s">
        <v>164</v>
      </c>
      <c r="M49" s="441" t="s">
        <v>164</v>
      </c>
      <c r="N49" s="441" t="s">
        <v>164</v>
      </c>
      <c r="O49" s="441" t="s">
        <v>164</v>
      </c>
      <c r="P49" s="441" t="s">
        <v>164</v>
      </c>
      <c r="Q49" s="441" t="s">
        <v>164</v>
      </c>
      <c r="R49" s="441" t="s">
        <v>164</v>
      </c>
      <c r="S49" s="441" t="s">
        <v>164</v>
      </c>
      <c r="T49" s="441" t="s">
        <v>164</v>
      </c>
      <c r="U49" s="441" t="s">
        <v>164</v>
      </c>
      <c r="V49" s="441" t="s">
        <v>164</v>
      </c>
      <c r="W49" s="441" t="s">
        <v>164</v>
      </c>
      <c r="X49" s="441" t="s">
        <v>164</v>
      </c>
      <c r="Y49" s="441" t="s">
        <v>164</v>
      </c>
      <c r="Z49" s="441" t="s">
        <v>164</v>
      </c>
      <c r="AA49" s="441" t="s">
        <v>164</v>
      </c>
      <c r="AB49" s="441" t="s">
        <v>164</v>
      </c>
      <c r="AC49" s="441" t="s">
        <v>164</v>
      </c>
      <c r="AD49" s="441" t="s">
        <v>164</v>
      </c>
      <c r="AE49" s="441" t="s">
        <v>164</v>
      </c>
      <c r="AF49" s="441" t="s">
        <v>164</v>
      </c>
      <c r="AG49" s="441"/>
      <c r="AH49" s="441"/>
      <c r="AI49" s="854"/>
      <c r="AJ49" s="733">
        <f>COUNTIF(D49:AE49,"B")</f>
        <v>0</v>
      </c>
      <c r="AK49" s="734">
        <f>COUNTIF(D49:AE49,"x")</f>
        <v>28</v>
      </c>
      <c r="AL49" s="734">
        <f>COUNTIF(D49:AE49,"đh")+COUNTIF(D49:AE49,"NL")</f>
        <v>0</v>
      </c>
      <c r="AM49" s="735">
        <f>COUNTIF(D49:AE49,"P")</f>
        <v>0</v>
      </c>
      <c r="AN49" s="684"/>
      <c r="AO49" s="684"/>
      <c r="AP49" s="864"/>
    </row>
    <row r="50" spans="1:42" s="233" customFormat="1" ht="14.25" customHeight="1">
      <c r="A50" s="695">
        <v>2</v>
      </c>
      <c r="B50" s="4555" t="s">
        <v>421</v>
      </c>
      <c r="C50" s="4556"/>
      <c r="D50" s="441" t="s">
        <v>164</v>
      </c>
      <c r="E50" s="441" t="s">
        <v>164</v>
      </c>
      <c r="F50" s="441" t="s">
        <v>164</v>
      </c>
      <c r="G50" s="441" t="s">
        <v>164</v>
      </c>
      <c r="H50" s="441" t="s">
        <v>164</v>
      </c>
      <c r="I50" s="441" t="s">
        <v>164</v>
      </c>
      <c r="J50" s="441" t="s">
        <v>164</v>
      </c>
      <c r="K50" s="441" t="s">
        <v>164</v>
      </c>
      <c r="L50" s="441" t="s">
        <v>164</v>
      </c>
      <c r="M50" s="441" t="s">
        <v>164</v>
      </c>
      <c r="N50" s="441" t="s">
        <v>164</v>
      </c>
      <c r="O50" s="441" t="s">
        <v>164</v>
      </c>
      <c r="P50" s="441" t="s">
        <v>164</v>
      </c>
      <c r="Q50" s="441" t="s">
        <v>164</v>
      </c>
      <c r="R50" s="441" t="s">
        <v>164</v>
      </c>
      <c r="S50" s="441" t="s">
        <v>164</v>
      </c>
      <c r="T50" s="441" t="s">
        <v>164</v>
      </c>
      <c r="U50" s="441" t="s">
        <v>164</v>
      </c>
      <c r="V50" s="441" t="s">
        <v>164</v>
      </c>
      <c r="W50" s="441" t="s">
        <v>164</v>
      </c>
      <c r="X50" s="441" t="s">
        <v>164</v>
      </c>
      <c r="Y50" s="441" t="s">
        <v>164</v>
      </c>
      <c r="Z50" s="441" t="s">
        <v>164</v>
      </c>
      <c r="AA50" s="441" t="s">
        <v>164</v>
      </c>
      <c r="AB50" s="441" t="s">
        <v>164</v>
      </c>
      <c r="AC50" s="441" t="s">
        <v>164</v>
      </c>
      <c r="AD50" s="441" t="s">
        <v>164</v>
      </c>
      <c r="AE50" s="441" t="s">
        <v>164</v>
      </c>
      <c r="AF50" s="441" t="s">
        <v>164</v>
      </c>
      <c r="AG50" s="441"/>
      <c r="AH50" s="441"/>
      <c r="AI50" s="854"/>
      <c r="AJ50" s="737">
        <f>COUNTIF(D50:AE50,"B")</f>
        <v>0</v>
      </c>
      <c r="AK50" s="738">
        <f>COUNTIF(D50:AE50,"x")</f>
        <v>28</v>
      </c>
      <c r="AL50" s="738">
        <f>COUNTIF(D50:AE50,"đh")+COUNTIF(D50:AE50,"NL")</f>
        <v>0</v>
      </c>
      <c r="AM50" s="739">
        <f>COUNTIF(D50:AE50,"P")</f>
        <v>0</v>
      </c>
      <c r="AN50" s="685"/>
      <c r="AO50" s="685"/>
      <c r="AP50" s="864"/>
    </row>
    <row r="51" spans="1:42" s="233" customFormat="1" ht="14.25" customHeight="1">
      <c r="A51" s="695">
        <v>3</v>
      </c>
      <c r="B51" s="4555" t="s">
        <v>426</v>
      </c>
      <c r="C51" s="4556"/>
      <c r="D51" s="441" t="s">
        <v>164</v>
      </c>
      <c r="E51" s="441" t="s">
        <v>164</v>
      </c>
      <c r="F51" s="441" t="s">
        <v>164</v>
      </c>
      <c r="G51" s="441" t="s">
        <v>164</v>
      </c>
      <c r="H51" s="441" t="s">
        <v>164</v>
      </c>
      <c r="I51" s="441" t="s">
        <v>164</v>
      </c>
      <c r="J51" s="441" t="s">
        <v>164</v>
      </c>
      <c r="K51" s="441" t="s">
        <v>164</v>
      </c>
      <c r="L51" s="441" t="s">
        <v>164</v>
      </c>
      <c r="M51" s="441" t="s">
        <v>164</v>
      </c>
      <c r="N51" s="441" t="s">
        <v>164</v>
      </c>
      <c r="O51" s="441" t="s">
        <v>164</v>
      </c>
      <c r="P51" s="441" t="s">
        <v>164</v>
      </c>
      <c r="Q51" s="441" t="s">
        <v>164</v>
      </c>
      <c r="R51" s="441" t="s">
        <v>164</v>
      </c>
      <c r="S51" s="441" t="s">
        <v>164</v>
      </c>
      <c r="T51" s="441" t="s">
        <v>164</v>
      </c>
      <c r="U51" s="441" t="s">
        <v>164</v>
      </c>
      <c r="V51" s="441" t="s">
        <v>164</v>
      </c>
      <c r="W51" s="441" t="s">
        <v>164</v>
      </c>
      <c r="X51" s="441" t="s">
        <v>164</v>
      </c>
      <c r="Y51" s="441" t="s">
        <v>164</v>
      </c>
      <c r="Z51" s="441" t="s">
        <v>164</v>
      </c>
      <c r="AA51" s="441" t="s">
        <v>164</v>
      </c>
      <c r="AB51" s="441" t="s">
        <v>164</v>
      </c>
      <c r="AC51" s="441" t="s">
        <v>164</v>
      </c>
      <c r="AD51" s="441" t="s">
        <v>164</v>
      </c>
      <c r="AE51" s="441" t="s">
        <v>164</v>
      </c>
      <c r="AF51" s="441" t="s">
        <v>164</v>
      </c>
      <c r="AG51" s="441"/>
      <c r="AH51" s="441"/>
      <c r="AI51" s="854"/>
      <c r="AJ51" s="737"/>
      <c r="AK51" s="738"/>
      <c r="AL51" s="738"/>
      <c r="AM51" s="739"/>
      <c r="AN51" s="685"/>
      <c r="AO51" s="685"/>
      <c r="AP51" s="864"/>
    </row>
    <row r="52" spans="1:42" s="233" customFormat="1" ht="14.25" customHeight="1">
      <c r="A52" s="694">
        <v>4</v>
      </c>
      <c r="B52" s="4555" t="s">
        <v>427</v>
      </c>
      <c r="C52" s="4556"/>
      <c r="D52" s="441" t="s">
        <v>164</v>
      </c>
      <c r="E52" s="441" t="s">
        <v>164</v>
      </c>
      <c r="F52" s="441" t="s">
        <v>164</v>
      </c>
      <c r="G52" s="441" t="s">
        <v>164</v>
      </c>
      <c r="H52" s="441" t="s">
        <v>164</v>
      </c>
      <c r="I52" s="441" t="s">
        <v>164</v>
      </c>
      <c r="J52" s="441" t="s">
        <v>164</v>
      </c>
      <c r="K52" s="441" t="s">
        <v>164</v>
      </c>
      <c r="L52" s="441" t="s">
        <v>164</v>
      </c>
      <c r="M52" s="441" t="s">
        <v>164</v>
      </c>
      <c r="N52" s="441" t="s">
        <v>164</v>
      </c>
      <c r="O52" s="441" t="s">
        <v>164</v>
      </c>
      <c r="P52" s="441" t="s">
        <v>164</v>
      </c>
      <c r="Q52" s="441" t="s">
        <v>164</v>
      </c>
      <c r="R52" s="441" t="s">
        <v>164</v>
      </c>
      <c r="S52" s="441" t="s">
        <v>164</v>
      </c>
      <c r="T52" s="441" t="s">
        <v>164</v>
      </c>
      <c r="U52" s="441" t="s">
        <v>164</v>
      </c>
      <c r="V52" s="441" t="s">
        <v>164</v>
      </c>
      <c r="W52" s="441" t="s">
        <v>164</v>
      </c>
      <c r="X52" s="441" t="s">
        <v>164</v>
      </c>
      <c r="Y52" s="441" t="s">
        <v>164</v>
      </c>
      <c r="Z52" s="441" t="s">
        <v>164</v>
      </c>
      <c r="AA52" s="441" t="s">
        <v>164</v>
      </c>
      <c r="AB52" s="441" t="s">
        <v>164</v>
      </c>
      <c r="AC52" s="441" t="s">
        <v>164</v>
      </c>
      <c r="AD52" s="441" t="s">
        <v>164</v>
      </c>
      <c r="AE52" s="441" t="s">
        <v>164</v>
      </c>
      <c r="AF52" s="441" t="s">
        <v>164</v>
      </c>
      <c r="AG52" s="441"/>
      <c r="AH52" s="441"/>
      <c r="AI52" s="854"/>
      <c r="AJ52" s="737"/>
      <c r="AK52" s="738"/>
      <c r="AL52" s="738"/>
      <c r="AM52" s="739"/>
      <c r="AN52" s="685"/>
      <c r="AO52" s="685"/>
      <c r="AP52" s="864"/>
    </row>
    <row r="53" spans="1:42" s="233" customFormat="1" ht="14.25" customHeight="1">
      <c r="A53" s="695">
        <v>5</v>
      </c>
      <c r="B53" s="4555" t="s">
        <v>521</v>
      </c>
      <c r="C53" s="4556"/>
      <c r="D53" s="441" t="s">
        <v>164</v>
      </c>
      <c r="E53" s="441" t="s">
        <v>164</v>
      </c>
      <c r="F53" s="441" t="s">
        <v>164</v>
      </c>
      <c r="G53" s="441" t="s">
        <v>164</v>
      </c>
      <c r="H53" s="441" t="s">
        <v>164</v>
      </c>
      <c r="I53" s="441" t="s">
        <v>164</v>
      </c>
      <c r="J53" s="441" t="s">
        <v>164</v>
      </c>
      <c r="K53" s="441" t="s">
        <v>164</v>
      </c>
      <c r="L53" s="441" t="s">
        <v>164</v>
      </c>
      <c r="M53" s="441" t="s">
        <v>164</v>
      </c>
      <c r="N53" s="441" t="s">
        <v>164</v>
      </c>
      <c r="O53" s="441" t="s">
        <v>164</v>
      </c>
      <c r="P53" s="441" t="s">
        <v>164</v>
      </c>
      <c r="Q53" s="441" t="s">
        <v>164</v>
      </c>
      <c r="R53" s="441" t="s">
        <v>164</v>
      </c>
      <c r="S53" s="441" t="s">
        <v>164</v>
      </c>
      <c r="T53" s="441" t="s">
        <v>164</v>
      </c>
      <c r="U53" s="441" t="s">
        <v>164</v>
      </c>
      <c r="V53" s="441" t="s">
        <v>164</v>
      </c>
      <c r="W53" s="441" t="s">
        <v>164</v>
      </c>
      <c r="X53" s="441" t="s">
        <v>164</v>
      </c>
      <c r="Y53" s="441" t="s">
        <v>164</v>
      </c>
      <c r="Z53" s="441" t="s">
        <v>164</v>
      </c>
      <c r="AA53" s="441" t="s">
        <v>164</v>
      </c>
      <c r="AB53" s="441" t="s">
        <v>164</v>
      </c>
      <c r="AC53" s="441" t="s">
        <v>164</v>
      </c>
      <c r="AD53" s="441" t="s">
        <v>164</v>
      </c>
      <c r="AE53" s="441" t="s">
        <v>164</v>
      </c>
      <c r="AF53" s="441" t="s">
        <v>164</v>
      </c>
      <c r="AG53" s="441"/>
      <c r="AH53" s="441"/>
      <c r="AI53" s="854"/>
      <c r="AJ53" s="737"/>
      <c r="AK53" s="738"/>
      <c r="AL53" s="738"/>
      <c r="AM53" s="739"/>
      <c r="AN53" s="685"/>
      <c r="AO53" s="685"/>
      <c r="AP53" s="864"/>
    </row>
    <row r="54" spans="1:42" s="233" customFormat="1" ht="14.25" customHeight="1">
      <c r="A54" s="695">
        <v>6</v>
      </c>
      <c r="B54" s="4555" t="s">
        <v>518</v>
      </c>
      <c r="C54" s="4556"/>
      <c r="D54" s="441" t="s">
        <v>164</v>
      </c>
      <c r="E54" s="441" t="s">
        <v>164</v>
      </c>
      <c r="F54" s="441" t="s">
        <v>164</v>
      </c>
      <c r="G54" s="441" t="s">
        <v>164</v>
      </c>
      <c r="H54" s="441" t="s">
        <v>164</v>
      </c>
      <c r="I54" s="441" t="s">
        <v>164</v>
      </c>
      <c r="J54" s="441" t="s">
        <v>164</v>
      </c>
      <c r="K54" s="441" t="s">
        <v>164</v>
      </c>
      <c r="L54" s="441" t="s">
        <v>164</v>
      </c>
      <c r="M54" s="441" t="s">
        <v>164</v>
      </c>
      <c r="N54" s="441" t="s">
        <v>164</v>
      </c>
      <c r="O54" s="441" t="s">
        <v>164</v>
      </c>
      <c r="P54" s="441" t="s">
        <v>164</v>
      </c>
      <c r="Q54" s="441" t="s">
        <v>164</v>
      </c>
      <c r="R54" s="441" t="s">
        <v>164</v>
      </c>
      <c r="S54" s="441" t="s">
        <v>164</v>
      </c>
      <c r="T54" s="441" t="s">
        <v>164</v>
      </c>
      <c r="U54" s="441" t="s">
        <v>164</v>
      </c>
      <c r="V54" s="441" t="s">
        <v>164</v>
      </c>
      <c r="W54" s="441" t="s">
        <v>164</v>
      </c>
      <c r="X54" s="441" t="s">
        <v>164</v>
      </c>
      <c r="Y54" s="441" t="s">
        <v>164</v>
      </c>
      <c r="Z54" s="441" t="s">
        <v>164</v>
      </c>
      <c r="AA54" s="441" t="s">
        <v>164</v>
      </c>
      <c r="AB54" s="441" t="s">
        <v>164</v>
      </c>
      <c r="AC54" s="441" t="s">
        <v>164</v>
      </c>
      <c r="AD54" s="441" t="s">
        <v>164</v>
      </c>
      <c r="AE54" s="441" t="s">
        <v>164</v>
      </c>
      <c r="AF54" s="441" t="s">
        <v>164</v>
      </c>
      <c r="AG54" s="441"/>
      <c r="AH54" s="441"/>
      <c r="AI54" s="854"/>
      <c r="AJ54" s="737"/>
      <c r="AK54" s="738"/>
      <c r="AL54" s="738"/>
      <c r="AM54" s="739"/>
      <c r="AN54" s="685"/>
      <c r="AO54" s="685"/>
      <c r="AP54" s="864"/>
    </row>
    <row r="55" spans="1:42" s="233" customFormat="1" ht="14.25" customHeight="1">
      <c r="A55" s="694">
        <v>7</v>
      </c>
      <c r="B55" s="4555" t="s">
        <v>519</v>
      </c>
      <c r="C55" s="4556"/>
      <c r="D55" s="441" t="s">
        <v>164</v>
      </c>
      <c r="E55" s="441" t="s">
        <v>164</v>
      </c>
      <c r="F55" s="441" t="s">
        <v>164</v>
      </c>
      <c r="G55" s="441" t="s">
        <v>164</v>
      </c>
      <c r="H55" s="441" t="s">
        <v>164</v>
      </c>
      <c r="I55" s="441" t="s">
        <v>164</v>
      </c>
      <c r="J55" s="441" t="s">
        <v>164</v>
      </c>
      <c r="K55" s="441" t="s">
        <v>164</v>
      </c>
      <c r="L55" s="441" t="s">
        <v>164</v>
      </c>
      <c r="M55" s="441" t="s">
        <v>164</v>
      </c>
      <c r="N55" s="441" t="s">
        <v>164</v>
      </c>
      <c r="O55" s="441" t="s">
        <v>164</v>
      </c>
      <c r="P55" s="441" t="s">
        <v>164</v>
      </c>
      <c r="Q55" s="441" t="s">
        <v>164</v>
      </c>
      <c r="R55" s="441" t="s">
        <v>164</v>
      </c>
      <c r="S55" s="441" t="s">
        <v>164</v>
      </c>
      <c r="T55" s="441" t="s">
        <v>164</v>
      </c>
      <c r="U55" s="441" t="s">
        <v>164</v>
      </c>
      <c r="V55" s="441" t="s">
        <v>164</v>
      </c>
      <c r="W55" s="441" t="s">
        <v>164</v>
      </c>
      <c r="X55" s="441" t="s">
        <v>164</v>
      </c>
      <c r="Y55" s="441" t="s">
        <v>164</v>
      </c>
      <c r="Z55" s="441" t="s">
        <v>164</v>
      </c>
      <c r="AA55" s="441" t="s">
        <v>164</v>
      </c>
      <c r="AB55" s="441" t="s">
        <v>164</v>
      </c>
      <c r="AC55" s="441" t="s">
        <v>164</v>
      </c>
      <c r="AD55" s="441" t="s">
        <v>164</v>
      </c>
      <c r="AE55" s="441" t="s">
        <v>164</v>
      </c>
      <c r="AF55" s="441" t="s">
        <v>164</v>
      </c>
      <c r="AG55" s="441"/>
      <c r="AH55" s="441"/>
      <c r="AI55" s="854"/>
      <c r="AJ55" s="737"/>
      <c r="AK55" s="738"/>
      <c r="AL55" s="738"/>
      <c r="AM55" s="739"/>
      <c r="AN55" s="685"/>
      <c r="AO55" s="685"/>
      <c r="AP55" s="864"/>
    </row>
    <row r="56" spans="1:42" s="233" customFormat="1" ht="14.25" customHeight="1">
      <c r="A56" s="695">
        <v>8</v>
      </c>
      <c r="B56" s="4555" t="s">
        <v>520</v>
      </c>
      <c r="C56" s="4556"/>
      <c r="D56" s="441" t="s">
        <v>164</v>
      </c>
      <c r="E56" s="441" t="s">
        <v>164</v>
      </c>
      <c r="F56" s="441" t="s">
        <v>164</v>
      </c>
      <c r="G56" s="441" t="s">
        <v>164</v>
      </c>
      <c r="H56" s="441" t="s">
        <v>164</v>
      </c>
      <c r="I56" s="441" t="s">
        <v>164</v>
      </c>
      <c r="J56" s="441" t="s">
        <v>164</v>
      </c>
      <c r="K56" s="441" t="s">
        <v>164</v>
      </c>
      <c r="L56" s="441" t="s">
        <v>164</v>
      </c>
      <c r="M56" s="441" t="s">
        <v>164</v>
      </c>
      <c r="N56" s="441" t="s">
        <v>164</v>
      </c>
      <c r="O56" s="441" t="s">
        <v>164</v>
      </c>
      <c r="P56" s="441" t="s">
        <v>164</v>
      </c>
      <c r="Q56" s="441" t="s">
        <v>164</v>
      </c>
      <c r="R56" s="441" t="s">
        <v>164</v>
      </c>
      <c r="S56" s="441" t="s">
        <v>164</v>
      </c>
      <c r="T56" s="441" t="s">
        <v>164</v>
      </c>
      <c r="U56" s="441" t="s">
        <v>164</v>
      </c>
      <c r="V56" s="441" t="s">
        <v>164</v>
      </c>
      <c r="W56" s="441" t="s">
        <v>164</v>
      </c>
      <c r="X56" s="441" t="s">
        <v>164</v>
      </c>
      <c r="Y56" s="441" t="s">
        <v>164</v>
      </c>
      <c r="Z56" s="441" t="s">
        <v>164</v>
      </c>
      <c r="AA56" s="441" t="s">
        <v>164</v>
      </c>
      <c r="AB56" s="441" t="s">
        <v>164</v>
      </c>
      <c r="AC56" s="441" t="s">
        <v>164</v>
      </c>
      <c r="AD56" s="441" t="s">
        <v>164</v>
      </c>
      <c r="AE56" s="441" t="s">
        <v>164</v>
      </c>
      <c r="AF56" s="441" t="s">
        <v>164</v>
      </c>
      <c r="AG56" s="441"/>
      <c r="AH56" s="441"/>
      <c r="AI56" s="854"/>
      <c r="AJ56" s="737"/>
      <c r="AK56" s="738"/>
      <c r="AL56" s="738"/>
      <c r="AM56" s="739"/>
      <c r="AN56" s="685"/>
      <c r="AO56" s="685"/>
      <c r="AP56" s="864"/>
    </row>
    <row r="57" spans="1:42" s="233" customFormat="1" ht="14.25" customHeight="1">
      <c r="A57" s="695">
        <v>9</v>
      </c>
      <c r="B57" s="4555" t="s">
        <v>522</v>
      </c>
      <c r="C57" s="4556"/>
      <c r="D57" s="441" t="s">
        <v>164</v>
      </c>
      <c r="E57" s="441" t="s">
        <v>164</v>
      </c>
      <c r="F57" s="441" t="s">
        <v>164</v>
      </c>
      <c r="G57" s="441" t="s">
        <v>164</v>
      </c>
      <c r="H57" s="441" t="s">
        <v>164</v>
      </c>
      <c r="I57" s="441" t="s">
        <v>164</v>
      </c>
      <c r="J57" s="441" t="s">
        <v>164</v>
      </c>
      <c r="K57" s="441" t="s">
        <v>164</v>
      </c>
      <c r="L57" s="441" t="s">
        <v>164</v>
      </c>
      <c r="M57" s="441" t="s">
        <v>164</v>
      </c>
      <c r="N57" s="441" t="s">
        <v>164</v>
      </c>
      <c r="O57" s="441" t="s">
        <v>164</v>
      </c>
      <c r="P57" s="441" t="s">
        <v>164</v>
      </c>
      <c r="Q57" s="441" t="s">
        <v>164</v>
      </c>
      <c r="R57" s="441" t="s">
        <v>164</v>
      </c>
      <c r="S57" s="441" t="s">
        <v>164</v>
      </c>
      <c r="T57" s="441" t="s">
        <v>164</v>
      </c>
      <c r="U57" s="441" t="s">
        <v>164</v>
      </c>
      <c r="V57" s="441" t="s">
        <v>164</v>
      </c>
      <c r="W57" s="441" t="s">
        <v>164</v>
      </c>
      <c r="X57" s="441" t="s">
        <v>164</v>
      </c>
      <c r="Y57" s="441" t="s">
        <v>164</v>
      </c>
      <c r="Z57" s="441" t="s">
        <v>164</v>
      </c>
      <c r="AA57" s="441" t="s">
        <v>164</v>
      </c>
      <c r="AB57" s="441" t="s">
        <v>164</v>
      </c>
      <c r="AC57" s="441" t="s">
        <v>164</v>
      </c>
      <c r="AD57" s="441" t="s">
        <v>164</v>
      </c>
      <c r="AE57" s="441" t="s">
        <v>164</v>
      </c>
      <c r="AF57" s="441" t="s">
        <v>164</v>
      </c>
      <c r="AG57" s="441"/>
      <c r="AH57" s="441"/>
      <c r="AI57" s="854"/>
      <c r="AJ57" s="737"/>
      <c r="AK57" s="738"/>
      <c r="AL57" s="738"/>
      <c r="AM57" s="739"/>
      <c r="AN57" s="685"/>
      <c r="AO57" s="685"/>
      <c r="AP57" s="864"/>
    </row>
    <row r="58" spans="1:42" s="233" customFormat="1" ht="14.25" customHeight="1">
      <c r="A58" s="694">
        <v>10</v>
      </c>
      <c r="B58" s="4555" t="s">
        <v>523</v>
      </c>
      <c r="C58" s="4556"/>
      <c r="D58" s="441" t="s">
        <v>164</v>
      </c>
      <c r="E58" s="441" t="s">
        <v>164</v>
      </c>
      <c r="F58" s="441" t="s">
        <v>164</v>
      </c>
      <c r="G58" s="441" t="s">
        <v>164</v>
      </c>
      <c r="H58" s="441" t="s">
        <v>164</v>
      </c>
      <c r="I58" s="441" t="s">
        <v>164</v>
      </c>
      <c r="J58" s="441" t="s">
        <v>164</v>
      </c>
      <c r="K58" s="441" t="s">
        <v>164</v>
      </c>
      <c r="L58" s="441" t="s">
        <v>164</v>
      </c>
      <c r="M58" s="441" t="s">
        <v>164</v>
      </c>
      <c r="N58" s="441" t="s">
        <v>164</v>
      </c>
      <c r="O58" s="441" t="s">
        <v>164</v>
      </c>
      <c r="P58" s="441" t="s">
        <v>164</v>
      </c>
      <c r="Q58" s="441" t="s">
        <v>164</v>
      </c>
      <c r="R58" s="441" t="s">
        <v>164</v>
      </c>
      <c r="S58" s="441" t="s">
        <v>164</v>
      </c>
      <c r="T58" s="441" t="s">
        <v>164</v>
      </c>
      <c r="U58" s="441" t="s">
        <v>164</v>
      </c>
      <c r="V58" s="441" t="s">
        <v>164</v>
      </c>
      <c r="W58" s="441" t="s">
        <v>164</v>
      </c>
      <c r="X58" s="441" t="s">
        <v>164</v>
      </c>
      <c r="Y58" s="441" t="s">
        <v>164</v>
      </c>
      <c r="Z58" s="441" t="s">
        <v>164</v>
      </c>
      <c r="AA58" s="441" t="s">
        <v>164</v>
      </c>
      <c r="AB58" s="441" t="s">
        <v>164</v>
      </c>
      <c r="AC58" s="441" t="s">
        <v>164</v>
      </c>
      <c r="AD58" s="441" t="s">
        <v>164</v>
      </c>
      <c r="AE58" s="441" t="s">
        <v>164</v>
      </c>
      <c r="AF58" s="441" t="s">
        <v>164</v>
      </c>
      <c r="AG58" s="441"/>
      <c r="AH58" s="441"/>
      <c r="AI58" s="854"/>
      <c r="AJ58" s="737"/>
      <c r="AK58" s="738"/>
      <c r="AL58" s="738"/>
      <c r="AM58" s="739"/>
      <c r="AN58" s="685"/>
      <c r="AO58" s="685"/>
      <c r="AP58" s="864"/>
    </row>
    <row r="59" spans="1:42" s="233" customFormat="1" ht="14.25" customHeight="1">
      <c r="A59" s="695">
        <v>11</v>
      </c>
      <c r="B59" s="4555" t="s">
        <v>524</v>
      </c>
      <c r="C59" s="4556"/>
      <c r="D59" s="441" t="s">
        <v>164</v>
      </c>
      <c r="E59" s="441" t="s">
        <v>164</v>
      </c>
      <c r="F59" s="441" t="s">
        <v>164</v>
      </c>
      <c r="G59" s="441" t="s">
        <v>164</v>
      </c>
      <c r="H59" s="441" t="s">
        <v>164</v>
      </c>
      <c r="I59" s="441" t="s">
        <v>164</v>
      </c>
      <c r="J59" s="441" t="s">
        <v>164</v>
      </c>
      <c r="K59" s="441" t="s">
        <v>164</v>
      </c>
      <c r="L59" s="441" t="s">
        <v>164</v>
      </c>
      <c r="M59" s="441" t="s">
        <v>164</v>
      </c>
      <c r="N59" s="441" t="s">
        <v>164</v>
      </c>
      <c r="O59" s="441" t="s">
        <v>164</v>
      </c>
      <c r="P59" s="441" t="s">
        <v>164</v>
      </c>
      <c r="Q59" s="441" t="s">
        <v>164</v>
      </c>
      <c r="R59" s="441" t="s">
        <v>164</v>
      </c>
      <c r="S59" s="441" t="s">
        <v>164</v>
      </c>
      <c r="T59" s="441" t="s">
        <v>164</v>
      </c>
      <c r="U59" s="441" t="s">
        <v>164</v>
      </c>
      <c r="V59" s="441" t="s">
        <v>164</v>
      </c>
      <c r="W59" s="441" t="s">
        <v>164</v>
      </c>
      <c r="X59" s="441" t="s">
        <v>164</v>
      </c>
      <c r="Y59" s="441" t="s">
        <v>164</v>
      </c>
      <c r="Z59" s="441" t="s">
        <v>164</v>
      </c>
      <c r="AA59" s="441" t="s">
        <v>164</v>
      </c>
      <c r="AB59" s="441" t="s">
        <v>164</v>
      </c>
      <c r="AC59" s="441" t="s">
        <v>164</v>
      </c>
      <c r="AD59" s="441" t="s">
        <v>164</v>
      </c>
      <c r="AE59" s="441" t="s">
        <v>164</v>
      </c>
      <c r="AF59" s="441" t="s">
        <v>164</v>
      </c>
      <c r="AG59" s="441"/>
      <c r="AH59" s="441"/>
      <c r="AI59" s="854"/>
      <c r="AJ59" s="737"/>
      <c r="AK59" s="738"/>
      <c r="AL59" s="738"/>
      <c r="AM59" s="739"/>
      <c r="AN59" s="685"/>
      <c r="AO59" s="685"/>
      <c r="AP59" s="864"/>
    </row>
    <row r="60" spans="1:42" s="233" customFormat="1" ht="14.25" customHeight="1">
      <c r="A60" s="695">
        <v>12</v>
      </c>
      <c r="B60" s="4555" t="s">
        <v>525</v>
      </c>
      <c r="C60" s="4556"/>
      <c r="D60" s="441" t="s">
        <v>164</v>
      </c>
      <c r="E60" s="441" t="s">
        <v>164</v>
      </c>
      <c r="F60" s="441" t="s">
        <v>164</v>
      </c>
      <c r="G60" s="441" t="s">
        <v>164</v>
      </c>
      <c r="H60" s="441" t="s">
        <v>164</v>
      </c>
      <c r="I60" s="441" t="s">
        <v>164</v>
      </c>
      <c r="J60" s="441" t="s">
        <v>164</v>
      </c>
      <c r="K60" s="441" t="s">
        <v>164</v>
      </c>
      <c r="L60" s="441" t="s">
        <v>164</v>
      </c>
      <c r="M60" s="441" t="s">
        <v>164</v>
      </c>
      <c r="N60" s="441" t="s">
        <v>164</v>
      </c>
      <c r="O60" s="441" t="s">
        <v>164</v>
      </c>
      <c r="P60" s="441" t="s">
        <v>164</v>
      </c>
      <c r="Q60" s="441" t="s">
        <v>164</v>
      </c>
      <c r="R60" s="441" t="s">
        <v>164</v>
      </c>
      <c r="S60" s="441" t="s">
        <v>164</v>
      </c>
      <c r="T60" s="441" t="s">
        <v>164</v>
      </c>
      <c r="U60" s="441" t="s">
        <v>164</v>
      </c>
      <c r="V60" s="441" t="s">
        <v>164</v>
      </c>
      <c r="W60" s="441" t="s">
        <v>164</v>
      </c>
      <c r="X60" s="441" t="s">
        <v>164</v>
      </c>
      <c r="Y60" s="441" t="s">
        <v>164</v>
      </c>
      <c r="Z60" s="441" t="s">
        <v>164</v>
      </c>
      <c r="AA60" s="441" t="s">
        <v>164</v>
      </c>
      <c r="AB60" s="441" t="s">
        <v>164</v>
      </c>
      <c r="AC60" s="441" t="s">
        <v>164</v>
      </c>
      <c r="AD60" s="441" t="s">
        <v>164</v>
      </c>
      <c r="AE60" s="441" t="s">
        <v>164</v>
      </c>
      <c r="AF60" s="441" t="s">
        <v>164</v>
      </c>
      <c r="AG60" s="441"/>
      <c r="AH60" s="441"/>
      <c r="AI60" s="854"/>
      <c r="AJ60" s="737"/>
      <c r="AK60" s="738"/>
      <c r="AL60" s="738"/>
      <c r="AM60" s="739"/>
      <c r="AN60" s="685"/>
      <c r="AO60" s="685"/>
      <c r="AP60" s="864"/>
    </row>
    <row r="61" spans="1:42" s="233" customFormat="1" ht="14.25" customHeight="1">
      <c r="A61" s="694">
        <v>13</v>
      </c>
      <c r="B61" s="4555" t="s">
        <v>526</v>
      </c>
      <c r="C61" s="4556"/>
      <c r="D61" s="441" t="s">
        <v>164</v>
      </c>
      <c r="E61" s="441" t="s">
        <v>164</v>
      </c>
      <c r="F61" s="441" t="s">
        <v>164</v>
      </c>
      <c r="G61" s="441" t="s">
        <v>164</v>
      </c>
      <c r="H61" s="441" t="s">
        <v>164</v>
      </c>
      <c r="I61" s="441" t="s">
        <v>164</v>
      </c>
      <c r="J61" s="441" t="s">
        <v>164</v>
      </c>
      <c r="K61" s="441" t="s">
        <v>164</v>
      </c>
      <c r="L61" s="441" t="s">
        <v>164</v>
      </c>
      <c r="M61" s="441" t="s">
        <v>164</v>
      </c>
      <c r="N61" s="441" t="s">
        <v>164</v>
      </c>
      <c r="O61" s="441" t="s">
        <v>164</v>
      </c>
      <c r="P61" s="441" t="s">
        <v>164</v>
      </c>
      <c r="Q61" s="441" t="s">
        <v>164</v>
      </c>
      <c r="R61" s="441" t="s">
        <v>164</v>
      </c>
      <c r="S61" s="441" t="s">
        <v>164</v>
      </c>
      <c r="T61" s="441" t="s">
        <v>164</v>
      </c>
      <c r="U61" s="441" t="s">
        <v>164</v>
      </c>
      <c r="V61" s="441" t="s">
        <v>164</v>
      </c>
      <c r="W61" s="441" t="s">
        <v>164</v>
      </c>
      <c r="X61" s="441" t="s">
        <v>164</v>
      </c>
      <c r="Y61" s="441" t="s">
        <v>164</v>
      </c>
      <c r="Z61" s="441" t="s">
        <v>164</v>
      </c>
      <c r="AA61" s="441" t="s">
        <v>164</v>
      </c>
      <c r="AB61" s="441" t="s">
        <v>164</v>
      </c>
      <c r="AC61" s="441" t="s">
        <v>164</v>
      </c>
      <c r="AD61" s="441" t="s">
        <v>164</v>
      </c>
      <c r="AE61" s="441" t="s">
        <v>164</v>
      </c>
      <c r="AF61" s="441" t="s">
        <v>164</v>
      </c>
      <c r="AG61" s="441"/>
      <c r="AH61" s="441"/>
      <c r="AI61" s="854"/>
      <c r="AJ61" s="737"/>
      <c r="AK61" s="738"/>
      <c r="AL61" s="738"/>
      <c r="AM61" s="739"/>
      <c r="AN61" s="685"/>
      <c r="AO61" s="685"/>
      <c r="AP61" s="864"/>
    </row>
    <row r="62" spans="1:42" s="233" customFormat="1" ht="14.25" customHeight="1">
      <c r="A62" s="695">
        <v>14</v>
      </c>
      <c r="B62" s="4555" t="s">
        <v>531</v>
      </c>
      <c r="C62" s="4556"/>
      <c r="D62" s="441" t="s">
        <v>164</v>
      </c>
      <c r="E62" s="441" t="s">
        <v>164</v>
      </c>
      <c r="F62" s="441" t="s">
        <v>164</v>
      </c>
      <c r="G62" s="441" t="s">
        <v>164</v>
      </c>
      <c r="H62" s="441" t="s">
        <v>164</v>
      </c>
      <c r="I62" s="441" t="s">
        <v>164</v>
      </c>
      <c r="J62" s="441" t="s">
        <v>164</v>
      </c>
      <c r="K62" s="441" t="s">
        <v>164</v>
      </c>
      <c r="L62" s="441" t="s">
        <v>164</v>
      </c>
      <c r="M62" s="441" t="s">
        <v>164</v>
      </c>
      <c r="N62" s="441" t="s">
        <v>164</v>
      </c>
      <c r="O62" s="441" t="s">
        <v>164</v>
      </c>
      <c r="P62" s="441" t="s">
        <v>164</v>
      </c>
      <c r="Q62" s="441" t="s">
        <v>164</v>
      </c>
      <c r="R62" s="441" t="s">
        <v>164</v>
      </c>
      <c r="S62" s="441" t="s">
        <v>164</v>
      </c>
      <c r="T62" s="441" t="s">
        <v>164</v>
      </c>
      <c r="U62" s="441" t="s">
        <v>164</v>
      </c>
      <c r="V62" s="441" t="s">
        <v>164</v>
      </c>
      <c r="W62" s="441" t="s">
        <v>164</v>
      </c>
      <c r="X62" s="441" t="s">
        <v>164</v>
      </c>
      <c r="Y62" s="441" t="s">
        <v>164</v>
      </c>
      <c r="Z62" s="441" t="s">
        <v>164</v>
      </c>
      <c r="AA62" s="441" t="s">
        <v>164</v>
      </c>
      <c r="AB62" s="441" t="s">
        <v>164</v>
      </c>
      <c r="AC62" s="441" t="s">
        <v>164</v>
      </c>
      <c r="AD62" s="441" t="s">
        <v>164</v>
      </c>
      <c r="AE62" s="441" t="s">
        <v>164</v>
      </c>
      <c r="AF62" s="441" t="s">
        <v>164</v>
      </c>
      <c r="AG62" s="441"/>
      <c r="AH62" s="441"/>
      <c r="AI62" s="854"/>
      <c r="AJ62" s="737"/>
      <c r="AK62" s="738"/>
      <c r="AL62" s="738"/>
      <c r="AM62" s="739"/>
      <c r="AN62" s="685"/>
      <c r="AO62" s="685"/>
      <c r="AP62" s="864"/>
    </row>
    <row r="63" spans="1:42" s="233" customFormat="1" ht="14.25" customHeight="1">
      <c r="A63" s="695">
        <v>15</v>
      </c>
      <c r="B63" s="4555" t="s">
        <v>532</v>
      </c>
      <c r="C63" s="4556"/>
      <c r="D63" s="441" t="s">
        <v>164</v>
      </c>
      <c r="E63" s="441" t="s">
        <v>164</v>
      </c>
      <c r="F63" s="441" t="s">
        <v>164</v>
      </c>
      <c r="G63" s="441" t="s">
        <v>164</v>
      </c>
      <c r="H63" s="441" t="s">
        <v>164</v>
      </c>
      <c r="I63" s="441" t="s">
        <v>164</v>
      </c>
      <c r="J63" s="441" t="s">
        <v>164</v>
      </c>
      <c r="K63" s="441" t="s">
        <v>164</v>
      </c>
      <c r="L63" s="441" t="s">
        <v>164</v>
      </c>
      <c r="M63" s="441" t="s">
        <v>164</v>
      </c>
      <c r="N63" s="441" t="s">
        <v>164</v>
      </c>
      <c r="O63" s="441" t="s">
        <v>164</v>
      </c>
      <c r="P63" s="441" t="s">
        <v>164</v>
      </c>
      <c r="Q63" s="441" t="s">
        <v>164</v>
      </c>
      <c r="R63" s="441" t="s">
        <v>164</v>
      </c>
      <c r="S63" s="441" t="s">
        <v>164</v>
      </c>
      <c r="T63" s="441" t="s">
        <v>164</v>
      </c>
      <c r="U63" s="441" t="s">
        <v>164</v>
      </c>
      <c r="V63" s="441" t="s">
        <v>164</v>
      </c>
      <c r="W63" s="441" t="s">
        <v>164</v>
      </c>
      <c r="X63" s="441" t="s">
        <v>164</v>
      </c>
      <c r="Y63" s="441" t="s">
        <v>164</v>
      </c>
      <c r="Z63" s="441" t="s">
        <v>164</v>
      </c>
      <c r="AA63" s="441" t="s">
        <v>164</v>
      </c>
      <c r="AB63" s="441" t="s">
        <v>164</v>
      </c>
      <c r="AC63" s="441" t="s">
        <v>164</v>
      </c>
      <c r="AD63" s="441" t="s">
        <v>164</v>
      </c>
      <c r="AE63" s="441" t="s">
        <v>164</v>
      </c>
      <c r="AF63" s="441" t="s">
        <v>164</v>
      </c>
      <c r="AG63" s="441"/>
      <c r="AH63" s="441"/>
      <c r="AI63" s="854"/>
      <c r="AJ63" s="740"/>
      <c r="AK63" s="741"/>
      <c r="AL63" s="741"/>
      <c r="AM63" s="742"/>
      <c r="AN63" s="743"/>
      <c r="AO63" s="743"/>
      <c r="AP63" s="864"/>
    </row>
    <row r="64" spans="1:42" s="233" customFormat="1" ht="14.25" customHeight="1">
      <c r="A64" s="694">
        <v>16</v>
      </c>
      <c r="B64" s="4555" t="e">
        <f>+BVNT!#REF!</f>
        <v>#REF!</v>
      </c>
      <c r="C64" s="4556"/>
      <c r="D64" s="441" t="s">
        <v>164</v>
      </c>
      <c r="E64" s="441" t="s">
        <v>164</v>
      </c>
      <c r="F64" s="441" t="s">
        <v>164</v>
      </c>
      <c r="G64" s="441" t="s">
        <v>164</v>
      </c>
      <c r="H64" s="441" t="s">
        <v>164</v>
      </c>
      <c r="I64" s="441" t="s">
        <v>164</v>
      </c>
      <c r="J64" s="441" t="s">
        <v>164</v>
      </c>
      <c r="K64" s="441" t="s">
        <v>164</v>
      </c>
      <c r="L64" s="441" t="s">
        <v>164</v>
      </c>
      <c r="M64" s="441" t="s">
        <v>164</v>
      </c>
      <c r="N64" s="441" t="s">
        <v>164</v>
      </c>
      <c r="O64" s="441" t="s">
        <v>164</v>
      </c>
      <c r="P64" s="441" t="s">
        <v>164</v>
      </c>
      <c r="Q64" s="441" t="s">
        <v>164</v>
      </c>
      <c r="R64" s="441" t="s">
        <v>164</v>
      </c>
      <c r="S64" s="441" t="s">
        <v>164</v>
      </c>
      <c r="T64" s="441" t="s">
        <v>164</v>
      </c>
      <c r="U64" s="441" t="s">
        <v>164</v>
      </c>
      <c r="V64" s="441" t="s">
        <v>164</v>
      </c>
      <c r="W64" s="441" t="s">
        <v>164</v>
      </c>
      <c r="X64" s="441" t="s">
        <v>164</v>
      </c>
      <c r="Y64" s="441" t="s">
        <v>164</v>
      </c>
      <c r="Z64" s="441" t="s">
        <v>164</v>
      </c>
      <c r="AA64" s="441" t="s">
        <v>164</v>
      </c>
      <c r="AB64" s="441" t="s">
        <v>164</v>
      </c>
      <c r="AC64" s="441" t="s">
        <v>164</v>
      </c>
      <c r="AD64" s="441" t="s">
        <v>164</v>
      </c>
      <c r="AE64" s="441" t="s">
        <v>164</v>
      </c>
      <c r="AF64" s="441" t="s">
        <v>164</v>
      </c>
      <c r="AG64" s="441"/>
      <c r="AH64" s="441"/>
      <c r="AI64" s="854"/>
      <c r="AJ64" s="858"/>
      <c r="AK64" s="859"/>
      <c r="AL64" s="859"/>
      <c r="AM64" s="860"/>
      <c r="AN64" s="861"/>
      <c r="AO64" s="861"/>
      <c r="AP64" s="864"/>
    </row>
    <row r="65" spans="1:42" s="233" customFormat="1" ht="14.25" customHeight="1">
      <c r="A65" s="695">
        <v>17</v>
      </c>
      <c r="B65" s="4555" t="e">
        <f>+BVNT!#REF!</f>
        <v>#REF!</v>
      </c>
      <c r="C65" s="4556"/>
      <c r="D65" s="441" t="s">
        <v>164</v>
      </c>
      <c r="E65" s="441" t="s">
        <v>164</v>
      </c>
      <c r="F65" s="441" t="s">
        <v>164</v>
      </c>
      <c r="G65" s="441" t="s">
        <v>164</v>
      </c>
      <c r="H65" s="441" t="s">
        <v>164</v>
      </c>
      <c r="I65" s="441" t="s">
        <v>164</v>
      </c>
      <c r="J65" s="441" t="s">
        <v>164</v>
      </c>
      <c r="K65" s="441" t="s">
        <v>164</v>
      </c>
      <c r="L65" s="441" t="s">
        <v>164</v>
      </c>
      <c r="M65" s="441" t="s">
        <v>164</v>
      </c>
      <c r="N65" s="441" t="s">
        <v>164</v>
      </c>
      <c r="O65" s="441" t="s">
        <v>164</v>
      </c>
      <c r="P65" s="441" t="s">
        <v>164</v>
      </c>
      <c r="Q65" s="441" t="s">
        <v>164</v>
      </c>
      <c r="R65" s="441" t="s">
        <v>164</v>
      </c>
      <c r="S65" s="441" t="s">
        <v>164</v>
      </c>
      <c r="T65" s="441" t="s">
        <v>164</v>
      </c>
      <c r="U65" s="441" t="s">
        <v>164</v>
      </c>
      <c r="V65" s="441" t="s">
        <v>164</v>
      </c>
      <c r="W65" s="441" t="s">
        <v>164</v>
      </c>
      <c r="X65" s="441" t="s">
        <v>164</v>
      </c>
      <c r="Y65" s="441" t="s">
        <v>164</v>
      </c>
      <c r="Z65" s="441" t="s">
        <v>164</v>
      </c>
      <c r="AA65" s="441" t="s">
        <v>164</v>
      </c>
      <c r="AB65" s="441" t="s">
        <v>164</v>
      </c>
      <c r="AC65" s="441" t="s">
        <v>164</v>
      </c>
      <c r="AD65" s="441" t="s">
        <v>164</v>
      </c>
      <c r="AE65" s="441" t="s">
        <v>164</v>
      </c>
      <c r="AF65" s="441" t="s">
        <v>164</v>
      </c>
      <c r="AG65" s="441"/>
      <c r="AH65" s="441"/>
      <c r="AI65" s="854"/>
      <c r="AJ65" s="858"/>
      <c r="AK65" s="859"/>
      <c r="AL65" s="859"/>
      <c r="AM65" s="860"/>
      <c r="AN65" s="861"/>
      <c r="AO65" s="861"/>
      <c r="AP65" s="864"/>
    </row>
    <row r="66" spans="1:42" s="233" customFormat="1" ht="14.25" customHeight="1">
      <c r="A66" s="695">
        <v>18</v>
      </c>
      <c r="B66" s="4555" t="e">
        <f>+BVNT!#REF!</f>
        <v>#REF!</v>
      </c>
      <c r="C66" s="4556"/>
      <c r="D66" s="441" t="s">
        <v>164</v>
      </c>
      <c r="E66" s="441" t="s">
        <v>164</v>
      </c>
      <c r="F66" s="441" t="s">
        <v>164</v>
      </c>
      <c r="G66" s="441" t="s">
        <v>164</v>
      </c>
      <c r="H66" s="441" t="s">
        <v>164</v>
      </c>
      <c r="I66" s="441" t="s">
        <v>164</v>
      </c>
      <c r="J66" s="441" t="s">
        <v>164</v>
      </c>
      <c r="K66" s="441" t="s">
        <v>164</v>
      </c>
      <c r="L66" s="441" t="s">
        <v>164</v>
      </c>
      <c r="M66" s="441" t="s">
        <v>164</v>
      </c>
      <c r="N66" s="441" t="s">
        <v>164</v>
      </c>
      <c r="O66" s="441" t="s">
        <v>164</v>
      </c>
      <c r="P66" s="441" t="s">
        <v>164</v>
      </c>
      <c r="Q66" s="441" t="s">
        <v>164</v>
      </c>
      <c r="R66" s="441" t="s">
        <v>164</v>
      </c>
      <c r="S66" s="441" t="s">
        <v>164</v>
      </c>
      <c r="T66" s="441" t="s">
        <v>164</v>
      </c>
      <c r="U66" s="441" t="s">
        <v>164</v>
      </c>
      <c r="V66" s="441" t="s">
        <v>164</v>
      </c>
      <c r="W66" s="441" t="s">
        <v>164</v>
      </c>
      <c r="X66" s="441" t="s">
        <v>164</v>
      </c>
      <c r="Y66" s="441" t="s">
        <v>164</v>
      </c>
      <c r="Z66" s="441" t="s">
        <v>164</v>
      </c>
      <c r="AA66" s="441" t="s">
        <v>164</v>
      </c>
      <c r="AB66" s="441" t="s">
        <v>164</v>
      </c>
      <c r="AC66" s="441" t="s">
        <v>164</v>
      </c>
      <c r="AD66" s="441" t="s">
        <v>164</v>
      </c>
      <c r="AE66" s="441" t="s">
        <v>164</v>
      </c>
      <c r="AF66" s="441" t="s">
        <v>164</v>
      </c>
      <c r="AG66" s="441"/>
      <c r="AH66" s="441"/>
      <c r="AI66" s="854"/>
      <c r="AJ66" s="858"/>
      <c r="AK66" s="859"/>
      <c r="AL66" s="859"/>
      <c r="AM66" s="860"/>
      <c r="AN66" s="861"/>
      <c r="AO66" s="861"/>
      <c r="AP66" s="864"/>
    </row>
    <row r="67" spans="1:42" s="233" customFormat="1" ht="14.25" customHeight="1">
      <c r="A67" s="694">
        <v>19</v>
      </c>
      <c r="B67" s="4555" t="e">
        <f>+BVNT!#REF!</f>
        <v>#REF!</v>
      </c>
      <c r="C67" s="4556"/>
      <c r="D67" s="441" t="s">
        <v>164</v>
      </c>
      <c r="E67" s="441" t="s">
        <v>164</v>
      </c>
      <c r="F67" s="441" t="s">
        <v>164</v>
      </c>
      <c r="G67" s="441" t="s">
        <v>164</v>
      </c>
      <c r="H67" s="441" t="s">
        <v>164</v>
      </c>
      <c r="I67" s="441" t="s">
        <v>164</v>
      </c>
      <c r="J67" s="441" t="s">
        <v>164</v>
      </c>
      <c r="K67" s="441" t="s">
        <v>164</v>
      </c>
      <c r="L67" s="441" t="s">
        <v>164</v>
      </c>
      <c r="M67" s="441" t="s">
        <v>164</v>
      </c>
      <c r="N67" s="441" t="s">
        <v>164</v>
      </c>
      <c r="O67" s="441" t="s">
        <v>164</v>
      </c>
      <c r="P67" s="441" t="s">
        <v>164</v>
      </c>
      <c r="Q67" s="441" t="s">
        <v>164</v>
      </c>
      <c r="R67" s="441" t="s">
        <v>164</v>
      </c>
      <c r="S67" s="441" t="s">
        <v>164</v>
      </c>
      <c r="T67" s="441" t="s">
        <v>164</v>
      </c>
      <c r="U67" s="441" t="s">
        <v>164</v>
      </c>
      <c r="V67" s="441" t="s">
        <v>164</v>
      </c>
      <c r="W67" s="441" t="s">
        <v>164</v>
      </c>
      <c r="X67" s="441" t="s">
        <v>164</v>
      </c>
      <c r="Y67" s="441" t="s">
        <v>164</v>
      </c>
      <c r="Z67" s="441" t="s">
        <v>164</v>
      </c>
      <c r="AA67" s="441" t="s">
        <v>164</v>
      </c>
      <c r="AB67" s="441" t="s">
        <v>164</v>
      </c>
      <c r="AC67" s="441" t="s">
        <v>164</v>
      </c>
      <c r="AD67" s="441" t="s">
        <v>164</v>
      </c>
      <c r="AE67" s="441" t="s">
        <v>164</v>
      </c>
      <c r="AF67" s="441" t="s">
        <v>164</v>
      </c>
      <c r="AG67" s="441"/>
      <c r="AH67" s="441"/>
      <c r="AI67" s="854"/>
      <c r="AJ67" s="858"/>
      <c r="AK67" s="859"/>
      <c r="AL67" s="859"/>
      <c r="AM67" s="860"/>
      <c r="AN67" s="861"/>
      <c r="AO67" s="861"/>
      <c r="AP67" s="864"/>
    </row>
    <row r="68" spans="1:42" s="233" customFormat="1" ht="14.25" customHeight="1">
      <c r="A68" s="695">
        <v>20</v>
      </c>
      <c r="B68" s="4555" t="e">
        <f>+BVNT!#REF!</f>
        <v>#REF!</v>
      </c>
      <c r="C68" s="4556"/>
      <c r="D68" s="441" t="s">
        <v>164</v>
      </c>
      <c r="E68" s="441" t="s">
        <v>164</v>
      </c>
      <c r="F68" s="441" t="s">
        <v>164</v>
      </c>
      <c r="G68" s="441" t="s">
        <v>164</v>
      </c>
      <c r="H68" s="441" t="s">
        <v>164</v>
      </c>
      <c r="I68" s="441" t="s">
        <v>164</v>
      </c>
      <c r="J68" s="441" t="s">
        <v>164</v>
      </c>
      <c r="K68" s="441" t="s">
        <v>164</v>
      </c>
      <c r="L68" s="441" t="s">
        <v>164</v>
      </c>
      <c r="M68" s="441" t="s">
        <v>164</v>
      </c>
      <c r="N68" s="441" t="s">
        <v>164</v>
      </c>
      <c r="O68" s="441" t="s">
        <v>164</v>
      </c>
      <c r="P68" s="441" t="s">
        <v>164</v>
      </c>
      <c r="Q68" s="441" t="s">
        <v>164</v>
      </c>
      <c r="R68" s="441" t="s">
        <v>164</v>
      </c>
      <c r="S68" s="441" t="s">
        <v>164</v>
      </c>
      <c r="T68" s="441" t="s">
        <v>164</v>
      </c>
      <c r="U68" s="441" t="s">
        <v>164</v>
      </c>
      <c r="V68" s="441" t="s">
        <v>164</v>
      </c>
      <c r="W68" s="441" t="s">
        <v>164</v>
      </c>
      <c r="X68" s="441" t="s">
        <v>164</v>
      </c>
      <c r="Y68" s="441" t="s">
        <v>164</v>
      </c>
      <c r="Z68" s="441" t="s">
        <v>164</v>
      </c>
      <c r="AA68" s="441" t="s">
        <v>164</v>
      </c>
      <c r="AB68" s="441" t="s">
        <v>164</v>
      </c>
      <c r="AC68" s="441" t="s">
        <v>164</v>
      </c>
      <c r="AD68" s="441" t="s">
        <v>164</v>
      </c>
      <c r="AE68" s="441" t="s">
        <v>164</v>
      </c>
      <c r="AF68" s="441" t="s">
        <v>164</v>
      </c>
      <c r="AG68" s="441"/>
      <c r="AH68" s="441"/>
      <c r="AI68" s="854"/>
      <c r="AJ68" s="858"/>
      <c r="AK68" s="859"/>
      <c r="AL68" s="859"/>
      <c r="AM68" s="860"/>
      <c r="AN68" s="861"/>
      <c r="AO68" s="861"/>
      <c r="AP68" s="864"/>
    </row>
    <row r="69" spans="1:42" s="233" customFormat="1" ht="14.25" customHeight="1">
      <c r="A69" s="695">
        <v>21</v>
      </c>
      <c r="B69" s="4555" t="e">
        <f>+BVNT!#REF!</f>
        <v>#REF!</v>
      </c>
      <c r="C69" s="4556"/>
      <c r="D69" s="441" t="s">
        <v>164</v>
      </c>
      <c r="E69" s="441" t="s">
        <v>164</v>
      </c>
      <c r="F69" s="441" t="s">
        <v>164</v>
      </c>
      <c r="G69" s="441" t="s">
        <v>164</v>
      </c>
      <c r="H69" s="441" t="s">
        <v>164</v>
      </c>
      <c r="I69" s="441" t="s">
        <v>164</v>
      </c>
      <c r="J69" s="441" t="s">
        <v>164</v>
      </c>
      <c r="K69" s="441" t="s">
        <v>164</v>
      </c>
      <c r="L69" s="441" t="s">
        <v>164</v>
      </c>
      <c r="M69" s="441" t="s">
        <v>164</v>
      </c>
      <c r="N69" s="441" t="s">
        <v>164</v>
      </c>
      <c r="O69" s="441" t="s">
        <v>164</v>
      </c>
      <c r="P69" s="441" t="s">
        <v>164</v>
      </c>
      <c r="Q69" s="441" t="s">
        <v>164</v>
      </c>
      <c r="R69" s="441" t="s">
        <v>164</v>
      </c>
      <c r="S69" s="441" t="s">
        <v>164</v>
      </c>
      <c r="T69" s="441" t="s">
        <v>164</v>
      </c>
      <c r="U69" s="441" t="s">
        <v>164</v>
      </c>
      <c r="V69" s="441" t="s">
        <v>164</v>
      </c>
      <c r="W69" s="441" t="s">
        <v>164</v>
      </c>
      <c r="X69" s="441" t="s">
        <v>164</v>
      </c>
      <c r="Y69" s="441" t="s">
        <v>164</v>
      </c>
      <c r="Z69" s="441" t="s">
        <v>164</v>
      </c>
      <c r="AA69" s="441" t="s">
        <v>164</v>
      </c>
      <c r="AB69" s="441" t="s">
        <v>164</v>
      </c>
      <c r="AC69" s="441" t="s">
        <v>164</v>
      </c>
      <c r="AD69" s="441" t="s">
        <v>164</v>
      </c>
      <c r="AE69" s="441" t="s">
        <v>164</v>
      </c>
      <c r="AF69" s="441" t="s">
        <v>164</v>
      </c>
      <c r="AG69" s="441"/>
      <c r="AH69" s="441"/>
      <c r="AI69" s="854"/>
      <c r="AJ69" s="858"/>
      <c r="AK69" s="859"/>
      <c r="AL69" s="859"/>
      <c r="AM69" s="860"/>
      <c r="AN69" s="861"/>
      <c r="AO69" s="861"/>
      <c r="AP69" s="864"/>
    </row>
    <row r="70" spans="1:42" s="233" customFormat="1" ht="14.25" customHeight="1">
      <c r="A70" s="694">
        <v>22</v>
      </c>
      <c r="B70" s="4555" t="e">
        <f>+BVNT!#REF!</f>
        <v>#REF!</v>
      </c>
      <c r="C70" s="4556"/>
      <c r="D70" s="441" t="s">
        <v>164</v>
      </c>
      <c r="E70" s="441" t="s">
        <v>164</v>
      </c>
      <c r="F70" s="441" t="s">
        <v>164</v>
      </c>
      <c r="G70" s="441" t="s">
        <v>164</v>
      </c>
      <c r="H70" s="441" t="s">
        <v>164</v>
      </c>
      <c r="I70" s="441" t="s">
        <v>164</v>
      </c>
      <c r="J70" s="441" t="s">
        <v>164</v>
      </c>
      <c r="K70" s="441" t="s">
        <v>164</v>
      </c>
      <c r="L70" s="441" t="s">
        <v>164</v>
      </c>
      <c r="M70" s="441" t="s">
        <v>164</v>
      </c>
      <c r="N70" s="441" t="s">
        <v>164</v>
      </c>
      <c r="O70" s="441" t="s">
        <v>164</v>
      </c>
      <c r="P70" s="441" t="s">
        <v>164</v>
      </c>
      <c r="Q70" s="441" t="s">
        <v>164</v>
      </c>
      <c r="R70" s="441" t="s">
        <v>164</v>
      </c>
      <c r="S70" s="441" t="s">
        <v>164</v>
      </c>
      <c r="T70" s="441" t="s">
        <v>164</v>
      </c>
      <c r="U70" s="441" t="s">
        <v>164</v>
      </c>
      <c r="V70" s="441" t="s">
        <v>164</v>
      </c>
      <c r="W70" s="441" t="s">
        <v>164</v>
      </c>
      <c r="X70" s="441" t="s">
        <v>164</v>
      </c>
      <c r="Y70" s="441" t="s">
        <v>164</v>
      </c>
      <c r="Z70" s="441" t="s">
        <v>164</v>
      </c>
      <c r="AA70" s="441" t="s">
        <v>164</v>
      </c>
      <c r="AB70" s="441" t="s">
        <v>164</v>
      </c>
      <c r="AC70" s="441" t="s">
        <v>164</v>
      </c>
      <c r="AD70" s="441" t="s">
        <v>164</v>
      </c>
      <c r="AE70" s="441" t="s">
        <v>164</v>
      </c>
      <c r="AF70" s="441" t="s">
        <v>164</v>
      </c>
      <c r="AG70" s="441"/>
      <c r="AH70" s="441"/>
      <c r="AI70" s="854"/>
      <c r="AJ70" s="858"/>
      <c r="AK70" s="859"/>
      <c r="AL70" s="859"/>
      <c r="AM70" s="860"/>
      <c r="AN70" s="861"/>
      <c r="AO70" s="861"/>
      <c r="AP70" s="864"/>
    </row>
    <row r="71" spans="1:42" s="233" customFormat="1" ht="14.25" customHeight="1">
      <c r="A71" s="695">
        <v>23</v>
      </c>
      <c r="B71" s="4555" t="e">
        <f>+BVNT!#REF!</f>
        <v>#REF!</v>
      </c>
      <c r="C71" s="4556"/>
      <c r="D71" s="441" t="s">
        <v>164</v>
      </c>
      <c r="E71" s="441" t="s">
        <v>164</v>
      </c>
      <c r="F71" s="441" t="s">
        <v>164</v>
      </c>
      <c r="G71" s="441" t="s">
        <v>164</v>
      </c>
      <c r="H71" s="441" t="s">
        <v>164</v>
      </c>
      <c r="I71" s="441" t="s">
        <v>164</v>
      </c>
      <c r="J71" s="441" t="s">
        <v>164</v>
      </c>
      <c r="K71" s="441" t="s">
        <v>164</v>
      </c>
      <c r="L71" s="441" t="s">
        <v>164</v>
      </c>
      <c r="M71" s="441" t="s">
        <v>164</v>
      </c>
      <c r="N71" s="441" t="s">
        <v>164</v>
      </c>
      <c r="O71" s="441" t="s">
        <v>164</v>
      </c>
      <c r="P71" s="441" t="s">
        <v>164</v>
      </c>
      <c r="Q71" s="441" t="s">
        <v>164</v>
      </c>
      <c r="R71" s="441" t="s">
        <v>164</v>
      </c>
      <c r="S71" s="441" t="s">
        <v>164</v>
      </c>
      <c r="T71" s="441" t="s">
        <v>164</v>
      </c>
      <c r="U71" s="441" t="s">
        <v>164</v>
      </c>
      <c r="V71" s="441" t="s">
        <v>164</v>
      </c>
      <c r="W71" s="441" t="s">
        <v>164</v>
      </c>
      <c r="X71" s="441" t="s">
        <v>164</v>
      </c>
      <c r="Y71" s="441" t="s">
        <v>164</v>
      </c>
      <c r="Z71" s="441" t="s">
        <v>164</v>
      </c>
      <c r="AA71" s="441" t="s">
        <v>164</v>
      </c>
      <c r="AB71" s="441" t="s">
        <v>164</v>
      </c>
      <c r="AC71" s="441" t="s">
        <v>164</v>
      </c>
      <c r="AD71" s="441" t="s">
        <v>164</v>
      </c>
      <c r="AE71" s="441" t="s">
        <v>164</v>
      </c>
      <c r="AF71" s="441" t="s">
        <v>164</v>
      </c>
      <c r="AG71" s="441"/>
      <c r="AH71" s="441"/>
      <c r="AI71" s="854"/>
      <c r="AJ71" s="858"/>
      <c r="AK71" s="859"/>
      <c r="AL71" s="859"/>
      <c r="AM71" s="860"/>
      <c r="AN71" s="861"/>
      <c r="AO71" s="861"/>
      <c r="AP71" s="864"/>
    </row>
    <row r="72" spans="1:42" s="233" customFormat="1" ht="14.25" customHeight="1">
      <c r="A72" s="695">
        <v>24</v>
      </c>
      <c r="B72" s="4555" t="e">
        <f>+BVNT!#REF!</f>
        <v>#REF!</v>
      </c>
      <c r="C72" s="4556"/>
      <c r="D72" s="441" t="s">
        <v>164</v>
      </c>
      <c r="E72" s="441" t="s">
        <v>164</v>
      </c>
      <c r="F72" s="441" t="s">
        <v>164</v>
      </c>
      <c r="G72" s="441" t="s">
        <v>164</v>
      </c>
      <c r="H72" s="441" t="s">
        <v>164</v>
      </c>
      <c r="I72" s="441" t="s">
        <v>164</v>
      </c>
      <c r="J72" s="441" t="s">
        <v>164</v>
      </c>
      <c r="K72" s="441" t="s">
        <v>164</v>
      </c>
      <c r="L72" s="441" t="s">
        <v>164</v>
      </c>
      <c r="M72" s="441" t="s">
        <v>164</v>
      </c>
      <c r="N72" s="441" t="s">
        <v>164</v>
      </c>
      <c r="O72" s="441" t="s">
        <v>164</v>
      </c>
      <c r="P72" s="441" t="s">
        <v>164</v>
      </c>
      <c r="Q72" s="441" t="s">
        <v>164</v>
      </c>
      <c r="R72" s="441" t="s">
        <v>164</v>
      </c>
      <c r="S72" s="441" t="s">
        <v>164</v>
      </c>
      <c r="T72" s="441" t="s">
        <v>164</v>
      </c>
      <c r="U72" s="441" t="s">
        <v>164</v>
      </c>
      <c r="V72" s="441" t="s">
        <v>164</v>
      </c>
      <c r="W72" s="441" t="s">
        <v>164</v>
      </c>
      <c r="X72" s="441" t="s">
        <v>164</v>
      </c>
      <c r="Y72" s="441" t="s">
        <v>164</v>
      </c>
      <c r="Z72" s="441" t="s">
        <v>164</v>
      </c>
      <c r="AA72" s="441" t="s">
        <v>164</v>
      </c>
      <c r="AB72" s="441" t="s">
        <v>164</v>
      </c>
      <c r="AC72" s="441" t="s">
        <v>164</v>
      </c>
      <c r="AD72" s="441" t="s">
        <v>164</v>
      </c>
      <c r="AE72" s="441" t="s">
        <v>164</v>
      </c>
      <c r="AF72" s="441" t="s">
        <v>164</v>
      </c>
      <c r="AG72" s="441"/>
      <c r="AH72" s="441"/>
      <c r="AI72" s="854"/>
      <c r="AJ72" s="858"/>
      <c r="AK72" s="859"/>
      <c r="AL72" s="859"/>
      <c r="AM72" s="860"/>
      <c r="AN72" s="861"/>
      <c r="AO72" s="861"/>
      <c r="AP72" s="864"/>
    </row>
    <row r="73" spans="1:42" s="233" customFormat="1" ht="14.25" customHeight="1">
      <c r="A73" s="694">
        <v>25</v>
      </c>
      <c r="B73" s="4555" t="e">
        <f>+BVNT!#REF!</f>
        <v>#REF!</v>
      </c>
      <c r="C73" s="4556"/>
      <c r="D73" s="441" t="s">
        <v>164</v>
      </c>
      <c r="E73" s="441" t="s">
        <v>164</v>
      </c>
      <c r="F73" s="441" t="s">
        <v>164</v>
      </c>
      <c r="G73" s="441" t="s">
        <v>164</v>
      </c>
      <c r="H73" s="441" t="s">
        <v>164</v>
      </c>
      <c r="I73" s="441" t="s">
        <v>164</v>
      </c>
      <c r="J73" s="441" t="s">
        <v>164</v>
      </c>
      <c r="K73" s="441" t="s">
        <v>164</v>
      </c>
      <c r="L73" s="441" t="s">
        <v>164</v>
      </c>
      <c r="M73" s="441" t="s">
        <v>164</v>
      </c>
      <c r="N73" s="441" t="s">
        <v>164</v>
      </c>
      <c r="O73" s="441" t="s">
        <v>164</v>
      </c>
      <c r="P73" s="441" t="s">
        <v>164</v>
      </c>
      <c r="Q73" s="441" t="s">
        <v>164</v>
      </c>
      <c r="R73" s="441" t="s">
        <v>164</v>
      </c>
      <c r="S73" s="441" t="s">
        <v>164</v>
      </c>
      <c r="T73" s="441" t="s">
        <v>164</v>
      </c>
      <c r="U73" s="441" t="s">
        <v>164</v>
      </c>
      <c r="V73" s="441" t="s">
        <v>164</v>
      </c>
      <c r="W73" s="441" t="s">
        <v>164</v>
      </c>
      <c r="X73" s="441" t="s">
        <v>164</v>
      </c>
      <c r="Y73" s="441" t="s">
        <v>164</v>
      </c>
      <c r="Z73" s="441" t="s">
        <v>164</v>
      </c>
      <c r="AA73" s="441" t="s">
        <v>164</v>
      </c>
      <c r="AB73" s="441" t="s">
        <v>164</v>
      </c>
      <c r="AC73" s="441" t="s">
        <v>164</v>
      </c>
      <c r="AD73" s="441" t="s">
        <v>164</v>
      </c>
      <c r="AE73" s="441" t="s">
        <v>164</v>
      </c>
      <c r="AF73" s="441" t="s">
        <v>164</v>
      </c>
      <c r="AG73" s="441"/>
      <c r="AH73" s="441"/>
      <c r="AI73" s="854"/>
      <c r="AJ73" s="858"/>
      <c r="AK73" s="859"/>
      <c r="AL73" s="859"/>
      <c r="AM73" s="860"/>
      <c r="AN73" s="861"/>
      <c r="AO73" s="861"/>
      <c r="AP73" s="864"/>
    </row>
    <row r="74" spans="1:42" s="233" customFormat="1" ht="14.25" customHeight="1">
      <c r="A74" s="695">
        <v>26</v>
      </c>
      <c r="B74" s="865" t="s">
        <v>804</v>
      </c>
      <c r="C74" s="866"/>
      <c r="D74" s="441" t="s">
        <v>164</v>
      </c>
      <c r="E74" s="441" t="s">
        <v>164</v>
      </c>
      <c r="F74" s="441" t="s">
        <v>164</v>
      </c>
      <c r="G74" s="441" t="s">
        <v>164</v>
      </c>
      <c r="H74" s="441" t="s">
        <v>164</v>
      </c>
      <c r="I74" s="441" t="s">
        <v>164</v>
      </c>
      <c r="J74" s="441" t="s">
        <v>164</v>
      </c>
      <c r="K74" s="441" t="s">
        <v>164</v>
      </c>
      <c r="L74" s="441" t="s">
        <v>164</v>
      </c>
      <c r="M74" s="441" t="s">
        <v>164</v>
      </c>
      <c r="N74" s="441" t="s">
        <v>164</v>
      </c>
      <c r="O74" s="441" t="s">
        <v>164</v>
      </c>
      <c r="P74" s="441" t="s">
        <v>164</v>
      </c>
      <c r="Q74" s="441" t="s">
        <v>164</v>
      </c>
      <c r="R74" s="441" t="s">
        <v>164</v>
      </c>
      <c r="S74" s="441" t="s">
        <v>164</v>
      </c>
      <c r="T74" s="441" t="s">
        <v>164</v>
      </c>
      <c r="U74" s="441" t="s">
        <v>164</v>
      </c>
      <c r="V74" s="441" t="s">
        <v>164</v>
      </c>
      <c r="W74" s="441" t="s">
        <v>164</v>
      </c>
      <c r="X74" s="441" t="s">
        <v>164</v>
      </c>
      <c r="Y74" s="441" t="s">
        <v>164</v>
      </c>
      <c r="Z74" s="441" t="s">
        <v>164</v>
      </c>
      <c r="AA74" s="441" t="s">
        <v>164</v>
      </c>
      <c r="AB74" s="441" t="s">
        <v>164</v>
      </c>
      <c r="AC74" s="441" t="s">
        <v>164</v>
      </c>
      <c r="AD74" s="441" t="s">
        <v>164</v>
      </c>
      <c r="AE74" s="441" t="s">
        <v>164</v>
      </c>
      <c r="AF74" s="441" t="s">
        <v>164</v>
      </c>
      <c r="AG74" s="441"/>
      <c r="AH74" s="441"/>
      <c r="AI74" s="863"/>
      <c r="AJ74" s="858"/>
      <c r="AK74" s="859"/>
      <c r="AL74" s="859"/>
      <c r="AM74" s="860"/>
      <c r="AN74" s="861"/>
      <c r="AO74" s="861"/>
      <c r="AP74" s="864"/>
    </row>
    <row r="75" spans="1:42" s="233" customFormat="1" ht="14.25" customHeight="1">
      <c r="A75" s="695">
        <v>27</v>
      </c>
      <c r="B75" s="865" t="s">
        <v>805</v>
      </c>
      <c r="C75" s="866"/>
      <c r="D75" s="441" t="s">
        <v>164</v>
      </c>
      <c r="E75" s="441" t="s">
        <v>164</v>
      </c>
      <c r="F75" s="441" t="s">
        <v>164</v>
      </c>
      <c r="G75" s="441" t="s">
        <v>164</v>
      </c>
      <c r="H75" s="441" t="s">
        <v>164</v>
      </c>
      <c r="I75" s="441" t="s">
        <v>164</v>
      </c>
      <c r="J75" s="441" t="s">
        <v>164</v>
      </c>
      <c r="K75" s="441" t="s">
        <v>164</v>
      </c>
      <c r="L75" s="441" t="s">
        <v>164</v>
      </c>
      <c r="M75" s="441" t="s">
        <v>164</v>
      </c>
      <c r="N75" s="441" t="s">
        <v>164</v>
      </c>
      <c r="O75" s="441" t="s">
        <v>164</v>
      </c>
      <c r="P75" s="441" t="s">
        <v>164</v>
      </c>
      <c r="Q75" s="441" t="s">
        <v>164</v>
      </c>
      <c r="R75" s="441" t="s">
        <v>164</v>
      </c>
      <c r="S75" s="441" t="s">
        <v>164</v>
      </c>
      <c r="T75" s="441" t="s">
        <v>164</v>
      </c>
      <c r="U75" s="441" t="s">
        <v>164</v>
      </c>
      <c r="V75" s="441" t="s">
        <v>164</v>
      </c>
      <c r="W75" s="441" t="s">
        <v>164</v>
      </c>
      <c r="X75" s="441" t="s">
        <v>164</v>
      </c>
      <c r="Y75" s="441" t="s">
        <v>164</v>
      </c>
      <c r="Z75" s="441" t="s">
        <v>164</v>
      </c>
      <c r="AA75" s="441" t="s">
        <v>164</v>
      </c>
      <c r="AB75" s="441" t="s">
        <v>164</v>
      </c>
      <c r="AC75" s="441" t="s">
        <v>164</v>
      </c>
      <c r="AD75" s="441" t="s">
        <v>164</v>
      </c>
      <c r="AE75" s="441" t="s">
        <v>164</v>
      </c>
      <c r="AF75" s="441" t="s">
        <v>164</v>
      </c>
      <c r="AG75" s="441"/>
      <c r="AH75" s="441"/>
      <c r="AI75" s="863"/>
      <c r="AJ75" s="858"/>
      <c r="AK75" s="859"/>
      <c r="AL75" s="859"/>
      <c r="AM75" s="860"/>
      <c r="AN75" s="861"/>
      <c r="AO75" s="861"/>
      <c r="AP75" s="864"/>
    </row>
    <row r="76" spans="1:42" s="233" customFormat="1" ht="14.25" customHeight="1">
      <c r="A76" s="694">
        <v>28</v>
      </c>
      <c r="B76" s="865" t="s">
        <v>806</v>
      </c>
      <c r="C76" s="866"/>
      <c r="D76" s="441" t="s">
        <v>164</v>
      </c>
      <c r="E76" s="441" t="s">
        <v>164</v>
      </c>
      <c r="F76" s="441" t="s">
        <v>164</v>
      </c>
      <c r="G76" s="441" t="s">
        <v>164</v>
      </c>
      <c r="H76" s="441" t="s">
        <v>164</v>
      </c>
      <c r="I76" s="441" t="s">
        <v>164</v>
      </c>
      <c r="J76" s="441" t="s">
        <v>164</v>
      </c>
      <c r="K76" s="441" t="s">
        <v>164</v>
      </c>
      <c r="L76" s="441" t="s">
        <v>164</v>
      </c>
      <c r="M76" s="441" t="s">
        <v>164</v>
      </c>
      <c r="N76" s="441" t="s">
        <v>164</v>
      </c>
      <c r="O76" s="441" t="s">
        <v>164</v>
      </c>
      <c r="P76" s="441" t="s">
        <v>164</v>
      </c>
      <c r="Q76" s="441" t="s">
        <v>164</v>
      </c>
      <c r="R76" s="441" t="s">
        <v>164</v>
      </c>
      <c r="S76" s="441" t="s">
        <v>164</v>
      </c>
      <c r="T76" s="441" t="s">
        <v>164</v>
      </c>
      <c r="U76" s="441" t="s">
        <v>164</v>
      </c>
      <c r="V76" s="441" t="s">
        <v>164</v>
      </c>
      <c r="W76" s="441" t="s">
        <v>164</v>
      </c>
      <c r="X76" s="441" t="s">
        <v>164</v>
      </c>
      <c r="Y76" s="441" t="s">
        <v>164</v>
      </c>
      <c r="Z76" s="441" t="s">
        <v>164</v>
      </c>
      <c r="AA76" s="441" t="s">
        <v>164</v>
      </c>
      <c r="AB76" s="441" t="s">
        <v>164</v>
      </c>
      <c r="AC76" s="441" t="s">
        <v>164</v>
      </c>
      <c r="AD76" s="441" t="s">
        <v>164</v>
      </c>
      <c r="AE76" s="441" t="s">
        <v>164</v>
      </c>
      <c r="AF76" s="441" t="s">
        <v>164</v>
      </c>
      <c r="AG76" s="441"/>
      <c r="AH76" s="441"/>
      <c r="AI76" s="863"/>
      <c r="AJ76" s="858"/>
      <c r="AK76" s="859"/>
      <c r="AL76" s="859"/>
      <c r="AM76" s="860"/>
      <c r="AN76" s="861"/>
      <c r="AO76" s="861"/>
      <c r="AP76" s="864"/>
    </row>
    <row r="77" spans="1:42" s="233" customFormat="1" ht="18.75" customHeight="1">
      <c r="A77" s="4539" t="s">
        <v>475</v>
      </c>
      <c r="B77" s="4539"/>
      <c r="C77" s="4539"/>
      <c r="D77" s="4565"/>
      <c r="E77" s="4566"/>
      <c r="F77" s="4566"/>
      <c r="G77" s="4566"/>
      <c r="H77" s="4566"/>
      <c r="I77" s="4566"/>
      <c r="J77" s="4566"/>
      <c r="K77" s="4566"/>
      <c r="L77" s="4566"/>
      <c r="M77" s="4566"/>
      <c r="N77" s="4566"/>
      <c r="O77" s="4566"/>
      <c r="P77" s="4566"/>
      <c r="Q77" s="4566"/>
      <c r="R77" s="4566"/>
      <c r="S77" s="4566"/>
      <c r="T77" s="4566"/>
      <c r="U77" s="4566"/>
      <c r="V77" s="4566"/>
      <c r="W77" s="4566"/>
      <c r="X77" s="4566"/>
      <c r="Y77" s="4566"/>
      <c r="Z77" s="4566"/>
      <c r="AA77" s="4566"/>
      <c r="AB77" s="4566"/>
      <c r="AC77" s="4566"/>
      <c r="AD77" s="4566"/>
      <c r="AE77" s="4566"/>
      <c r="AF77" s="4566"/>
      <c r="AG77" s="4566"/>
      <c r="AH77" s="4567"/>
      <c r="AI77" s="493"/>
      <c r="AJ77" s="494" t="e">
        <f>#REF!+#REF!+#REF!</f>
        <v>#REF!</v>
      </c>
      <c r="AK77" s="494" t="e">
        <f>#REF!+#REF!+#REF!</f>
        <v>#REF!</v>
      </c>
      <c r="AL77" s="494" t="e">
        <f>#REF!+#REF!+#REF!</f>
        <v>#REF!</v>
      </c>
      <c r="AM77" s="494" t="e">
        <f>#REF!+#REF!+#REF!</f>
        <v>#REF!</v>
      </c>
      <c r="AN77" s="494" t="e">
        <f>#REF!+#REF!+#REF!</f>
        <v>#REF!</v>
      </c>
      <c r="AO77" s="494"/>
      <c r="AP77" s="864"/>
    </row>
    <row r="78" spans="1:42" ht="16.5" customHeight="1">
      <c r="A78" s="26" t="s">
        <v>43</v>
      </c>
      <c r="B78" s="25"/>
      <c r="D78" s="27"/>
      <c r="E78" s="27"/>
      <c r="F78" s="27"/>
      <c r="G78" s="2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4564" t="s">
        <v>801</v>
      </c>
      <c r="Y78" s="4564"/>
      <c r="Z78" s="4564"/>
      <c r="AA78" s="4564"/>
      <c r="AB78" s="4564"/>
      <c r="AC78" s="4564"/>
      <c r="AD78" s="4564"/>
      <c r="AE78" s="4564"/>
      <c r="AF78" s="4564"/>
      <c r="AG78" s="4564"/>
      <c r="AH78" s="4564"/>
      <c r="AI78" s="4564"/>
      <c r="AJ78" s="4564"/>
      <c r="AK78" s="4564"/>
      <c r="AL78" s="4564"/>
      <c r="AM78" s="4564"/>
      <c r="AN78" s="4564"/>
      <c r="AO78" s="4564"/>
    </row>
    <row r="79" spans="1:42" ht="15.75" customHeight="1">
      <c r="B79" s="28" t="s">
        <v>44</v>
      </c>
      <c r="C79" s="29"/>
      <c r="D79" s="206"/>
      <c r="E79" s="206"/>
      <c r="F79" s="206"/>
      <c r="G79" s="206"/>
      <c r="H79" s="206"/>
      <c r="I79" s="206"/>
      <c r="J79" s="206"/>
      <c r="K79" s="206"/>
      <c r="L79" s="206"/>
      <c r="M79" s="4533" t="s">
        <v>474</v>
      </c>
      <c r="N79" s="4533"/>
      <c r="O79" s="4533"/>
      <c r="P79" s="4533"/>
      <c r="Q79" s="4533"/>
      <c r="R79" s="4533"/>
      <c r="S79" s="4533"/>
      <c r="T79" s="4533"/>
      <c r="U79" s="4533" t="s">
        <v>422</v>
      </c>
      <c r="V79" s="4533"/>
      <c r="W79" s="4533"/>
      <c r="X79" s="4533"/>
      <c r="Y79" s="4533"/>
      <c r="Z79" s="4533"/>
      <c r="AA79" s="4533"/>
      <c r="AB79" s="4533"/>
      <c r="AC79" s="4533" t="s">
        <v>21</v>
      </c>
      <c r="AD79" s="4533"/>
      <c r="AE79" s="4533"/>
      <c r="AF79" s="4533"/>
      <c r="AG79" s="4533"/>
      <c r="AH79" s="4533"/>
      <c r="AI79" s="4533"/>
      <c r="AJ79" s="4533"/>
      <c r="AK79" s="4533"/>
      <c r="AL79" s="4533"/>
      <c r="AM79" s="4533"/>
      <c r="AN79" s="4533"/>
      <c r="AO79" s="4533"/>
    </row>
    <row r="80" spans="1:42" ht="15.75">
      <c r="B80" s="30" t="s">
        <v>423</v>
      </c>
      <c r="C80" s="27"/>
      <c r="E80" s="27"/>
      <c r="F80" s="27"/>
      <c r="G80" s="205"/>
      <c r="H80" s="205"/>
      <c r="I80" s="205"/>
      <c r="J80" s="205"/>
      <c r="K80" s="205"/>
      <c r="L80" s="205"/>
      <c r="M80" s="297"/>
      <c r="N80" s="297"/>
      <c r="O80" s="297"/>
      <c r="P80" s="297"/>
      <c r="Q80" s="297"/>
      <c r="T80" s="206"/>
      <c r="U80" s="206"/>
      <c r="V80" s="206"/>
      <c r="W80" s="206"/>
      <c r="X80" s="206"/>
      <c r="Y80" s="206"/>
      <c r="Z80" s="206"/>
      <c r="AB80" s="518"/>
      <c r="AD80" s="518"/>
      <c r="AE80" s="518"/>
      <c r="AF80" s="518"/>
      <c r="AG80" s="518"/>
      <c r="AH80" s="766"/>
      <c r="AI80" s="518"/>
      <c r="AJ80" s="518"/>
      <c r="AK80" s="518"/>
      <c r="AL80" s="518"/>
      <c r="AM80" s="518"/>
      <c r="AN80" s="518"/>
      <c r="AO80" s="518"/>
    </row>
    <row r="81" spans="2:41" ht="15.75">
      <c r="B81" s="30" t="s">
        <v>424</v>
      </c>
      <c r="C81" s="27"/>
      <c r="E81" s="27"/>
      <c r="F81" s="27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T81" s="205"/>
      <c r="U81" s="205"/>
      <c r="V81" s="205"/>
      <c r="W81" s="205"/>
      <c r="X81" s="205"/>
      <c r="Y81" s="205"/>
      <c r="Z81" s="205"/>
      <c r="AB81" s="205"/>
      <c r="AD81" s="205"/>
      <c r="AE81" s="205"/>
      <c r="AF81" s="205"/>
      <c r="AG81" s="205"/>
      <c r="AH81" s="205"/>
      <c r="AI81" s="298"/>
      <c r="AJ81" s="298"/>
      <c r="AK81" s="205"/>
      <c r="AL81" s="205"/>
      <c r="AM81" s="205"/>
      <c r="AN81" s="205"/>
      <c r="AO81" s="205"/>
    </row>
    <row r="82" spans="2:41" ht="15.75">
      <c r="C82" s="27"/>
      <c r="D82" s="30"/>
      <c r="E82" s="27"/>
      <c r="F82" s="27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T82" s="205"/>
      <c r="U82" s="205"/>
      <c r="V82" s="205"/>
      <c r="W82" s="205"/>
      <c r="X82" s="205"/>
      <c r="Y82" s="205"/>
      <c r="Z82" s="205"/>
      <c r="AB82" s="205"/>
      <c r="AD82" s="205"/>
      <c r="AE82" s="205"/>
      <c r="AF82" s="205"/>
      <c r="AG82" s="205"/>
      <c r="AH82" s="205"/>
      <c r="AI82" s="298"/>
      <c r="AJ82" s="298"/>
      <c r="AK82" s="205"/>
      <c r="AL82" s="205"/>
      <c r="AM82" s="205"/>
      <c r="AN82" s="205"/>
      <c r="AO82" s="205"/>
    </row>
    <row r="83" spans="2:41" ht="15.75">
      <c r="C83" s="27"/>
      <c r="D83" s="73"/>
      <c r="E83" s="74"/>
      <c r="F83" s="74"/>
      <c r="G83" s="204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T83" s="205"/>
      <c r="U83" s="205"/>
      <c r="V83" s="205"/>
      <c r="W83" s="205"/>
      <c r="X83" s="205"/>
      <c r="Y83" s="205"/>
      <c r="Z83" s="205"/>
      <c r="AB83" s="205"/>
      <c r="AD83" s="205"/>
      <c r="AE83" s="205"/>
      <c r="AF83" s="205"/>
      <c r="AG83" s="205"/>
      <c r="AH83" s="205"/>
      <c r="AI83" s="298"/>
      <c r="AJ83" s="298"/>
      <c r="AK83" s="205"/>
      <c r="AL83" s="205"/>
      <c r="AM83" s="205"/>
      <c r="AN83" s="205"/>
      <c r="AO83" s="205"/>
    </row>
    <row r="84" spans="2:41" ht="15.75">
      <c r="C84" s="27"/>
      <c r="D84" s="73"/>
      <c r="E84" s="74"/>
      <c r="F84" s="74"/>
      <c r="G84" s="204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T84" s="206"/>
      <c r="U84" s="205"/>
      <c r="V84" s="206"/>
      <c r="W84" s="206"/>
      <c r="X84" s="206"/>
      <c r="Y84" s="206"/>
      <c r="Z84" s="206"/>
      <c r="AB84" s="206"/>
      <c r="AD84" s="206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</row>
    <row r="85" spans="2:41" ht="15.75"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T85" s="205"/>
      <c r="U85" s="205"/>
      <c r="V85" s="205"/>
      <c r="W85" s="205"/>
      <c r="X85" s="205"/>
      <c r="Y85" s="205"/>
      <c r="Z85" s="205"/>
      <c r="AB85" s="205"/>
      <c r="AD85" s="205"/>
      <c r="AE85" s="205"/>
      <c r="AF85" s="205"/>
      <c r="AG85" s="205"/>
      <c r="AH85" s="205"/>
      <c r="AI85" s="298"/>
      <c r="AJ85" s="298"/>
      <c r="AK85" s="205"/>
      <c r="AL85" s="205"/>
      <c r="AM85" s="205"/>
      <c r="AN85" s="205"/>
      <c r="AO85" s="205"/>
    </row>
    <row r="86" spans="2:41" ht="15.75">
      <c r="G86" s="205"/>
      <c r="H86" s="205"/>
      <c r="I86" s="205"/>
      <c r="J86" s="205"/>
      <c r="K86" s="205"/>
      <c r="L86" s="205"/>
      <c r="M86" s="4533"/>
      <c r="N86" s="4533"/>
      <c r="O86" s="4533"/>
      <c r="P86" s="4533"/>
      <c r="Q86" s="4533"/>
      <c r="R86" s="4533"/>
      <c r="S86" s="4533"/>
      <c r="T86" s="4533"/>
      <c r="U86" s="4533" t="s">
        <v>425</v>
      </c>
      <c r="V86" s="4533"/>
      <c r="W86" s="4533"/>
      <c r="X86" s="4533"/>
      <c r="Y86" s="4533"/>
      <c r="Z86" s="4533"/>
      <c r="AA86" s="4533"/>
      <c r="AB86" s="4533"/>
      <c r="AC86" s="4533"/>
      <c r="AD86" s="4533"/>
      <c r="AE86" s="4533"/>
      <c r="AF86" s="4533"/>
      <c r="AG86" s="4533"/>
      <c r="AH86" s="4533"/>
      <c r="AI86" s="4533"/>
      <c r="AJ86" s="4533"/>
      <c r="AK86" s="4533"/>
      <c r="AL86" s="4533"/>
      <c r="AM86" s="4533"/>
      <c r="AN86" s="4533"/>
      <c r="AO86" s="4533"/>
    </row>
  </sheetData>
  <mergeCells count="73">
    <mergeCell ref="AP47:AP48"/>
    <mergeCell ref="B73:C73"/>
    <mergeCell ref="B60:C60"/>
    <mergeCell ref="B55:C55"/>
    <mergeCell ref="B53:C53"/>
    <mergeCell ref="B65:C65"/>
    <mergeCell ref="B66:C66"/>
    <mergeCell ref="B67:C67"/>
    <mergeCell ref="B68:C68"/>
    <mergeCell ref="B69:C69"/>
    <mergeCell ref="B70:C70"/>
    <mergeCell ref="B71:C71"/>
    <mergeCell ref="X78:AO78"/>
    <mergeCell ref="B62:C62"/>
    <mergeCell ref="B63:C63"/>
    <mergeCell ref="B49:C49"/>
    <mergeCell ref="A77:C77"/>
    <mergeCell ref="B51:C51"/>
    <mergeCell ref="B52:C52"/>
    <mergeCell ref="B50:C50"/>
    <mergeCell ref="B56:C56"/>
    <mergeCell ref="B57:C57"/>
    <mergeCell ref="B58:C58"/>
    <mergeCell ref="B59:C59"/>
    <mergeCell ref="B61:C61"/>
    <mergeCell ref="B64:C64"/>
    <mergeCell ref="B72:C72"/>
    <mergeCell ref="D77:AH77"/>
    <mergeCell ref="U41:AI41"/>
    <mergeCell ref="U42:AO42"/>
    <mergeCell ref="A42:K42"/>
    <mergeCell ref="A45:AO45"/>
    <mergeCell ref="B54:C54"/>
    <mergeCell ref="A41:K41"/>
    <mergeCell ref="A44:AO44"/>
    <mergeCell ref="A47:A48"/>
    <mergeCell ref="B47:C48"/>
    <mergeCell ref="AJ47:AJ48"/>
    <mergeCell ref="AK47:AK48"/>
    <mergeCell ref="AL47:AL48"/>
    <mergeCell ref="AO47:AO48"/>
    <mergeCell ref="D47:AG47"/>
    <mergeCell ref="AI47:AI48"/>
    <mergeCell ref="A28:C28"/>
    <mergeCell ref="D28:AE28"/>
    <mergeCell ref="N39:W39"/>
    <mergeCell ref="Y30:AO30"/>
    <mergeCell ref="H31:P31"/>
    <mergeCell ref="AA31:AO31"/>
    <mergeCell ref="AA38:AO38"/>
    <mergeCell ref="Q31:Z31"/>
    <mergeCell ref="Q38:Z38"/>
    <mergeCell ref="A4:AO4"/>
    <mergeCell ref="A5:A6"/>
    <mergeCell ref="C5:C6"/>
    <mergeCell ref="AO5:AO6"/>
    <mergeCell ref="AI5:AI6"/>
    <mergeCell ref="AJ5:AJ6"/>
    <mergeCell ref="AK5:AK6"/>
    <mergeCell ref="B5:B6"/>
    <mergeCell ref="AL5:AL6"/>
    <mergeCell ref="D5:AG5"/>
    <mergeCell ref="A1:I1"/>
    <mergeCell ref="U1:AO1"/>
    <mergeCell ref="A2:I2"/>
    <mergeCell ref="U2:AO2"/>
    <mergeCell ref="A3:AO3"/>
    <mergeCell ref="AC86:AO86"/>
    <mergeCell ref="M86:T86"/>
    <mergeCell ref="M79:T79"/>
    <mergeCell ref="U79:AB79"/>
    <mergeCell ref="U86:AB86"/>
    <mergeCell ref="AC79:AO79"/>
  </mergeCells>
  <phoneticPr fontId="36" type="noConversion"/>
  <printOptions horizontalCentered="1"/>
  <pageMargins left="0" right="0" top="0.2" bottom="0.23622047244094499" header="0.26" footer="0"/>
  <pageSetup scale="95" orientation="landscape" verticalDpi="300" r:id="rId1"/>
  <headerFooter alignWithMargins="0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28"/>
  <sheetViews>
    <sheetView zoomScaleNormal="100" workbookViewId="0">
      <selection activeCell="A4" sqref="A4:Q4"/>
    </sheetView>
  </sheetViews>
  <sheetFormatPr defaultColWidth="9.140625" defaultRowHeight="15.75"/>
  <cols>
    <col min="1" max="1" width="4.285156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12.7109375" style="33" customWidth="1"/>
    <col min="6" max="6" width="6.28515625" style="4" customWidth="1"/>
    <col min="7" max="7" width="11.285156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customWidth="1"/>
    <col min="19" max="19" width="12.7109375" style="4" bestFit="1" customWidth="1"/>
    <col min="20" max="20" width="15" style="4" bestFit="1" customWidth="1"/>
    <col min="21" max="16384" width="9.140625" style="4"/>
  </cols>
  <sheetData>
    <row r="1" spans="1:20" ht="16.5">
      <c r="A1" s="4339" t="s">
        <v>255</v>
      </c>
      <c r="B1" s="4521"/>
      <c r="C1" s="4521"/>
      <c r="D1" s="4521"/>
      <c r="E1" s="4521"/>
      <c r="F1" s="4521"/>
      <c r="G1" s="78"/>
      <c r="H1" s="79"/>
      <c r="I1" s="79"/>
      <c r="J1" s="79"/>
      <c r="K1" s="4521" t="s">
        <v>23</v>
      </c>
      <c r="L1" s="4521"/>
      <c r="M1" s="4521"/>
      <c r="N1" s="4521"/>
      <c r="O1" s="4521"/>
      <c r="P1" s="4521"/>
      <c r="Q1" s="4521"/>
      <c r="R1" s="527"/>
    </row>
    <row r="2" spans="1:20" ht="17.25">
      <c r="A2" s="4522" t="s">
        <v>90</v>
      </c>
      <c r="B2" s="4522"/>
      <c r="C2" s="4522"/>
      <c r="D2" s="4522"/>
      <c r="E2" s="4522"/>
      <c r="F2" s="4522"/>
      <c r="G2" s="81"/>
      <c r="H2" s="82"/>
      <c r="I2" s="82"/>
      <c r="J2" s="82"/>
      <c r="K2" s="4171" t="s">
        <v>45</v>
      </c>
      <c r="L2" s="4171"/>
      <c r="M2" s="4171"/>
      <c r="N2" s="4171"/>
      <c r="O2" s="4171"/>
      <c r="P2" s="4171"/>
      <c r="Q2" s="4171"/>
      <c r="R2" s="527"/>
    </row>
    <row r="3" spans="1:20" ht="10.5" customHeight="1">
      <c r="A3" s="531"/>
      <c r="B3" s="532"/>
      <c r="C3" s="532"/>
      <c r="D3" s="532"/>
      <c r="E3" s="83"/>
      <c r="F3" s="531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527"/>
    </row>
    <row r="4" spans="1:20" s="10" customFormat="1" ht="25.9" customHeight="1">
      <c r="A4" s="4070" t="s">
        <v>794</v>
      </c>
      <c r="B4" s="4070"/>
      <c r="C4" s="4070"/>
      <c r="D4" s="4070"/>
      <c r="E4" s="4070"/>
      <c r="F4" s="4070"/>
      <c r="G4" s="4070"/>
      <c r="H4" s="4070"/>
      <c r="I4" s="4070"/>
      <c r="J4" s="4070"/>
      <c r="K4" s="4070"/>
      <c r="L4" s="4070"/>
      <c r="M4" s="4070"/>
      <c r="N4" s="4070"/>
      <c r="O4" s="4070"/>
      <c r="P4" s="4070"/>
      <c r="Q4" s="4070"/>
    </row>
    <row r="5" spans="1:20" s="10" customFormat="1" ht="30.75" customHeight="1">
      <c r="A5" s="4524" t="s">
        <v>512</v>
      </c>
      <c r="B5" s="4524"/>
      <c r="C5" s="4524"/>
      <c r="D5" s="4524"/>
      <c r="E5" s="4524"/>
      <c r="F5" s="4524"/>
      <c r="G5" s="4524"/>
      <c r="H5" s="4524"/>
      <c r="I5" s="4524"/>
      <c r="J5" s="4524"/>
      <c r="K5" s="4524"/>
      <c r="L5" s="4524"/>
      <c r="M5" s="4524"/>
      <c r="N5" s="4524"/>
      <c r="O5" s="4524"/>
      <c r="P5" s="4524"/>
      <c r="Q5" s="4524"/>
    </row>
    <row r="6" spans="1:20" s="44" customFormat="1" ht="17.25" customHeight="1">
      <c r="A6" s="4438" t="s">
        <v>0</v>
      </c>
      <c r="B6" s="4440" t="s">
        <v>1</v>
      </c>
      <c r="C6" s="4441"/>
      <c r="D6" s="4438" t="s">
        <v>64</v>
      </c>
      <c r="E6" s="4445" t="s">
        <v>2</v>
      </c>
      <c r="F6" s="4445" t="s">
        <v>3</v>
      </c>
      <c r="G6" s="4526" t="s">
        <v>56</v>
      </c>
      <c r="H6" s="4526"/>
      <c r="I6" s="4526"/>
      <c r="J6" s="4526"/>
      <c r="K6" s="4412" t="s">
        <v>5</v>
      </c>
      <c r="L6" s="4412" t="s">
        <v>6</v>
      </c>
      <c r="M6" s="4412" t="s">
        <v>7</v>
      </c>
      <c r="N6" s="4412" t="s">
        <v>8</v>
      </c>
      <c r="O6" s="4412" t="s">
        <v>78</v>
      </c>
      <c r="P6" s="4412" t="s">
        <v>9</v>
      </c>
      <c r="Q6" s="4523" t="s">
        <v>10</v>
      </c>
      <c r="R6" s="4438" t="s">
        <v>11</v>
      </c>
    </row>
    <row r="7" spans="1:20" s="44" customFormat="1" ht="12" customHeight="1">
      <c r="A7" s="4438"/>
      <c r="B7" s="4441"/>
      <c r="C7" s="4441"/>
      <c r="D7" s="4438"/>
      <c r="E7" s="4438"/>
      <c r="F7" s="4438"/>
      <c r="G7" s="4435" t="s">
        <v>12</v>
      </c>
      <c r="H7" s="4437" t="s">
        <v>94</v>
      </c>
      <c r="I7" s="4412" t="s">
        <v>13</v>
      </c>
      <c r="J7" s="4438" t="s">
        <v>14</v>
      </c>
      <c r="K7" s="4412"/>
      <c r="L7" s="4412"/>
      <c r="M7" s="4412"/>
      <c r="N7" s="4412"/>
      <c r="O7" s="4412"/>
      <c r="P7" s="4412"/>
      <c r="Q7" s="4523"/>
      <c r="R7" s="4355"/>
    </row>
    <row r="8" spans="1:20" s="42" customFormat="1" ht="30.75" customHeight="1">
      <c r="A8" s="4439"/>
      <c r="B8" s="530" t="s">
        <v>15</v>
      </c>
      <c r="C8" s="530" t="s">
        <v>16</v>
      </c>
      <c r="D8" s="4438"/>
      <c r="E8" s="4439"/>
      <c r="F8" s="4439"/>
      <c r="G8" s="4520"/>
      <c r="H8" s="4437"/>
      <c r="I8" s="4412"/>
      <c r="J8" s="4438"/>
      <c r="K8" s="4412"/>
      <c r="L8" s="4412"/>
      <c r="M8" s="4428"/>
      <c r="N8" s="4412"/>
      <c r="O8" s="4412"/>
      <c r="P8" s="4412"/>
      <c r="Q8" s="4523"/>
      <c r="R8" s="4355"/>
    </row>
    <row r="9" spans="1:20" s="41" customFormat="1" ht="48.75" customHeight="1">
      <c r="A9" s="303" t="s">
        <v>65</v>
      </c>
      <c r="B9" s="303" t="s">
        <v>66</v>
      </c>
      <c r="C9" s="303" t="s">
        <v>67</v>
      </c>
      <c r="D9" s="303" t="s">
        <v>116</v>
      </c>
      <c r="E9" s="303" t="s">
        <v>68</v>
      </c>
      <c r="F9" s="303" t="s">
        <v>114</v>
      </c>
      <c r="G9" s="303" t="s">
        <v>69</v>
      </c>
      <c r="H9" s="303" t="s">
        <v>70</v>
      </c>
      <c r="I9" s="303" t="s">
        <v>71</v>
      </c>
      <c r="J9" s="303" t="s">
        <v>72</v>
      </c>
      <c r="K9" s="303" t="s">
        <v>113</v>
      </c>
      <c r="L9" s="303" t="s">
        <v>73</v>
      </c>
      <c r="M9" s="303" t="s">
        <v>74</v>
      </c>
      <c r="N9" s="303" t="s">
        <v>75</v>
      </c>
      <c r="O9" s="303" t="s">
        <v>79</v>
      </c>
      <c r="P9" s="303" t="s">
        <v>76</v>
      </c>
      <c r="Q9" s="303" t="s">
        <v>77</v>
      </c>
      <c r="R9" s="303" t="s">
        <v>115</v>
      </c>
    </row>
    <row r="10" spans="1:20" s="42" customFormat="1" ht="12">
      <c r="A10" s="529">
        <v>1</v>
      </c>
      <c r="B10" s="530">
        <v>2</v>
      </c>
      <c r="C10" s="529">
        <v>3</v>
      </c>
      <c r="D10" s="530">
        <v>4</v>
      </c>
      <c r="E10" s="529">
        <v>5</v>
      </c>
      <c r="F10" s="530">
        <v>6</v>
      </c>
      <c r="G10" s="529">
        <v>7</v>
      </c>
      <c r="H10" s="530">
        <v>8</v>
      </c>
      <c r="I10" s="529">
        <v>9</v>
      </c>
      <c r="J10" s="530">
        <v>10</v>
      </c>
      <c r="K10" s="530">
        <v>12</v>
      </c>
      <c r="L10" s="529">
        <v>13</v>
      </c>
      <c r="M10" s="530">
        <v>14</v>
      </c>
      <c r="N10" s="529">
        <v>15</v>
      </c>
      <c r="O10" s="530">
        <v>16</v>
      </c>
      <c r="P10" s="529">
        <v>17</v>
      </c>
      <c r="Q10" s="530">
        <v>18</v>
      </c>
      <c r="R10" s="529">
        <v>19</v>
      </c>
    </row>
    <row r="11" spans="1:20" s="42" customFormat="1" ht="27" customHeight="1">
      <c r="A11" s="395">
        <v>1</v>
      </c>
      <c r="B11" s="396"/>
      <c r="C11" s="397" t="e">
        <f>#REF!</f>
        <v>#REF!</v>
      </c>
      <c r="D11" s="396"/>
      <c r="E11" s="398" t="s">
        <v>118</v>
      </c>
      <c r="F11" s="399" t="s">
        <v>119</v>
      </c>
      <c r="G11" s="400">
        <v>250.3</v>
      </c>
      <c r="H11" s="401">
        <v>25000</v>
      </c>
      <c r="I11" s="401" t="s">
        <v>81</v>
      </c>
      <c r="J11" s="402">
        <f>G11*H11</f>
        <v>6257500</v>
      </c>
      <c r="K11" s="402">
        <f>J11</f>
        <v>6257500</v>
      </c>
      <c r="L11" s="403"/>
      <c r="M11" s="402">
        <f>K11-L11</f>
        <v>6257500</v>
      </c>
      <c r="N11" s="403"/>
      <c r="O11" s="396"/>
      <c r="P11" s="404">
        <f>M11-N11-O11</f>
        <v>6257500</v>
      </c>
      <c r="Q11" s="396"/>
      <c r="R11" s="395" t="s">
        <v>18</v>
      </c>
    </row>
    <row r="12" spans="1:20" s="42" customFormat="1" ht="27" customHeight="1">
      <c r="A12" s="388">
        <v>2</v>
      </c>
      <c r="B12" s="386"/>
      <c r="C12" s="517" t="s">
        <v>795</v>
      </c>
      <c r="D12" s="386"/>
      <c r="E12" s="398" t="s">
        <v>118</v>
      </c>
      <c r="F12" s="399" t="s">
        <v>119</v>
      </c>
      <c r="G12" s="391">
        <f>488.33-250.3</f>
        <v>238.02999999999997</v>
      </c>
      <c r="H12" s="401">
        <v>25000</v>
      </c>
      <c r="I12" s="401" t="s">
        <v>81</v>
      </c>
      <c r="J12" s="402">
        <f>G12*H12</f>
        <v>5950749.9999999991</v>
      </c>
      <c r="K12" s="402">
        <f>J12</f>
        <v>5950749.9999999991</v>
      </c>
      <c r="L12" s="403"/>
      <c r="M12" s="402">
        <f>K12-L12</f>
        <v>5950749.9999999991</v>
      </c>
      <c r="N12" s="403"/>
      <c r="O12" s="396"/>
      <c r="P12" s="404">
        <f>M12-N12-O12</f>
        <v>5950749.9999999991</v>
      </c>
      <c r="Q12" s="386"/>
      <c r="R12" s="388"/>
    </row>
    <row r="13" spans="1:20" s="131" customFormat="1" ht="18" customHeight="1">
      <c r="A13" s="4440" t="s">
        <v>198</v>
      </c>
      <c r="B13" s="4440"/>
      <c r="C13" s="4440"/>
      <c r="D13" s="530"/>
      <c r="E13" s="530"/>
      <c r="F13" s="530"/>
      <c r="G13" s="677">
        <f>SUM(G11:G12)</f>
        <v>488.33</v>
      </c>
      <c r="H13" s="300"/>
      <c r="I13" s="300">
        <f>SUM(I11:I11)</f>
        <v>0</v>
      </c>
      <c r="J13" s="301">
        <f t="shared" ref="J13:P13" si="0">SUM(J11:J12)</f>
        <v>12208250</v>
      </c>
      <c r="K13" s="301">
        <f t="shared" si="0"/>
        <v>12208250</v>
      </c>
      <c r="L13" s="301">
        <f t="shared" si="0"/>
        <v>0</v>
      </c>
      <c r="M13" s="301">
        <f t="shared" si="0"/>
        <v>12208250</v>
      </c>
      <c r="N13" s="301">
        <f t="shared" si="0"/>
        <v>0</v>
      </c>
      <c r="O13" s="301">
        <f t="shared" si="0"/>
        <v>0</v>
      </c>
      <c r="P13" s="301">
        <f t="shared" si="0"/>
        <v>12208250</v>
      </c>
      <c r="Q13" s="301"/>
      <c r="R13" s="302"/>
      <c r="S13" s="130"/>
      <c r="T13" s="130"/>
    </row>
    <row r="14" spans="1:20" s="38" customFormat="1" ht="22.5" customHeight="1">
      <c r="A14" s="4570" t="s">
        <v>796</v>
      </c>
      <c r="B14" s="4570"/>
      <c r="C14" s="4570"/>
      <c r="D14" s="4570"/>
      <c r="E14" s="4570"/>
      <c r="F14" s="4570"/>
      <c r="G14" s="4570"/>
      <c r="H14" s="4570"/>
      <c r="I14" s="4570"/>
      <c r="J14" s="4570"/>
      <c r="K14" s="4570"/>
      <c r="L14" s="4570"/>
      <c r="M14" s="4570"/>
      <c r="N14" s="4570"/>
      <c r="O14" s="4570"/>
      <c r="P14" s="4570"/>
      <c r="Q14" s="4570"/>
      <c r="R14" s="4570"/>
      <c r="S14" s="39"/>
      <c r="T14" s="39"/>
    </row>
    <row r="15" spans="1:20" ht="18" customHeight="1">
      <c r="C15" s="75"/>
      <c r="K15" s="19"/>
      <c r="L15" s="19"/>
      <c r="M15" s="19"/>
      <c r="N15" s="4525" t="e">
        <f>+#REF!</f>
        <v>#REF!</v>
      </c>
      <c r="O15" s="4525"/>
      <c r="P15" s="4525"/>
      <c r="Q15" s="4525"/>
      <c r="R15" s="4525"/>
      <c r="S15" s="19"/>
      <c r="T15" s="40"/>
    </row>
    <row r="16" spans="1:20" s="9" customFormat="1">
      <c r="A16" s="4571" t="s">
        <v>19</v>
      </c>
      <c r="B16" s="4571"/>
      <c r="C16" s="4571"/>
      <c r="D16" s="4571"/>
      <c r="E16" s="528"/>
      <c r="F16" s="1"/>
      <c r="G16" s="4090" t="s">
        <v>495</v>
      </c>
      <c r="H16" s="4090"/>
      <c r="I16" s="4090"/>
      <c r="J16" s="4090"/>
      <c r="K16" s="4090" t="s">
        <v>20</v>
      </c>
      <c r="L16" s="4090"/>
      <c r="M16" s="4090"/>
      <c r="N16" s="4090"/>
      <c r="O16" s="4090" t="s">
        <v>21</v>
      </c>
      <c r="P16" s="4090"/>
      <c r="Q16" s="4090"/>
      <c r="R16" s="1"/>
    </row>
    <row r="17" spans="3:20">
      <c r="C17" s="528"/>
      <c r="M17" s="19"/>
      <c r="S17" s="19"/>
      <c r="T17" s="19"/>
    </row>
    <row r="18" spans="3:20">
      <c r="C18" s="19"/>
      <c r="H18" s="19"/>
      <c r="I18" s="4"/>
      <c r="K18" s="19"/>
      <c r="L18" s="19"/>
      <c r="M18" s="19"/>
      <c r="N18" s="19"/>
      <c r="O18" s="19"/>
      <c r="P18" s="19"/>
    </row>
    <row r="19" spans="3:20">
      <c r="C19" s="19"/>
      <c r="G19" s="668"/>
      <c r="H19" s="127"/>
      <c r="I19" s="4"/>
      <c r="K19" s="19"/>
      <c r="L19" s="19"/>
      <c r="M19" s="19"/>
      <c r="N19" s="19"/>
      <c r="O19" s="19"/>
      <c r="P19" s="19"/>
    </row>
    <row r="20" spans="3:20">
      <c r="C20" s="19"/>
      <c r="G20" s="115"/>
      <c r="H20" s="19"/>
      <c r="I20" s="4"/>
      <c r="J20" s="115"/>
      <c r="K20" s="19"/>
      <c r="L20" s="19"/>
      <c r="M20" s="19"/>
      <c r="N20" s="19"/>
      <c r="O20" s="19"/>
      <c r="P20" s="19"/>
    </row>
    <row r="21" spans="3:20">
      <c r="C21" s="19"/>
      <c r="G21" s="115"/>
      <c r="H21" s="19"/>
      <c r="I21" s="4"/>
      <c r="K21" s="19"/>
      <c r="L21" s="19"/>
      <c r="M21" s="19"/>
      <c r="N21" s="19"/>
      <c r="O21" s="19"/>
      <c r="T21" s="19"/>
    </row>
    <row r="22" spans="3:20">
      <c r="C22" s="19"/>
      <c r="E22" s="662"/>
      <c r="G22" s="6"/>
      <c r="H22" s="20"/>
      <c r="I22" s="4"/>
      <c r="K22" s="19"/>
      <c r="L22" s="19"/>
      <c r="M22" s="19"/>
      <c r="N22" s="19"/>
      <c r="O22" s="19"/>
    </row>
    <row r="23" spans="3:20">
      <c r="H23" s="20"/>
      <c r="I23" s="4"/>
      <c r="K23" s="19"/>
      <c r="L23" s="19"/>
      <c r="M23" s="19"/>
      <c r="N23" s="19"/>
      <c r="O23" s="19"/>
    </row>
    <row r="24" spans="3:20">
      <c r="E24" s="662"/>
      <c r="K24" s="4090"/>
      <c r="L24" s="4090"/>
      <c r="M24" s="4090"/>
      <c r="N24" s="4090"/>
      <c r="O24" s="4090"/>
      <c r="P24" s="4090"/>
      <c r="Q24" s="4090"/>
      <c r="R24" s="67"/>
    </row>
    <row r="26" spans="3:20">
      <c r="J26" s="128"/>
    </row>
    <row r="28" spans="3:20">
      <c r="P28" s="4094"/>
      <c r="Q28" s="4094"/>
    </row>
  </sheetData>
  <mergeCells count="34">
    <mergeCell ref="A5:Q5"/>
    <mergeCell ref="A1:F1"/>
    <mergeCell ref="K1:Q1"/>
    <mergeCell ref="A2:F2"/>
    <mergeCell ref="K2:Q2"/>
    <mergeCell ref="A4:Q4"/>
    <mergeCell ref="A6:A8"/>
    <mergeCell ref="B6:C7"/>
    <mergeCell ref="D6:D8"/>
    <mergeCell ref="E6:E8"/>
    <mergeCell ref="F6:F8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K24:N24"/>
    <mergeCell ref="O24:Q24"/>
    <mergeCell ref="P28:Q28"/>
    <mergeCell ref="A13:C13"/>
    <mergeCell ref="A14:R14"/>
    <mergeCell ref="N15:R15"/>
    <mergeCell ref="A16:D16"/>
    <mergeCell ref="G16:J16"/>
    <mergeCell ref="K16:N16"/>
    <mergeCell ref="O16:Q16"/>
  </mergeCells>
  <pageMargins left="0.44" right="0" top="0.5" bottom="0" header="0.23" footer="0.5"/>
  <pageSetup paperSize="9" scale="84" fitToHeight="0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U26"/>
  <sheetViews>
    <sheetView workbookViewId="0">
      <selection activeCell="G11" sqref="G11"/>
    </sheetView>
  </sheetViews>
  <sheetFormatPr defaultColWidth="9.140625" defaultRowHeight="15.75"/>
  <cols>
    <col min="1" max="1" width="4.28515625" style="4" customWidth="1"/>
    <col min="2" max="2" width="10.7109375" style="43" customWidth="1"/>
    <col min="3" max="3" width="17" style="4" customWidth="1"/>
    <col min="4" max="4" width="7.85546875" style="4" customWidth="1"/>
    <col min="5" max="5" width="9.85546875" style="33" customWidth="1"/>
    <col min="6" max="6" width="6.28515625" style="4" customWidth="1"/>
    <col min="7" max="7" width="9.57031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customWidth="1"/>
    <col min="19" max="16384" width="9.140625" style="4"/>
  </cols>
  <sheetData>
    <row r="1" spans="1:21" ht="16.5">
      <c r="A1" s="4339" t="s">
        <v>80</v>
      </c>
      <c r="B1" s="4521"/>
      <c r="C1" s="4521"/>
      <c r="D1" s="4521"/>
      <c r="E1" s="4521"/>
      <c r="F1" s="4521"/>
      <c r="G1" s="78"/>
      <c r="H1" s="79"/>
      <c r="I1" s="79"/>
      <c r="J1" s="79"/>
      <c r="K1" s="4171" t="s">
        <v>23</v>
      </c>
      <c r="L1" s="4171"/>
      <c r="M1" s="4171"/>
      <c r="N1" s="4171"/>
      <c r="O1" s="4171"/>
      <c r="P1" s="4171"/>
      <c r="Q1" s="4171"/>
      <c r="R1" s="3"/>
    </row>
    <row r="2" spans="1:21" ht="17.25">
      <c r="A2" s="4139"/>
      <c r="B2" s="4171"/>
      <c r="C2" s="4171"/>
      <c r="D2" s="4171"/>
      <c r="E2" s="4171"/>
      <c r="F2" s="4171"/>
      <c r="G2" s="81"/>
      <c r="H2" s="82"/>
      <c r="I2" s="82"/>
      <c r="J2" s="82"/>
      <c r="K2" s="4521" t="s">
        <v>45</v>
      </c>
      <c r="L2" s="4521"/>
      <c r="M2" s="4521"/>
      <c r="N2" s="4521"/>
      <c r="O2" s="4521"/>
      <c r="P2" s="4521"/>
      <c r="Q2" s="4521"/>
      <c r="R2" s="3"/>
    </row>
    <row r="3" spans="1:21" ht="10.5" customHeight="1">
      <c r="A3" s="77"/>
      <c r="B3" s="80"/>
      <c r="C3" s="80"/>
      <c r="D3" s="80"/>
      <c r="E3" s="83"/>
      <c r="F3" s="77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3"/>
    </row>
    <row r="4" spans="1:21" s="10" customFormat="1" ht="25.9" customHeight="1">
      <c r="A4" s="4572" t="s">
        <v>516</v>
      </c>
      <c r="B4" s="4572"/>
      <c r="C4" s="4572"/>
      <c r="D4" s="4572"/>
      <c r="E4" s="4572"/>
      <c r="F4" s="4572"/>
      <c r="G4" s="4572"/>
      <c r="H4" s="4572"/>
      <c r="I4" s="4572"/>
      <c r="J4" s="4572"/>
      <c r="K4" s="4572"/>
      <c r="L4" s="4572"/>
      <c r="M4" s="4572"/>
      <c r="N4" s="4572"/>
      <c r="O4" s="4572"/>
      <c r="P4" s="4572"/>
      <c r="Q4" s="4572"/>
    </row>
    <row r="5" spans="1:21" s="10" customFormat="1" ht="30.75" customHeight="1">
      <c r="A5" s="4524" t="s">
        <v>91</v>
      </c>
      <c r="B5" s="4524"/>
      <c r="C5" s="4524"/>
      <c r="D5" s="4524"/>
      <c r="E5" s="4524"/>
      <c r="F5" s="4524"/>
      <c r="G5" s="4524"/>
      <c r="H5" s="4524"/>
      <c r="I5" s="4524"/>
      <c r="J5" s="4524"/>
      <c r="K5" s="4524"/>
      <c r="L5" s="4524"/>
      <c r="M5" s="4524"/>
      <c r="N5" s="4524"/>
      <c r="O5" s="4524"/>
      <c r="P5" s="4524"/>
      <c r="Q5" s="4524"/>
    </row>
    <row r="6" spans="1:21" s="44" customFormat="1" ht="17.25" customHeight="1">
      <c r="A6" s="4438" t="s">
        <v>0</v>
      </c>
      <c r="B6" s="4440" t="s">
        <v>1</v>
      </c>
      <c r="C6" s="4441"/>
      <c r="D6" s="4438" t="s">
        <v>64</v>
      </c>
      <c r="E6" s="4445" t="s">
        <v>2</v>
      </c>
      <c r="F6" s="4445" t="s">
        <v>3</v>
      </c>
      <c r="G6" s="4526" t="s">
        <v>56</v>
      </c>
      <c r="H6" s="4526"/>
      <c r="I6" s="4526"/>
      <c r="J6" s="4526"/>
      <c r="K6" s="4412" t="s">
        <v>5</v>
      </c>
      <c r="L6" s="4412" t="s">
        <v>6</v>
      </c>
      <c r="M6" s="4412" t="s">
        <v>7</v>
      </c>
      <c r="N6" s="4412" t="s">
        <v>8</v>
      </c>
      <c r="O6" s="4412" t="s">
        <v>78</v>
      </c>
      <c r="P6" s="4412" t="s">
        <v>9</v>
      </c>
      <c r="Q6" s="4523" t="s">
        <v>10</v>
      </c>
      <c r="R6" s="4438" t="s">
        <v>11</v>
      </c>
    </row>
    <row r="7" spans="1:21" s="44" customFormat="1" ht="12" customHeight="1">
      <c r="A7" s="4438"/>
      <c r="B7" s="4441"/>
      <c r="C7" s="4441"/>
      <c r="D7" s="4438"/>
      <c r="E7" s="4438"/>
      <c r="F7" s="4438"/>
      <c r="G7" s="4435" t="s">
        <v>12</v>
      </c>
      <c r="H7" s="4437" t="s">
        <v>94</v>
      </c>
      <c r="I7" s="4412" t="s">
        <v>13</v>
      </c>
      <c r="J7" s="4438" t="s">
        <v>14</v>
      </c>
      <c r="K7" s="4412"/>
      <c r="L7" s="4412"/>
      <c r="M7" s="4412"/>
      <c r="N7" s="4412"/>
      <c r="O7" s="4412"/>
      <c r="P7" s="4412"/>
      <c r="Q7" s="4523"/>
      <c r="R7" s="4355"/>
    </row>
    <row r="8" spans="1:21" s="42" customFormat="1" ht="30.75" customHeight="1">
      <c r="A8" s="4439"/>
      <c r="B8" s="384" t="s">
        <v>15</v>
      </c>
      <c r="C8" s="384" t="s">
        <v>16</v>
      </c>
      <c r="D8" s="4438"/>
      <c r="E8" s="4439"/>
      <c r="F8" s="4439"/>
      <c r="G8" s="4520"/>
      <c r="H8" s="4437"/>
      <c r="I8" s="4412"/>
      <c r="J8" s="4438"/>
      <c r="K8" s="4412"/>
      <c r="L8" s="4412"/>
      <c r="M8" s="4428"/>
      <c r="N8" s="4412"/>
      <c r="O8" s="4412"/>
      <c r="P8" s="4412"/>
      <c r="Q8" s="4523"/>
      <c r="R8" s="4355"/>
    </row>
    <row r="9" spans="1:21" s="41" customFormat="1" ht="48.75" customHeight="1">
      <c r="A9" s="122" t="s">
        <v>65</v>
      </c>
      <c r="B9" s="122" t="s">
        <v>66</v>
      </c>
      <c r="C9" s="122" t="s">
        <v>67</v>
      </c>
      <c r="D9" s="122" t="s">
        <v>116</v>
      </c>
      <c r="E9" s="122" t="s">
        <v>68</v>
      </c>
      <c r="F9" s="122" t="s">
        <v>306</v>
      </c>
      <c r="G9" s="122" t="s">
        <v>69</v>
      </c>
      <c r="H9" s="122" t="s">
        <v>70</v>
      </c>
      <c r="I9" s="122" t="s">
        <v>71</v>
      </c>
      <c r="J9" s="122" t="s">
        <v>72</v>
      </c>
      <c r="K9" s="122" t="s">
        <v>113</v>
      </c>
      <c r="L9" s="122" t="s">
        <v>73</v>
      </c>
      <c r="M9" s="122" t="s">
        <v>74</v>
      </c>
      <c r="N9" s="122" t="s">
        <v>75</v>
      </c>
      <c r="O9" s="122" t="s">
        <v>79</v>
      </c>
      <c r="P9" s="122" t="s">
        <v>76</v>
      </c>
      <c r="Q9" s="122" t="s">
        <v>77</v>
      </c>
      <c r="R9" s="122" t="s">
        <v>115</v>
      </c>
    </row>
    <row r="10" spans="1:21" s="42" customFormat="1" ht="17.25" customHeight="1">
      <c r="A10" s="383">
        <v>1</v>
      </c>
      <c r="B10" s="384">
        <v>2</v>
      </c>
      <c r="C10" s="383">
        <v>3</v>
      </c>
      <c r="D10" s="384">
        <v>4</v>
      </c>
      <c r="E10" s="383">
        <v>5</v>
      </c>
      <c r="F10" s="384">
        <v>6</v>
      </c>
      <c r="G10" s="383">
        <v>7</v>
      </c>
      <c r="H10" s="384">
        <v>8</v>
      </c>
      <c r="I10" s="383">
        <v>9</v>
      </c>
      <c r="J10" s="384">
        <v>10</v>
      </c>
      <c r="K10" s="384">
        <v>12</v>
      </c>
      <c r="L10" s="383">
        <v>13</v>
      </c>
      <c r="M10" s="384">
        <v>14</v>
      </c>
      <c r="N10" s="383">
        <v>15</v>
      </c>
      <c r="O10" s="384">
        <v>16</v>
      </c>
      <c r="P10" s="383">
        <v>17</v>
      </c>
      <c r="Q10" s="384">
        <v>18</v>
      </c>
      <c r="R10" s="383">
        <v>19</v>
      </c>
    </row>
    <row r="11" spans="1:21" s="42" customFormat="1" ht="21.75" customHeight="1">
      <c r="A11" s="388">
        <v>1</v>
      </c>
      <c r="B11" s="386"/>
      <c r="C11" s="389" t="e">
        <f>#REF!</f>
        <v>#REF!</v>
      </c>
      <c r="D11" s="386"/>
      <c r="E11" s="388" t="s">
        <v>118</v>
      </c>
      <c r="F11" s="390" t="s">
        <v>492</v>
      </c>
      <c r="G11" s="501">
        <f>58.1+224.32</f>
        <v>282.42</v>
      </c>
      <c r="H11" s="392">
        <v>25000</v>
      </c>
      <c r="I11" s="392" t="s">
        <v>81</v>
      </c>
      <c r="J11" s="502">
        <f>G11*H11</f>
        <v>7060500</v>
      </c>
      <c r="K11" s="393">
        <f>J11</f>
        <v>7060500</v>
      </c>
      <c r="L11" s="387"/>
      <c r="M11" s="393">
        <f>K11-L11</f>
        <v>7060500</v>
      </c>
      <c r="N11" s="387"/>
      <c r="O11" s="386"/>
      <c r="P11" s="394">
        <f>M11-N11-O11</f>
        <v>7060500</v>
      </c>
      <c r="Q11" s="386"/>
      <c r="R11" s="388" t="s">
        <v>18</v>
      </c>
    </row>
    <row r="12" spans="1:21" s="131" customFormat="1" ht="22.15" customHeight="1">
      <c r="A12" s="4440" t="s">
        <v>440</v>
      </c>
      <c r="B12" s="4440"/>
      <c r="C12" s="4440"/>
      <c r="D12" s="384"/>
      <c r="E12" s="384"/>
      <c r="F12" s="384"/>
      <c r="G12" s="300">
        <f>SUM(G11:G11)</f>
        <v>282.42</v>
      </c>
      <c r="H12" s="422"/>
      <c r="I12" s="300" t="s">
        <v>81</v>
      </c>
      <c r="J12" s="301">
        <f t="shared" ref="J12:P12" si="0">SUM(J11:J11)</f>
        <v>7060500</v>
      </c>
      <c r="K12" s="301">
        <f t="shared" si="0"/>
        <v>7060500</v>
      </c>
      <c r="L12" s="301">
        <f t="shared" si="0"/>
        <v>0</v>
      </c>
      <c r="M12" s="301">
        <f t="shared" si="0"/>
        <v>7060500</v>
      </c>
      <c r="N12" s="301">
        <f t="shared" si="0"/>
        <v>0</v>
      </c>
      <c r="O12" s="301">
        <f t="shared" si="0"/>
        <v>0</v>
      </c>
      <c r="P12" s="301">
        <f t="shared" si="0"/>
        <v>7060500</v>
      </c>
      <c r="Q12" s="302"/>
      <c r="R12" s="302"/>
    </row>
    <row r="13" spans="1:21" s="38" customFormat="1" ht="21" customHeight="1">
      <c r="A13" s="4519" t="s">
        <v>517</v>
      </c>
      <c r="B13" s="4519"/>
      <c r="C13" s="4519"/>
      <c r="D13" s="4519"/>
      <c r="E13" s="4519"/>
      <c r="F13" s="4519"/>
      <c r="G13" s="4519"/>
      <c r="H13" s="4519"/>
      <c r="I13" s="4519"/>
      <c r="J13" s="4519"/>
      <c r="K13" s="4519"/>
      <c r="L13" s="4519"/>
      <c r="M13" s="4519"/>
      <c r="N13" s="4519"/>
      <c r="O13" s="4519"/>
      <c r="P13" s="4519"/>
      <c r="Q13" s="4519"/>
      <c r="R13" s="4519"/>
    </row>
    <row r="14" spans="1:21" ht="18" customHeight="1">
      <c r="C14" s="75"/>
      <c r="K14" s="19"/>
      <c r="L14" s="19"/>
      <c r="M14" s="19"/>
      <c r="N14" s="4525" t="s">
        <v>515</v>
      </c>
      <c r="O14" s="4525"/>
      <c r="P14" s="4525"/>
      <c r="Q14" s="4525"/>
      <c r="R14" s="4525"/>
      <c r="U14" s="4">
        <f>181.81*25000</f>
        <v>4545250</v>
      </c>
    </row>
    <row r="15" spans="1:21" s="9" customFormat="1">
      <c r="A15" s="4090" t="s">
        <v>19</v>
      </c>
      <c r="B15" s="4090"/>
      <c r="C15" s="4090"/>
      <c r="D15" s="4090"/>
      <c r="E15" s="70"/>
      <c r="F15" s="1"/>
      <c r="G15" s="4090" t="s">
        <v>117</v>
      </c>
      <c r="H15" s="4090"/>
      <c r="I15" s="4090"/>
      <c r="J15" s="4090"/>
      <c r="K15" s="4090" t="s">
        <v>20</v>
      </c>
      <c r="L15" s="4090"/>
      <c r="M15" s="4090"/>
      <c r="N15" s="4090"/>
      <c r="O15" s="4090" t="s">
        <v>21</v>
      </c>
      <c r="P15" s="4090"/>
      <c r="Q15" s="4090"/>
      <c r="R15" s="1"/>
    </row>
    <row r="16" spans="1:21">
      <c r="C16" s="70"/>
      <c r="M16" s="19"/>
    </row>
    <row r="17" spans="3:18">
      <c r="C17" s="19"/>
      <c r="H17" s="19"/>
      <c r="I17" s="4"/>
      <c r="K17" s="19"/>
      <c r="L17" s="19"/>
      <c r="M17" s="19"/>
      <c r="N17" s="19"/>
      <c r="O17" s="19"/>
      <c r="P17" s="19"/>
    </row>
    <row r="18" spans="3:18">
      <c r="C18" s="19"/>
      <c r="H18" s="19"/>
      <c r="I18" s="4"/>
      <c r="K18" s="19"/>
      <c r="L18" s="19"/>
      <c r="M18" s="19"/>
      <c r="N18" s="19"/>
      <c r="O18" s="19"/>
      <c r="P18" s="19"/>
    </row>
    <row r="19" spans="3:18">
      <c r="C19" s="19"/>
      <c r="H19" s="19"/>
      <c r="I19" s="4"/>
      <c r="K19" s="19"/>
      <c r="L19" s="19"/>
      <c r="M19" s="19"/>
      <c r="N19" s="19"/>
      <c r="O19" s="19"/>
      <c r="P19" s="19"/>
    </row>
    <row r="20" spans="3:18">
      <c r="C20" s="19"/>
      <c r="H20" s="19"/>
      <c r="I20" s="4"/>
      <c r="K20" s="19"/>
      <c r="L20" s="19"/>
      <c r="M20" s="19"/>
      <c r="N20" s="19"/>
      <c r="O20" s="19"/>
      <c r="P20" s="19"/>
    </row>
    <row r="21" spans="3:18">
      <c r="H21" s="20"/>
      <c r="I21" s="4"/>
      <c r="K21" s="19"/>
      <c r="L21" s="19"/>
      <c r="M21" s="19"/>
      <c r="N21" s="19"/>
      <c r="O21" s="19"/>
    </row>
    <row r="22" spans="3:18">
      <c r="K22" s="4090"/>
      <c r="L22" s="4090"/>
      <c r="M22" s="4090"/>
      <c r="N22" s="4090"/>
      <c r="O22" s="4090"/>
      <c r="P22" s="4090"/>
      <c r="Q22" s="4090"/>
      <c r="R22" s="67"/>
    </row>
    <row r="26" spans="3:18">
      <c r="P26" s="4094"/>
      <c r="Q26" s="4094"/>
    </row>
  </sheetData>
  <mergeCells count="34">
    <mergeCell ref="A4:Q4"/>
    <mergeCell ref="A5:Q5"/>
    <mergeCell ref="A1:F1"/>
    <mergeCell ref="K1:Q1"/>
    <mergeCell ref="A2:F2"/>
    <mergeCell ref="K2:Q2"/>
    <mergeCell ref="A6:A8"/>
    <mergeCell ref="B6:C7"/>
    <mergeCell ref="D6:D8"/>
    <mergeCell ref="E6:E8"/>
    <mergeCell ref="F6:F8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K22:N22"/>
    <mergeCell ref="O22:Q22"/>
    <mergeCell ref="P26:Q26"/>
    <mergeCell ref="A12:C12"/>
    <mergeCell ref="A13:R13"/>
    <mergeCell ref="N14:R14"/>
    <mergeCell ref="A15:D15"/>
    <mergeCell ref="G15:J15"/>
    <mergeCell ref="K15:N15"/>
    <mergeCell ref="O15:Q15"/>
  </mergeCells>
  <phoneticPr fontId="54" type="noConversion"/>
  <pageMargins left="0.2" right="0" top="0" bottom="0" header="0.23" footer="0.5"/>
  <pageSetup paperSize="9" scale="87" fitToHeight="0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47"/>
  <sheetViews>
    <sheetView workbookViewId="0">
      <selection activeCell="H42" sqref="H42"/>
    </sheetView>
  </sheetViews>
  <sheetFormatPr defaultColWidth="9.140625" defaultRowHeight="15.75"/>
  <cols>
    <col min="1" max="1" width="4.28515625" style="4" customWidth="1"/>
    <col min="2" max="2" width="14.42578125" style="43" customWidth="1"/>
    <col min="3" max="3" width="17.140625" style="4" customWidth="1"/>
    <col min="4" max="4" width="7.42578125" style="4" customWidth="1"/>
    <col min="5" max="5" width="16" style="33" customWidth="1"/>
    <col min="6" max="6" width="10.7109375" style="4" customWidth="1"/>
    <col min="7" max="7" width="9.7109375" style="4" customWidth="1"/>
    <col min="8" max="8" width="12.28515625" style="4" customWidth="1"/>
    <col min="9" max="9" width="7.5703125" style="4" customWidth="1"/>
    <col min="10" max="16384" width="9.140625" style="4"/>
  </cols>
  <sheetData>
    <row r="1" spans="1:11" ht="18" customHeight="1">
      <c r="A1" s="4573" t="s">
        <v>23</v>
      </c>
      <c r="B1" s="4573"/>
      <c r="C1" s="4573"/>
      <c r="D1" s="4573"/>
      <c r="E1" s="4573"/>
      <c r="F1" s="4573"/>
      <c r="G1" s="4573"/>
      <c r="H1" s="4573"/>
      <c r="I1" s="4573"/>
      <c r="J1" s="185"/>
      <c r="K1" s="185"/>
    </row>
    <row r="2" spans="1:11" ht="15.75" customHeight="1">
      <c r="A2" s="4581" t="s">
        <v>165</v>
      </c>
      <c r="B2" s="4581"/>
      <c r="C2" s="4581"/>
      <c r="D2" s="4581"/>
      <c r="E2" s="4581"/>
      <c r="F2" s="4581"/>
      <c r="G2" s="4581"/>
      <c r="H2" s="4581"/>
      <c r="I2" s="4581"/>
      <c r="J2" s="186"/>
      <c r="K2" s="186"/>
    </row>
    <row r="3" spans="1:11" ht="19.5" customHeight="1">
      <c r="A3" s="4339" t="s">
        <v>255</v>
      </c>
      <c r="B3" s="4521"/>
      <c r="C3" s="4521"/>
      <c r="D3" s="4521"/>
      <c r="E3" s="4521"/>
      <c r="F3" s="85"/>
      <c r="G3" s="88"/>
      <c r="H3" s="87"/>
      <c r="I3" s="3"/>
    </row>
    <row r="4" spans="1:11" ht="12.75" customHeight="1">
      <c r="A4" s="208"/>
      <c r="B4" s="77"/>
      <c r="C4" s="77"/>
      <c r="D4" s="77"/>
      <c r="E4" s="77"/>
      <c r="F4" s="85"/>
      <c r="G4" s="88"/>
      <c r="H4" s="87"/>
      <c r="I4" s="3"/>
    </row>
    <row r="5" spans="1:11" s="219" customFormat="1" ht="18" customHeight="1">
      <c r="A5" s="4331" t="s">
        <v>266</v>
      </c>
      <c r="B5" s="4331"/>
      <c r="C5" s="4331"/>
      <c r="D5" s="4331"/>
      <c r="E5" s="4331"/>
      <c r="F5" s="4331"/>
      <c r="G5" s="4331"/>
      <c r="H5" s="4331"/>
      <c r="I5" s="4331"/>
    </row>
    <row r="6" spans="1:11" s="219" customFormat="1" ht="24.75" customHeight="1">
      <c r="A6" s="4576" t="s">
        <v>91</v>
      </c>
      <c r="B6" s="4576"/>
      <c r="C6" s="4576"/>
      <c r="D6" s="4576"/>
      <c r="E6" s="4576"/>
      <c r="F6" s="4576"/>
      <c r="G6" s="4576"/>
      <c r="H6" s="4576"/>
    </row>
    <row r="7" spans="1:11" s="10" customFormat="1" ht="18.75" customHeight="1">
      <c r="A7" s="4574" t="s">
        <v>261</v>
      </c>
      <c r="B7" s="4574"/>
      <c r="C7" s="4574"/>
      <c r="D7" s="4574"/>
      <c r="E7" s="4574"/>
      <c r="F7" s="4574"/>
      <c r="G7" s="4574"/>
      <c r="H7" s="4574"/>
      <c r="I7" s="4574"/>
    </row>
    <row r="8" spans="1:11" s="10" customFormat="1" ht="7.5" customHeight="1">
      <c r="A8" s="221"/>
      <c r="B8" s="209"/>
      <c r="C8" s="209"/>
      <c r="D8" s="221"/>
      <c r="E8" s="221"/>
      <c r="F8" s="209"/>
      <c r="G8" s="221"/>
      <c r="H8" s="221"/>
      <c r="I8" s="221"/>
    </row>
    <row r="9" spans="1:11" s="44" customFormat="1" ht="21" customHeight="1">
      <c r="A9" s="4579" t="s">
        <v>0</v>
      </c>
      <c r="B9" s="4577" t="s">
        <v>1</v>
      </c>
      <c r="C9" s="4578"/>
      <c r="D9" s="4579" t="s">
        <v>64</v>
      </c>
      <c r="E9" s="4582" t="s">
        <v>46</v>
      </c>
      <c r="F9" s="222" t="s">
        <v>238</v>
      </c>
      <c r="G9" s="4122" t="s">
        <v>9</v>
      </c>
      <c r="H9" s="4585" t="s">
        <v>10</v>
      </c>
      <c r="I9" s="4579" t="s">
        <v>11</v>
      </c>
    </row>
    <row r="10" spans="1:11" s="44" customFormat="1" ht="25.5" customHeight="1">
      <c r="A10" s="4580"/>
      <c r="B10" s="45" t="s">
        <v>15</v>
      </c>
      <c r="C10" s="45" t="s">
        <v>16</v>
      </c>
      <c r="D10" s="4580"/>
      <c r="E10" s="4583"/>
      <c r="F10" s="207" t="s">
        <v>265</v>
      </c>
      <c r="G10" s="4123"/>
      <c r="H10" s="4586"/>
      <c r="I10" s="4580"/>
    </row>
    <row r="11" spans="1:11" s="41" customFormat="1" ht="40.5" customHeight="1">
      <c r="A11" s="35" t="s">
        <v>65</v>
      </c>
      <c r="B11" s="35" t="s">
        <v>66</v>
      </c>
      <c r="C11" s="35" t="s">
        <v>67</v>
      </c>
      <c r="D11" s="35" t="s">
        <v>116</v>
      </c>
      <c r="E11" s="35" t="s">
        <v>68</v>
      </c>
      <c r="F11" s="35" t="s">
        <v>70</v>
      </c>
      <c r="G11" s="35" t="s">
        <v>76</v>
      </c>
      <c r="H11" s="35" t="s">
        <v>77</v>
      </c>
      <c r="I11" s="35" t="s">
        <v>115</v>
      </c>
    </row>
    <row r="12" spans="1:11" s="42" customFormat="1" ht="12.75">
      <c r="A12" s="179">
        <v>1</v>
      </c>
      <c r="B12" s="178">
        <v>2</v>
      </c>
      <c r="C12" s="179">
        <v>3</v>
      </c>
      <c r="D12" s="178">
        <v>4</v>
      </c>
      <c r="E12" s="179">
        <v>5</v>
      </c>
      <c r="F12" s="178">
        <v>6</v>
      </c>
      <c r="G12" s="179">
        <v>7</v>
      </c>
      <c r="H12" s="178">
        <v>8</v>
      </c>
      <c r="I12" s="179">
        <v>9</v>
      </c>
    </row>
    <row r="13" spans="1:11" s="42" customFormat="1" ht="17.25" customHeight="1">
      <c r="A13" s="191">
        <v>1</v>
      </c>
      <c r="B13" s="53" t="s">
        <v>85</v>
      </c>
      <c r="C13" s="199" t="s">
        <v>132</v>
      </c>
      <c r="D13" s="195" t="s">
        <v>135</v>
      </c>
      <c r="E13" s="181" t="s">
        <v>239</v>
      </c>
      <c r="F13" s="224">
        <v>150000</v>
      </c>
      <c r="G13" s="225">
        <f>F13</f>
        <v>150000</v>
      </c>
      <c r="H13" s="123"/>
      <c r="I13" s="191" t="s">
        <v>196</v>
      </c>
    </row>
    <row r="14" spans="1:11" s="42" customFormat="1" ht="17.25" customHeight="1">
      <c r="A14" s="192">
        <v>2</v>
      </c>
      <c r="B14" s="51" t="s">
        <v>86</v>
      </c>
      <c r="C14" s="200" t="s">
        <v>30</v>
      </c>
      <c r="D14" s="196" t="s">
        <v>95</v>
      </c>
      <c r="E14" s="182" t="s">
        <v>126</v>
      </c>
      <c r="F14" s="226">
        <v>150000</v>
      </c>
      <c r="G14" s="227">
        <f t="shared" ref="G14:G28" si="0">F14</f>
        <v>150000</v>
      </c>
      <c r="H14" s="124"/>
      <c r="I14" s="192" t="s">
        <v>196</v>
      </c>
    </row>
    <row r="15" spans="1:11" s="42" customFormat="1" ht="17.25" customHeight="1">
      <c r="A15" s="192">
        <v>3</v>
      </c>
      <c r="B15" s="51" t="s">
        <v>87</v>
      </c>
      <c r="C15" s="201" t="s">
        <v>31</v>
      </c>
      <c r="D15" s="196" t="s">
        <v>96</v>
      </c>
      <c r="E15" s="182" t="s">
        <v>51</v>
      </c>
      <c r="F15" s="226">
        <v>150000</v>
      </c>
      <c r="G15" s="227">
        <f t="shared" si="0"/>
        <v>150000</v>
      </c>
      <c r="H15" s="124"/>
      <c r="I15" s="192" t="s">
        <v>196</v>
      </c>
    </row>
    <row r="16" spans="1:11" s="42" customFormat="1" ht="17.25" customHeight="1">
      <c r="A16" s="192">
        <v>4</v>
      </c>
      <c r="B16" s="69" t="s">
        <v>130</v>
      </c>
      <c r="C16" s="201" t="s">
        <v>127</v>
      </c>
      <c r="D16" s="68" t="s">
        <v>131</v>
      </c>
      <c r="E16" s="48" t="s">
        <v>128</v>
      </c>
      <c r="F16" s="226">
        <v>150000</v>
      </c>
      <c r="G16" s="227">
        <f t="shared" si="0"/>
        <v>150000</v>
      </c>
      <c r="H16" s="124"/>
      <c r="I16" s="192" t="s">
        <v>196</v>
      </c>
    </row>
    <row r="17" spans="1:9" s="42" customFormat="1" ht="17.25" customHeight="1">
      <c r="A17" s="192">
        <v>5</v>
      </c>
      <c r="B17" s="125" t="s">
        <v>246</v>
      </c>
      <c r="C17" s="201" t="s">
        <v>199</v>
      </c>
      <c r="D17" s="68" t="s">
        <v>200</v>
      </c>
      <c r="E17" s="48" t="s">
        <v>201</v>
      </c>
      <c r="F17" s="226">
        <v>150000</v>
      </c>
      <c r="G17" s="227">
        <f t="shared" si="0"/>
        <v>150000</v>
      </c>
      <c r="H17" s="124"/>
      <c r="I17" s="192" t="s">
        <v>196</v>
      </c>
    </row>
    <row r="18" spans="1:9" s="42" customFormat="1" ht="17.25" customHeight="1">
      <c r="A18" s="192">
        <v>6</v>
      </c>
      <c r="B18" s="51" t="s">
        <v>88</v>
      </c>
      <c r="C18" s="200" t="s">
        <v>34</v>
      </c>
      <c r="D18" s="196" t="s">
        <v>97</v>
      </c>
      <c r="E18" s="182" t="s">
        <v>52</v>
      </c>
      <c r="F18" s="226">
        <v>150000</v>
      </c>
      <c r="G18" s="227">
        <f t="shared" si="0"/>
        <v>150000</v>
      </c>
      <c r="H18" s="124"/>
      <c r="I18" s="192" t="s">
        <v>196</v>
      </c>
    </row>
    <row r="19" spans="1:9" s="42" customFormat="1" ht="17.25" customHeight="1">
      <c r="A19" s="192">
        <v>7</v>
      </c>
      <c r="B19" s="51" t="s">
        <v>89</v>
      </c>
      <c r="C19" s="201" t="s">
        <v>35</v>
      </c>
      <c r="D19" s="196" t="s">
        <v>98</v>
      </c>
      <c r="E19" s="182" t="s">
        <v>52</v>
      </c>
      <c r="F19" s="226">
        <v>150000</v>
      </c>
      <c r="G19" s="227">
        <f t="shared" si="0"/>
        <v>150000</v>
      </c>
      <c r="H19" s="124"/>
      <c r="I19" s="192" t="s">
        <v>196</v>
      </c>
    </row>
    <row r="20" spans="1:9" s="42" customFormat="1" ht="17.25" customHeight="1">
      <c r="A20" s="192">
        <v>8</v>
      </c>
      <c r="B20" s="51" t="s">
        <v>112</v>
      </c>
      <c r="C20" s="201" t="s">
        <v>108</v>
      </c>
      <c r="D20" s="196" t="s">
        <v>110</v>
      </c>
      <c r="E20" s="48" t="s">
        <v>111</v>
      </c>
      <c r="F20" s="226">
        <v>150000</v>
      </c>
      <c r="G20" s="227">
        <f t="shared" si="0"/>
        <v>150000</v>
      </c>
      <c r="H20" s="124"/>
      <c r="I20" s="192" t="s">
        <v>196</v>
      </c>
    </row>
    <row r="21" spans="1:9" s="42" customFormat="1" ht="17.25" customHeight="1">
      <c r="A21" s="192">
        <v>9</v>
      </c>
      <c r="B21" s="125" t="s">
        <v>272</v>
      </c>
      <c r="C21" s="200" t="s">
        <v>249</v>
      </c>
      <c r="D21" s="197"/>
      <c r="E21" s="183" t="s">
        <v>258</v>
      </c>
      <c r="F21" s="226">
        <v>150000</v>
      </c>
      <c r="G21" s="227">
        <f t="shared" si="0"/>
        <v>150000</v>
      </c>
      <c r="H21" s="124"/>
      <c r="I21" s="192" t="s">
        <v>196</v>
      </c>
    </row>
    <row r="22" spans="1:9" s="42" customFormat="1" ht="17.25" customHeight="1">
      <c r="A22" s="192">
        <v>10</v>
      </c>
      <c r="B22" s="125" t="s">
        <v>264</v>
      </c>
      <c r="C22" s="200" t="s">
        <v>260</v>
      </c>
      <c r="D22" s="197"/>
      <c r="E22" s="183" t="s">
        <v>259</v>
      </c>
      <c r="F22" s="226">
        <v>150000</v>
      </c>
      <c r="G22" s="227">
        <f>F22</f>
        <v>150000</v>
      </c>
      <c r="H22" s="124"/>
      <c r="I22" s="192" t="s">
        <v>196</v>
      </c>
    </row>
    <row r="23" spans="1:9" s="42" customFormat="1" ht="17.25" customHeight="1">
      <c r="A23" s="192">
        <v>11</v>
      </c>
      <c r="B23" s="223" t="s">
        <v>245</v>
      </c>
      <c r="C23" s="202" t="s">
        <v>36</v>
      </c>
      <c r="D23" s="196" t="s">
        <v>102</v>
      </c>
      <c r="E23" s="183" t="s">
        <v>263</v>
      </c>
      <c r="F23" s="226">
        <v>150000</v>
      </c>
      <c r="G23" s="227">
        <f t="shared" si="0"/>
        <v>150000</v>
      </c>
      <c r="H23" s="124"/>
      <c r="I23" s="192" t="s">
        <v>196</v>
      </c>
    </row>
    <row r="24" spans="1:9" s="42" customFormat="1" ht="17.25" customHeight="1">
      <c r="A24" s="192">
        <v>12</v>
      </c>
      <c r="B24" s="51" t="s">
        <v>267</v>
      </c>
      <c r="C24" s="202" t="s">
        <v>37</v>
      </c>
      <c r="D24" s="196" t="s">
        <v>103</v>
      </c>
      <c r="E24" s="182" t="s">
        <v>54</v>
      </c>
      <c r="F24" s="226">
        <v>150000</v>
      </c>
      <c r="G24" s="227">
        <f t="shared" si="0"/>
        <v>150000</v>
      </c>
      <c r="H24" s="124"/>
      <c r="I24" s="192" t="s">
        <v>196</v>
      </c>
    </row>
    <row r="25" spans="1:9" s="42" customFormat="1" ht="17.25" customHeight="1">
      <c r="A25" s="192">
        <v>13</v>
      </c>
      <c r="B25" s="51" t="s">
        <v>268</v>
      </c>
      <c r="C25" s="202" t="s">
        <v>38</v>
      </c>
      <c r="D25" s="196" t="s">
        <v>104</v>
      </c>
      <c r="E25" s="182" t="s">
        <v>54</v>
      </c>
      <c r="F25" s="226">
        <v>150000</v>
      </c>
      <c r="G25" s="227">
        <f t="shared" si="0"/>
        <v>150000</v>
      </c>
      <c r="H25" s="124"/>
      <c r="I25" s="192" t="s">
        <v>196</v>
      </c>
    </row>
    <row r="26" spans="1:9" s="42" customFormat="1" ht="17.25" customHeight="1">
      <c r="A26" s="192">
        <v>14</v>
      </c>
      <c r="B26" s="51" t="s">
        <v>269</v>
      </c>
      <c r="C26" s="202" t="s">
        <v>40</v>
      </c>
      <c r="D26" s="196" t="s">
        <v>106</v>
      </c>
      <c r="E26" s="182" t="s">
        <v>54</v>
      </c>
      <c r="F26" s="226">
        <v>150000</v>
      </c>
      <c r="G26" s="227">
        <f t="shared" si="0"/>
        <v>150000</v>
      </c>
      <c r="H26" s="124"/>
      <c r="I26" s="192" t="s">
        <v>196</v>
      </c>
    </row>
    <row r="27" spans="1:9" s="42" customFormat="1" ht="17.25" customHeight="1">
      <c r="A27" s="192">
        <v>15</v>
      </c>
      <c r="B27" s="51" t="s">
        <v>270</v>
      </c>
      <c r="C27" s="202" t="s">
        <v>39</v>
      </c>
      <c r="D27" s="196" t="s">
        <v>105</v>
      </c>
      <c r="E27" s="182" t="s">
        <v>54</v>
      </c>
      <c r="F27" s="226">
        <v>150000</v>
      </c>
      <c r="G27" s="227">
        <f t="shared" si="0"/>
        <v>150000</v>
      </c>
      <c r="H27" s="124"/>
      <c r="I27" s="192" t="s">
        <v>196</v>
      </c>
    </row>
    <row r="28" spans="1:9" s="42" customFormat="1" ht="17.25" customHeight="1">
      <c r="A28" s="192">
        <v>16</v>
      </c>
      <c r="B28" s="52" t="s">
        <v>271</v>
      </c>
      <c r="C28" s="203" t="s">
        <v>41</v>
      </c>
      <c r="D28" s="198" t="s">
        <v>107</v>
      </c>
      <c r="E28" s="184" t="s">
        <v>54</v>
      </c>
      <c r="F28" s="226">
        <v>150000</v>
      </c>
      <c r="G28" s="228">
        <f t="shared" si="0"/>
        <v>150000</v>
      </c>
      <c r="H28" s="194"/>
      <c r="I28" s="193" t="s">
        <v>196</v>
      </c>
    </row>
    <row r="29" spans="1:9" s="131" customFormat="1" ht="17.25" customHeight="1">
      <c r="A29" s="4577" t="s">
        <v>240</v>
      </c>
      <c r="B29" s="4587"/>
      <c r="C29" s="4578"/>
      <c r="D29" s="45"/>
      <c r="E29" s="45"/>
      <c r="F29" s="229">
        <f>ROUND(SUM(F13:F28),0)</f>
        <v>2400000</v>
      </c>
      <c r="G29" s="229">
        <f>ROUND(SUM(G13:G28),0)</f>
        <v>2400000</v>
      </c>
      <c r="H29" s="36"/>
      <c r="I29" s="36"/>
    </row>
    <row r="30" spans="1:9" s="38" customFormat="1" ht="15" customHeight="1">
      <c r="A30" s="4588" t="s">
        <v>262</v>
      </c>
      <c r="B30" s="4588"/>
      <c r="C30" s="4588"/>
      <c r="D30" s="4588"/>
      <c r="E30" s="4588"/>
      <c r="F30" s="4588"/>
      <c r="G30" s="4588"/>
      <c r="H30" s="4588"/>
      <c r="I30" s="4588"/>
    </row>
    <row r="31" spans="1:9" s="38" customFormat="1" ht="12" customHeight="1">
      <c r="A31" s="180"/>
      <c r="B31" s="180"/>
      <c r="C31" s="180"/>
      <c r="D31" s="180"/>
      <c r="E31" s="180"/>
      <c r="F31" s="180"/>
      <c r="G31" s="180"/>
      <c r="H31" s="180"/>
      <c r="I31" s="180"/>
    </row>
    <row r="32" spans="1:9" ht="18" customHeight="1">
      <c r="A32" s="18"/>
      <c r="B32" s="187"/>
      <c r="C32" s="180" t="s">
        <v>20</v>
      </c>
      <c r="D32" s="187"/>
      <c r="E32" s="2"/>
      <c r="F32" s="187"/>
      <c r="G32" s="4590" t="s">
        <v>21</v>
      </c>
      <c r="H32" s="4590"/>
      <c r="I32" s="189"/>
    </row>
    <row r="33" spans="1:9" ht="18" customHeight="1">
      <c r="A33" s="18"/>
      <c r="B33" s="187"/>
      <c r="C33" s="180"/>
      <c r="D33" s="187"/>
      <c r="E33" s="2"/>
      <c r="F33" s="187"/>
      <c r="G33" s="188"/>
      <c r="H33" s="189"/>
      <c r="I33" s="189"/>
    </row>
    <row r="34" spans="1:9" ht="18" customHeight="1">
      <c r="A34" s="18"/>
      <c r="B34" s="187"/>
      <c r="C34" s="180"/>
      <c r="D34" s="187"/>
      <c r="E34" s="2"/>
      <c r="F34" s="187"/>
      <c r="G34" s="188"/>
      <c r="H34" s="189"/>
      <c r="I34" s="189"/>
    </row>
    <row r="35" spans="1:9" s="9" customFormat="1">
      <c r="A35" s="187"/>
      <c r="B35" s="2"/>
      <c r="C35" s="2"/>
      <c r="D35" s="2"/>
      <c r="E35" s="55"/>
      <c r="F35" s="55"/>
      <c r="G35" s="4589"/>
      <c r="H35" s="4589"/>
      <c r="I35" s="2"/>
    </row>
    <row r="36" spans="1:9">
      <c r="A36" s="18"/>
      <c r="B36" s="187"/>
      <c r="C36" s="55"/>
      <c r="D36" s="187"/>
      <c r="E36" s="2"/>
      <c r="F36" s="187"/>
      <c r="G36" s="187"/>
      <c r="H36" s="187"/>
      <c r="I36" s="187"/>
    </row>
    <row r="37" spans="1:9">
      <c r="A37" s="18"/>
      <c r="B37" s="187"/>
      <c r="C37" s="190"/>
      <c r="D37" s="187"/>
      <c r="E37" s="2"/>
      <c r="F37" s="190"/>
      <c r="G37" s="4584" t="s">
        <v>34</v>
      </c>
      <c r="H37" s="4584"/>
      <c r="I37" s="187"/>
    </row>
    <row r="38" spans="1:9">
      <c r="A38" s="18"/>
      <c r="B38" s="187"/>
      <c r="C38" s="190"/>
      <c r="D38" s="187"/>
      <c r="E38" s="4575" t="s">
        <v>242</v>
      </c>
      <c r="F38" s="4575"/>
      <c r="G38" s="190"/>
      <c r="H38" s="187"/>
      <c r="I38" s="187"/>
    </row>
    <row r="39" spans="1:9">
      <c r="A39" s="4589" t="s">
        <v>84</v>
      </c>
      <c r="B39" s="4589"/>
      <c r="C39" s="4589"/>
      <c r="D39" s="187"/>
      <c r="E39" s="4589" t="s">
        <v>19</v>
      </c>
      <c r="F39" s="4589"/>
      <c r="G39" s="4584" t="s">
        <v>241</v>
      </c>
      <c r="H39" s="4584"/>
      <c r="I39" s="4584"/>
    </row>
    <row r="40" spans="1:9">
      <c r="C40" s="19"/>
      <c r="F40" s="19"/>
    </row>
    <row r="41" spans="1:9">
      <c r="C41" s="19"/>
      <c r="F41" s="20"/>
    </row>
    <row r="42" spans="1:9">
      <c r="F42" s="20"/>
    </row>
    <row r="43" spans="1:9">
      <c r="G43" s="4090"/>
      <c r="H43" s="4090"/>
      <c r="I43" s="67"/>
    </row>
    <row r="47" spans="1:9">
      <c r="G47" s="4094"/>
      <c r="H47" s="4094"/>
    </row>
  </sheetData>
  <mergeCells count="24">
    <mergeCell ref="G47:H47"/>
    <mergeCell ref="A29:C29"/>
    <mergeCell ref="A30:I30"/>
    <mergeCell ref="G35:H35"/>
    <mergeCell ref="G39:I39"/>
    <mergeCell ref="G32:H32"/>
    <mergeCell ref="G43:H43"/>
    <mergeCell ref="A39:C39"/>
    <mergeCell ref="E39:F39"/>
    <mergeCell ref="A1:I1"/>
    <mergeCell ref="A7:I7"/>
    <mergeCell ref="A5:I5"/>
    <mergeCell ref="E38:F38"/>
    <mergeCell ref="A6:H6"/>
    <mergeCell ref="A3:E3"/>
    <mergeCell ref="B9:C9"/>
    <mergeCell ref="A9:A10"/>
    <mergeCell ref="A2:I2"/>
    <mergeCell ref="I9:I10"/>
    <mergeCell ref="E9:E10"/>
    <mergeCell ref="D9:D10"/>
    <mergeCell ref="G37:H37"/>
    <mergeCell ref="G9:G10"/>
    <mergeCell ref="H9:H10"/>
  </mergeCells>
  <phoneticPr fontId="56" type="noConversion"/>
  <pageMargins left="0.39" right="0" top="0.26" bottom="0" header="0.23" footer="0.26"/>
  <pageSetup paperSize="9" fitToHeight="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27"/>
  <sheetViews>
    <sheetView workbookViewId="0">
      <selection activeCell="G12" sqref="G12"/>
    </sheetView>
  </sheetViews>
  <sheetFormatPr defaultColWidth="9.140625" defaultRowHeight="15.75"/>
  <cols>
    <col min="1" max="1" width="4.285156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9.85546875" style="33" customWidth="1"/>
    <col min="6" max="6" width="6.28515625" style="4" customWidth="1"/>
    <col min="7" max="7" width="13.285156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hidden="1" customWidth="1"/>
    <col min="19" max="19" width="12.7109375" style="4" bestFit="1" customWidth="1"/>
    <col min="20" max="20" width="15" style="4" bestFit="1" customWidth="1"/>
    <col min="21" max="16384" width="9.140625" style="4"/>
  </cols>
  <sheetData>
    <row r="1" spans="1:20" ht="16.5">
      <c r="A1" s="4339" t="s">
        <v>923</v>
      </c>
      <c r="B1" s="4521"/>
      <c r="C1" s="4521"/>
      <c r="D1" s="4521"/>
      <c r="E1" s="4521"/>
      <c r="F1" s="4521"/>
      <c r="G1" s="78"/>
      <c r="H1" s="79"/>
      <c r="I1" s="79"/>
      <c r="J1" s="79"/>
      <c r="K1" s="4521" t="s">
        <v>23</v>
      </c>
      <c r="L1" s="4521"/>
      <c r="M1" s="4521"/>
      <c r="N1" s="4521"/>
      <c r="O1" s="4521"/>
      <c r="P1" s="4521"/>
      <c r="Q1" s="4521"/>
      <c r="R1" s="1024"/>
    </row>
    <row r="2" spans="1:20" ht="17.25">
      <c r="A2" s="4139"/>
      <c r="B2" s="4171"/>
      <c r="C2" s="4171"/>
      <c r="D2" s="4171"/>
      <c r="E2" s="4171"/>
      <c r="F2" s="4171"/>
      <c r="G2" s="81"/>
      <c r="H2" s="82"/>
      <c r="I2" s="82"/>
      <c r="J2" s="82"/>
      <c r="K2" s="4171" t="s">
        <v>45</v>
      </c>
      <c r="L2" s="4171"/>
      <c r="M2" s="4171"/>
      <c r="N2" s="4171"/>
      <c r="O2" s="4171"/>
      <c r="P2" s="4171"/>
      <c r="Q2" s="4171"/>
      <c r="R2" s="1024"/>
    </row>
    <row r="3" spans="1:20" ht="10.5" customHeight="1">
      <c r="A3" s="1028"/>
      <c r="B3" s="1029"/>
      <c r="C3" s="1029"/>
      <c r="D3" s="1029"/>
      <c r="E3" s="83"/>
      <c r="F3" s="1028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1024"/>
    </row>
    <row r="4" spans="1:20" s="10" customFormat="1" ht="25.9" customHeight="1">
      <c r="A4" s="4331" t="s">
        <v>1098</v>
      </c>
      <c r="B4" s="4331"/>
      <c r="C4" s="4331"/>
      <c r="D4" s="4331"/>
      <c r="E4" s="4331"/>
      <c r="F4" s="4331"/>
      <c r="G4" s="4331"/>
      <c r="H4" s="4331"/>
      <c r="I4" s="4331"/>
      <c r="J4" s="4331"/>
      <c r="K4" s="4331"/>
      <c r="L4" s="4331"/>
      <c r="M4" s="4331"/>
      <c r="N4" s="4331"/>
      <c r="O4" s="4331"/>
      <c r="P4" s="4331"/>
      <c r="Q4" s="4331"/>
      <c r="R4" s="4331"/>
    </row>
    <row r="5" spans="1:20" s="10" customFormat="1" ht="30.75" customHeight="1">
      <c r="A5" s="4524" t="s">
        <v>91</v>
      </c>
      <c r="B5" s="4524"/>
      <c r="C5" s="4524"/>
      <c r="D5" s="4524"/>
      <c r="E5" s="4524"/>
      <c r="F5" s="4524"/>
      <c r="G5" s="4524"/>
      <c r="H5" s="4524"/>
      <c r="I5" s="4524"/>
      <c r="J5" s="4524"/>
      <c r="K5" s="4524"/>
      <c r="L5" s="4524"/>
      <c r="M5" s="4524"/>
      <c r="N5" s="4524"/>
      <c r="O5" s="4524"/>
      <c r="P5" s="4524"/>
      <c r="Q5" s="4524"/>
      <c r="R5" s="4524"/>
    </row>
    <row r="6" spans="1:20" s="44" customFormat="1" ht="17.25" customHeight="1">
      <c r="A6" s="4438" t="s">
        <v>0</v>
      </c>
      <c r="B6" s="4440" t="s">
        <v>1</v>
      </c>
      <c r="C6" s="4441"/>
      <c r="D6" s="4438" t="s">
        <v>64</v>
      </c>
      <c r="E6" s="4445" t="s">
        <v>2</v>
      </c>
      <c r="F6" s="4445" t="s">
        <v>3</v>
      </c>
      <c r="G6" s="4526" t="s">
        <v>56</v>
      </c>
      <c r="H6" s="4526"/>
      <c r="I6" s="4526"/>
      <c r="J6" s="4526"/>
      <c r="K6" s="4412" t="s">
        <v>5</v>
      </c>
      <c r="L6" s="4412" t="s">
        <v>6</v>
      </c>
      <c r="M6" s="4412" t="s">
        <v>7</v>
      </c>
      <c r="N6" s="4412" t="s">
        <v>8</v>
      </c>
      <c r="O6" s="4412" t="s">
        <v>78</v>
      </c>
      <c r="P6" s="4412" t="s">
        <v>9</v>
      </c>
      <c r="Q6" s="4523" t="s">
        <v>10</v>
      </c>
      <c r="R6" s="4438" t="s">
        <v>11</v>
      </c>
    </row>
    <row r="7" spans="1:20" s="44" customFormat="1" ht="12" customHeight="1">
      <c r="A7" s="4438"/>
      <c r="B7" s="4441"/>
      <c r="C7" s="4441"/>
      <c r="D7" s="4438"/>
      <c r="E7" s="4438"/>
      <c r="F7" s="4438"/>
      <c r="G7" s="4435" t="s">
        <v>12</v>
      </c>
      <c r="H7" s="4412" t="s">
        <v>94</v>
      </c>
      <c r="I7" s="4412" t="s">
        <v>13</v>
      </c>
      <c r="J7" s="4438" t="s">
        <v>14</v>
      </c>
      <c r="K7" s="4412"/>
      <c r="L7" s="4412"/>
      <c r="M7" s="4412"/>
      <c r="N7" s="4412"/>
      <c r="O7" s="4412"/>
      <c r="P7" s="4412"/>
      <c r="Q7" s="4523"/>
      <c r="R7" s="4355"/>
    </row>
    <row r="8" spans="1:20" s="42" customFormat="1" ht="30.75" customHeight="1">
      <c r="A8" s="4439"/>
      <c r="B8" s="1027" t="s">
        <v>15</v>
      </c>
      <c r="C8" s="1027" t="s">
        <v>16</v>
      </c>
      <c r="D8" s="4438"/>
      <c r="E8" s="4439"/>
      <c r="F8" s="4439"/>
      <c r="G8" s="4520"/>
      <c r="H8" s="4412"/>
      <c r="I8" s="4412"/>
      <c r="J8" s="4438"/>
      <c r="K8" s="4412"/>
      <c r="L8" s="4412"/>
      <c r="M8" s="4428"/>
      <c r="N8" s="4412"/>
      <c r="O8" s="4412"/>
      <c r="P8" s="4412"/>
      <c r="Q8" s="4523"/>
      <c r="R8" s="4355"/>
    </row>
    <row r="9" spans="1:20" s="41" customFormat="1" ht="48.75" customHeight="1">
      <c r="A9" s="841" t="s">
        <v>65</v>
      </c>
      <c r="B9" s="841" t="s">
        <v>66</v>
      </c>
      <c r="C9" s="841" t="s">
        <v>67</v>
      </c>
      <c r="D9" s="841" t="s">
        <v>116</v>
      </c>
      <c r="E9" s="841" t="s">
        <v>68</v>
      </c>
      <c r="F9" s="841" t="s">
        <v>114</v>
      </c>
      <c r="G9" s="841" t="s">
        <v>69</v>
      </c>
      <c r="H9" s="841" t="s">
        <v>70</v>
      </c>
      <c r="I9" s="841" t="s">
        <v>71</v>
      </c>
      <c r="J9" s="841" t="s">
        <v>72</v>
      </c>
      <c r="K9" s="841" t="s">
        <v>113</v>
      </c>
      <c r="L9" s="841" t="s">
        <v>73</v>
      </c>
      <c r="M9" s="841" t="s">
        <v>74</v>
      </c>
      <c r="N9" s="841" t="s">
        <v>75</v>
      </c>
      <c r="O9" s="841" t="s">
        <v>79</v>
      </c>
      <c r="P9" s="841" t="s">
        <v>76</v>
      </c>
      <c r="Q9" s="841" t="s">
        <v>77</v>
      </c>
      <c r="R9" s="841" t="s">
        <v>115</v>
      </c>
    </row>
    <row r="10" spans="1:20" s="42" customFormat="1" ht="12" hidden="1">
      <c r="A10" s="1026">
        <v>1</v>
      </c>
      <c r="B10" s="1027">
        <v>2</v>
      </c>
      <c r="C10" s="1026">
        <v>3</v>
      </c>
      <c r="D10" s="1027">
        <v>4</v>
      </c>
      <c r="E10" s="1026">
        <v>5</v>
      </c>
      <c r="F10" s="1027">
        <v>6</v>
      </c>
      <c r="G10" s="1026">
        <v>7</v>
      </c>
      <c r="H10" s="1027">
        <v>8</v>
      </c>
      <c r="I10" s="1026">
        <v>9</v>
      </c>
      <c r="J10" s="1027">
        <v>10</v>
      </c>
      <c r="K10" s="1027">
        <v>12</v>
      </c>
      <c r="L10" s="1026">
        <v>13</v>
      </c>
      <c r="M10" s="1027">
        <v>14</v>
      </c>
      <c r="N10" s="1026">
        <v>15</v>
      </c>
      <c r="O10" s="1027">
        <v>16</v>
      </c>
      <c r="P10" s="1026">
        <v>17</v>
      </c>
      <c r="Q10" s="1027">
        <v>18</v>
      </c>
      <c r="R10" s="1026">
        <v>19</v>
      </c>
    </row>
    <row r="11" spans="1:20" s="42" customFormat="1" ht="16.5" customHeight="1">
      <c r="A11" s="671">
        <v>1</v>
      </c>
      <c r="B11" s="678"/>
      <c r="C11" s="217" t="s">
        <v>1100</v>
      </c>
      <c r="D11" s="678"/>
      <c r="E11" s="679" t="s">
        <v>118</v>
      </c>
      <c r="F11" s="670" t="s">
        <v>119</v>
      </c>
      <c r="G11" s="680">
        <v>0</v>
      </c>
      <c r="H11" s="672">
        <v>25000</v>
      </c>
      <c r="I11" s="672" t="s">
        <v>81</v>
      </c>
      <c r="J11" s="673">
        <f>G11*H11</f>
        <v>0</v>
      </c>
      <c r="K11" s="673">
        <f>J11</f>
        <v>0</v>
      </c>
      <c r="L11" s="681"/>
      <c r="M11" s="673">
        <f>K11-L11</f>
        <v>0</v>
      </c>
      <c r="N11" s="681"/>
      <c r="O11" s="678"/>
      <c r="P11" s="674">
        <f>M11-N11-O11</f>
        <v>0</v>
      </c>
      <c r="Q11" s="678"/>
      <c r="R11" s="671" t="s">
        <v>18</v>
      </c>
    </row>
    <row r="12" spans="1:20" s="131" customFormat="1" ht="16.5" customHeight="1">
      <c r="A12" s="4440" t="s">
        <v>198</v>
      </c>
      <c r="B12" s="4440"/>
      <c r="C12" s="4440"/>
      <c r="D12" s="1027"/>
      <c r="E12" s="1027"/>
      <c r="F12" s="1027"/>
      <c r="G12" s="842">
        <f>SUM(G11:G11)</f>
        <v>0</v>
      </c>
      <c r="H12" s="302">
        <v>25000</v>
      </c>
      <c r="I12" s="842" t="s">
        <v>203</v>
      </c>
      <c r="J12" s="302">
        <f t="shared" ref="J12:P12" si="0">SUM(J11:J11)</f>
        <v>0</v>
      </c>
      <c r="K12" s="302">
        <f t="shared" si="0"/>
        <v>0</v>
      </c>
      <c r="L12" s="302">
        <f t="shared" si="0"/>
        <v>0</v>
      </c>
      <c r="M12" s="302">
        <f t="shared" si="0"/>
        <v>0</v>
      </c>
      <c r="N12" s="302">
        <f t="shared" si="0"/>
        <v>0</v>
      </c>
      <c r="O12" s="302">
        <f t="shared" si="0"/>
        <v>0</v>
      </c>
      <c r="P12" s="302">
        <f t="shared" si="0"/>
        <v>0</v>
      </c>
      <c r="Q12" s="302"/>
      <c r="R12" s="302"/>
      <c r="S12" s="130"/>
      <c r="T12" s="130"/>
    </row>
    <row r="13" spans="1:20" s="38" customFormat="1" ht="22.5" customHeight="1">
      <c r="A13" s="4591" t="s">
        <v>1099</v>
      </c>
      <c r="B13" s="4591"/>
      <c r="C13" s="4591"/>
      <c r="D13" s="4591"/>
      <c r="E13" s="4591"/>
      <c r="F13" s="4591"/>
      <c r="G13" s="4591"/>
      <c r="H13" s="4591"/>
      <c r="I13" s="4591"/>
      <c r="J13" s="4591"/>
      <c r="K13" s="4591"/>
      <c r="L13" s="4591"/>
      <c r="M13" s="4591"/>
      <c r="N13" s="4591"/>
      <c r="O13" s="4591"/>
      <c r="P13" s="4591"/>
      <c r="Q13" s="4591"/>
      <c r="R13" s="4591"/>
      <c r="S13" s="39"/>
      <c r="T13" s="39"/>
    </row>
    <row r="14" spans="1:20" ht="18" customHeight="1">
      <c r="C14" s="75"/>
      <c r="E14" s="662"/>
      <c r="G14" s="115"/>
      <c r="K14" s="19"/>
      <c r="L14" s="19"/>
      <c r="M14" s="19"/>
      <c r="N14" s="4525" t="s">
        <v>1097</v>
      </c>
      <c r="O14" s="4525"/>
      <c r="P14" s="4525"/>
      <c r="Q14" s="4525"/>
      <c r="R14" s="4525"/>
      <c r="S14" s="6"/>
      <c r="T14" s="40"/>
    </row>
    <row r="15" spans="1:20" s="9" customFormat="1">
      <c r="A15" s="4571" t="s">
        <v>19</v>
      </c>
      <c r="B15" s="4571"/>
      <c r="C15" s="4571"/>
      <c r="D15" s="4571"/>
      <c r="E15" s="669"/>
      <c r="F15" s="1"/>
      <c r="G15" s="4090" t="s">
        <v>495</v>
      </c>
      <c r="H15" s="4090"/>
      <c r="I15" s="4090"/>
      <c r="J15" s="4090"/>
      <c r="K15" s="4090" t="s">
        <v>20</v>
      </c>
      <c r="L15" s="4090"/>
      <c r="M15" s="4090"/>
      <c r="N15" s="4090"/>
      <c r="O15" s="4090" t="s">
        <v>21</v>
      </c>
      <c r="P15" s="4090"/>
      <c r="Q15" s="4090"/>
      <c r="R15" s="1"/>
      <c r="T15" s="853"/>
    </row>
    <row r="16" spans="1:20">
      <c r="C16" s="1025"/>
      <c r="G16" s="765"/>
      <c r="M16" s="19"/>
      <c r="S16" s="19"/>
      <c r="T16" s="115"/>
    </row>
    <row r="17" spans="3:20">
      <c r="C17" s="19"/>
      <c r="G17" s="765"/>
      <c r="H17" s="20"/>
      <c r="I17" s="4"/>
      <c r="K17" s="19"/>
      <c r="L17" s="19"/>
      <c r="M17" s="19"/>
      <c r="N17" s="19"/>
      <c r="O17" s="19"/>
      <c r="P17" s="19"/>
    </row>
    <row r="18" spans="3:20">
      <c r="C18" s="19"/>
      <c r="G18" s="115"/>
      <c r="H18" s="20"/>
      <c r="I18" s="4"/>
      <c r="K18" s="19"/>
      <c r="L18" s="19"/>
      <c r="M18" s="19"/>
      <c r="N18" s="19"/>
      <c r="O18" s="19"/>
      <c r="P18" s="19"/>
    </row>
    <row r="19" spans="3:20">
      <c r="C19" s="19"/>
      <c r="G19" s="115"/>
      <c r="I19" s="4"/>
      <c r="J19" s="115"/>
      <c r="K19" s="19"/>
      <c r="L19" s="19"/>
      <c r="M19" s="19"/>
      <c r="N19" s="19"/>
      <c r="O19" s="19"/>
      <c r="P19" s="19"/>
    </row>
    <row r="20" spans="3:20">
      <c r="C20" s="19"/>
      <c r="G20" s="115"/>
      <c r="I20" s="4"/>
      <c r="K20" s="19"/>
      <c r="L20" s="19"/>
      <c r="M20" s="19"/>
      <c r="N20" s="19"/>
      <c r="O20" s="19"/>
      <c r="T20" s="19"/>
    </row>
    <row r="21" spans="3:20">
      <c r="C21" s="19"/>
      <c r="G21" s="115"/>
      <c r="I21" s="4"/>
      <c r="K21" s="1030"/>
      <c r="L21" s="19"/>
      <c r="M21" s="19"/>
      <c r="N21" s="19"/>
      <c r="O21" s="19"/>
    </row>
    <row r="22" spans="3:20">
      <c r="I22" s="4"/>
      <c r="K22" s="19"/>
      <c r="L22" s="19"/>
      <c r="M22" s="19"/>
      <c r="N22" s="19"/>
      <c r="O22" s="19"/>
    </row>
    <row r="23" spans="3:20">
      <c r="K23" s="4090"/>
      <c r="L23" s="4090"/>
      <c r="M23" s="4090"/>
      <c r="N23" s="4090"/>
      <c r="O23" s="4090"/>
      <c r="P23" s="4090"/>
      <c r="Q23" s="4090"/>
      <c r="R23" s="67"/>
    </row>
    <row r="25" spans="3:20">
      <c r="G25" s="8"/>
      <c r="J25" s="128"/>
    </row>
    <row r="27" spans="3:20">
      <c r="P27" s="4094"/>
      <c r="Q27" s="4094"/>
    </row>
  </sheetData>
  <mergeCells count="34">
    <mergeCell ref="K23:N23"/>
    <mergeCell ref="O23:Q23"/>
    <mergeCell ref="P27:Q27"/>
    <mergeCell ref="A12:C12"/>
    <mergeCell ref="A13:R13"/>
    <mergeCell ref="N14:R14"/>
    <mergeCell ref="A15:D15"/>
    <mergeCell ref="G15:J15"/>
    <mergeCell ref="K15:N15"/>
    <mergeCell ref="O15:Q15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A6:A8"/>
    <mergeCell ref="B6:C7"/>
    <mergeCell ref="D6:D8"/>
    <mergeCell ref="E6:E8"/>
    <mergeCell ref="F6:F8"/>
    <mergeCell ref="A5:R5"/>
    <mergeCell ref="A1:F1"/>
    <mergeCell ref="K1:Q1"/>
    <mergeCell ref="A2:F2"/>
    <mergeCell ref="K2:Q2"/>
    <mergeCell ref="A4:R4"/>
  </mergeCells>
  <pageMargins left="0.44" right="0" top="0.5" bottom="0" header="0.23" footer="0.5"/>
  <pageSetup paperSize="9" scale="85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7"/>
  <sheetViews>
    <sheetView topLeftCell="A4" workbookViewId="0">
      <selection activeCell="A22" sqref="A22:E22"/>
    </sheetView>
  </sheetViews>
  <sheetFormatPr defaultRowHeight="12.75"/>
  <cols>
    <col min="1" max="1" width="6.140625" customWidth="1"/>
    <col min="2" max="3" width="0" hidden="1" customWidth="1"/>
    <col min="4" max="4" width="21.7109375" customWidth="1"/>
    <col min="5" max="5" width="10.5703125" customWidth="1"/>
    <col min="6" max="6" width="15.5703125" customWidth="1"/>
    <col min="7" max="7" width="22.28515625" customWidth="1"/>
    <col min="8" max="8" width="22.140625" customWidth="1"/>
    <col min="14" max="14" width="14" bestFit="1" customWidth="1"/>
  </cols>
  <sheetData>
    <row r="1" spans="1:8" ht="16.5">
      <c r="A1" s="4593" t="s">
        <v>23</v>
      </c>
      <c r="B1" s="4593"/>
      <c r="C1" s="4593"/>
      <c r="D1" s="4593"/>
      <c r="E1" s="4593"/>
      <c r="F1" s="4593"/>
      <c r="G1" s="4593"/>
      <c r="H1" s="4593"/>
    </row>
    <row r="2" spans="1:8" ht="16.5">
      <c r="A2" s="4593" t="s">
        <v>170</v>
      </c>
      <c r="B2" s="4593"/>
      <c r="C2" s="4593"/>
      <c r="D2" s="4593"/>
      <c r="E2" s="4593"/>
      <c r="F2" s="4593"/>
      <c r="G2" s="4593"/>
      <c r="H2" s="4593"/>
    </row>
    <row r="3" spans="1:8" ht="16.5">
      <c r="A3" s="4594" t="s">
        <v>1308</v>
      </c>
      <c r="B3" s="4593"/>
      <c r="C3" s="4593"/>
      <c r="D3" s="4593"/>
      <c r="E3" s="4593"/>
      <c r="F3" s="4593"/>
      <c r="G3" s="4593"/>
      <c r="H3" s="4593"/>
    </row>
    <row r="4" spans="1:8" ht="16.5">
      <c r="A4" s="2589"/>
      <c r="B4" s="2590"/>
      <c r="C4" s="2590"/>
      <c r="D4" s="2590"/>
      <c r="E4" s="2590"/>
      <c r="F4" s="2590"/>
      <c r="G4" s="2590"/>
      <c r="H4" s="2590"/>
    </row>
    <row r="5" spans="1:8" ht="15.75">
      <c r="A5" s="4595" t="s">
        <v>922</v>
      </c>
      <c r="B5" s="4595"/>
      <c r="C5" s="4595"/>
      <c r="D5" s="4595"/>
      <c r="E5" s="4595"/>
      <c r="F5" s="4595"/>
      <c r="G5" s="2591"/>
      <c r="H5" s="2592"/>
    </row>
    <row r="6" spans="1:8" ht="16.5">
      <c r="A6" s="4596" t="s">
        <v>1661</v>
      </c>
      <c r="B6" s="4596"/>
      <c r="C6" s="4596"/>
      <c r="D6" s="4596"/>
      <c r="E6" s="4596"/>
      <c r="F6" s="4596"/>
      <c r="G6" s="2593"/>
      <c r="H6" s="2592"/>
    </row>
    <row r="7" spans="1:8" ht="16.5">
      <c r="A7" s="2594"/>
      <c r="B7" s="2594"/>
      <c r="C7" s="2594"/>
      <c r="D7" s="2594"/>
      <c r="E7" s="2594"/>
      <c r="F7" s="2594"/>
      <c r="G7" s="2594"/>
      <c r="H7" s="2592"/>
    </row>
    <row r="8" spans="1:8" ht="40.5" customHeight="1">
      <c r="A8" s="4592" t="s">
        <v>1606</v>
      </c>
      <c r="B8" s="4592"/>
      <c r="C8" s="4592"/>
      <c r="D8" s="4592"/>
      <c r="E8" s="4592"/>
      <c r="F8" s="4592"/>
      <c r="G8" s="4592"/>
      <c r="H8" s="4592"/>
    </row>
    <row r="9" spans="1:8" ht="19.5">
      <c r="A9" s="4600"/>
      <c r="B9" s="4600"/>
      <c r="C9" s="4600"/>
      <c r="D9" s="4600"/>
      <c r="E9" s="4600"/>
      <c r="F9" s="4600"/>
      <c r="G9" s="4600"/>
      <c r="H9" s="2595"/>
    </row>
    <row r="10" spans="1:8" ht="49.5">
      <c r="A10" s="3417" t="s">
        <v>0</v>
      </c>
      <c r="B10" s="2596" t="s">
        <v>1607</v>
      </c>
      <c r="C10" s="2597"/>
      <c r="D10" s="2597" t="s">
        <v>1608</v>
      </c>
      <c r="E10" s="2597" t="s">
        <v>46</v>
      </c>
      <c r="F10" s="2596" t="s">
        <v>1609</v>
      </c>
      <c r="G10" s="2596" t="s">
        <v>1610</v>
      </c>
      <c r="H10" s="2598" t="s">
        <v>92</v>
      </c>
    </row>
    <row r="11" spans="1:8" ht="19.5" customHeight="1">
      <c r="A11" s="2600">
        <v>1</v>
      </c>
      <c r="B11" s="2601"/>
      <c r="C11" s="2601"/>
      <c r="D11" s="2612" t="s">
        <v>1993</v>
      </c>
      <c r="E11" s="2601" t="s">
        <v>167</v>
      </c>
      <c r="F11" s="2603">
        <v>300000</v>
      </c>
      <c r="G11" s="2604"/>
      <c r="H11" s="2605"/>
    </row>
    <row r="12" spans="1:8" ht="19.5" customHeight="1">
      <c r="A12" s="2600">
        <v>2</v>
      </c>
      <c r="B12" s="2601"/>
      <c r="C12" s="2601"/>
      <c r="D12" s="2613" t="s">
        <v>1994</v>
      </c>
      <c r="E12" s="2601" t="s">
        <v>167</v>
      </c>
      <c r="F12" s="2603">
        <v>300000</v>
      </c>
      <c r="G12" s="2604"/>
      <c r="H12" s="2605"/>
    </row>
    <row r="13" spans="1:8" ht="19.5" customHeight="1">
      <c r="A13" s="2600">
        <v>3</v>
      </c>
      <c r="B13" s="2601"/>
      <c r="C13" s="2601"/>
      <c r="D13" s="2612" t="s">
        <v>1995</v>
      </c>
      <c r="E13" s="2601" t="s">
        <v>167</v>
      </c>
      <c r="F13" s="2603">
        <v>300000</v>
      </c>
      <c r="G13" s="2604"/>
      <c r="H13" s="2605"/>
    </row>
    <row r="14" spans="1:8" ht="19.5" customHeight="1">
      <c r="A14" s="2600">
        <v>4</v>
      </c>
      <c r="B14" s="2601"/>
      <c r="C14" s="2601"/>
      <c r="D14" s="2602" t="s">
        <v>2019</v>
      </c>
      <c r="E14" s="2601" t="s">
        <v>167</v>
      </c>
      <c r="F14" s="2603">
        <v>300000</v>
      </c>
      <c r="G14" s="2604"/>
      <c r="H14" s="2605"/>
    </row>
    <row r="15" spans="1:8" ht="19.5" customHeight="1">
      <c r="A15" s="2600">
        <v>5</v>
      </c>
      <c r="B15" s="2601"/>
      <c r="C15" s="2601"/>
      <c r="D15" s="2602" t="s">
        <v>1996</v>
      </c>
      <c r="E15" s="2601" t="s">
        <v>167</v>
      </c>
      <c r="F15" s="2603">
        <v>300000</v>
      </c>
      <c r="G15" s="2604"/>
      <c r="H15" s="2605"/>
    </row>
    <row r="16" spans="1:8" ht="19.5" customHeight="1">
      <c r="A16" s="2600">
        <v>6</v>
      </c>
      <c r="B16" s="2601"/>
      <c r="C16" s="2601"/>
      <c r="D16" s="2602" t="s">
        <v>2020</v>
      </c>
      <c r="E16" s="2601" t="s">
        <v>167</v>
      </c>
      <c r="F16" s="2603">
        <v>300000</v>
      </c>
      <c r="G16" s="2604"/>
      <c r="H16" s="2605"/>
    </row>
    <row r="17" spans="1:8" ht="19.5" customHeight="1">
      <c r="A17" s="2600">
        <v>7</v>
      </c>
      <c r="B17" s="2601"/>
      <c r="C17" s="2601"/>
      <c r="D17" s="2602" t="s">
        <v>1997</v>
      </c>
      <c r="E17" s="2601" t="s">
        <v>167</v>
      </c>
      <c r="F17" s="2603">
        <v>300000</v>
      </c>
      <c r="G17" s="2604"/>
      <c r="H17" s="2605"/>
    </row>
    <row r="18" spans="1:8" ht="19.5" customHeight="1">
      <c r="A18" s="2600">
        <v>8</v>
      </c>
      <c r="B18" s="2601"/>
      <c r="C18" s="2601"/>
      <c r="D18" s="2602" t="s">
        <v>1998</v>
      </c>
      <c r="E18" s="2601" t="s">
        <v>167</v>
      </c>
      <c r="F18" s="2603">
        <v>300000</v>
      </c>
      <c r="G18" s="2604"/>
      <c r="H18" s="2605"/>
    </row>
    <row r="19" spans="1:8" ht="19.5" customHeight="1">
      <c r="A19" s="2600">
        <v>9</v>
      </c>
      <c r="B19" s="2601"/>
      <c r="C19" s="2601"/>
      <c r="D19" s="2602" t="s">
        <v>1999</v>
      </c>
      <c r="E19" s="2601" t="s">
        <v>167</v>
      </c>
      <c r="F19" s="2603">
        <v>300000</v>
      </c>
      <c r="G19" s="2604"/>
      <c r="H19" s="2605"/>
    </row>
    <row r="20" spans="1:8" ht="19.5" customHeight="1">
      <c r="A20" s="2600">
        <v>10</v>
      </c>
      <c r="B20" s="2601"/>
      <c r="C20" s="2601"/>
      <c r="D20" s="2602" t="s">
        <v>2000</v>
      </c>
      <c r="E20" s="2601" t="s">
        <v>167</v>
      </c>
      <c r="F20" s="2603">
        <v>300000</v>
      </c>
      <c r="G20" s="2604"/>
      <c r="H20" s="2605"/>
    </row>
    <row r="21" spans="1:8" ht="19.5" customHeight="1">
      <c r="A21" s="2600">
        <v>11</v>
      </c>
      <c r="B21" s="2601"/>
      <c r="C21" s="2601"/>
      <c r="D21" s="2602" t="s">
        <v>2001</v>
      </c>
      <c r="E21" s="2601" t="s">
        <v>167</v>
      </c>
      <c r="F21" s="2603">
        <v>300000</v>
      </c>
      <c r="G21" s="2604"/>
      <c r="H21" s="2605"/>
    </row>
    <row r="22" spans="1:8" ht="19.5" customHeight="1">
      <c r="A22" s="4601" t="s">
        <v>61</v>
      </c>
      <c r="B22" s="4602"/>
      <c r="C22" s="4602"/>
      <c r="D22" s="4602"/>
      <c r="E22" s="4603"/>
      <c r="F22" s="2607">
        <f>SUM(F11:F21)</f>
        <v>3300000</v>
      </c>
      <c r="G22" s="2608"/>
      <c r="H22" s="2608"/>
    </row>
    <row r="23" spans="1:8" ht="19.5" customHeight="1">
      <c r="A23" s="4604" t="s">
        <v>2010</v>
      </c>
      <c r="B23" s="4605"/>
      <c r="C23" s="4605"/>
      <c r="D23" s="4605"/>
      <c r="E23" s="4605"/>
      <c r="F23" s="4605"/>
      <c r="G23" s="4605"/>
      <c r="H23" s="4606"/>
    </row>
    <row r="24" spans="1:8" ht="16.5">
      <c r="A24" s="2609"/>
      <c r="B24" s="2609"/>
      <c r="C24" s="2609"/>
      <c r="D24" s="2609"/>
      <c r="E24" s="2609"/>
      <c r="F24" s="2609"/>
      <c r="G24" s="2609"/>
      <c r="H24" s="2609"/>
    </row>
    <row r="25" spans="1:8" ht="16.5">
      <c r="A25" s="4597" t="s">
        <v>2018</v>
      </c>
      <c r="B25" s="4597"/>
      <c r="C25" s="4597"/>
      <c r="D25" s="4597"/>
      <c r="E25" s="4597"/>
      <c r="F25" s="4597"/>
      <c r="G25" s="4597"/>
      <c r="H25" s="4597"/>
    </row>
    <row r="26" spans="1:8" ht="16.5">
      <c r="A26" s="4598" t="s">
        <v>1612</v>
      </c>
      <c r="B26" s="4598"/>
      <c r="C26" s="4598"/>
      <c r="D26" s="4598"/>
      <c r="E26" s="4598"/>
      <c r="F26" s="4598"/>
      <c r="G26" s="4598"/>
      <c r="H26" s="4598"/>
    </row>
    <row r="36" spans="1:8" ht="16.5">
      <c r="A36" s="4599" t="s">
        <v>1613</v>
      </c>
      <c r="B36" s="4599"/>
      <c r="C36" s="4599"/>
      <c r="D36" s="4599"/>
      <c r="E36" s="4599"/>
      <c r="F36" s="4599"/>
      <c r="G36" s="4599"/>
      <c r="H36" s="4599"/>
    </row>
    <row r="55" spans="11:14">
      <c r="K55" s="2368" t="s">
        <v>1604</v>
      </c>
      <c r="L55">
        <f>9+8+32+96+60+12</f>
        <v>217</v>
      </c>
    </row>
    <row r="56" spans="11:14">
      <c r="K56" s="2368" t="s">
        <v>1605</v>
      </c>
      <c r="L56">
        <f>31+36</f>
        <v>67</v>
      </c>
    </row>
    <row r="57" spans="11:14">
      <c r="L57">
        <f>+L55+L56</f>
        <v>284</v>
      </c>
      <c r="M57">
        <f>+L57/4</f>
        <v>71</v>
      </c>
      <c r="N57" s="2614">
        <f>+M57*300000</f>
        <v>21300000</v>
      </c>
    </row>
  </sheetData>
  <mergeCells count="12">
    <mergeCell ref="A25:H25"/>
    <mergeCell ref="A26:H26"/>
    <mergeCell ref="A36:H36"/>
    <mergeCell ref="A9:G9"/>
    <mergeCell ref="A22:E22"/>
    <mergeCell ref="A23:H23"/>
    <mergeCell ref="A8:H8"/>
    <mergeCell ref="A1:H1"/>
    <mergeCell ref="A2:H2"/>
    <mergeCell ref="A3:H3"/>
    <mergeCell ref="A5:F5"/>
    <mergeCell ref="A6:F6"/>
  </mergeCells>
  <pageMargins left="0.35433070866141736" right="0.23622047244094491" top="0.74803149606299213" bottom="0.39370078740157483" header="0.31496062992125984" footer="0.31496062992125984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51"/>
  <sheetViews>
    <sheetView topLeftCell="A215" workbookViewId="0">
      <selection activeCell="L224" sqref="L224"/>
    </sheetView>
  </sheetViews>
  <sheetFormatPr defaultRowHeight="12.75"/>
  <cols>
    <col min="1" max="1" width="5.7109375" customWidth="1"/>
    <col min="2" max="2" width="23.85546875" customWidth="1"/>
    <col min="3" max="3" width="10.5703125" customWidth="1"/>
    <col min="4" max="4" width="9.5703125" customWidth="1"/>
    <col min="5" max="5" width="11.5703125" customWidth="1"/>
    <col min="6" max="6" width="15.85546875" customWidth="1"/>
    <col min="7" max="7" width="17.28515625" customWidth="1"/>
    <col min="13" max="13" width="14" bestFit="1" customWidth="1"/>
  </cols>
  <sheetData>
    <row r="1" spans="1:7" ht="16.5">
      <c r="A1" s="4593" t="s">
        <v>23</v>
      </c>
      <c r="B1" s="4593"/>
      <c r="C1" s="4593"/>
      <c r="D1" s="4593"/>
      <c r="E1" s="4593"/>
      <c r="F1" s="4593"/>
      <c r="G1" s="4593"/>
    </row>
    <row r="2" spans="1:7" ht="16.5">
      <c r="A2" s="4593" t="s">
        <v>170</v>
      </c>
      <c r="B2" s="4593"/>
      <c r="C2" s="4593"/>
      <c r="D2" s="4593"/>
      <c r="E2" s="4593"/>
      <c r="F2" s="4593"/>
      <c r="G2" s="4593"/>
    </row>
    <row r="3" spans="1:7" ht="16.5">
      <c r="A3" s="4594" t="s">
        <v>1308</v>
      </c>
      <c r="B3" s="4593"/>
      <c r="C3" s="4593"/>
      <c r="D3" s="4593"/>
      <c r="E3" s="4593"/>
      <c r="F3" s="4593"/>
      <c r="G3" s="4593"/>
    </row>
    <row r="4" spans="1:7" ht="16.5">
      <c r="A4" s="2589"/>
      <c r="B4" s="2590"/>
      <c r="C4" s="2590"/>
      <c r="D4" s="2590"/>
      <c r="E4" s="2590"/>
      <c r="F4" s="2590"/>
      <c r="G4" s="2590"/>
    </row>
    <row r="5" spans="1:7" ht="15.75">
      <c r="A5" s="4608" t="s">
        <v>922</v>
      </c>
      <c r="B5" s="4608"/>
      <c r="C5" s="4608"/>
      <c r="D5" s="4608"/>
      <c r="E5" s="4608"/>
      <c r="F5" s="2591"/>
      <c r="G5" s="2592"/>
    </row>
    <row r="6" spans="1:7" ht="16.5">
      <c r="A6" s="4596" t="s">
        <v>1602</v>
      </c>
      <c r="B6" s="4596"/>
      <c r="C6" s="4596"/>
      <c r="D6" s="4596"/>
      <c r="E6" s="4596"/>
      <c r="F6" s="2593"/>
      <c r="G6" s="2592"/>
    </row>
    <row r="7" spans="1:7" ht="16.5">
      <c r="A7" s="2594"/>
      <c r="B7" s="2594"/>
      <c r="C7" s="2594"/>
      <c r="D7" s="2594"/>
      <c r="E7" s="2594"/>
      <c r="F7" s="2594"/>
      <c r="G7" s="2592"/>
    </row>
    <row r="8" spans="1:7" ht="51" customHeight="1">
      <c r="A8" s="4607" t="s">
        <v>1638</v>
      </c>
      <c r="B8" s="4607"/>
      <c r="C8" s="4607"/>
      <c r="D8" s="4607"/>
      <c r="E8" s="4607"/>
      <c r="F8" s="4607"/>
      <c r="G8" s="4607"/>
    </row>
    <row r="9" spans="1:7" ht="19.5">
      <c r="A9" s="4600"/>
      <c r="B9" s="4600"/>
      <c r="C9" s="4600"/>
      <c r="D9" s="4600"/>
      <c r="E9" s="4600"/>
      <c r="F9" s="4600"/>
      <c r="G9" s="2595"/>
    </row>
    <row r="10" spans="1:7" ht="49.5">
      <c r="A10" s="2677" t="s">
        <v>0</v>
      </c>
      <c r="B10" s="2661" t="s">
        <v>1608</v>
      </c>
      <c r="C10" s="2661" t="s">
        <v>46</v>
      </c>
      <c r="D10" s="2662" t="s">
        <v>1641</v>
      </c>
      <c r="E10" s="2596" t="s">
        <v>1639</v>
      </c>
      <c r="F10" s="2596" t="s">
        <v>1640</v>
      </c>
      <c r="G10" s="2598" t="s">
        <v>10</v>
      </c>
    </row>
    <row r="11" spans="1:7" ht="16.5">
      <c r="A11" s="4609" t="s">
        <v>1611</v>
      </c>
      <c r="B11" s="4609"/>
      <c r="C11" s="4609"/>
      <c r="D11" s="2610">
        <f>+SUM(D12:D96)</f>
        <v>595</v>
      </c>
      <c r="E11" s="2599"/>
      <c r="F11" s="2599">
        <f>+SUM(F12:F96)</f>
        <v>17850000</v>
      </c>
      <c r="G11" s="2599"/>
    </row>
    <row r="12" spans="1:7" ht="26.25" customHeight="1">
      <c r="A12" s="2679">
        <v>1</v>
      </c>
      <c r="B12" s="2664" t="s">
        <v>1557</v>
      </c>
      <c r="C12" s="2663" t="s">
        <v>167</v>
      </c>
      <c r="D12" s="2663">
        <f>+VLOOKUP(B12,Sheet9!B12:AF45,31,0)</f>
        <v>8</v>
      </c>
      <c r="E12" s="2665">
        <v>30000</v>
      </c>
      <c r="F12" s="2666">
        <f>+D12*E12</f>
        <v>240000</v>
      </c>
      <c r="G12" s="2667"/>
    </row>
    <row r="13" spans="1:7" ht="26.25" customHeight="1">
      <c r="A13" s="2682">
        <v>2</v>
      </c>
      <c r="B13" s="2669" t="s">
        <v>2169</v>
      </c>
      <c r="C13" s="2668" t="s">
        <v>167</v>
      </c>
      <c r="D13" s="2668">
        <f>+VLOOKUP(B13,Sheet9!B13:AF46,31,0)</f>
        <v>9</v>
      </c>
      <c r="E13" s="2670">
        <v>30000</v>
      </c>
      <c r="F13" s="2671">
        <f t="shared" ref="F13:F96" si="0">+D13*E13</f>
        <v>270000</v>
      </c>
      <c r="G13" s="2672"/>
    </row>
    <row r="14" spans="1:7" ht="26.25" customHeight="1">
      <c r="A14" s="2682">
        <v>3</v>
      </c>
      <c r="B14" s="2673" t="s">
        <v>2170</v>
      </c>
      <c r="C14" s="2668" t="s">
        <v>167</v>
      </c>
      <c r="D14" s="2668">
        <f>+VLOOKUP(B14,Sheet9!B14:AF47,31,0)</f>
        <v>8</v>
      </c>
      <c r="E14" s="2670">
        <v>30000</v>
      </c>
      <c r="F14" s="2671">
        <f t="shared" si="0"/>
        <v>240000</v>
      </c>
      <c r="G14" s="2672"/>
    </row>
    <row r="15" spans="1:7" ht="26.25" customHeight="1">
      <c r="A15" s="2682">
        <v>4</v>
      </c>
      <c r="B15" s="2673" t="s">
        <v>2171</v>
      </c>
      <c r="C15" s="2668" t="s">
        <v>167</v>
      </c>
      <c r="D15" s="2668">
        <f>+VLOOKUP(B15,Sheet9!B15:AF48,31,0)</f>
        <v>8</v>
      </c>
      <c r="E15" s="2670">
        <v>30000</v>
      </c>
      <c r="F15" s="2671">
        <f t="shared" si="0"/>
        <v>240000</v>
      </c>
      <c r="G15" s="2672"/>
    </row>
    <row r="16" spans="1:7" ht="26.25" customHeight="1">
      <c r="A16" s="2682">
        <v>5</v>
      </c>
      <c r="B16" s="2673" t="s">
        <v>2172</v>
      </c>
      <c r="C16" s="2668" t="s">
        <v>167</v>
      </c>
      <c r="D16" s="2668">
        <f>+VLOOKUP(B16,Sheet9!B16:AF49,31,0)</f>
        <v>8</v>
      </c>
      <c r="E16" s="2670">
        <v>30000</v>
      </c>
      <c r="F16" s="2671">
        <f t="shared" si="0"/>
        <v>240000</v>
      </c>
      <c r="G16" s="2672"/>
    </row>
    <row r="17" spans="1:7" ht="26.25" customHeight="1">
      <c r="A17" s="2682">
        <v>6</v>
      </c>
      <c r="B17" s="2673" t="s">
        <v>1528</v>
      </c>
      <c r="C17" s="2668" t="s">
        <v>167</v>
      </c>
      <c r="D17" s="2668">
        <f>+VLOOKUP(B17,Sheet9!B17:AF50,31,0)</f>
        <v>9</v>
      </c>
      <c r="E17" s="2670">
        <v>30000</v>
      </c>
      <c r="F17" s="2671">
        <f t="shared" si="0"/>
        <v>270000</v>
      </c>
      <c r="G17" s="2672"/>
    </row>
    <row r="18" spans="1:7" ht="26.25" customHeight="1">
      <c r="A18" s="2682">
        <v>7</v>
      </c>
      <c r="B18" s="2673" t="s">
        <v>2173</v>
      </c>
      <c r="C18" s="2668" t="s">
        <v>167</v>
      </c>
      <c r="D18" s="2668">
        <f>+VLOOKUP(B18,Sheet9!B18:AF51,31,0)</f>
        <v>9</v>
      </c>
      <c r="E18" s="2670">
        <v>30000</v>
      </c>
      <c r="F18" s="2671">
        <f t="shared" si="0"/>
        <v>270000</v>
      </c>
      <c r="G18" s="2672"/>
    </row>
    <row r="19" spans="1:7" ht="26.25" customHeight="1">
      <c r="A19" s="2682">
        <v>8</v>
      </c>
      <c r="B19" s="2673" t="s">
        <v>2174</v>
      </c>
      <c r="C19" s="2668" t="s">
        <v>167</v>
      </c>
      <c r="D19" s="2668">
        <f>+VLOOKUP(B19,Sheet9!B19:AF52,31,0)</f>
        <v>9</v>
      </c>
      <c r="E19" s="2670">
        <v>30000</v>
      </c>
      <c r="F19" s="2671">
        <f t="shared" si="0"/>
        <v>270000</v>
      </c>
      <c r="G19" s="2672"/>
    </row>
    <row r="20" spans="1:7" ht="26.25" customHeight="1">
      <c r="A20" s="2682">
        <v>9</v>
      </c>
      <c r="B20" s="2673" t="s">
        <v>2175</v>
      </c>
      <c r="C20" s="2668" t="s">
        <v>167</v>
      </c>
      <c r="D20" s="2668">
        <f>+VLOOKUP(B20,Sheet9!B20:AF53,31,0)</f>
        <v>9</v>
      </c>
      <c r="E20" s="2670">
        <v>30000</v>
      </c>
      <c r="F20" s="2671">
        <f t="shared" si="0"/>
        <v>270000</v>
      </c>
      <c r="G20" s="2672"/>
    </row>
    <row r="21" spans="1:7" ht="26.25" customHeight="1">
      <c r="A21" s="2682">
        <v>10</v>
      </c>
      <c r="B21" s="2673" t="s">
        <v>2176</v>
      </c>
      <c r="C21" s="2668" t="s">
        <v>167</v>
      </c>
      <c r="D21" s="2668">
        <f>+VLOOKUP(B21,Sheet9!B21:AF54,31,0)</f>
        <v>9</v>
      </c>
      <c r="E21" s="2670">
        <v>30000</v>
      </c>
      <c r="F21" s="2671">
        <f t="shared" si="0"/>
        <v>270000</v>
      </c>
      <c r="G21" s="2672"/>
    </row>
    <row r="22" spans="1:7" ht="26.25" customHeight="1">
      <c r="A22" s="2682">
        <v>11</v>
      </c>
      <c r="B22" s="2673" t="s">
        <v>2177</v>
      </c>
      <c r="C22" s="2668" t="s">
        <v>167</v>
      </c>
      <c r="D22" s="2668">
        <f>+VLOOKUP(B22,Sheet9!B22:AF55,31,0)</f>
        <v>9</v>
      </c>
      <c r="E22" s="2670">
        <v>30000</v>
      </c>
      <c r="F22" s="2671">
        <f t="shared" si="0"/>
        <v>270000</v>
      </c>
      <c r="G22" s="2672"/>
    </row>
    <row r="23" spans="1:7" ht="26.25" customHeight="1">
      <c r="A23" s="2682">
        <v>12</v>
      </c>
      <c r="B23" s="2673" t="s">
        <v>2178</v>
      </c>
      <c r="C23" s="2668" t="s">
        <v>167</v>
      </c>
      <c r="D23" s="2668">
        <f>+VLOOKUP(B23,Sheet9!B23:AF56,31,0)</f>
        <v>8</v>
      </c>
      <c r="E23" s="2670">
        <v>30000</v>
      </c>
      <c r="F23" s="2671">
        <f t="shared" si="0"/>
        <v>240000</v>
      </c>
      <c r="G23" s="2672"/>
    </row>
    <row r="24" spans="1:7" ht="26.25" customHeight="1">
      <c r="A24" s="2682">
        <v>13</v>
      </c>
      <c r="B24" s="2673" t="s">
        <v>2179</v>
      </c>
      <c r="C24" s="2668" t="s">
        <v>167</v>
      </c>
      <c r="D24" s="2668">
        <f>+VLOOKUP(B24,Sheet9!B24:AF57,31,0)</f>
        <v>8</v>
      </c>
      <c r="E24" s="2670">
        <v>30000</v>
      </c>
      <c r="F24" s="2671">
        <f t="shared" si="0"/>
        <v>240000</v>
      </c>
      <c r="G24" s="2672"/>
    </row>
    <row r="25" spans="1:7" ht="26.25" customHeight="1">
      <c r="A25" s="2682">
        <v>14</v>
      </c>
      <c r="B25" s="2673" t="s">
        <v>1301</v>
      </c>
      <c r="C25" s="2668" t="s">
        <v>167</v>
      </c>
      <c r="D25" s="2668">
        <f>+VLOOKUP(B25,Sheet9!B25:AF58,31,0)</f>
        <v>10</v>
      </c>
      <c r="E25" s="2670">
        <v>30000</v>
      </c>
      <c r="F25" s="2671">
        <f t="shared" si="0"/>
        <v>300000</v>
      </c>
      <c r="G25" s="2672"/>
    </row>
    <row r="26" spans="1:7" ht="26.25" customHeight="1">
      <c r="A26" s="2682">
        <v>15</v>
      </c>
      <c r="B26" s="2673" t="s">
        <v>2180</v>
      </c>
      <c r="C26" s="2668" t="s">
        <v>167</v>
      </c>
      <c r="D26" s="2668">
        <f>+VLOOKUP(B26,Sheet9!B26:AF59,31,0)</f>
        <v>11</v>
      </c>
      <c r="E26" s="2670">
        <v>30000</v>
      </c>
      <c r="F26" s="2671">
        <f t="shared" si="0"/>
        <v>330000</v>
      </c>
      <c r="G26" s="2672"/>
    </row>
    <row r="27" spans="1:7" ht="26.25" customHeight="1">
      <c r="A27" s="2682">
        <v>16</v>
      </c>
      <c r="B27" s="2673" t="s">
        <v>1677</v>
      </c>
      <c r="C27" s="2668" t="s">
        <v>167</v>
      </c>
      <c r="D27" s="2668">
        <f>+VLOOKUP(B27,Sheet9!B27:AF60,31,0)</f>
        <v>9</v>
      </c>
      <c r="E27" s="2670">
        <v>30000</v>
      </c>
      <c r="F27" s="2671">
        <f t="shared" si="0"/>
        <v>270000</v>
      </c>
      <c r="G27" s="2672"/>
    </row>
    <row r="28" spans="1:7" ht="26.25" customHeight="1">
      <c r="A28" s="2682">
        <v>17</v>
      </c>
      <c r="B28" s="2673" t="s">
        <v>289</v>
      </c>
      <c r="C28" s="2668" t="s">
        <v>167</v>
      </c>
      <c r="D28" s="2668">
        <f>+VLOOKUP(B28,Sheet9!B28:AF61,31,0)</f>
        <v>8</v>
      </c>
      <c r="E28" s="2670">
        <v>30000</v>
      </c>
      <c r="F28" s="2671">
        <f t="shared" si="0"/>
        <v>240000</v>
      </c>
      <c r="G28" s="2672"/>
    </row>
    <row r="29" spans="1:7" ht="26.25" customHeight="1">
      <c r="A29" s="2682">
        <v>18</v>
      </c>
      <c r="B29" s="2673" t="s">
        <v>2181</v>
      </c>
      <c r="C29" s="2668" t="s">
        <v>167</v>
      </c>
      <c r="D29" s="2668">
        <f>+VLOOKUP(B29,Sheet9!B29:AF62,31,0)</f>
        <v>9</v>
      </c>
      <c r="E29" s="2670">
        <v>30000</v>
      </c>
      <c r="F29" s="2671">
        <f t="shared" si="0"/>
        <v>270000</v>
      </c>
      <c r="G29" s="2672"/>
    </row>
    <row r="30" spans="1:7" ht="26.25" customHeight="1">
      <c r="A30" s="2682">
        <v>19</v>
      </c>
      <c r="B30" s="2673" t="s">
        <v>2182</v>
      </c>
      <c r="C30" s="2668" t="s">
        <v>167</v>
      </c>
      <c r="D30" s="2668">
        <f>+VLOOKUP(B30,Sheet9!B30:AF63,31,0)</f>
        <v>9</v>
      </c>
      <c r="E30" s="2670">
        <v>30000</v>
      </c>
      <c r="F30" s="2671">
        <f t="shared" si="0"/>
        <v>270000</v>
      </c>
      <c r="G30" s="2672"/>
    </row>
    <row r="31" spans="1:7" ht="26.25" customHeight="1">
      <c r="A31" s="2682">
        <v>20</v>
      </c>
      <c r="B31" s="2673" t="s">
        <v>2183</v>
      </c>
      <c r="C31" s="2668" t="s">
        <v>167</v>
      </c>
      <c r="D31" s="2668">
        <f>+VLOOKUP(B31,Sheet9!B31:AF64,31,0)</f>
        <v>9</v>
      </c>
      <c r="E31" s="2670">
        <v>30000</v>
      </c>
      <c r="F31" s="2671">
        <f t="shared" si="0"/>
        <v>270000</v>
      </c>
      <c r="G31" s="2672"/>
    </row>
    <row r="32" spans="1:7" ht="26.25" customHeight="1">
      <c r="A32" s="2682">
        <v>21</v>
      </c>
      <c r="B32" s="2673" t="s">
        <v>1236</v>
      </c>
      <c r="C32" s="2668" t="s">
        <v>167</v>
      </c>
      <c r="D32" s="2668">
        <f>+VLOOKUP(B32,Sheet9!B32:AF65,31,0)</f>
        <v>8</v>
      </c>
      <c r="E32" s="2670">
        <v>30000</v>
      </c>
      <c r="F32" s="2671">
        <f t="shared" si="0"/>
        <v>240000</v>
      </c>
      <c r="G32" s="2672"/>
    </row>
    <row r="33" spans="1:7" ht="26.25" customHeight="1">
      <c r="A33" s="2682">
        <v>22</v>
      </c>
      <c r="B33" s="2673" t="s">
        <v>2184</v>
      </c>
      <c r="C33" s="2668" t="s">
        <v>167</v>
      </c>
      <c r="D33" s="2668">
        <f>+VLOOKUP(B33,Sheet9!B33:AF66,31,0)</f>
        <v>9</v>
      </c>
      <c r="E33" s="2670">
        <v>30000</v>
      </c>
      <c r="F33" s="2671">
        <f t="shared" si="0"/>
        <v>270000</v>
      </c>
      <c r="G33" s="2672"/>
    </row>
    <row r="34" spans="1:7" ht="26.25" customHeight="1">
      <c r="A34" s="2682">
        <v>23</v>
      </c>
      <c r="B34" s="2673" t="s">
        <v>2185</v>
      </c>
      <c r="C34" s="2668" t="s">
        <v>167</v>
      </c>
      <c r="D34" s="2668">
        <f>+VLOOKUP(B34,Sheet9!B34:AF67,31,0)</f>
        <v>7</v>
      </c>
      <c r="E34" s="2670">
        <v>30000</v>
      </c>
      <c r="F34" s="2671">
        <f t="shared" si="0"/>
        <v>210000</v>
      </c>
      <c r="G34" s="2672"/>
    </row>
    <row r="35" spans="1:7" ht="26.25" customHeight="1">
      <c r="A35" s="2682">
        <v>24</v>
      </c>
      <c r="B35" s="2673" t="s">
        <v>2186</v>
      </c>
      <c r="C35" s="2668" t="s">
        <v>167</v>
      </c>
      <c r="D35" s="2668">
        <f>+VLOOKUP(B35,Sheet9!B35:AF68,31,0)</f>
        <v>8</v>
      </c>
      <c r="E35" s="2670">
        <v>30000</v>
      </c>
      <c r="F35" s="2671">
        <f t="shared" si="0"/>
        <v>240000</v>
      </c>
      <c r="G35" s="2672"/>
    </row>
    <row r="36" spans="1:7" ht="26.25" customHeight="1">
      <c r="A36" s="2682">
        <v>25</v>
      </c>
      <c r="B36" s="2673" t="s">
        <v>2187</v>
      </c>
      <c r="C36" s="2668" t="s">
        <v>167</v>
      </c>
      <c r="D36" s="2668">
        <f>+VLOOKUP(B36,Sheet9!B36:AF69,31,0)</f>
        <v>9</v>
      </c>
      <c r="E36" s="2670">
        <v>30000</v>
      </c>
      <c r="F36" s="2671">
        <f t="shared" si="0"/>
        <v>270000</v>
      </c>
      <c r="G36" s="2672"/>
    </row>
    <row r="37" spans="1:7" ht="26.25" customHeight="1">
      <c r="A37" s="2682">
        <v>26</v>
      </c>
      <c r="B37" s="2673" t="s">
        <v>1525</v>
      </c>
      <c r="C37" s="2668" t="s">
        <v>167</v>
      </c>
      <c r="D37" s="2668">
        <f>+VLOOKUP(B37,Sheet9!B37:AF70,31,0)</f>
        <v>10</v>
      </c>
      <c r="E37" s="2670">
        <v>30000</v>
      </c>
      <c r="F37" s="2671">
        <f t="shared" si="0"/>
        <v>300000</v>
      </c>
      <c r="G37" s="2672"/>
    </row>
    <row r="38" spans="1:7" ht="26.25" customHeight="1">
      <c r="A38" s="2682">
        <v>27</v>
      </c>
      <c r="B38" s="2673" t="s">
        <v>2188</v>
      </c>
      <c r="C38" s="2668" t="s">
        <v>167</v>
      </c>
      <c r="D38" s="2668">
        <f>+VLOOKUP(B38,Sheet9!B38:AF71,31,0)</f>
        <v>8</v>
      </c>
      <c r="E38" s="2670">
        <v>30000</v>
      </c>
      <c r="F38" s="2671">
        <f t="shared" si="0"/>
        <v>240000</v>
      </c>
      <c r="G38" s="2672"/>
    </row>
    <row r="39" spans="1:7" ht="26.25" customHeight="1">
      <c r="A39" s="2682">
        <v>28</v>
      </c>
      <c r="B39" s="2673" t="s">
        <v>2189</v>
      </c>
      <c r="C39" s="2668" t="s">
        <v>167</v>
      </c>
      <c r="D39" s="2668">
        <f>+VLOOKUP(B39,Sheet9!B39:AF72,31,0)</f>
        <v>8</v>
      </c>
      <c r="E39" s="2670">
        <v>30000</v>
      </c>
      <c r="F39" s="2671">
        <f t="shared" si="0"/>
        <v>240000</v>
      </c>
      <c r="G39" s="2672"/>
    </row>
    <row r="40" spans="1:7" ht="26.25" customHeight="1">
      <c r="A40" s="2682">
        <v>29</v>
      </c>
      <c r="B40" s="2673" t="s">
        <v>1507</v>
      </c>
      <c r="C40" s="2668" t="s">
        <v>167</v>
      </c>
      <c r="D40" s="2668">
        <f>+VLOOKUP(B40,Sheet9!B40:AF73,31,0)</f>
        <v>9</v>
      </c>
      <c r="E40" s="2670">
        <v>30000</v>
      </c>
      <c r="F40" s="2671">
        <f t="shared" si="0"/>
        <v>270000</v>
      </c>
      <c r="G40" s="2672"/>
    </row>
    <row r="41" spans="1:7" ht="26.25" customHeight="1">
      <c r="A41" s="2682">
        <v>30</v>
      </c>
      <c r="B41" s="2673" t="s">
        <v>2190</v>
      </c>
      <c r="C41" s="2668" t="s">
        <v>167</v>
      </c>
      <c r="D41" s="2668">
        <f>+VLOOKUP(B41,Sheet9!B41:AF74,31,0)</f>
        <v>10</v>
      </c>
      <c r="E41" s="2670">
        <v>30000</v>
      </c>
      <c r="F41" s="2671">
        <f t="shared" si="0"/>
        <v>300000</v>
      </c>
      <c r="G41" s="2672"/>
    </row>
    <row r="42" spans="1:7" ht="26.25" customHeight="1">
      <c r="A42" s="2682">
        <v>31</v>
      </c>
      <c r="B42" s="2673" t="s">
        <v>2191</v>
      </c>
      <c r="C42" s="2668" t="s">
        <v>167</v>
      </c>
      <c r="D42" s="2668">
        <f>+VLOOKUP(B42,Sheet9!B42:AF75,31,0)</f>
        <v>10</v>
      </c>
      <c r="E42" s="2670">
        <v>30000</v>
      </c>
      <c r="F42" s="2671">
        <f t="shared" si="0"/>
        <v>300000</v>
      </c>
      <c r="G42" s="2672"/>
    </row>
    <row r="43" spans="1:7" ht="26.25" customHeight="1">
      <c r="A43" s="2682">
        <v>32</v>
      </c>
      <c r="B43" s="2673" t="s">
        <v>1923</v>
      </c>
      <c r="C43" s="2668" t="s">
        <v>167</v>
      </c>
      <c r="D43" s="2668">
        <f>+VLOOKUP(B43,Sheet9!B43:AF76,31,0)</f>
        <v>8</v>
      </c>
      <c r="E43" s="2670">
        <v>30000</v>
      </c>
      <c r="F43" s="2671">
        <f t="shared" si="0"/>
        <v>240000</v>
      </c>
      <c r="G43" s="2672"/>
    </row>
    <row r="44" spans="1:7" ht="26.25" customHeight="1">
      <c r="A44" s="2682">
        <v>33</v>
      </c>
      <c r="B44" s="2673" t="s">
        <v>2192</v>
      </c>
      <c r="C44" s="2668" t="s">
        <v>167</v>
      </c>
      <c r="D44" s="2668">
        <f>+VLOOKUP(B44,Sheet9!B44:AF77,31,0)</f>
        <v>8</v>
      </c>
      <c r="E44" s="2670">
        <v>30000</v>
      </c>
      <c r="F44" s="2671">
        <f t="shared" si="0"/>
        <v>240000</v>
      </c>
      <c r="G44" s="2672"/>
    </row>
    <row r="45" spans="1:7" ht="26.25" customHeight="1">
      <c r="A45" s="2682">
        <v>34</v>
      </c>
      <c r="B45" s="2673" t="s">
        <v>2193</v>
      </c>
      <c r="C45" s="2668" t="s">
        <v>167</v>
      </c>
      <c r="D45" s="2668">
        <f>+VLOOKUP(B45,Sheet9!B45:AF78,31,0)</f>
        <v>10</v>
      </c>
      <c r="E45" s="2670">
        <v>30000</v>
      </c>
      <c r="F45" s="2671">
        <f t="shared" si="0"/>
        <v>300000</v>
      </c>
      <c r="G45" s="2672"/>
    </row>
    <row r="46" spans="1:7" ht="26.25" customHeight="1">
      <c r="A46" s="2682">
        <v>35</v>
      </c>
      <c r="B46" s="2673" t="s">
        <v>2195</v>
      </c>
      <c r="C46" s="2668" t="s">
        <v>167</v>
      </c>
      <c r="D46" s="2668">
        <f>+VLOOKUP(B46,Sheet9!B46:AF79,31,0)</f>
        <v>7</v>
      </c>
      <c r="E46" s="2670">
        <v>30000</v>
      </c>
      <c r="F46" s="2671">
        <f t="shared" si="0"/>
        <v>210000</v>
      </c>
      <c r="G46" s="2672"/>
    </row>
    <row r="47" spans="1:7" ht="26.25" customHeight="1">
      <c r="A47" s="2682">
        <v>36</v>
      </c>
      <c r="B47" s="2673" t="s">
        <v>2196</v>
      </c>
      <c r="C47" s="2668" t="s">
        <v>167</v>
      </c>
      <c r="D47" s="2668">
        <f>+VLOOKUP(B47,Sheet9!B47:AF80,31,0)</f>
        <v>7</v>
      </c>
      <c r="E47" s="2670">
        <v>30000</v>
      </c>
      <c r="F47" s="2671">
        <f t="shared" si="0"/>
        <v>210000</v>
      </c>
      <c r="G47" s="2672"/>
    </row>
    <row r="48" spans="1:7" ht="26.25" customHeight="1">
      <c r="A48" s="2682">
        <v>37</v>
      </c>
      <c r="B48" s="2673" t="s">
        <v>2197</v>
      </c>
      <c r="C48" s="2668" t="s">
        <v>167</v>
      </c>
      <c r="D48" s="2668">
        <f>+VLOOKUP(B48,Sheet9!B48:AF81,31,0)</f>
        <v>7</v>
      </c>
      <c r="E48" s="2670">
        <v>30000</v>
      </c>
      <c r="F48" s="2671">
        <f t="shared" si="0"/>
        <v>210000</v>
      </c>
      <c r="G48" s="2672"/>
    </row>
    <row r="49" spans="1:7" ht="26.25" customHeight="1">
      <c r="A49" s="2682">
        <v>38</v>
      </c>
      <c r="B49" s="2673" t="s">
        <v>2421</v>
      </c>
      <c r="C49" s="2668" t="s">
        <v>167</v>
      </c>
      <c r="D49" s="2668">
        <f>+VLOOKUP(B49,Sheet9!B49:AF82,31,0)</f>
        <v>7</v>
      </c>
      <c r="E49" s="2670">
        <v>30000</v>
      </c>
      <c r="F49" s="2671">
        <f t="shared" si="0"/>
        <v>210000</v>
      </c>
      <c r="G49" s="2672"/>
    </row>
    <row r="50" spans="1:7" ht="26.25" customHeight="1">
      <c r="A50" s="2682">
        <v>39</v>
      </c>
      <c r="B50" s="2673" t="s">
        <v>2208</v>
      </c>
      <c r="C50" s="2668" t="s">
        <v>167</v>
      </c>
      <c r="D50" s="2668">
        <f>+VLOOKUP(B50,Sheet9!B50:AF83,31,0)</f>
        <v>7</v>
      </c>
      <c r="E50" s="2670">
        <v>30000</v>
      </c>
      <c r="F50" s="2671">
        <f t="shared" si="0"/>
        <v>210000</v>
      </c>
      <c r="G50" s="2672"/>
    </row>
    <row r="51" spans="1:7" ht="26.25" customHeight="1">
      <c r="A51" s="2682">
        <v>40</v>
      </c>
      <c r="B51" s="2673" t="s">
        <v>2422</v>
      </c>
      <c r="C51" s="2668" t="s">
        <v>167</v>
      </c>
      <c r="D51" s="2668">
        <f>+VLOOKUP(B51,Sheet9!B51:AF84,31,0)</f>
        <v>7</v>
      </c>
      <c r="E51" s="2670">
        <v>30000</v>
      </c>
      <c r="F51" s="2671">
        <f t="shared" si="0"/>
        <v>210000</v>
      </c>
      <c r="G51" s="2672"/>
    </row>
    <row r="52" spans="1:7" ht="26.25" customHeight="1">
      <c r="A52" s="2682">
        <v>41</v>
      </c>
      <c r="B52" s="2673" t="s">
        <v>2423</v>
      </c>
      <c r="C52" s="2668" t="s">
        <v>167</v>
      </c>
      <c r="D52" s="2668">
        <f>+VLOOKUP(B52,Sheet9!B52:AF85,31,0)</f>
        <v>7</v>
      </c>
      <c r="E52" s="2670">
        <v>30000</v>
      </c>
      <c r="F52" s="2671">
        <f t="shared" si="0"/>
        <v>210000</v>
      </c>
      <c r="G52" s="2672"/>
    </row>
    <row r="53" spans="1:7" ht="26.25" customHeight="1">
      <c r="A53" s="2682">
        <v>42</v>
      </c>
      <c r="B53" s="2673" t="s">
        <v>1189</v>
      </c>
      <c r="C53" s="2668" t="s">
        <v>167</v>
      </c>
      <c r="D53" s="2668">
        <f>+VLOOKUP(B53,Sheet9!B53:AF86,31,0)</f>
        <v>3</v>
      </c>
      <c r="E53" s="2670">
        <v>30000</v>
      </c>
      <c r="F53" s="2671">
        <f t="shared" si="0"/>
        <v>90000</v>
      </c>
      <c r="G53" s="2672"/>
    </row>
    <row r="54" spans="1:7" ht="26.25" customHeight="1">
      <c r="A54" s="2682">
        <v>43</v>
      </c>
      <c r="B54" s="2673" t="s">
        <v>1908</v>
      </c>
      <c r="C54" s="2668" t="s">
        <v>167</v>
      </c>
      <c r="D54" s="2668">
        <f>+VLOOKUP(B54,Sheet9!B54:AF87,31,0)</f>
        <v>4</v>
      </c>
      <c r="E54" s="2670">
        <v>30000</v>
      </c>
      <c r="F54" s="2671">
        <f t="shared" si="0"/>
        <v>120000</v>
      </c>
      <c r="G54" s="2672"/>
    </row>
    <row r="55" spans="1:7" ht="26.25" customHeight="1">
      <c r="A55" s="2682">
        <v>44</v>
      </c>
      <c r="B55" s="2673" t="s">
        <v>1914</v>
      </c>
      <c r="C55" s="2668" t="s">
        <v>167</v>
      </c>
      <c r="D55" s="2668">
        <f>+VLOOKUP(B55,Sheet9!B55:AF88,31,0)</f>
        <v>5</v>
      </c>
      <c r="E55" s="2670">
        <v>30000</v>
      </c>
      <c r="F55" s="2671">
        <f t="shared" si="0"/>
        <v>150000</v>
      </c>
      <c r="G55" s="2672"/>
    </row>
    <row r="56" spans="1:7" ht="26.25" customHeight="1">
      <c r="A56" s="2682">
        <v>45</v>
      </c>
      <c r="B56" s="2673" t="s">
        <v>2424</v>
      </c>
      <c r="C56" s="2668" t="s">
        <v>167</v>
      </c>
      <c r="D56" s="2668">
        <f>+VLOOKUP(B56,Sheet9!B56:AF89,31,0)</f>
        <v>5</v>
      </c>
      <c r="E56" s="2670">
        <v>30000</v>
      </c>
      <c r="F56" s="2671">
        <f t="shared" si="0"/>
        <v>150000</v>
      </c>
      <c r="G56" s="2672"/>
    </row>
    <row r="57" spans="1:7" ht="26.25" customHeight="1">
      <c r="A57" s="2682">
        <v>46</v>
      </c>
      <c r="B57" s="2673" t="s">
        <v>1903</v>
      </c>
      <c r="C57" s="2668" t="s">
        <v>167</v>
      </c>
      <c r="D57" s="2668">
        <f>+VLOOKUP(B57,Sheet9!B57:AF90,31,0)</f>
        <v>5</v>
      </c>
      <c r="E57" s="2670">
        <v>30000</v>
      </c>
      <c r="F57" s="2671">
        <f t="shared" si="0"/>
        <v>150000</v>
      </c>
      <c r="G57" s="2672"/>
    </row>
    <row r="58" spans="1:7" ht="26.25" customHeight="1">
      <c r="A58" s="2682">
        <v>47</v>
      </c>
      <c r="B58" s="2673" t="s">
        <v>2222</v>
      </c>
      <c r="C58" s="2668" t="s">
        <v>167</v>
      </c>
      <c r="D58" s="2668">
        <f>+VLOOKUP(B58,Sheet9!B58:AF91,31,0)</f>
        <v>5</v>
      </c>
      <c r="E58" s="2670">
        <v>30000</v>
      </c>
      <c r="F58" s="2671">
        <f t="shared" si="0"/>
        <v>150000</v>
      </c>
      <c r="G58" s="2672"/>
    </row>
    <row r="59" spans="1:7" ht="26.25" customHeight="1">
      <c r="A59" s="2682">
        <v>48</v>
      </c>
      <c r="B59" s="2673" t="s">
        <v>1910</v>
      </c>
      <c r="C59" s="2668" t="s">
        <v>167</v>
      </c>
      <c r="D59" s="2668">
        <f>+VLOOKUP(B59,Sheet9!B59:AF92,31,0)</f>
        <v>5</v>
      </c>
      <c r="E59" s="2670">
        <v>30000</v>
      </c>
      <c r="F59" s="2671">
        <f t="shared" si="0"/>
        <v>150000</v>
      </c>
      <c r="G59" s="2672"/>
    </row>
    <row r="60" spans="1:7" ht="26.25" customHeight="1">
      <c r="A60" s="2682">
        <v>49</v>
      </c>
      <c r="B60" s="2673" t="s">
        <v>1909</v>
      </c>
      <c r="C60" s="2668" t="s">
        <v>167</v>
      </c>
      <c r="D60" s="2668">
        <f>+VLOOKUP(B60,Sheet9!B60:AF93,31,0)</f>
        <v>4</v>
      </c>
      <c r="E60" s="2670">
        <v>30000</v>
      </c>
      <c r="F60" s="2671">
        <f t="shared" si="0"/>
        <v>120000</v>
      </c>
      <c r="G60" s="2672"/>
    </row>
    <row r="61" spans="1:7" ht="26.25" customHeight="1">
      <c r="A61" s="2682">
        <v>50</v>
      </c>
      <c r="B61" s="2673" t="s">
        <v>2425</v>
      </c>
      <c r="C61" s="2668" t="s">
        <v>167</v>
      </c>
      <c r="D61" s="2668">
        <f>+VLOOKUP(B61,Sheet9!B61:AF94,31,0)</f>
        <v>8</v>
      </c>
      <c r="E61" s="2670">
        <v>30000</v>
      </c>
      <c r="F61" s="2671">
        <f t="shared" si="0"/>
        <v>240000</v>
      </c>
      <c r="G61" s="2672"/>
    </row>
    <row r="62" spans="1:7" ht="26.25" customHeight="1">
      <c r="A62" s="2682">
        <v>51</v>
      </c>
      <c r="B62" s="2673" t="s">
        <v>2426</v>
      </c>
      <c r="C62" s="2668" t="s">
        <v>167</v>
      </c>
      <c r="D62" s="2668">
        <f>+VLOOKUP(B62,Sheet9!B62:AF95,31,0)</f>
        <v>8</v>
      </c>
      <c r="E62" s="2670">
        <v>30000</v>
      </c>
      <c r="F62" s="2671">
        <f t="shared" si="0"/>
        <v>240000</v>
      </c>
      <c r="G62" s="2672"/>
    </row>
    <row r="63" spans="1:7" ht="26.25" customHeight="1">
      <c r="A63" s="2682">
        <v>52</v>
      </c>
      <c r="B63" s="2673" t="s">
        <v>2226</v>
      </c>
      <c r="C63" s="2668" t="s">
        <v>167</v>
      </c>
      <c r="D63" s="2668">
        <f>+VLOOKUP(B63,Sheet9!B63:AF96,31,0)</f>
        <v>7</v>
      </c>
      <c r="E63" s="2670">
        <v>30000</v>
      </c>
      <c r="F63" s="2671">
        <f t="shared" si="0"/>
        <v>210000</v>
      </c>
      <c r="G63" s="2672"/>
    </row>
    <row r="64" spans="1:7" ht="26.25" customHeight="1">
      <c r="A64" s="2682">
        <v>53</v>
      </c>
      <c r="B64" s="2673" t="s">
        <v>2227</v>
      </c>
      <c r="C64" s="2668" t="s">
        <v>167</v>
      </c>
      <c r="D64" s="2668">
        <f>+VLOOKUP(B64,Sheet9!B64:AF97,31,0)</f>
        <v>7</v>
      </c>
      <c r="E64" s="2670">
        <v>30000</v>
      </c>
      <c r="F64" s="2671">
        <f t="shared" si="0"/>
        <v>210000</v>
      </c>
      <c r="G64" s="2672"/>
    </row>
    <row r="65" spans="1:7" ht="26.25" customHeight="1">
      <c r="A65" s="2682">
        <v>54</v>
      </c>
      <c r="B65" s="2673" t="s">
        <v>2427</v>
      </c>
      <c r="C65" s="2668" t="s">
        <v>167</v>
      </c>
      <c r="D65" s="2668">
        <f>+VLOOKUP(B65,Sheet9!B65:AF98,31,0)</f>
        <v>7</v>
      </c>
      <c r="E65" s="2670">
        <v>30000</v>
      </c>
      <c r="F65" s="2671">
        <f t="shared" si="0"/>
        <v>210000</v>
      </c>
      <c r="G65" s="2672"/>
    </row>
    <row r="66" spans="1:7" ht="26.25" customHeight="1">
      <c r="A66" s="2682">
        <v>55</v>
      </c>
      <c r="B66" s="2673" t="s">
        <v>2229</v>
      </c>
      <c r="C66" s="2668" t="s">
        <v>167</v>
      </c>
      <c r="D66" s="2668">
        <f>+VLOOKUP(B66,Sheet9!B66:AF99,31,0)</f>
        <v>7</v>
      </c>
      <c r="E66" s="2670">
        <v>30000</v>
      </c>
      <c r="F66" s="2671">
        <f t="shared" si="0"/>
        <v>210000</v>
      </c>
      <c r="G66" s="2672"/>
    </row>
    <row r="67" spans="1:7" ht="26.25" customHeight="1">
      <c r="A67" s="2682">
        <v>56</v>
      </c>
      <c r="B67" s="2673" t="s">
        <v>2198</v>
      </c>
      <c r="C67" s="2668" t="s">
        <v>167</v>
      </c>
      <c r="D67" s="2668">
        <f>+VLOOKUP(B67,Sheet9!B67:AF100,31,0)</f>
        <v>7</v>
      </c>
      <c r="E67" s="2670">
        <v>30000</v>
      </c>
      <c r="F67" s="2671">
        <f t="shared" si="0"/>
        <v>210000</v>
      </c>
      <c r="G67" s="2672"/>
    </row>
    <row r="68" spans="1:7" ht="26.25" customHeight="1">
      <c r="A68" s="2682">
        <v>57</v>
      </c>
      <c r="B68" s="2673" t="s">
        <v>2428</v>
      </c>
      <c r="C68" s="2668" t="s">
        <v>167</v>
      </c>
      <c r="D68" s="2668">
        <f>+VLOOKUP(B68,Sheet9!B68:AF101,31,0)</f>
        <v>7</v>
      </c>
      <c r="E68" s="2670">
        <v>30000</v>
      </c>
      <c r="F68" s="2671">
        <f t="shared" si="0"/>
        <v>210000</v>
      </c>
      <c r="G68" s="2672"/>
    </row>
    <row r="69" spans="1:7" ht="26.25" customHeight="1">
      <c r="A69" s="2682">
        <v>58</v>
      </c>
      <c r="B69" s="2673" t="s">
        <v>2201</v>
      </c>
      <c r="C69" s="2668" t="s">
        <v>167</v>
      </c>
      <c r="D69" s="2668">
        <f>+VLOOKUP(B69,Sheet9!B69:AF102,31,0)</f>
        <v>7</v>
      </c>
      <c r="E69" s="2670">
        <v>30000</v>
      </c>
      <c r="F69" s="2671">
        <f t="shared" si="0"/>
        <v>210000</v>
      </c>
      <c r="G69" s="2672"/>
    </row>
    <row r="70" spans="1:7" ht="26.25" customHeight="1">
      <c r="A70" s="2682">
        <v>59</v>
      </c>
      <c r="B70" s="2673" t="s">
        <v>2202</v>
      </c>
      <c r="C70" s="2668" t="s">
        <v>167</v>
      </c>
      <c r="D70" s="2668">
        <f>+VLOOKUP(B70,Sheet9!B70:AF103,31,0)</f>
        <v>7</v>
      </c>
      <c r="E70" s="2670">
        <v>30000</v>
      </c>
      <c r="F70" s="2671">
        <f t="shared" si="0"/>
        <v>210000</v>
      </c>
      <c r="G70" s="2672"/>
    </row>
    <row r="71" spans="1:7" ht="26.25" customHeight="1">
      <c r="A71" s="2682">
        <v>60</v>
      </c>
      <c r="B71" s="2673" t="s">
        <v>2203</v>
      </c>
      <c r="C71" s="2668" t="s">
        <v>167</v>
      </c>
      <c r="D71" s="2668">
        <f>+VLOOKUP(B71,Sheet9!B71:AF104,31,0)</f>
        <v>7</v>
      </c>
      <c r="E71" s="2670">
        <v>30000</v>
      </c>
      <c r="F71" s="2671">
        <f t="shared" si="0"/>
        <v>210000</v>
      </c>
      <c r="G71" s="2672"/>
    </row>
    <row r="72" spans="1:7" ht="26.25" customHeight="1">
      <c r="A72" s="2682">
        <v>61</v>
      </c>
      <c r="B72" s="2673" t="s">
        <v>2204</v>
      </c>
      <c r="C72" s="2668" t="s">
        <v>167</v>
      </c>
      <c r="D72" s="2668">
        <f>+VLOOKUP(B72,Sheet9!B72:AF105,31,0)</f>
        <v>7</v>
      </c>
      <c r="E72" s="2670">
        <v>30000</v>
      </c>
      <c r="F72" s="2671">
        <f t="shared" si="0"/>
        <v>210000</v>
      </c>
      <c r="G72" s="2672"/>
    </row>
    <row r="73" spans="1:7" ht="26.25" customHeight="1">
      <c r="A73" s="2682">
        <v>62</v>
      </c>
      <c r="B73" s="2673" t="s">
        <v>2429</v>
      </c>
      <c r="C73" s="2668" t="s">
        <v>167</v>
      </c>
      <c r="D73" s="2668">
        <f>+VLOOKUP(B73,Sheet9!B73:AF106,31,0)</f>
        <v>7</v>
      </c>
      <c r="E73" s="2670">
        <v>30000</v>
      </c>
      <c r="F73" s="2671">
        <f t="shared" si="0"/>
        <v>210000</v>
      </c>
      <c r="G73" s="2672"/>
    </row>
    <row r="74" spans="1:7" ht="26.25" customHeight="1">
      <c r="A74" s="2682">
        <v>63</v>
      </c>
      <c r="B74" s="2673" t="s">
        <v>2206</v>
      </c>
      <c r="C74" s="2668" t="s">
        <v>167</v>
      </c>
      <c r="D74" s="2668">
        <f>+VLOOKUP(B74,Sheet9!B74:AF107,31,0)</f>
        <v>7</v>
      </c>
      <c r="E74" s="2670">
        <v>30000</v>
      </c>
      <c r="F74" s="2671">
        <f t="shared" si="0"/>
        <v>210000</v>
      </c>
      <c r="G74" s="2672"/>
    </row>
    <row r="75" spans="1:7" ht="26.25" customHeight="1">
      <c r="A75" s="2682">
        <v>64</v>
      </c>
      <c r="B75" s="2673" t="s">
        <v>1506</v>
      </c>
      <c r="C75" s="2668" t="s">
        <v>167</v>
      </c>
      <c r="D75" s="2668">
        <f>+VLOOKUP(B75,Sheet9!B75:AF108,31,0)</f>
        <v>7</v>
      </c>
      <c r="E75" s="2670">
        <v>30000</v>
      </c>
      <c r="F75" s="2671">
        <f t="shared" si="0"/>
        <v>210000</v>
      </c>
      <c r="G75" s="2672"/>
    </row>
    <row r="76" spans="1:7" ht="26.25" customHeight="1">
      <c r="A76" s="2682">
        <v>65</v>
      </c>
      <c r="B76" s="2673" t="s">
        <v>2431</v>
      </c>
      <c r="C76" s="2668" t="s">
        <v>167</v>
      </c>
      <c r="D76" s="2668">
        <f>+VLOOKUP(B76,Sheet9!B76:AF109,31,0)</f>
        <v>7</v>
      </c>
      <c r="E76" s="2670">
        <v>30000</v>
      </c>
      <c r="F76" s="2671">
        <f t="shared" si="0"/>
        <v>210000</v>
      </c>
      <c r="G76" s="2672"/>
    </row>
    <row r="77" spans="1:7" ht="26.25" customHeight="1">
      <c r="A77" s="2682">
        <v>66</v>
      </c>
      <c r="B77" s="2673" t="s">
        <v>2211</v>
      </c>
      <c r="C77" s="2668" t="s">
        <v>167</v>
      </c>
      <c r="D77" s="2668">
        <f>+VLOOKUP(B77,Sheet9!B77:AF110,31,0)</f>
        <v>7</v>
      </c>
      <c r="E77" s="2670">
        <v>30000</v>
      </c>
      <c r="F77" s="2671">
        <f t="shared" si="0"/>
        <v>210000</v>
      </c>
      <c r="G77" s="2672"/>
    </row>
    <row r="78" spans="1:7" ht="26.25" customHeight="1">
      <c r="A78" s="2682">
        <v>67</v>
      </c>
      <c r="B78" s="2673" t="s">
        <v>2432</v>
      </c>
      <c r="C78" s="2668" t="s">
        <v>167</v>
      </c>
      <c r="D78" s="2668">
        <f>+VLOOKUP(B78,Sheet9!B78:AF111,31,0)</f>
        <v>5</v>
      </c>
      <c r="E78" s="2670">
        <v>30000</v>
      </c>
      <c r="F78" s="2671">
        <f t="shared" si="0"/>
        <v>150000</v>
      </c>
      <c r="G78" s="2672"/>
    </row>
    <row r="79" spans="1:7" ht="26.25" customHeight="1">
      <c r="A79" s="2682">
        <v>68</v>
      </c>
      <c r="B79" s="2673" t="s">
        <v>2433</v>
      </c>
      <c r="C79" s="2668" t="s">
        <v>167</v>
      </c>
      <c r="D79" s="2668">
        <f>+VLOOKUP(B79,Sheet9!B79:AF112,31,0)</f>
        <v>5</v>
      </c>
      <c r="E79" s="2670">
        <v>30000</v>
      </c>
      <c r="F79" s="2671">
        <f t="shared" si="0"/>
        <v>150000</v>
      </c>
      <c r="G79" s="2672"/>
    </row>
    <row r="80" spans="1:7" ht="26.25" customHeight="1">
      <c r="A80" s="2682">
        <v>69</v>
      </c>
      <c r="B80" s="2673" t="s">
        <v>2190</v>
      </c>
      <c r="C80" s="2668" t="s">
        <v>167</v>
      </c>
      <c r="D80" s="2668">
        <f>+VLOOKUP(B80,Sheet9!B80:AF113,31,0)</f>
        <v>5</v>
      </c>
      <c r="E80" s="2670">
        <v>30000</v>
      </c>
      <c r="F80" s="2671">
        <f t="shared" si="0"/>
        <v>150000</v>
      </c>
      <c r="G80" s="2672"/>
    </row>
    <row r="81" spans="1:7" ht="26.25" customHeight="1">
      <c r="A81" s="2682">
        <v>70</v>
      </c>
      <c r="B81" s="2673" t="s">
        <v>2434</v>
      </c>
      <c r="C81" s="2668" t="s">
        <v>2494</v>
      </c>
      <c r="D81" s="2668">
        <f>+VLOOKUP(B81,Sheet9!B81:AF114,31,0)</f>
        <v>5</v>
      </c>
      <c r="E81" s="2670">
        <v>30000</v>
      </c>
      <c r="F81" s="2671">
        <f t="shared" si="0"/>
        <v>150000</v>
      </c>
      <c r="G81" s="2672"/>
    </row>
    <row r="82" spans="1:7" ht="26.25" customHeight="1">
      <c r="A82" s="2682">
        <v>71</v>
      </c>
      <c r="B82" s="2673" t="s">
        <v>2435</v>
      </c>
      <c r="C82" s="2668" t="s">
        <v>2494</v>
      </c>
      <c r="D82" s="2668">
        <f>+VLOOKUP(B82,Sheet9!B82:AF115,31,0)</f>
        <v>5</v>
      </c>
      <c r="E82" s="2670">
        <v>30000</v>
      </c>
      <c r="F82" s="2671">
        <f t="shared" si="0"/>
        <v>150000</v>
      </c>
      <c r="G82" s="2672"/>
    </row>
    <row r="83" spans="1:7" ht="26.25" customHeight="1">
      <c r="A83" s="2682">
        <v>72</v>
      </c>
      <c r="B83" s="2673" t="s">
        <v>2436</v>
      </c>
      <c r="C83" s="2668" t="s">
        <v>2494</v>
      </c>
      <c r="D83" s="2668">
        <f>+VLOOKUP(B83,Sheet9!B83:AF116,31,0)</f>
        <v>5</v>
      </c>
      <c r="E83" s="2670">
        <v>30000</v>
      </c>
      <c r="F83" s="2671">
        <f t="shared" si="0"/>
        <v>150000</v>
      </c>
      <c r="G83" s="2672"/>
    </row>
    <row r="84" spans="1:7" ht="26.25" customHeight="1">
      <c r="A84" s="2682">
        <v>73</v>
      </c>
      <c r="B84" s="2673" t="s">
        <v>2193</v>
      </c>
      <c r="C84" s="2668" t="s">
        <v>2494</v>
      </c>
      <c r="D84" s="2668">
        <f>+VLOOKUP(B84,Sheet9!B84:AF117,31,0)</f>
        <v>5</v>
      </c>
      <c r="E84" s="2670">
        <v>30000</v>
      </c>
      <c r="F84" s="2671">
        <f t="shared" si="0"/>
        <v>150000</v>
      </c>
      <c r="G84" s="2672"/>
    </row>
    <row r="85" spans="1:7" ht="26.25" customHeight="1">
      <c r="A85" s="2682">
        <v>74</v>
      </c>
      <c r="B85" s="2673" t="s">
        <v>2437</v>
      </c>
      <c r="C85" s="2668" t="s">
        <v>2494</v>
      </c>
      <c r="D85" s="2668">
        <f>+VLOOKUP(B85,Sheet9!B85:AF118,31,0)</f>
        <v>5</v>
      </c>
      <c r="E85" s="2670">
        <v>30000</v>
      </c>
      <c r="F85" s="2671">
        <f t="shared" si="0"/>
        <v>150000</v>
      </c>
      <c r="G85" s="2672"/>
    </row>
    <row r="86" spans="1:7" ht="26.25" customHeight="1">
      <c r="A86" s="2682">
        <v>75</v>
      </c>
      <c r="B86" s="2673" t="s">
        <v>2213</v>
      </c>
      <c r="C86" s="2668" t="s">
        <v>2494</v>
      </c>
      <c r="D86" s="2668">
        <f>+VLOOKUP(B86,Sheet9!B86:AF119,31,0)</f>
        <v>5</v>
      </c>
      <c r="E86" s="2670">
        <v>30000</v>
      </c>
      <c r="F86" s="2671">
        <f t="shared" si="0"/>
        <v>150000</v>
      </c>
      <c r="G86" s="2672"/>
    </row>
    <row r="87" spans="1:7" ht="26.25" customHeight="1">
      <c r="A87" s="2682">
        <v>76</v>
      </c>
      <c r="B87" s="2673" t="s">
        <v>2438</v>
      </c>
      <c r="C87" s="2668" t="s">
        <v>2494</v>
      </c>
      <c r="D87" s="2668">
        <f>+VLOOKUP(B87,Sheet9!B87:AF120,31,0)</f>
        <v>5</v>
      </c>
      <c r="E87" s="2670">
        <v>30000</v>
      </c>
      <c r="F87" s="2671">
        <f t="shared" si="0"/>
        <v>150000</v>
      </c>
      <c r="G87" s="2672"/>
    </row>
    <row r="88" spans="1:7" ht="26.25" customHeight="1">
      <c r="A88" s="2682">
        <v>77</v>
      </c>
      <c r="B88" s="2673" t="s">
        <v>2439</v>
      </c>
      <c r="C88" s="2668" t="s">
        <v>2494</v>
      </c>
      <c r="D88" s="2668">
        <f>+VLOOKUP(B88,Sheet9!B88:AF121,31,0)</f>
        <v>5</v>
      </c>
      <c r="E88" s="2670">
        <v>30000</v>
      </c>
      <c r="F88" s="2671">
        <f t="shared" si="0"/>
        <v>150000</v>
      </c>
      <c r="G88" s="2672"/>
    </row>
    <row r="89" spans="1:7" ht="26.25" customHeight="1">
      <c r="A89" s="2682">
        <v>78</v>
      </c>
      <c r="B89" s="2673" t="s">
        <v>307</v>
      </c>
      <c r="C89" s="2668" t="s">
        <v>2494</v>
      </c>
      <c r="D89" s="2668">
        <f>+VLOOKUP(B89,Sheet9!B89:AF122,31,0)</f>
        <v>5</v>
      </c>
      <c r="E89" s="2670">
        <v>30000</v>
      </c>
      <c r="F89" s="2671">
        <f t="shared" si="0"/>
        <v>150000</v>
      </c>
      <c r="G89" s="2672"/>
    </row>
    <row r="90" spans="1:7" ht="26.25" customHeight="1">
      <c r="A90" s="2682">
        <v>79</v>
      </c>
      <c r="B90" s="2673" t="s">
        <v>2440</v>
      </c>
      <c r="C90" s="2668" t="s">
        <v>2494</v>
      </c>
      <c r="D90" s="2668">
        <f>+VLOOKUP(B90,Sheet9!B90:AF123,31,0)</f>
        <v>5</v>
      </c>
      <c r="E90" s="2670">
        <v>30000</v>
      </c>
      <c r="F90" s="2671">
        <f t="shared" si="0"/>
        <v>150000</v>
      </c>
      <c r="G90" s="2672"/>
    </row>
    <row r="91" spans="1:7" ht="26.25" customHeight="1">
      <c r="A91" s="2682">
        <v>80</v>
      </c>
      <c r="B91" s="2674" t="s">
        <v>2217</v>
      </c>
      <c r="C91" s="2668" t="s">
        <v>2494</v>
      </c>
      <c r="D91" s="2668">
        <f>+VLOOKUP(B91,Sheet9!B91:AF124,31,0)</f>
        <v>4</v>
      </c>
      <c r="E91" s="2670">
        <v>30000</v>
      </c>
      <c r="F91" s="2671">
        <f t="shared" si="0"/>
        <v>120000</v>
      </c>
      <c r="G91" s="2672"/>
    </row>
    <row r="92" spans="1:7" ht="26.25" customHeight="1">
      <c r="A92" s="2682">
        <v>81</v>
      </c>
      <c r="B92" s="2674" t="s">
        <v>2441</v>
      </c>
      <c r="C92" s="2668" t="s">
        <v>2494</v>
      </c>
      <c r="D92" s="2668">
        <f>+VLOOKUP(B92,Sheet9!B92:AF125,31,0)</f>
        <v>4</v>
      </c>
      <c r="E92" s="2670">
        <v>30000</v>
      </c>
      <c r="F92" s="2671">
        <f t="shared" si="0"/>
        <v>120000</v>
      </c>
      <c r="G92" s="2672"/>
    </row>
    <row r="93" spans="1:7" ht="26.25" customHeight="1">
      <c r="A93" s="2682">
        <v>82</v>
      </c>
      <c r="B93" s="2674" t="s">
        <v>2219</v>
      </c>
      <c r="C93" s="2668" t="s">
        <v>2494</v>
      </c>
      <c r="D93" s="2668">
        <f>+VLOOKUP(B93,Sheet9!B93:AF126,31,0)</f>
        <v>4</v>
      </c>
      <c r="E93" s="2670">
        <v>30000</v>
      </c>
      <c r="F93" s="2671">
        <f t="shared" si="0"/>
        <v>120000</v>
      </c>
      <c r="G93" s="2672"/>
    </row>
    <row r="94" spans="1:7" ht="26.25" customHeight="1">
      <c r="A94" s="2682">
        <v>83</v>
      </c>
      <c r="B94" s="2674" t="s">
        <v>2220</v>
      </c>
      <c r="C94" s="2668" t="s">
        <v>2494</v>
      </c>
      <c r="D94" s="2668">
        <f>+VLOOKUP(B94,Sheet9!B94:AF127,31,0)</f>
        <v>4</v>
      </c>
      <c r="E94" s="2670">
        <v>30000</v>
      </c>
      <c r="F94" s="2671">
        <f t="shared" si="0"/>
        <v>120000</v>
      </c>
      <c r="G94" s="2672"/>
    </row>
    <row r="95" spans="1:7" ht="26.25" customHeight="1">
      <c r="A95" s="2682">
        <v>84</v>
      </c>
      <c r="B95" s="2674" t="s">
        <v>2230</v>
      </c>
      <c r="C95" s="2668" t="s">
        <v>167</v>
      </c>
      <c r="D95" s="2668">
        <f>+VLOOKUP(B95,Sheet9!B95:AF128,31,0)</f>
        <v>5</v>
      </c>
      <c r="E95" s="2670">
        <v>30000</v>
      </c>
      <c r="F95" s="2671">
        <f t="shared" si="0"/>
        <v>150000</v>
      </c>
      <c r="G95" s="2672"/>
    </row>
    <row r="96" spans="1:7" ht="26.25" customHeight="1">
      <c r="A96" s="3777">
        <v>85</v>
      </c>
      <c r="B96" s="3778" t="s">
        <v>2231</v>
      </c>
      <c r="C96" s="3779" t="s">
        <v>167</v>
      </c>
      <c r="D96" s="3779">
        <f>+VLOOKUP(B96,Sheet9!B96:AF129,31,0)</f>
        <v>5</v>
      </c>
      <c r="E96" s="3780">
        <v>30000</v>
      </c>
      <c r="F96" s="3781">
        <f t="shared" si="0"/>
        <v>150000</v>
      </c>
      <c r="G96" s="3782"/>
    </row>
    <row r="97" spans="1:7" ht="26.25" customHeight="1">
      <c r="A97" s="4611" t="s">
        <v>1393</v>
      </c>
      <c r="B97" s="4612"/>
      <c r="C97" s="4613"/>
      <c r="D97" s="3783">
        <f>+SUM(D98:D192)</f>
        <v>532</v>
      </c>
      <c r="E97" s="2675"/>
      <c r="F97" s="2596">
        <f>+SUM(F98:F192)</f>
        <v>15960000</v>
      </c>
      <c r="G97" s="2676"/>
    </row>
    <row r="98" spans="1:7" ht="26.25" customHeight="1">
      <c r="A98" s="2679">
        <v>1</v>
      </c>
      <c r="B98" s="2685" t="s">
        <v>2443</v>
      </c>
      <c r="C98" s="2663" t="s">
        <v>167</v>
      </c>
      <c r="D98" s="2663">
        <f>+VLOOKUP(B98,Sheet9!B99:AF169,31,0)</f>
        <v>8</v>
      </c>
      <c r="E98" s="2665">
        <v>30000</v>
      </c>
      <c r="F98" s="2666">
        <f>+D98*E98</f>
        <v>240000</v>
      </c>
      <c r="G98" s="2667"/>
    </row>
    <row r="99" spans="1:7" ht="26.25" customHeight="1">
      <c r="A99" s="2682">
        <v>2</v>
      </c>
      <c r="B99" s="2674" t="s">
        <v>2442</v>
      </c>
      <c r="C99" s="2668" t="s">
        <v>167</v>
      </c>
      <c r="D99" s="2668">
        <f>+VLOOKUP(B99,Sheet9!B100:AF170,31,0)</f>
        <v>8</v>
      </c>
      <c r="E99" s="2670">
        <v>30000</v>
      </c>
      <c r="F99" s="2671">
        <f t="shared" ref="F99:F162" si="1">+D99*E99</f>
        <v>240000</v>
      </c>
      <c r="G99" s="2672"/>
    </row>
    <row r="100" spans="1:7" ht="26.25" customHeight="1">
      <c r="A100" s="2682">
        <v>3</v>
      </c>
      <c r="B100" s="2674" t="s">
        <v>1491</v>
      </c>
      <c r="C100" s="2668" t="s">
        <v>167</v>
      </c>
      <c r="D100" s="2668">
        <f>+VLOOKUP(B100,Sheet9!B101:AF171,31,0)</f>
        <v>8</v>
      </c>
      <c r="E100" s="2670">
        <v>30000</v>
      </c>
      <c r="F100" s="2671">
        <f t="shared" si="1"/>
        <v>240000</v>
      </c>
      <c r="G100" s="2672"/>
    </row>
    <row r="101" spans="1:7" ht="26.25" customHeight="1">
      <c r="A101" s="2682">
        <v>4</v>
      </c>
      <c r="B101" s="2674" t="s">
        <v>1492</v>
      </c>
      <c r="C101" s="2668" t="s">
        <v>167</v>
      </c>
      <c r="D101" s="2668">
        <f>+VLOOKUP(B101,Sheet9!B102:AF172,31,0)</f>
        <v>8</v>
      </c>
      <c r="E101" s="2670">
        <v>30000</v>
      </c>
      <c r="F101" s="2671">
        <f t="shared" si="1"/>
        <v>240000</v>
      </c>
      <c r="G101" s="2672"/>
    </row>
    <row r="102" spans="1:7" ht="26.25" customHeight="1">
      <c r="A102" s="2682">
        <v>5</v>
      </c>
      <c r="B102" s="2674" t="s">
        <v>2444</v>
      </c>
      <c r="C102" s="2668" t="s">
        <v>167</v>
      </c>
      <c r="D102" s="2668">
        <f>+VLOOKUP(B102,Sheet9!B103:AF173,31,0)</f>
        <v>6</v>
      </c>
      <c r="E102" s="2670">
        <v>30000</v>
      </c>
      <c r="F102" s="2671">
        <f t="shared" si="1"/>
        <v>180000</v>
      </c>
      <c r="G102" s="2672"/>
    </row>
    <row r="103" spans="1:7" ht="26.25" customHeight="1">
      <c r="A103" s="2682">
        <v>6</v>
      </c>
      <c r="B103" s="2674" t="s">
        <v>1229</v>
      </c>
      <c r="C103" s="2668" t="s">
        <v>167</v>
      </c>
      <c r="D103" s="2668">
        <f>+VLOOKUP(B103,Sheet9!B104:AF174,31,0)</f>
        <v>8</v>
      </c>
      <c r="E103" s="2670">
        <v>30000</v>
      </c>
      <c r="F103" s="2671">
        <f t="shared" si="1"/>
        <v>240000</v>
      </c>
      <c r="G103" s="2672"/>
    </row>
    <row r="104" spans="1:7" ht="26.25" customHeight="1">
      <c r="A104" s="2682">
        <v>7</v>
      </c>
      <c r="B104" s="2674" t="s">
        <v>327</v>
      </c>
      <c r="C104" s="2668" t="s">
        <v>167</v>
      </c>
      <c r="D104" s="2668">
        <f>+VLOOKUP(B104,Sheet9!B105:AF175,31,0)</f>
        <v>8</v>
      </c>
      <c r="E104" s="2670">
        <v>30000</v>
      </c>
      <c r="F104" s="2671">
        <f t="shared" si="1"/>
        <v>240000</v>
      </c>
      <c r="G104" s="2672"/>
    </row>
    <row r="105" spans="1:7" ht="26.25" customHeight="1">
      <c r="A105" s="2682">
        <v>8</v>
      </c>
      <c r="B105" s="2674" t="s">
        <v>1697</v>
      </c>
      <c r="C105" s="2668" t="s">
        <v>167</v>
      </c>
      <c r="D105" s="2668">
        <f>+VLOOKUP(B105,Sheet9!B106:AF176,31,0)</f>
        <v>9</v>
      </c>
      <c r="E105" s="2670">
        <v>30000</v>
      </c>
      <c r="F105" s="2671">
        <f t="shared" si="1"/>
        <v>270000</v>
      </c>
      <c r="G105" s="2672"/>
    </row>
    <row r="106" spans="1:7" ht="26.25" customHeight="1">
      <c r="A106" s="2682">
        <v>9</v>
      </c>
      <c r="B106" s="2674" t="s">
        <v>2445</v>
      </c>
      <c r="C106" s="2668" t="s">
        <v>167</v>
      </c>
      <c r="D106" s="2668">
        <f>+VLOOKUP(B106,Sheet9!B107:AF177,31,0)</f>
        <v>8</v>
      </c>
      <c r="E106" s="2670">
        <v>30000</v>
      </c>
      <c r="F106" s="2671">
        <f t="shared" si="1"/>
        <v>240000</v>
      </c>
      <c r="G106" s="2672"/>
    </row>
    <row r="107" spans="1:7" ht="26.25" customHeight="1">
      <c r="A107" s="2682">
        <v>10</v>
      </c>
      <c r="B107" s="2674" t="s">
        <v>1700</v>
      </c>
      <c r="C107" s="2668" t="s">
        <v>167</v>
      </c>
      <c r="D107" s="2668">
        <f>+VLOOKUP(B107,Sheet9!B108:AF178,31,0)</f>
        <v>8</v>
      </c>
      <c r="E107" s="2670">
        <v>30000</v>
      </c>
      <c r="F107" s="2671">
        <f t="shared" si="1"/>
        <v>240000</v>
      </c>
      <c r="G107" s="2672"/>
    </row>
    <row r="108" spans="1:7" ht="26.25" customHeight="1">
      <c r="A108" s="2682">
        <v>11</v>
      </c>
      <c r="B108" s="2674" t="s">
        <v>1698</v>
      </c>
      <c r="C108" s="2668" t="s">
        <v>167</v>
      </c>
      <c r="D108" s="2668">
        <f>+VLOOKUP(B108,Sheet9!B109:AF179,31,0)</f>
        <v>8</v>
      </c>
      <c r="E108" s="2670">
        <v>30000</v>
      </c>
      <c r="F108" s="2671">
        <f t="shared" si="1"/>
        <v>240000</v>
      </c>
      <c r="G108" s="2672"/>
    </row>
    <row r="109" spans="1:7" ht="26.25" customHeight="1">
      <c r="A109" s="2682">
        <v>12</v>
      </c>
      <c r="B109" s="2674" t="s">
        <v>1504</v>
      </c>
      <c r="C109" s="2668" t="s">
        <v>167</v>
      </c>
      <c r="D109" s="2668">
        <f>+VLOOKUP(B109,Sheet9!B110:AF180,31,0)</f>
        <v>3</v>
      </c>
      <c r="E109" s="2670">
        <v>30000</v>
      </c>
      <c r="F109" s="2671">
        <f t="shared" si="1"/>
        <v>90000</v>
      </c>
      <c r="G109" s="2672"/>
    </row>
    <row r="110" spans="1:7" ht="26.25" customHeight="1">
      <c r="A110" s="2682">
        <v>13</v>
      </c>
      <c r="B110" s="2674" t="s">
        <v>2446</v>
      </c>
      <c r="C110" s="2668" t="s">
        <v>167</v>
      </c>
      <c r="D110" s="2668">
        <f>+VLOOKUP(B110,Sheet9!B111:AF181,31,0)</f>
        <v>8</v>
      </c>
      <c r="E110" s="2670">
        <v>30000</v>
      </c>
      <c r="F110" s="2671">
        <f t="shared" si="1"/>
        <v>240000</v>
      </c>
      <c r="G110" s="2672"/>
    </row>
    <row r="111" spans="1:7" ht="26.25" customHeight="1">
      <c r="A111" s="2682">
        <v>14</v>
      </c>
      <c r="B111" s="2674" t="s">
        <v>565</v>
      </c>
      <c r="C111" s="2668" t="s">
        <v>167</v>
      </c>
      <c r="D111" s="2668">
        <f>+VLOOKUP(B111,Sheet9!B112:AF182,31,0)</f>
        <v>4</v>
      </c>
      <c r="E111" s="2670">
        <v>30000</v>
      </c>
      <c r="F111" s="2671">
        <f t="shared" si="1"/>
        <v>120000</v>
      </c>
      <c r="G111" s="2672"/>
    </row>
    <row r="112" spans="1:7" ht="26.25" customHeight="1">
      <c r="A112" s="2682">
        <v>15</v>
      </c>
      <c r="B112" s="2674" t="s">
        <v>2447</v>
      </c>
      <c r="C112" s="2668" t="s">
        <v>167</v>
      </c>
      <c r="D112" s="2668">
        <f>+VLOOKUP(B112,Sheet9!B113:AF183,31,0)</f>
        <v>6</v>
      </c>
      <c r="E112" s="2670">
        <v>30000</v>
      </c>
      <c r="F112" s="2671">
        <f t="shared" si="1"/>
        <v>180000</v>
      </c>
      <c r="G112" s="2672"/>
    </row>
    <row r="113" spans="1:7" ht="26.25" customHeight="1">
      <c r="A113" s="2682">
        <v>16</v>
      </c>
      <c r="B113" s="2674" t="s">
        <v>2448</v>
      </c>
      <c r="C113" s="2668" t="s">
        <v>167</v>
      </c>
      <c r="D113" s="2668">
        <f>+VLOOKUP(B113,Sheet9!B114:AF184,31,0)</f>
        <v>6</v>
      </c>
      <c r="E113" s="2670">
        <v>30000</v>
      </c>
      <c r="F113" s="2671">
        <f t="shared" si="1"/>
        <v>180000</v>
      </c>
      <c r="G113" s="2672"/>
    </row>
    <row r="114" spans="1:7" ht="26.25" customHeight="1">
      <c r="A114" s="2682">
        <v>17</v>
      </c>
      <c r="B114" s="2674" t="s">
        <v>2449</v>
      </c>
      <c r="C114" s="2668" t="s">
        <v>167</v>
      </c>
      <c r="D114" s="2668">
        <f>+VLOOKUP(B114,Sheet9!B115:AF185,31,0)</f>
        <v>5</v>
      </c>
      <c r="E114" s="2670">
        <v>30000</v>
      </c>
      <c r="F114" s="2671">
        <f t="shared" si="1"/>
        <v>150000</v>
      </c>
      <c r="G114" s="2672"/>
    </row>
    <row r="115" spans="1:7" ht="26.25" customHeight="1">
      <c r="A115" s="2682">
        <v>18</v>
      </c>
      <c r="B115" s="2674" t="s">
        <v>2450</v>
      </c>
      <c r="C115" s="2668" t="s">
        <v>167</v>
      </c>
      <c r="D115" s="2668">
        <f>+VLOOKUP(B115,Sheet9!B116:AF186,31,0)</f>
        <v>7</v>
      </c>
      <c r="E115" s="2670">
        <v>30000</v>
      </c>
      <c r="F115" s="2671">
        <f t="shared" si="1"/>
        <v>210000</v>
      </c>
      <c r="G115" s="2672"/>
    </row>
    <row r="116" spans="1:7" ht="26.25" customHeight="1">
      <c r="A116" s="2682">
        <v>19</v>
      </c>
      <c r="B116" s="2674" t="s">
        <v>2451</v>
      </c>
      <c r="C116" s="2668" t="s">
        <v>167</v>
      </c>
      <c r="D116" s="2668">
        <f>+VLOOKUP(B116,Sheet9!B117:AF187,31,0)</f>
        <v>9</v>
      </c>
      <c r="E116" s="2670">
        <v>30000</v>
      </c>
      <c r="F116" s="2671">
        <f t="shared" si="1"/>
        <v>270000</v>
      </c>
      <c r="G116" s="2672"/>
    </row>
    <row r="117" spans="1:7" ht="26.25" customHeight="1">
      <c r="A117" s="2682">
        <v>20</v>
      </c>
      <c r="B117" s="2674" t="s">
        <v>2273</v>
      </c>
      <c r="C117" s="2668" t="s">
        <v>167</v>
      </c>
      <c r="D117" s="2668">
        <f>+VLOOKUP(B117,Sheet9!B118:AF188,31,0)</f>
        <v>7</v>
      </c>
      <c r="E117" s="2670">
        <v>30000</v>
      </c>
      <c r="F117" s="2671">
        <f t="shared" si="1"/>
        <v>210000</v>
      </c>
      <c r="G117" s="2672"/>
    </row>
    <row r="118" spans="1:7" ht="26.25" customHeight="1">
      <c r="A118" s="2682">
        <v>21</v>
      </c>
      <c r="B118" s="2674" t="s">
        <v>570</v>
      </c>
      <c r="C118" s="2668" t="s">
        <v>167</v>
      </c>
      <c r="D118" s="2668">
        <f>+VLOOKUP(B118,Sheet9!B119:AF189,31,0)</f>
        <v>7</v>
      </c>
      <c r="E118" s="2670">
        <v>30000</v>
      </c>
      <c r="F118" s="2671">
        <f t="shared" si="1"/>
        <v>210000</v>
      </c>
      <c r="G118" s="2672"/>
    </row>
    <row r="119" spans="1:7" ht="26.25" customHeight="1">
      <c r="A119" s="2682">
        <v>22</v>
      </c>
      <c r="B119" s="2674" t="s">
        <v>1713</v>
      </c>
      <c r="C119" s="2668" t="s">
        <v>167</v>
      </c>
      <c r="D119" s="2668">
        <f>+VLOOKUP(B119,Sheet9!B120:AF190,31,0)</f>
        <v>8</v>
      </c>
      <c r="E119" s="2670">
        <v>30000</v>
      </c>
      <c r="F119" s="2671">
        <f t="shared" si="1"/>
        <v>240000</v>
      </c>
      <c r="G119" s="2672"/>
    </row>
    <row r="120" spans="1:7" ht="26.25" customHeight="1">
      <c r="A120" s="2682">
        <v>23</v>
      </c>
      <c r="B120" s="2674" t="s">
        <v>523</v>
      </c>
      <c r="C120" s="2668" t="s">
        <v>167</v>
      </c>
      <c r="D120" s="2668">
        <f>+VLOOKUP(B120,Sheet9!B121:AF191,31,0)</f>
        <v>8</v>
      </c>
      <c r="E120" s="2670">
        <v>30000</v>
      </c>
      <c r="F120" s="2671">
        <f t="shared" si="1"/>
        <v>240000</v>
      </c>
      <c r="G120" s="2672"/>
    </row>
    <row r="121" spans="1:7" ht="26.25" customHeight="1">
      <c r="A121" s="2682">
        <v>24</v>
      </c>
      <c r="B121" s="2674" t="s">
        <v>2452</v>
      </c>
      <c r="C121" s="2668" t="s">
        <v>2494</v>
      </c>
      <c r="D121" s="2668">
        <f>+VLOOKUP(B121,Sheet9!B122:AF192,31,0)</f>
        <v>9</v>
      </c>
      <c r="E121" s="2670">
        <v>30000</v>
      </c>
      <c r="F121" s="2671">
        <f t="shared" si="1"/>
        <v>270000</v>
      </c>
      <c r="G121" s="2672"/>
    </row>
    <row r="122" spans="1:7" ht="26.25" customHeight="1">
      <c r="A122" s="2682">
        <v>25</v>
      </c>
      <c r="B122" s="2674" t="s">
        <v>2453</v>
      </c>
      <c r="C122" s="2668" t="s">
        <v>2494</v>
      </c>
      <c r="D122" s="2668">
        <f>+VLOOKUP(B122,Sheet9!B123:AF193,31,0)</f>
        <v>9</v>
      </c>
      <c r="E122" s="2670">
        <v>30000</v>
      </c>
      <c r="F122" s="2671">
        <f t="shared" si="1"/>
        <v>270000</v>
      </c>
      <c r="G122" s="2672"/>
    </row>
    <row r="123" spans="1:7" ht="26.25" customHeight="1">
      <c r="A123" s="2682">
        <v>26</v>
      </c>
      <c r="B123" s="2674" t="s">
        <v>2275</v>
      </c>
      <c r="C123" s="2668" t="s">
        <v>2494</v>
      </c>
      <c r="D123" s="2668">
        <f>+VLOOKUP(B123,Sheet9!B124:AF194,31,0)</f>
        <v>9</v>
      </c>
      <c r="E123" s="2670">
        <v>30000</v>
      </c>
      <c r="F123" s="2671">
        <f t="shared" si="1"/>
        <v>270000</v>
      </c>
      <c r="G123" s="2672"/>
    </row>
    <row r="124" spans="1:7" ht="26.25" customHeight="1">
      <c r="A124" s="2682">
        <v>27</v>
      </c>
      <c r="B124" s="2674" t="s">
        <v>2276</v>
      </c>
      <c r="C124" s="2668" t="s">
        <v>2494</v>
      </c>
      <c r="D124" s="2668">
        <f>+VLOOKUP(B124,Sheet9!B125:AF195,31,0)</f>
        <v>9</v>
      </c>
      <c r="E124" s="2670">
        <v>30000</v>
      </c>
      <c r="F124" s="2671">
        <f t="shared" si="1"/>
        <v>270000</v>
      </c>
      <c r="G124" s="2672"/>
    </row>
    <row r="125" spans="1:7" ht="26.25" customHeight="1">
      <c r="A125" s="2682">
        <v>28</v>
      </c>
      <c r="B125" s="2674" t="s">
        <v>2454</v>
      </c>
      <c r="C125" s="2668" t="s">
        <v>2494</v>
      </c>
      <c r="D125" s="2668">
        <f>+VLOOKUP(B125,Sheet9!B126:AF196,31,0)</f>
        <v>9</v>
      </c>
      <c r="E125" s="2670">
        <v>30000</v>
      </c>
      <c r="F125" s="2671">
        <f t="shared" si="1"/>
        <v>270000</v>
      </c>
      <c r="G125" s="2672"/>
    </row>
    <row r="126" spans="1:7" ht="26.25" customHeight="1">
      <c r="A126" s="2682">
        <v>29</v>
      </c>
      <c r="B126" s="2674" t="s">
        <v>2455</v>
      </c>
      <c r="C126" s="2668" t="s">
        <v>2494</v>
      </c>
      <c r="D126" s="2668">
        <f>+VLOOKUP(B126,Sheet9!B127:AF197,31,0)</f>
        <v>9</v>
      </c>
      <c r="E126" s="2670">
        <v>30000</v>
      </c>
      <c r="F126" s="2671">
        <f t="shared" si="1"/>
        <v>270000</v>
      </c>
      <c r="G126" s="2672"/>
    </row>
    <row r="127" spans="1:7" ht="26.25" customHeight="1">
      <c r="A127" s="2682">
        <v>30</v>
      </c>
      <c r="B127" s="2674" t="s">
        <v>2456</v>
      </c>
      <c r="C127" s="2668" t="s">
        <v>2494</v>
      </c>
      <c r="D127" s="2668">
        <f>+VLOOKUP(B127,Sheet9!B128:AF198,31,0)</f>
        <v>9</v>
      </c>
      <c r="E127" s="2670">
        <v>30000</v>
      </c>
      <c r="F127" s="2671">
        <f t="shared" si="1"/>
        <v>270000</v>
      </c>
      <c r="G127" s="2672"/>
    </row>
    <row r="128" spans="1:7" ht="26.25" customHeight="1">
      <c r="A128" s="2682">
        <v>31</v>
      </c>
      <c r="B128" s="2674" t="s">
        <v>1686</v>
      </c>
      <c r="C128" s="2668" t="s">
        <v>2494</v>
      </c>
      <c r="D128" s="2668">
        <f>+VLOOKUP(B128,Sheet9!B129:AF199,31,0)</f>
        <v>9</v>
      </c>
      <c r="E128" s="2670">
        <v>30000</v>
      </c>
      <c r="F128" s="2671">
        <f t="shared" si="1"/>
        <v>270000</v>
      </c>
      <c r="G128" s="2672"/>
    </row>
    <row r="129" spans="1:7" ht="26.25" customHeight="1">
      <c r="A129" s="2682">
        <v>32</v>
      </c>
      <c r="B129" s="2674" t="s">
        <v>2457</v>
      </c>
      <c r="C129" s="2668" t="s">
        <v>2494</v>
      </c>
      <c r="D129" s="2668">
        <f>+VLOOKUP(B129,Sheet9!B130:AF200,31,0)</f>
        <v>9</v>
      </c>
      <c r="E129" s="2670">
        <v>30000</v>
      </c>
      <c r="F129" s="2671">
        <f t="shared" si="1"/>
        <v>270000</v>
      </c>
      <c r="G129" s="2672"/>
    </row>
    <row r="130" spans="1:7" ht="26.25" customHeight="1">
      <c r="A130" s="2682">
        <v>33</v>
      </c>
      <c r="B130" s="2674" t="s">
        <v>2458</v>
      </c>
      <c r="C130" s="2668" t="s">
        <v>2494</v>
      </c>
      <c r="D130" s="2668">
        <f>+VLOOKUP(B130,Sheet9!B131:AF201,31,0)</f>
        <v>9</v>
      </c>
      <c r="E130" s="2670">
        <v>30000</v>
      </c>
      <c r="F130" s="2671">
        <f t="shared" si="1"/>
        <v>270000</v>
      </c>
      <c r="G130" s="2672"/>
    </row>
    <row r="131" spans="1:7" ht="26.25" customHeight="1">
      <c r="A131" s="2682">
        <v>34</v>
      </c>
      <c r="B131" s="2674" t="s">
        <v>2459</v>
      </c>
      <c r="C131" s="2668" t="s">
        <v>2494</v>
      </c>
      <c r="D131" s="2668">
        <f>+VLOOKUP(B131,Sheet9!B132:AF202,31,0)</f>
        <v>8</v>
      </c>
      <c r="E131" s="2670">
        <v>30000</v>
      </c>
      <c r="F131" s="2671">
        <f t="shared" si="1"/>
        <v>240000</v>
      </c>
      <c r="G131" s="2672"/>
    </row>
    <row r="132" spans="1:7" ht="26.25" customHeight="1">
      <c r="A132" s="2682">
        <v>35</v>
      </c>
      <c r="B132" s="2674" t="s">
        <v>2460</v>
      </c>
      <c r="C132" s="2668" t="s">
        <v>2494</v>
      </c>
      <c r="D132" s="2668">
        <f>+VLOOKUP(B132,Sheet9!B133:AF203,31,0)</f>
        <v>6</v>
      </c>
      <c r="E132" s="2670">
        <v>30000</v>
      </c>
      <c r="F132" s="2671">
        <f t="shared" si="1"/>
        <v>180000</v>
      </c>
      <c r="G132" s="2672"/>
    </row>
    <row r="133" spans="1:7" ht="26.25" customHeight="1">
      <c r="A133" s="2682">
        <v>36</v>
      </c>
      <c r="B133" s="2674" t="s">
        <v>2461</v>
      </c>
      <c r="C133" s="2668" t="s">
        <v>2494</v>
      </c>
      <c r="D133" s="2668">
        <f>+VLOOKUP(B133,Sheet9!B134:AF204,31,0)</f>
        <v>8</v>
      </c>
      <c r="E133" s="2670">
        <v>30000</v>
      </c>
      <c r="F133" s="2671">
        <f t="shared" si="1"/>
        <v>240000</v>
      </c>
      <c r="G133" s="2672"/>
    </row>
    <row r="134" spans="1:7" ht="26.25" customHeight="1">
      <c r="A134" s="2682">
        <v>37</v>
      </c>
      <c r="B134" s="2674" t="s">
        <v>2462</v>
      </c>
      <c r="C134" s="2668" t="s">
        <v>2494</v>
      </c>
      <c r="D134" s="2668">
        <f>+VLOOKUP(B134,Sheet9!B135:AF205,31,0)</f>
        <v>8</v>
      </c>
      <c r="E134" s="2670">
        <v>30000</v>
      </c>
      <c r="F134" s="2671">
        <f t="shared" si="1"/>
        <v>240000</v>
      </c>
      <c r="G134" s="2672"/>
    </row>
    <row r="135" spans="1:7" ht="26.25" customHeight="1">
      <c r="A135" s="2682">
        <v>38</v>
      </c>
      <c r="B135" s="2674" t="s">
        <v>842</v>
      </c>
      <c r="C135" s="2668" t="s">
        <v>2494</v>
      </c>
      <c r="D135" s="2668">
        <f>+VLOOKUP(B135,Sheet9!B136:AF206,31,0)</f>
        <v>7</v>
      </c>
      <c r="E135" s="2670">
        <v>30000</v>
      </c>
      <c r="F135" s="2671">
        <f t="shared" si="1"/>
        <v>210000</v>
      </c>
      <c r="G135" s="2672"/>
    </row>
    <row r="136" spans="1:7" ht="26.25" customHeight="1">
      <c r="A136" s="2682">
        <v>39</v>
      </c>
      <c r="B136" s="2674" t="s">
        <v>2463</v>
      </c>
      <c r="C136" s="2668" t="s">
        <v>2494</v>
      </c>
      <c r="D136" s="2668">
        <f>+VLOOKUP(B136,Sheet9!B137:AF207,31,0)</f>
        <v>7</v>
      </c>
      <c r="E136" s="2670">
        <v>30000</v>
      </c>
      <c r="F136" s="2671">
        <f t="shared" si="1"/>
        <v>210000</v>
      </c>
      <c r="G136" s="2672"/>
    </row>
    <row r="137" spans="1:7" ht="26.25" customHeight="1">
      <c r="A137" s="2682">
        <v>40</v>
      </c>
      <c r="B137" s="2674" t="s">
        <v>2464</v>
      </c>
      <c r="C137" s="2668" t="s">
        <v>2494</v>
      </c>
      <c r="D137" s="2668">
        <f>+VLOOKUP(B137,Sheet9!B138:AF208,31,0)</f>
        <v>7</v>
      </c>
      <c r="E137" s="2670">
        <v>30000</v>
      </c>
      <c r="F137" s="2671">
        <f t="shared" si="1"/>
        <v>210000</v>
      </c>
      <c r="G137" s="2672"/>
    </row>
    <row r="138" spans="1:7" ht="26.25" customHeight="1">
      <c r="A138" s="2682">
        <v>41</v>
      </c>
      <c r="B138" s="2674" t="s">
        <v>2465</v>
      </c>
      <c r="C138" s="2668" t="s">
        <v>2494</v>
      </c>
      <c r="D138" s="2668">
        <f>+VLOOKUP(B138,Sheet9!B139:AF209,31,0)</f>
        <v>3</v>
      </c>
      <c r="E138" s="2670">
        <v>30000</v>
      </c>
      <c r="F138" s="2671">
        <f t="shared" si="1"/>
        <v>90000</v>
      </c>
      <c r="G138" s="2672"/>
    </row>
    <row r="139" spans="1:7" ht="26.25" customHeight="1">
      <c r="A139" s="2682">
        <v>42</v>
      </c>
      <c r="B139" s="2674" t="s">
        <v>1507</v>
      </c>
      <c r="C139" s="2668" t="s">
        <v>2494</v>
      </c>
      <c r="D139" s="2668">
        <f>+VLOOKUP(B139,Sheet9!B140:AF210,31,0)</f>
        <v>1</v>
      </c>
      <c r="E139" s="2670">
        <v>30000</v>
      </c>
      <c r="F139" s="2671">
        <f t="shared" si="1"/>
        <v>30000</v>
      </c>
      <c r="G139" s="2672"/>
    </row>
    <row r="140" spans="1:7" ht="26.25" customHeight="1">
      <c r="A140" s="2682">
        <v>43</v>
      </c>
      <c r="B140" s="2674" t="s">
        <v>1489</v>
      </c>
      <c r="C140" s="2668" t="s">
        <v>167</v>
      </c>
      <c r="D140" s="2668">
        <f>+VLOOKUP(B140,Sheet9!B141:AF211,31,0)</f>
        <v>4</v>
      </c>
      <c r="E140" s="2670">
        <v>30000</v>
      </c>
      <c r="F140" s="2671">
        <f t="shared" si="1"/>
        <v>120000</v>
      </c>
      <c r="G140" s="2672"/>
    </row>
    <row r="141" spans="1:7" ht="26.25" customHeight="1">
      <c r="A141" s="2682">
        <v>44</v>
      </c>
      <c r="B141" s="2674" t="s">
        <v>1614</v>
      </c>
      <c r="C141" s="2668" t="s">
        <v>167</v>
      </c>
      <c r="D141" s="2668">
        <f>+VLOOKUP(B141,Sheet9!B142:AF212,31,0)</f>
        <v>4</v>
      </c>
      <c r="E141" s="2670">
        <v>30000</v>
      </c>
      <c r="F141" s="2671">
        <f t="shared" si="1"/>
        <v>120000</v>
      </c>
      <c r="G141" s="2672"/>
    </row>
    <row r="142" spans="1:7" ht="26.25" customHeight="1">
      <c r="A142" s="2682">
        <v>45</v>
      </c>
      <c r="B142" s="2674" t="s">
        <v>2466</v>
      </c>
      <c r="C142" s="2668" t="s">
        <v>167</v>
      </c>
      <c r="D142" s="2668">
        <f>+VLOOKUP(B142,Sheet9!B143:AF213,31,0)</f>
        <v>4</v>
      </c>
      <c r="E142" s="2670">
        <v>30000</v>
      </c>
      <c r="F142" s="2671">
        <f t="shared" si="1"/>
        <v>120000</v>
      </c>
      <c r="G142" s="2672"/>
    </row>
    <row r="143" spans="1:7" ht="26.25" customHeight="1">
      <c r="A143" s="2682">
        <v>46</v>
      </c>
      <c r="B143" s="2674" t="s">
        <v>1909</v>
      </c>
      <c r="C143" s="2668" t="s">
        <v>167</v>
      </c>
      <c r="D143" s="2668">
        <f>+VLOOKUP(B143,Sheet9!B144:AF214,31,0)</f>
        <v>3</v>
      </c>
      <c r="E143" s="2670">
        <v>30000</v>
      </c>
      <c r="F143" s="2671">
        <f t="shared" si="1"/>
        <v>90000</v>
      </c>
      <c r="G143" s="2672"/>
    </row>
    <row r="144" spans="1:7" ht="26.25" customHeight="1">
      <c r="A144" s="2682">
        <v>47</v>
      </c>
      <c r="B144" s="2674" t="s">
        <v>1494</v>
      </c>
      <c r="C144" s="2668" t="s">
        <v>167</v>
      </c>
      <c r="D144" s="2668">
        <f>+VLOOKUP(B144,Sheet9!B145:AF215,31,0)</f>
        <v>4</v>
      </c>
      <c r="E144" s="2670">
        <v>30000</v>
      </c>
      <c r="F144" s="2671">
        <f t="shared" si="1"/>
        <v>120000</v>
      </c>
      <c r="G144" s="2672"/>
    </row>
    <row r="145" spans="1:7" ht="26.25" customHeight="1">
      <c r="A145" s="2682">
        <v>48</v>
      </c>
      <c r="B145" s="2674" t="s">
        <v>1617</v>
      </c>
      <c r="C145" s="2668" t="s">
        <v>167</v>
      </c>
      <c r="D145" s="2668">
        <f>+VLOOKUP(B145,Sheet9!B146:AF216,31,0)</f>
        <v>4</v>
      </c>
      <c r="E145" s="2670">
        <v>30000</v>
      </c>
      <c r="F145" s="2671">
        <f t="shared" si="1"/>
        <v>120000</v>
      </c>
      <c r="G145" s="2672"/>
    </row>
    <row r="146" spans="1:7" ht="26.25" customHeight="1">
      <c r="A146" s="2682">
        <v>49</v>
      </c>
      <c r="B146" s="2674" t="s">
        <v>1495</v>
      </c>
      <c r="C146" s="2668" t="s">
        <v>167</v>
      </c>
      <c r="D146" s="2668">
        <f>+VLOOKUP(B146,Sheet9!B147:AF217,31,0)</f>
        <v>4</v>
      </c>
      <c r="E146" s="2670">
        <v>30000</v>
      </c>
      <c r="F146" s="2671">
        <f t="shared" si="1"/>
        <v>120000</v>
      </c>
      <c r="G146" s="2672"/>
    </row>
    <row r="147" spans="1:7" ht="26.25" customHeight="1">
      <c r="A147" s="2682">
        <v>50</v>
      </c>
      <c r="B147" s="2674" t="s">
        <v>2430</v>
      </c>
      <c r="C147" s="2668" t="s">
        <v>167</v>
      </c>
      <c r="D147" s="2668">
        <f>+VLOOKUP(B147,Sheet9!B148:AF218,31,0)</f>
        <v>4</v>
      </c>
      <c r="E147" s="2670">
        <v>30000</v>
      </c>
      <c r="F147" s="2671">
        <f t="shared" si="1"/>
        <v>120000</v>
      </c>
      <c r="G147" s="2672"/>
    </row>
    <row r="148" spans="1:7" ht="26.25" customHeight="1">
      <c r="A148" s="2682">
        <v>51</v>
      </c>
      <c r="B148" s="2674" t="s">
        <v>2467</v>
      </c>
      <c r="C148" s="2668" t="s">
        <v>167</v>
      </c>
      <c r="D148" s="2668">
        <f>+VLOOKUP(B148,Sheet9!B149:AF219,31,0)</f>
        <v>3</v>
      </c>
      <c r="E148" s="2670">
        <v>30000</v>
      </c>
      <c r="F148" s="2671">
        <f t="shared" si="1"/>
        <v>90000</v>
      </c>
      <c r="G148" s="2672"/>
    </row>
    <row r="149" spans="1:7" ht="26.25" customHeight="1">
      <c r="A149" s="2682">
        <v>52</v>
      </c>
      <c r="B149" s="2674" t="s">
        <v>2468</v>
      </c>
      <c r="C149" s="2668" t="s">
        <v>167</v>
      </c>
      <c r="D149" s="2668">
        <f>+VLOOKUP(B149,Sheet9!B150:AF220,31,0)</f>
        <v>4</v>
      </c>
      <c r="E149" s="2670">
        <v>30000</v>
      </c>
      <c r="F149" s="2671">
        <f t="shared" si="1"/>
        <v>120000</v>
      </c>
      <c r="G149" s="2672"/>
    </row>
    <row r="150" spans="1:7" ht="26.25" customHeight="1">
      <c r="A150" s="2682">
        <v>53</v>
      </c>
      <c r="B150" s="2674" t="s">
        <v>1537</v>
      </c>
      <c r="C150" s="2668" t="s">
        <v>167</v>
      </c>
      <c r="D150" s="2668">
        <f>+VLOOKUP(B150,Sheet9!B151:AF221,31,0)</f>
        <v>4</v>
      </c>
      <c r="E150" s="2670">
        <v>30000</v>
      </c>
      <c r="F150" s="2671">
        <f t="shared" si="1"/>
        <v>120000</v>
      </c>
      <c r="G150" s="2672"/>
    </row>
    <row r="151" spans="1:7" ht="26.25" customHeight="1">
      <c r="A151" s="2682">
        <v>54</v>
      </c>
      <c r="B151" s="2674" t="s">
        <v>1501</v>
      </c>
      <c r="C151" s="2668" t="s">
        <v>167</v>
      </c>
      <c r="D151" s="2668">
        <f>+VLOOKUP(B151,Sheet9!B152:AF222,31,0)</f>
        <v>3</v>
      </c>
      <c r="E151" s="2670">
        <v>30000</v>
      </c>
      <c r="F151" s="2671">
        <f t="shared" si="1"/>
        <v>90000</v>
      </c>
      <c r="G151" s="2672"/>
    </row>
    <row r="152" spans="1:7" ht="26.25" customHeight="1">
      <c r="A152" s="2682">
        <v>55</v>
      </c>
      <c r="B152" s="2674" t="s">
        <v>1505</v>
      </c>
      <c r="C152" s="2668" t="s">
        <v>167</v>
      </c>
      <c r="D152" s="2668">
        <f>+VLOOKUP(B152,Sheet9!B153:AF223,31,0)</f>
        <v>4</v>
      </c>
      <c r="E152" s="2670">
        <v>30000</v>
      </c>
      <c r="F152" s="2671">
        <f t="shared" si="1"/>
        <v>120000</v>
      </c>
      <c r="G152" s="2672"/>
    </row>
    <row r="153" spans="1:7" ht="26.25" customHeight="1">
      <c r="A153" s="2682">
        <v>56</v>
      </c>
      <c r="B153" s="2674" t="s">
        <v>2469</v>
      </c>
      <c r="C153" s="2668" t="s">
        <v>167</v>
      </c>
      <c r="D153" s="2668">
        <f>+VLOOKUP(B153,Sheet9!B154:AF224,31,0)</f>
        <v>4</v>
      </c>
      <c r="E153" s="2670">
        <v>30000</v>
      </c>
      <c r="F153" s="2671">
        <f t="shared" si="1"/>
        <v>120000</v>
      </c>
      <c r="G153" s="2672"/>
    </row>
    <row r="154" spans="1:7" ht="26.25" customHeight="1">
      <c r="A154" s="2682">
        <v>57</v>
      </c>
      <c r="B154" s="2674" t="s">
        <v>1075</v>
      </c>
      <c r="C154" s="2668" t="s">
        <v>167</v>
      </c>
      <c r="D154" s="2668">
        <f>+VLOOKUP(B154,Sheet9!B155:AF225,31,0)</f>
        <v>4</v>
      </c>
      <c r="E154" s="2670">
        <v>30000</v>
      </c>
      <c r="F154" s="2671">
        <f t="shared" si="1"/>
        <v>120000</v>
      </c>
      <c r="G154" s="2672"/>
    </row>
    <row r="155" spans="1:7" ht="26.25" customHeight="1">
      <c r="A155" s="2682">
        <v>58</v>
      </c>
      <c r="B155" s="2674" t="s">
        <v>2207</v>
      </c>
      <c r="C155" s="2668" t="s">
        <v>167</v>
      </c>
      <c r="D155" s="2668">
        <f>+VLOOKUP(B155,Sheet9!B156:AF226,31,0)</f>
        <v>4</v>
      </c>
      <c r="E155" s="2670">
        <v>30000</v>
      </c>
      <c r="F155" s="2671">
        <f t="shared" si="1"/>
        <v>120000</v>
      </c>
      <c r="G155" s="2672"/>
    </row>
    <row r="156" spans="1:7" ht="26.25" customHeight="1">
      <c r="A156" s="2682">
        <v>59</v>
      </c>
      <c r="B156" s="2674" t="s">
        <v>1538</v>
      </c>
      <c r="C156" s="2668" t="s">
        <v>167</v>
      </c>
      <c r="D156" s="2668">
        <f>+VLOOKUP(B156,Sheet9!B157:AF227,31,0)</f>
        <v>3</v>
      </c>
      <c r="E156" s="2670">
        <v>30000</v>
      </c>
      <c r="F156" s="2671">
        <f t="shared" si="1"/>
        <v>90000</v>
      </c>
      <c r="G156" s="2672"/>
    </row>
    <row r="157" spans="1:7" ht="26.25" customHeight="1">
      <c r="A157" s="2682">
        <v>60</v>
      </c>
      <c r="B157" s="2674" t="s">
        <v>2470</v>
      </c>
      <c r="C157" s="2668" t="s">
        <v>167</v>
      </c>
      <c r="D157" s="2668">
        <f>+VLOOKUP(B157,Sheet9!B158:AF228,31,0)</f>
        <v>4</v>
      </c>
      <c r="E157" s="2670">
        <v>30000</v>
      </c>
      <c r="F157" s="2671">
        <f t="shared" si="1"/>
        <v>120000</v>
      </c>
      <c r="G157" s="2672"/>
    </row>
    <row r="158" spans="1:7" ht="26.25" customHeight="1">
      <c r="A158" s="2682">
        <v>61</v>
      </c>
      <c r="B158" s="2674" t="s">
        <v>1540</v>
      </c>
      <c r="C158" s="2668" t="s">
        <v>167</v>
      </c>
      <c r="D158" s="2668">
        <f>+VLOOKUP(B158,Sheet9!B159:AF229,31,0)</f>
        <v>4</v>
      </c>
      <c r="E158" s="2670">
        <v>30000</v>
      </c>
      <c r="F158" s="2671">
        <f t="shared" si="1"/>
        <v>120000</v>
      </c>
      <c r="G158" s="2672"/>
    </row>
    <row r="159" spans="1:7" ht="26.25" customHeight="1">
      <c r="A159" s="2682">
        <v>62</v>
      </c>
      <c r="B159" s="2674" t="s">
        <v>2471</v>
      </c>
      <c r="C159" s="2668" t="s">
        <v>167</v>
      </c>
      <c r="D159" s="2668">
        <f>+VLOOKUP(B159,Sheet9!B160:AF230,31,0)</f>
        <v>4</v>
      </c>
      <c r="E159" s="2670">
        <v>30000</v>
      </c>
      <c r="F159" s="2671">
        <f t="shared" si="1"/>
        <v>120000</v>
      </c>
      <c r="G159" s="2672"/>
    </row>
    <row r="160" spans="1:7" ht="26.25" customHeight="1">
      <c r="A160" s="2682">
        <v>63</v>
      </c>
      <c r="B160" s="2674" t="s">
        <v>1694</v>
      </c>
      <c r="C160" s="2668" t="s">
        <v>167</v>
      </c>
      <c r="D160" s="2668">
        <f>+VLOOKUP(B160,Sheet9!B161:AF231,31,0)</f>
        <v>4</v>
      </c>
      <c r="E160" s="2670">
        <v>30000</v>
      </c>
      <c r="F160" s="2671">
        <f t="shared" si="1"/>
        <v>120000</v>
      </c>
      <c r="G160" s="2672"/>
    </row>
    <row r="161" spans="1:7" ht="26.25" customHeight="1">
      <c r="A161" s="2682">
        <v>64</v>
      </c>
      <c r="B161" s="2674" t="s">
        <v>1616</v>
      </c>
      <c r="C161" s="2668" t="s">
        <v>167</v>
      </c>
      <c r="D161" s="2668">
        <f>+VLOOKUP(B161,Sheet9!B162:AF232,31,0)</f>
        <v>4</v>
      </c>
      <c r="E161" s="2670">
        <v>30000</v>
      </c>
      <c r="F161" s="2671">
        <f t="shared" si="1"/>
        <v>120000</v>
      </c>
      <c r="G161" s="2672"/>
    </row>
    <row r="162" spans="1:7" ht="26.25" customHeight="1">
      <c r="A162" s="2682">
        <v>65</v>
      </c>
      <c r="B162" s="2674" t="s">
        <v>2236</v>
      </c>
      <c r="C162" s="2668" t="s">
        <v>167</v>
      </c>
      <c r="D162" s="2668">
        <f>+VLOOKUP(B162,Sheet9!B163:AF233,31,0)</f>
        <v>4</v>
      </c>
      <c r="E162" s="2670">
        <v>30000</v>
      </c>
      <c r="F162" s="2671">
        <f t="shared" si="1"/>
        <v>120000</v>
      </c>
      <c r="G162" s="2672"/>
    </row>
    <row r="163" spans="1:7" ht="26.25" customHeight="1">
      <c r="A163" s="2682">
        <v>66</v>
      </c>
      <c r="B163" s="2674" t="s">
        <v>2472</v>
      </c>
      <c r="C163" s="2668" t="s">
        <v>167</v>
      </c>
      <c r="D163" s="2668">
        <f>+VLOOKUP(B163,Sheet9!B164:AF234,31,0)</f>
        <v>4</v>
      </c>
      <c r="E163" s="2670">
        <v>30000</v>
      </c>
      <c r="F163" s="2671">
        <f t="shared" ref="F163:F192" si="2">+D163*E163</f>
        <v>120000</v>
      </c>
      <c r="G163" s="2672"/>
    </row>
    <row r="164" spans="1:7" ht="26.25" customHeight="1">
      <c r="A164" s="2682">
        <v>67</v>
      </c>
      <c r="B164" s="2674" t="s">
        <v>2473</v>
      </c>
      <c r="C164" s="2668" t="s">
        <v>167</v>
      </c>
      <c r="D164" s="2668">
        <f>+VLOOKUP(B164,Sheet9!B165:AF235,31,0)</f>
        <v>4</v>
      </c>
      <c r="E164" s="2670">
        <v>30000</v>
      </c>
      <c r="F164" s="2671">
        <f t="shared" si="2"/>
        <v>120000</v>
      </c>
      <c r="G164" s="2672"/>
    </row>
    <row r="165" spans="1:7" ht="26.25" customHeight="1">
      <c r="A165" s="2682">
        <v>68</v>
      </c>
      <c r="B165" s="2674" t="s">
        <v>2474</v>
      </c>
      <c r="C165" s="2668" t="s">
        <v>167</v>
      </c>
      <c r="D165" s="2668">
        <f>+VLOOKUP(B165,Sheet9!B166:AF236,31,0)</f>
        <v>4</v>
      </c>
      <c r="E165" s="2670">
        <v>30000</v>
      </c>
      <c r="F165" s="2671">
        <f t="shared" si="2"/>
        <v>120000</v>
      </c>
      <c r="G165" s="2672"/>
    </row>
    <row r="166" spans="1:7" ht="26.25" customHeight="1">
      <c r="A166" s="2682">
        <v>69</v>
      </c>
      <c r="B166" s="2674" t="s">
        <v>2475</v>
      </c>
      <c r="C166" s="2668" t="s">
        <v>167</v>
      </c>
      <c r="D166" s="2668">
        <f>+VLOOKUP(B166,Sheet9!B167:AF237,31,0)</f>
        <v>4</v>
      </c>
      <c r="E166" s="2670">
        <v>30000</v>
      </c>
      <c r="F166" s="2671">
        <f t="shared" si="2"/>
        <v>120000</v>
      </c>
      <c r="G166" s="2672"/>
    </row>
    <row r="167" spans="1:7" ht="26.25" customHeight="1">
      <c r="A167" s="2682">
        <v>70</v>
      </c>
      <c r="B167" s="2674" t="s">
        <v>2476</v>
      </c>
      <c r="C167" s="2668" t="s">
        <v>167</v>
      </c>
      <c r="D167" s="2668">
        <f>+VLOOKUP(B167,Sheet9!B168:AF238,31,0)</f>
        <v>4</v>
      </c>
      <c r="E167" s="2670">
        <v>30000</v>
      </c>
      <c r="F167" s="2671">
        <f t="shared" si="2"/>
        <v>120000</v>
      </c>
      <c r="G167" s="2672"/>
    </row>
    <row r="168" spans="1:7" ht="26.25" customHeight="1">
      <c r="A168" s="2682">
        <v>71</v>
      </c>
      <c r="B168" s="2674" t="s">
        <v>2493</v>
      </c>
      <c r="C168" s="2668" t="s">
        <v>167</v>
      </c>
      <c r="D168" s="2668">
        <f>+VLOOKUP(B168,Sheet9!B169:AF239,31,0)</f>
        <v>3</v>
      </c>
      <c r="E168" s="2670">
        <v>30000</v>
      </c>
      <c r="F168" s="2671">
        <f t="shared" si="2"/>
        <v>90000</v>
      </c>
      <c r="G168" s="2672"/>
    </row>
    <row r="169" spans="1:7" ht="26.25" customHeight="1">
      <c r="A169" s="2682">
        <v>72</v>
      </c>
      <c r="B169" s="2674" t="s">
        <v>2279</v>
      </c>
      <c r="C169" s="2668" t="s">
        <v>167</v>
      </c>
      <c r="D169" s="2668">
        <f>+VLOOKUP(B169,Sheet9!B170:AF240,31,0)</f>
        <v>5</v>
      </c>
      <c r="E169" s="2670">
        <v>30000</v>
      </c>
      <c r="F169" s="2671">
        <f t="shared" si="2"/>
        <v>150000</v>
      </c>
      <c r="G169" s="2672"/>
    </row>
    <row r="170" spans="1:7" ht="26.25" customHeight="1">
      <c r="A170" s="2682">
        <v>73</v>
      </c>
      <c r="B170" s="2674" t="s">
        <v>2478</v>
      </c>
      <c r="C170" s="2668" t="s">
        <v>167</v>
      </c>
      <c r="D170" s="2668">
        <f>+VLOOKUP(B170,Sheet9!B171:AF241,31,0)</f>
        <v>5</v>
      </c>
      <c r="E170" s="2670">
        <v>30000</v>
      </c>
      <c r="F170" s="2671">
        <f t="shared" si="2"/>
        <v>150000</v>
      </c>
      <c r="G170" s="2672"/>
    </row>
    <row r="171" spans="1:7" ht="26.25" customHeight="1">
      <c r="A171" s="2682">
        <v>74</v>
      </c>
      <c r="B171" s="2674" t="s">
        <v>568</v>
      </c>
      <c r="C171" s="2668" t="s">
        <v>167</v>
      </c>
      <c r="D171" s="2668">
        <f>+VLOOKUP(B171,Sheet9!B172:AF242,31,0)</f>
        <v>4</v>
      </c>
      <c r="E171" s="2670">
        <v>30000</v>
      </c>
      <c r="F171" s="2671">
        <f t="shared" si="2"/>
        <v>120000</v>
      </c>
      <c r="G171" s="2672"/>
    </row>
    <row r="172" spans="1:7" ht="26.25" customHeight="1">
      <c r="A172" s="2682">
        <v>75</v>
      </c>
      <c r="B172" s="2674" t="s">
        <v>847</v>
      </c>
      <c r="C172" s="2668" t="s">
        <v>167</v>
      </c>
      <c r="D172" s="2668">
        <f>+VLOOKUP(B172,Sheet9!B173:AF243,31,0)</f>
        <v>5</v>
      </c>
      <c r="E172" s="2670">
        <v>30000</v>
      </c>
      <c r="F172" s="2671">
        <f t="shared" si="2"/>
        <v>150000</v>
      </c>
      <c r="G172" s="2672"/>
    </row>
    <row r="173" spans="1:7" ht="26.25" customHeight="1">
      <c r="A173" s="2682">
        <v>76</v>
      </c>
      <c r="B173" s="2674" t="s">
        <v>2479</v>
      </c>
      <c r="C173" s="2668" t="s">
        <v>167</v>
      </c>
      <c r="D173" s="2668">
        <f>+VLOOKUP(B173,Sheet9!B174:AF244,31,0)</f>
        <v>5</v>
      </c>
      <c r="E173" s="2670">
        <v>30000</v>
      </c>
      <c r="F173" s="2671">
        <f t="shared" si="2"/>
        <v>150000</v>
      </c>
      <c r="G173" s="2672"/>
    </row>
    <row r="174" spans="1:7" ht="26.25" customHeight="1">
      <c r="A174" s="2682">
        <v>77</v>
      </c>
      <c r="B174" s="2674" t="s">
        <v>2480</v>
      </c>
      <c r="C174" s="2668" t="s">
        <v>167</v>
      </c>
      <c r="D174" s="2668">
        <f>+VLOOKUP(B174,Sheet9!B175:AF245,31,0)</f>
        <v>4</v>
      </c>
      <c r="E174" s="2670">
        <v>30000</v>
      </c>
      <c r="F174" s="2671">
        <f t="shared" si="2"/>
        <v>120000</v>
      </c>
      <c r="G174" s="2672"/>
    </row>
    <row r="175" spans="1:7" ht="26.25" customHeight="1">
      <c r="A175" s="2682">
        <v>78</v>
      </c>
      <c r="B175" s="2674" t="s">
        <v>2481</v>
      </c>
      <c r="C175" s="2668" t="s">
        <v>167</v>
      </c>
      <c r="D175" s="2668">
        <f>+VLOOKUP(B175,Sheet9!B176:AF246,31,0)</f>
        <v>5</v>
      </c>
      <c r="E175" s="2670">
        <v>30000</v>
      </c>
      <c r="F175" s="2671">
        <f t="shared" si="2"/>
        <v>150000</v>
      </c>
      <c r="G175" s="2672"/>
    </row>
    <row r="176" spans="1:7" ht="26.25" customHeight="1">
      <c r="A176" s="2682">
        <v>79</v>
      </c>
      <c r="B176" s="2674" t="s">
        <v>2482</v>
      </c>
      <c r="C176" s="2668" t="s">
        <v>167</v>
      </c>
      <c r="D176" s="2668">
        <f>+VLOOKUP(B176,Sheet9!B177:AF247,31,0)</f>
        <v>5</v>
      </c>
      <c r="E176" s="2670">
        <v>30000</v>
      </c>
      <c r="F176" s="2671">
        <f t="shared" si="2"/>
        <v>150000</v>
      </c>
      <c r="G176" s="2672"/>
    </row>
    <row r="177" spans="1:7" ht="26.25" customHeight="1">
      <c r="A177" s="2682">
        <v>80</v>
      </c>
      <c r="B177" s="2674" t="s">
        <v>2293</v>
      </c>
      <c r="C177" s="2668" t="s">
        <v>167</v>
      </c>
      <c r="D177" s="2668">
        <f>+VLOOKUP(B177,Sheet9!B178:AF248,31,0)</f>
        <v>5</v>
      </c>
      <c r="E177" s="2670">
        <v>30000</v>
      </c>
      <c r="F177" s="2671">
        <f t="shared" si="2"/>
        <v>150000</v>
      </c>
      <c r="G177" s="2672"/>
    </row>
    <row r="178" spans="1:7" ht="26.25" customHeight="1">
      <c r="A178" s="2682">
        <v>81</v>
      </c>
      <c r="B178" s="2674" t="s">
        <v>2287</v>
      </c>
      <c r="C178" s="2668" t="s">
        <v>167</v>
      </c>
      <c r="D178" s="2668">
        <f>+VLOOKUP(B178,Sheet9!B179:AF249,31,0)</f>
        <v>4</v>
      </c>
      <c r="E178" s="2670">
        <v>30000</v>
      </c>
      <c r="F178" s="2671">
        <f t="shared" si="2"/>
        <v>120000</v>
      </c>
      <c r="G178" s="2672"/>
    </row>
    <row r="179" spans="1:7" ht="26.25" customHeight="1">
      <c r="A179" s="2682">
        <v>82</v>
      </c>
      <c r="B179" s="2674" t="s">
        <v>1207</v>
      </c>
      <c r="C179" s="2668" t="s">
        <v>167</v>
      </c>
      <c r="D179" s="2668">
        <f>+VLOOKUP(B179,Sheet9!B180:AF250,31,0)</f>
        <v>4</v>
      </c>
      <c r="E179" s="2670">
        <v>30000</v>
      </c>
      <c r="F179" s="2671">
        <f t="shared" si="2"/>
        <v>120000</v>
      </c>
      <c r="G179" s="2672"/>
    </row>
    <row r="180" spans="1:7" ht="26.25" customHeight="1">
      <c r="A180" s="2682">
        <v>83</v>
      </c>
      <c r="B180" s="2674" t="s">
        <v>1515</v>
      </c>
      <c r="C180" s="2668" t="s">
        <v>167</v>
      </c>
      <c r="D180" s="2668">
        <f>+VLOOKUP(B180,Sheet9!B181:AF251,31,0)</f>
        <v>5</v>
      </c>
      <c r="E180" s="2670">
        <v>30000</v>
      </c>
      <c r="F180" s="2671">
        <f t="shared" si="2"/>
        <v>150000</v>
      </c>
      <c r="G180" s="2672"/>
    </row>
    <row r="181" spans="1:7" ht="26.25" customHeight="1">
      <c r="A181" s="2682">
        <v>84</v>
      </c>
      <c r="B181" s="2674" t="s">
        <v>2483</v>
      </c>
      <c r="C181" s="2668" t="s">
        <v>167</v>
      </c>
      <c r="D181" s="2668">
        <f>+VLOOKUP(B181,Sheet9!B182:AF252,31,0)</f>
        <v>3</v>
      </c>
      <c r="E181" s="2670">
        <v>30000</v>
      </c>
      <c r="F181" s="2671">
        <f t="shared" si="2"/>
        <v>90000</v>
      </c>
      <c r="G181" s="2672"/>
    </row>
    <row r="182" spans="1:7" ht="26.25" customHeight="1">
      <c r="A182" s="2682">
        <v>85</v>
      </c>
      <c r="B182" s="2674" t="s">
        <v>1513</v>
      </c>
      <c r="C182" s="2668" t="s">
        <v>167</v>
      </c>
      <c r="D182" s="2668">
        <f>+VLOOKUP(B182,Sheet9!B183:AF253,31,0)</f>
        <v>5</v>
      </c>
      <c r="E182" s="2670">
        <v>30000</v>
      </c>
      <c r="F182" s="2671">
        <f t="shared" si="2"/>
        <v>150000</v>
      </c>
      <c r="G182" s="2672"/>
    </row>
    <row r="183" spans="1:7" ht="26.25" customHeight="1">
      <c r="A183" s="2682">
        <v>86</v>
      </c>
      <c r="B183" s="2674" t="s">
        <v>2484</v>
      </c>
      <c r="C183" s="2668" t="s">
        <v>167</v>
      </c>
      <c r="D183" s="2668">
        <f>+VLOOKUP(B183,Sheet9!B184:AF254,31,0)</f>
        <v>4</v>
      </c>
      <c r="E183" s="2670">
        <v>30000</v>
      </c>
      <c r="F183" s="2671">
        <f t="shared" si="2"/>
        <v>120000</v>
      </c>
      <c r="G183" s="2672"/>
    </row>
    <row r="184" spans="1:7" ht="26.25" customHeight="1">
      <c r="A184" s="2682">
        <v>87</v>
      </c>
      <c r="B184" s="2674" t="s">
        <v>2485</v>
      </c>
      <c r="C184" s="2668" t="s">
        <v>167</v>
      </c>
      <c r="D184" s="2668">
        <f>+VLOOKUP(B184,Sheet9!B185:AF255,31,0)</f>
        <v>5</v>
      </c>
      <c r="E184" s="2670">
        <v>30000</v>
      </c>
      <c r="F184" s="2671">
        <f t="shared" si="2"/>
        <v>150000</v>
      </c>
      <c r="G184" s="2672"/>
    </row>
    <row r="185" spans="1:7" ht="26.25" customHeight="1">
      <c r="A185" s="2682">
        <v>88</v>
      </c>
      <c r="B185" s="2674" t="s">
        <v>2486</v>
      </c>
      <c r="C185" s="2668" t="s">
        <v>167</v>
      </c>
      <c r="D185" s="2668">
        <f>+VLOOKUP(B185,Sheet9!B186:AF256,31,0)</f>
        <v>5</v>
      </c>
      <c r="E185" s="2670">
        <v>30000</v>
      </c>
      <c r="F185" s="2671">
        <f t="shared" si="2"/>
        <v>150000</v>
      </c>
      <c r="G185" s="2672"/>
    </row>
    <row r="186" spans="1:7" ht="26.25" customHeight="1">
      <c r="A186" s="2682">
        <v>89</v>
      </c>
      <c r="B186" s="2674" t="s">
        <v>2487</v>
      </c>
      <c r="C186" s="2668" t="s">
        <v>167</v>
      </c>
      <c r="D186" s="2668">
        <f>+VLOOKUP(B186,Sheet9!B187:AF257,31,0)</f>
        <v>5</v>
      </c>
      <c r="E186" s="2670">
        <v>30000</v>
      </c>
      <c r="F186" s="2671">
        <f t="shared" si="2"/>
        <v>150000</v>
      </c>
      <c r="G186" s="2672"/>
    </row>
    <row r="187" spans="1:7" ht="26.25" customHeight="1">
      <c r="A187" s="2682">
        <v>90</v>
      </c>
      <c r="B187" s="2674" t="s">
        <v>2488</v>
      </c>
      <c r="C187" s="2668" t="s">
        <v>167</v>
      </c>
      <c r="D187" s="2668">
        <f>+VLOOKUP(B187,Sheet9!B188:AF258,31,0)</f>
        <v>5</v>
      </c>
      <c r="E187" s="2670">
        <v>30000</v>
      </c>
      <c r="F187" s="2671">
        <f t="shared" si="2"/>
        <v>150000</v>
      </c>
      <c r="G187" s="2672"/>
    </row>
    <row r="188" spans="1:7" ht="26.25" customHeight="1">
      <c r="A188" s="2682">
        <v>91</v>
      </c>
      <c r="B188" s="2674" t="s">
        <v>2489</v>
      </c>
      <c r="C188" s="2668" t="s">
        <v>167</v>
      </c>
      <c r="D188" s="2668">
        <f>+VLOOKUP(B188,Sheet9!B189:AF259,31,0)</f>
        <v>5</v>
      </c>
      <c r="E188" s="2670">
        <v>30000</v>
      </c>
      <c r="F188" s="2671">
        <f t="shared" si="2"/>
        <v>150000</v>
      </c>
      <c r="G188" s="2672"/>
    </row>
    <row r="189" spans="1:7" ht="26.25" customHeight="1">
      <c r="A189" s="2682">
        <v>92</v>
      </c>
      <c r="B189" s="2674" t="s">
        <v>2490</v>
      </c>
      <c r="C189" s="2668" t="s">
        <v>167</v>
      </c>
      <c r="D189" s="2668">
        <f>+VLOOKUP(B189,Sheet9!B190:AF260,31,0)</f>
        <v>4</v>
      </c>
      <c r="E189" s="2670">
        <v>30000</v>
      </c>
      <c r="F189" s="2671">
        <f t="shared" si="2"/>
        <v>120000</v>
      </c>
      <c r="G189" s="2672"/>
    </row>
    <row r="190" spans="1:7" ht="26.25" customHeight="1">
      <c r="A190" s="2682">
        <v>93</v>
      </c>
      <c r="B190" s="2674" t="s">
        <v>567</v>
      </c>
      <c r="C190" s="2668" t="s">
        <v>167</v>
      </c>
      <c r="D190" s="2668">
        <f>+VLOOKUP(B190,Sheet9!B191:AF261,31,0)</f>
        <v>5</v>
      </c>
      <c r="E190" s="2670">
        <v>30000</v>
      </c>
      <c r="F190" s="2671">
        <f t="shared" si="2"/>
        <v>150000</v>
      </c>
      <c r="G190" s="2672"/>
    </row>
    <row r="191" spans="1:7" ht="26.25" customHeight="1">
      <c r="A191" s="2682">
        <v>94</v>
      </c>
      <c r="B191" s="2674" t="s">
        <v>2491</v>
      </c>
      <c r="C191" s="2668" t="s">
        <v>167</v>
      </c>
      <c r="D191" s="2668">
        <f>+VLOOKUP(B191,Sheet9!B192:AF262,31,0)</f>
        <v>4</v>
      </c>
      <c r="E191" s="2670">
        <v>30000</v>
      </c>
      <c r="F191" s="2671">
        <f t="shared" si="2"/>
        <v>120000</v>
      </c>
      <c r="G191" s="2672"/>
    </row>
    <row r="192" spans="1:7" ht="26.25" customHeight="1">
      <c r="A192" s="3777">
        <v>95</v>
      </c>
      <c r="B192" s="3778" t="s">
        <v>2492</v>
      </c>
      <c r="C192" s="3779" t="s">
        <v>167</v>
      </c>
      <c r="D192" s="3779">
        <f>+VLOOKUP(B192,Sheet9!B193:AF263,31,0)</f>
        <v>5</v>
      </c>
      <c r="E192" s="3780">
        <v>30000</v>
      </c>
      <c r="F192" s="3781">
        <f t="shared" si="2"/>
        <v>150000</v>
      </c>
      <c r="G192" s="3782"/>
    </row>
    <row r="193" spans="1:7" ht="26.25" customHeight="1">
      <c r="A193" s="4609" t="s">
        <v>1372</v>
      </c>
      <c r="B193" s="4609"/>
      <c r="C193" s="4609"/>
      <c r="D193" s="2610">
        <f>+SUM(D194:D217)</f>
        <v>135</v>
      </c>
      <c r="E193" s="2606"/>
      <c r="F193" s="2606">
        <f>+SUM(F194:F217)</f>
        <v>4050000</v>
      </c>
      <c r="G193" s="2605">
        <f>B193</f>
        <v>0</v>
      </c>
    </row>
    <row r="194" spans="1:7" s="2681" customFormat="1" ht="26.25" customHeight="1">
      <c r="A194" s="2679">
        <v>19</v>
      </c>
      <c r="B194" s="2680" t="s">
        <v>1216</v>
      </c>
      <c r="C194" s="2663" t="s">
        <v>167</v>
      </c>
      <c r="D194" s="2663">
        <f>+VLOOKUP(B194,Sheet9!B196:AF219,31,0)</f>
        <v>6</v>
      </c>
      <c r="E194" s="2665">
        <v>30000</v>
      </c>
      <c r="F194" s="2666">
        <f>+D194*E194</f>
        <v>180000</v>
      </c>
      <c r="G194" s="2667"/>
    </row>
    <row r="195" spans="1:7" s="2684" customFormat="1" ht="26.25" customHeight="1">
      <c r="A195" s="2682">
        <v>20</v>
      </c>
      <c r="B195" s="2683" t="s">
        <v>351</v>
      </c>
      <c r="C195" s="2668" t="s">
        <v>167</v>
      </c>
      <c r="D195" s="2668">
        <f>+VLOOKUP(B195,Sheet9!B197:AF220,31,0)</f>
        <v>5</v>
      </c>
      <c r="E195" s="2670">
        <v>30000</v>
      </c>
      <c r="F195" s="2671">
        <f t="shared" ref="F195:F217" si="3">+D195*E195</f>
        <v>150000</v>
      </c>
      <c r="G195" s="2672"/>
    </row>
    <row r="196" spans="1:7" s="2684" customFormat="1" ht="26.25" customHeight="1">
      <c r="A196" s="2682">
        <v>21</v>
      </c>
      <c r="B196" s="2683" t="s">
        <v>334</v>
      </c>
      <c r="C196" s="2668" t="s">
        <v>167</v>
      </c>
      <c r="D196" s="2668">
        <f>+VLOOKUP(B196,Sheet9!B198:AF221,31,0)</f>
        <v>7</v>
      </c>
      <c r="E196" s="2670">
        <v>30000</v>
      </c>
      <c r="F196" s="2671">
        <f t="shared" si="3"/>
        <v>210000</v>
      </c>
      <c r="G196" s="2672"/>
    </row>
    <row r="197" spans="1:7" s="2684" customFormat="1" ht="26.25" customHeight="1">
      <c r="A197" s="2682">
        <v>22</v>
      </c>
      <c r="B197" s="2683" t="s">
        <v>1218</v>
      </c>
      <c r="C197" s="2668" t="s">
        <v>167</v>
      </c>
      <c r="D197" s="2668">
        <f>+VLOOKUP(B197,Sheet9!B199:AF222,31,0)</f>
        <v>6</v>
      </c>
      <c r="E197" s="2670">
        <v>30000</v>
      </c>
      <c r="F197" s="2671">
        <f t="shared" si="3"/>
        <v>180000</v>
      </c>
      <c r="G197" s="2672"/>
    </row>
    <row r="198" spans="1:7" s="2684" customFormat="1" ht="26.25" customHeight="1">
      <c r="A198" s="2682">
        <v>23</v>
      </c>
      <c r="B198" s="2683" t="s">
        <v>1517</v>
      </c>
      <c r="C198" s="2668" t="s">
        <v>167</v>
      </c>
      <c r="D198" s="2668">
        <f>+VLOOKUP(B198,Sheet9!B200:AF223,31,0)</f>
        <v>6</v>
      </c>
      <c r="E198" s="2670">
        <v>30000</v>
      </c>
      <c r="F198" s="2671">
        <f t="shared" si="3"/>
        <v>180000</v>
      </c>
      <c r="G198" s="2672"/>
    </row>
    <row r="199" spans="1:7" s="2684" customFormat="1" ht="26.25" customHeight="1">
      <c r="A199" s="2682">
        <v>24</v>
      </c>
      <c r="B199" s="2683" t="s">
        <v>1217</v>
      </c>
      <c r="C199" s="2668" t="s">
        <v>167</v>
      </c>
      <c r="D199" s="2668">
        <f>+VLOOKUP(B199,Sheet9!B201:AF224,31,0)</f>
        <v>6</v>
      </c>
      <c r="E199" s="2670">
        <v>30000</v>
      </c>
      <c r="F199" s="2671">
        <f t="shared" si="3"/>
        <v>180000</v>
      </c>
      <c r="G199" s="2672"/>
    </row>
    <row r="200" spans="1:7" s="2684" customFormat="1" ht="26.25" customHeight="1">
      <c r="A200" s="2682">
        <v>25</v>
      </c>
      <c r="B200" s="2683" t="s">
        <v>1545</v>
      </c>
      <c r="C200" s="2668" t="s">
        <v>167</v>
      </c>
      <c r="D200" s="2668">
        <f>+VLOOKUP(B200,Sheet9!B202:AF225,31,0)</f>
        <v>5</v>
      </c>
      <c r="E200" s="2670">
        <v>30000</v>
      </c>
      <c r="F200" s="2671">
        <f t="shared" si="3"/>
        <v>150000</v>
      </c>
      <c r="G200" s="2672"/>
    </row>
    <row r="201" spans="1:7" s="2684" customFormat="1" ht="26.25" customHeight="1">
      <c r="A201" s="2682">
        <v>26</v>
      </c>
      <c r="B201" s="2683" t="s">
        <v>152</v>
      </c>
      <c r="C201" s="2668" t="s">
        <v>167</v>
      </c>
      <c r="D201" s="2668">
        <f>+VLOOKUP(B201,Sheet9!B203:AF226,31,0)</f>
        <v>3</v>
      </c>
      <c r="E201" s="2670">
        <v>30000</v>
      </c>
      <c r="F201" s="2671">
        <f t="shared" si="3"/>
        <v>90000</v>
      </c>
      <c r="G201" s="2672"/>
    </row>
    <row r="202" spans="1:7" s="2684" customFormat="1" ht="26.25" customHeight="1">
      <c r="A202" s="2682">
        <v>27</v>
      </c>
      <c r="B202" s="2683" t="s">
        <v>571</v>
      </c>
      <c r="C202" s="2668" t="s">
        <v>167</v>
      </c>
      <c r="D202" s="2668">
        <f>+VLOOKUP(B202,Sheet9!B204:AF227,31,0)</f>
        <v>5</v>
      </c>
      <c r="E202" s="2670">
        <v>30000</v>
      </c>
      <c r="F202" s="2671">
        <f t="shared" si="3"/>
        <v>150000</v>
      </c>
      <c r="G202" s="2672"/>
    </row>
    <row r="203" spans="1:7" s="2684" customFormat="1" ht="26.25" customHeight="1">
      <c r="A203" s="2682">
        <v>28</v>
      </c>
      <c r="B203" s="2683" t="s">
        <v>1219</v>
      </c>
      <c r="C203" s="2668" t="s">
        <v>167</v>
      </c>
      <c r="D203" s="2668">
        <f>+VLOOKUP(B203,Sheet9!B205:AF228,31,0)</f>
        <v>7</v>
      </c>
      <c r="E203" s="2670">
        <v>30000</v>
      </c>
      <c r="F203" s="2671">
        <f t="shared" si="3"/>
        <v>210000</v>
      </c>
      <c r="G203" s="2672"/>
    </row>
    <row r="204" spans="1:7" s="2684" customFormat="1" ht="26.25" customHeight="1">
      <c r="A204" s="2682">
        <v>29</v>
      </c>
      <c r="B204" s="2683" t="s">
        <v>853</v>
      </c>
      <c r="C204" s="2668" t="s">
        <v>167</v>
      </c>
      <c r="D204" s="2668">
        <f>+VLOOKUP(B204,Sheet9!B206:AF229,31,0)</f>
        <v>6</v>
      </c>
      <c r="E204" s="2670">
        <v>30000</v>
      </c>
      <c r="F204" s="2671">
        <f t="shared" si="3"/>
        <v>180000</v>
      </c>
      <c r="G204" s="2672"/>
    </row>
    <row r="205" spans="1:7" s="2684" customFormat="1" ht="26.25" customHeight="1">
      <c r="A205" s="2682">
        <v>30</v>
      </c>
      <c r="B205" s="2683" t="s">
        <v>1220</v>
      </c>
      <c r="C205" s="2668" t="s">
        <v>167</v>
      </c>
      <c r="D205" s="2668">
        <f>+VLOOKUP(B205,Sheet9!B207:AF230,31,0)</f>
        <v>4</v>
      </c>
      <c r="E205" s="2670">
        <v>30000</v>
      </c>
      <c r="F205" s="2671">
        <f t="shared" si="3"/>
        <v>120000</v>
      </c>
      <c r="G205" s="2672"/>
    </row>
    <row r="206" spans="1:7" s="2684" customFormat="1" ht="26.25" customHeight="1">
      <c r="A206" s="2682">
        <v>31</v>
      </c>
      <c r="B206" s="2683" t="s">
        <v>1221</v>
      </c>
      <c r="C206" s="2668" t="s">
        <v>167</v>
      </c>
      <c r="D206" s="2668">
        <f>+VLOOKUP(B206,Sheet9!B208:AF231,31,0)</f>
        <v>5</v>
      </c>
      <c r="E206" s="2670">
        <v>30000</v>
      </c>
      <c r="F206" s="2671">
        <f t="shared" si="3"/>
        <v>150000</v>
      </c>
      <c r="G206" s="2672"/>
    </row>
    <row r="207" spans="1:7" s="2684" customFormat="1" ht="26.25" customHeight="1">
      <c r="A207" s="2682">
        <v>32</v>
      </c>
      <c r="B207" s="2683" t="s">
        <v>1222</v>
      </c>
      <c r="C207" s="2668" t="s">
        <v>167</v>
      </c>
      <c r="D207" s="2668">
        <f>+VLOOKUP(B207,Sheet9!B209:AF232,31,0)</f>
        <v>6</v>
      </c>
      <c r="E207" s="2670">
        <v>30000</v>
      </c>
      <c r="F207" s="2671">
        <f t="shared" si="3"/>
        <v>180000</v>
      </c>
      <c r="G207" s="2672"/>
    </row>
    <row r="208" spans="1:7" s="2684" customFormat="1" ht="26.25" customHeight="1">
      <c r="A208" s="2682">
        <v>33</v>
      </c>
      <c r="B208" s="2683" t="s">
        <v>1223</v>
      </c>
      <c r="C208" s="2668" t="s">
        <v>167</v>
      </c>
      <c r="D208" s="2668">
        <f>+VLOOKUP(B208,Sheet9!B210:AF233,31,0)</f>
        <v>7</v>
      </c>
      <c r="E208" s="2670">
        <v>30000</v>
      </c>
      <c r="F208" s="2671">
        <f t="shared" si="3"/>
        <v>210000</v>
      </c>
      <c r="G208" s="2672"/>
    </row>
    <row r="209" spans="1:12" s="2684" customFormat="1" ht="26.25" customHeight="1">
      <c r="A209" s="2682">
        <v>34</v>
      </c>
      <c r="B209" s="2683" t="s">
        <v>1224</v>
      </c>
      <c r="C209" s="2668" t="s">
        <v>167</v>
      </c>
      <c r="D209" s="2668">
        <f>+VLOOKUP(B209,Sheet9!B211:AF234,31,0)</f>
        <v>7</v>
      </c>
      <c r="E209" s="2670">
        <v>30000</v>
      </c>
      <c r="F209" s="2671">
        <f t="shared" si="3"/>
        <v>210000</v>
      </c>
      <c r="G209" s="2672"/>
    </row>
    <row r="210" spans="1:12" s="2684" customFormat="1" ht="26.25" customHeight="1">
      <c r="A210" s="2682">
        <v>35</v>
      </c>
      <c r="B210" s="2683" t="s">
        <v>1546</v>
      </c>
      <c r="C210" s="2668" t="s">
        <v>167</v>
      </c>
      <c r="D210" s="2668">
        <f>+VLOOKUP(B210,Sheet9!B212:AF235,31,0)</f>
        <v>7</v>
      </c>
      <c r="E210" s="2670">
        <v>30000</v>
      </c>
      <c r="F210" s="2671">
        <f t="shared" si="3"/>
        <v>210000</v>
      </c>
      <c r="G210" s="2672"/>
    </row>
    <row r="211" spans="1:12" s="2684" customFormat="1" ht="26.25" customHeight="1">
      <c r="A211" s="2682">
        <v>36</v>
      </c>
      <c r="B211" s="2683" t="s">
        <v>1226</v>
      </c>
      <c r="C211" s="2668" t="s">
        <v>167</v>
      </c>
      <c r="D211" s="2668">
        <f>+VLOOKUP(B211,Sheet9!B213:AF236,31,0)</f>
        <v>5</v>
      </c>
      <c r="E211" s="2670">
        <v>30000</v>
      </c>
      <c r="F211" s="2671">
        <f t="shared" si="3"/>
        <v>150000</v>
      </c>
      <c r="G211" s="2672"/>
    </row>
    <row r="212" spans="1:12" s="2684" customFormat="1" ht="26.25" customHeight="1">
      <c r="A212" s="2682">
        <v>37</v>
      </c>
      <c r="B212" s="2683" t="s">
        <v>861</v>
      </c>
      <c r="C212" s="2668" t="s">
        <v>167</v>
      </c>
      <c r="D212" s="2668">
        <f>+VLOOKUP(B212,Sheet9!B214:AF237,31,0)</f>
        <v>7</v>
      </c>
      <c r="E212" s="2670">
        <v>30000</v>
      </c>
      <c r="F212" s="2671">
        <f t="shared" si="3"/>
        <v>210000</v>
      </c>
      <c r="G212" s="2672"/>
    </row>
    <row r="213" spans="1:12" s="2684" customFormat="1" ht="26.25" customHeight="1">
      <c r="A213" s="2682">
        <v>38</v>
      </c>
      <c r="B213" s="2683" t="s">
        <v>486</v>
      </c>
      <c r="C213" s="2668" t="s">
        <v>167</v>
      </c>
      <c r="D213" s="2668">
        <f>+VLOOKUP(B213,Sheet9!B215:AF238,31,0)</f>
        <v>7</v>
      </c>
      <c r="E213" s="2670">
        <v>30000</v>
      </c>
      <c r="F213" s="2671">
        <f t="shared" si="3"/>
        <v>210000</v>
      </c>
      <c r="G213" s="2672"/>
    </row>
    <row r="214" spans="1:12" s="2684" customFormat="1" ht="26.25" customHeight="1">
      <c r="A214" s="2682">
        <v>39</v>
      </c>
      <c r="B214" s="2683" t="s">
        <v>836</v>
      </c>
      <c r="C214" s="2668" t="s">
        <v>167</v>
      </c>
      <c r="D214" s="2668">
        <f>+VLOOKUP(B214,Sheet9!B216:AF239,31,0)</f>
        <v>3</v>
      </c>
      <c r="E214" s="2670">
        <v>30000</v>
      </c>
      <c r="F214" s="2671">
        <f t="shared" si="3"/>
        <v>90000</v>
      </c>
      <c r="G214" s="2672"/>
    </row>
    <row r="215" spans="1:12" s="2684" customFormat="1" ht="26.25" customHeight="1">
      <c r="A215" s="2682">
        <v>40</v>
      </c>
      <c r="B215" s="2683" t="s">
        <v>1227</v>
      </c>
      <c r="C215" s="2668" t="s">
        <v>167</v>
      </c>
      <c r="D215" s="2668">
        <f>+VLOOKUP(B215,Sheet9!B217:AF240,31,0)</f>
        <v>3</v>
      </c>
      <c r="E215" s="2670">
        <v>30000</v>
      </c>
      <c r="F215" s="2671">
        <f t="shared" si="3"/>
        <v>90000</v>
      </c>
      <c r="G215" s="2672"/>
    </row>
    <row r="216" spans="1:12" s="2684" customFormat="1" ht="26.25" customHeight="1">
      <c r="A216" s="2682">
        <v>41</v>
      </c>
      <c r="B216" s="2683" t="s">
        <v>1228</v>
      </c>
      <c r="C216" s="2668" t="s">
        <v>167</v>
      </c>
      <c r="D216" s="2668">
        <f>+VLOOKUP(B216,Sheet9!B218:AF241,31,0)</f>
        <v>7</v>
      </c>
      <c r="E216" s="2670">
        <v>30000</v>
      </c>
      <c r="F216" s="2671">
        <f t="shared" si="3"/>
        <v>210000</v>
      </c>
      <c r="G216" s="2672"/>
    </row>
    <row r="217" spans="1:12" s="2684" customFormat="1" ht="26.25" customHeight="1">
      <c r="A217" s="3777">
        <v>42</v>
      </c>
      <c r="B217" s="3580" t="s">
        <v>1229</v>
      </c>
      <c r="C217" s="3779" t="s">
        <v>167</v>
      </c>
      <c r="D217" s="3779">
        <f>+VLOOKUP(B217,Sheet9!B219:AF242,31,0)</f>
        <v>5</v>
      </c>
      <c r="E217" s="3780">
        <v>30000</v>
      </c>
      <c r="F217" s="3781">
        <f t="shared" si="3"/>
        <v>150000</v>
      </c>
      <c r="G217" s="3782"/>
    </row>
    <row r="218" spans="1:12" ht="26.25" customHeight="1">
      <c r="A218" s="4610" t="s">
        <v>61</v>
      </c>
      <c r="B218" s="4610"/>
      <c r="C218" s="4610"/>
      <c r="D218" s="2611">
        <f>+D193+D97+D11</f>
        <v>1262</v>
      </c>
      <c r="E218" s="2611">
        <f>+E193+E97+E11</f>
        <v>0</v>
      </c>
      <c r="F218" s="2611">
        <f>+F193+F97+F11</f>
        <v>37860000</v>
      </c>
      <c r="G218" s="2608"/>
    </row>
    <row r="219" spans="1:12" ht="26.25" customHeight="1">
      <c r="A219" s="4604" t="s">
        <v>2495</v>
      </c>
      <c r="B219" s="4605"/>
      <c r="C219" s="4605"/>
      <c r="D219" s="4605"/>
      <c r="E219" s="4605"/>
      <c r="F219" s="4605"/>
      <c r="G219" s="4606"/>
    </row>
    <row r="220" spans="1:12" ht="16.5">
      <c r="A220" s="2609"/>
      <c r="B220" s="2609"/>
      <c r="C220" s="2609"/>
      <c r="D220" s="2609"/>
      <c r="E220" s="2609"/>
      <c r="F220" s="2609"/>
      <c r="G220" s="2609"/>
      <c r="L220">
        <f>+D218*30000</f>
        <v>37860000</v>
      </c>
    </row>
    <row r="221" spans="1:12" ht="16.5">
      <c r="A221" s="4597" t="s">
        <v>2496</v>
      </c>
      <c r="B221" s="4597"/>
      <c r="C221" s="4597"/>
      <c r="D221" s="4597"/>
      <c r="E221" s="4597"/>
      <c r="F221" s="4597"/>
      <c r="G221" s="4597"/>
    </row>
    <row r="222" spans="1:12" ht="16.5">
      <c r="A222" s="4598" t="s">
        <v>1612</v>
      </c>
      <c r="B222" s="4598"/>
      <c r="C222" s="4598"/>
      <c r="D222" s="4598"/>
      <c r="E222" s="4598"/>
      <c r="F222" s="4598"/>
      <c r="G222" s="4598"/>
    </row>
    <row r="226" spans="1:7" ht="18" customHeight="1"/>
    <row r="230" spans="1:7" ht="16.5">
      <c r="A230" s="4599" t="s">
        <v>1643</v>
      </c>
      <c r="B230" s="4599"/>
      <c r="C230" s="4599"/>
      <c r="D230" s="4599"/>
      <c r="E230" s="4599"/>
      <c r="F230" s="4599"/>
      <c r="G230" s="4599"/>
    </row>
    <row r="249" spans="10:13">
      <c r="J249" s="2368" t="s">
        <v>1604</v>
      </c>
      <c r="K249">
        <f>9+8+32+96+60+12</f>
        <v>217</v>
      </c>
    </row>
    <row r="250" spans="10:13">
      <c r="J250" s="2368" t="s">
        <v>1605</v>
      </c>
      <c r="K250">
        <f>31+36</f>
        <v>67</v>
      </c>
    </row>
    <row r="251" spans="10:13">
      <c r="K251">
        <f>+K249+K250</f>
        <v>284</v>
      </c>
      <c r="L251">
        <f>+K251/4</f>
        <v>71</v>
      </c>
      <c r="M251" s="2614">
        <f>+L251*300000</f>
        <v>21300000</v>
      </c>
    </row>
  </sheetData>
  <mergeCells count="15">
    <mergeCell ref="A221:G221"/>
    <mergeCell ref="A222:G222"/>
    <mergeCell ref="A230:G230"/>
    <mergeCell ref="A9:F9"/>
    <mergeCell ref="A11:C11"/>
    <mergeCell ref="A193:C193"/>
    <mergeCell ref="A218:C218"/>
    <mergeCell ref="A219:G219"/>
    <mergeCell ref="A97:C97"/>
    <mergeCell ref="A8:G8"/>
    <mergeCell ref="A1:G1"/>
    <mergeCell ref="A2:G2"/>
    <mergeCell ref="A3:G3"/>
    <mergeCell ref="A5:E5"/>
    <mergeCell ref="A6:E6"/>
  </mergeCells>
  <pageMargins left="0.48" right="0.36" top="0.74803149606299213" bottom="0.74803149606299213" header="0.31496062992125984" footer="0.31496062992125984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J105"/>
  <sheetViews>
    <sheetView topLeftCell="A6" workbookViewId="0">
      <pane xSplit="3" ySplit="3" topLeftCell="D9" activePane="bottomRight" state="frozen"/>
      <selection activeCell="A6" sqref="A6"/>
      <selection pane="topRight" activeCell="D6" sqref="D6"/>
      <selection pane="bottomLeft" activeCell="A9" sqref="A9"/>
      <selection pane="bottomRight" activeCell="AK22" sqref="AK22"/>
    </sheetView>
  </sheetViews>
  <sheetFormatPr defaultRowHeight="12.75"/>
  <cols>
    <col min="1" max="1" width="7" style="18" customWidth="1"/>
    <col min="2" max="2" width="10.5703125" style="18" customWidth="1"/>
    <col min="3" max="3" width="10.7109375" style="18" customWidth="1"/>
    <col min="4" max="4" width="5.5703125" style="18" customWidth="1"/>
    <col min="5" max="25" width="3.5703125" style="18" customWidth="1"/>
    <col min="26" max="28" width="3.5703125" style="352" customWidth="1"/>
    <col min="29" max="32" width="3.5703125" style="18" customWidth="1"/>
    <col min="33" max="33" width="3.5703125" style="352" customWidth="1"/>
    <col min="34" max="34" width="3.5703125" style="18" customWidth="1"/>
    <col min="35" max="35" width="6.5703125" style="353" customWidth="1"/>
    <col min="36" max="36" width="8.140625" style="18" customWidth="1"/>
  </cols>
  <sheetData>
    <row r="1" spans="1:36">
      <c r="A1" s="4483" t="s">
        <v>431</v>
      </c>
      <c r="B1" s="4483"/>
      <c r="C1" s="4483"/>
      <c r="D1" s="4483"/>
      <c r="E1" s="4483"/>
      <c r="F1" s="4483"/>
      <c r="G1" s="4483"/>
      <c r="H1" s="513"/>
      <c r="I1" s="321"/>
      <c r="J1" s="321"/>
      <c r="K1" s="321"/>
      <c r="L1" s="513"/>
      <c r="M1" s="107"/>
      <c r="N1" s="321"/>
      <c r="O1" s="321"/>
      <c r="P1" s="513"/>
      <c r="Q1" s="321"/>
      <c r="R1" s="321"/>
      <c r="S1" s="107"/>
      <c r="T1" s="322"/>
      <c r="U1" s="322"/>
      <c r="V1" s="4614" t="s">
        <v>23</v>
      </c>
      <c r="W1" s="4614"/>
      <c r="X1" s="4614"/>
      <c r="Y1" s="4614"/>
      <c r="Z1" s="4614"/>
      <c r="AA1" s="4614"/>
      <c r="AB1" s="4614"/>
      <c r="AC1" s="4614"/>
      <c r="AD1" s="4614"/>
      <c r="AE1" s="4614"/>
      <c r="AF1" s="4614"/>
      <c r="AG1" s="4614"/>
      <c r="AH1" s="4614"/>
      <c r="AI1" s="4614"/>
      <c r="AJ1" s="4614"/>
    </row>
    <row r="2" spans="1:36">
      <c r="A2" s="4483" t="s">
        <v>90</v>
      </c>
      <c r="B2" s="4483"/>
      <c r="C2" s="4483"/>
      <c r="D2" s="4483"/>
      <c r="E2" s="4483"/>
      <c r="F2" s="4483"/>
      <c r="G2" s="4483"/>
      <c r="H2" s="513"/>
      <c r="I2" s="321"/>
      <c r="J2" s="321"/>
      <c r="K2" s="321"/>
      <c r="L2" s="513"/>
      <c r="M2" s="107"/>
      <c r="N2" s="321"/>
      <c r="O2" s="321"/>
      <c r="P2" s="513"/>
      <c r="Q2" s="321"/>
      <c r="R2" s="321"/>
      <c r="S2" s="107"/>
      <c r="T2" s="322"/>
      <c r="U2" s="322"/>
      <c r="V2" s="4614" t="s">
        <v>45</v>
      </c>
      <c r="W2" s="4614"/>
      <c r="X2" s="4614"/>
      <c r="Y2" s="4614"/>
      <c r="Z2" s="4614"/>
      <c r="AA2" s="4614"/>
      <c r="AB2" s="4614"/>
      <c r="AC2" s="4614"/>
      <c r="AD2" s="4614"/>
      <c r="AE2" s="4614"/>
      <c r="AF2" s="4614"/>
      <c r="AG2" s="4614"/>
      <c r="AH2" s="4614"/>
      <c r="AI2" s="4614"/>
      <c r="AJ2" s="4614"/>
    </row>
    <row r="3" spans="1:36">
      <c r="A3" s="107"/>
      <c r="B3" s="107"/>
      <c r="C3" s="107"/>
      <c r="D3" s="107"/>
      <c r="E3" s="107"/>
      <c r="F3" s="107"/>
      <c r="G3" s="107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513"/>
      <c r="AA3" s="513"/>
      <c r="AB3" s="513"/>
      <c r="AC3" s="321"/>
      <c r="AD3" s="321"/>
      <c r="AE3" s="321"/>
      <c r="AF3" s="321"/>
      <c r="AG3" s="513"/>
      <c r="AH3" s="107"/>
      <c r="AI3" s="323"/>
      <c r="AJ3" s="31"/>
    </row>
    <row r="4" spans="1:36" ht="18.75">
      <c r="A4" s="4222" t="s">
        <v>493</v>
      </c>
      <c r="B4" s="4222"/>
      <c r="C4" s="4222"/>
      <c r="D4" s="4222"/>
      <c r="E4" s="4222"/>
      <c r="F4" s="4222"/>
      <c r="G4" s="4222"/>
      <c r="H4" s="4222"/>
      <c r="I4" s="4222"/>
      <c r="J4" s="4222"/>
      <c r="K4" s="4222"/>
      <c r="L4" s="4222"/>
      <c r="M4" s="4222"/>
      <c r="N4" s="4222"/>
      <c r="O4" s="4222"/>
      <c r="P4" s="4222"/>
      <c r="Q4" s="4222"/>
      <c r="R4" s="4222"/>
      <c r="S4" s="4222"/>
      <c r="T4" s="4222"/>
      <c r="U4" s="4222"/>
      <c r="V4" s="4222"/>
      <c r="W4" s="4222"/>
      <c r="X4" s="4222"/>
      <c r="Y4" s="4222"/>
      <c r="Z4" s="4222"/>
      <c r="AA4" s="4222"/>
      <c r="AB4" s="4222"/>
      <c r="AC4" s="4222"/>
      <c r="AD4" s="4222"/>
      <c r="AE4" s="4222"/>
      <c r="AF4" s="4222"/>
      <c r="AG4" s="4222"/>
      <c r="AH4" s="4222"/>
      <c r="AI4" s="4222"/>
      <c r="AJ4" s="4222"/>
    </row>
    <row r="5" spans="1:36" ht="20.25">
      <c r="A5" s="324"/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  <c r="W5" s="324"/>
      <c r="X5" s="324"/>
      <c r="Y5" s="324"/>
      <c r="Z5" s="324"/>
      <c r="AA5" s="324"/>
      <c r="AB5" s="324"/>
      <c r="AC5" s="324"/>
      <c r="AD5" s="324"/>
      <c r="AE5" s="324"/>
      <c r="AF5" s="324"/>
      <c r="AG5" s="324"/>
      <c r="AH5" s="324"/>
      <c r="AI5" s="325"/>
      <c r="AJ5" s="31"/>
    </row>
    <row r="6" spans="1:36" ht="12.75" customHeight="1">
      <c r="A6" s="4496" t="s">
        <v>0</v>
      </c>
      <c r="B6" s="4495" t="s">
        <v>432</v>
      </c>
      <c r="C6" s="4496" t="s">
        <v>155</v>
      </c>
      <c r="D6" s="4621" t="s">
        <v>433</v>
      </c>
      <c r="E6" s="4622"/>
      <c r="F6" s="4622"/>
      <c r="G6" s="4622"/>
      <c r="H6" s="4622"/>
      <c r="I6" s="4622"/>
      <c r="J6" s="4622"/>
      <c r="K6" s="4622"/>
      <c r="L6" s="4622"/>
      <c r="M6" s="4622"/>
      <c r="N6" s="4622"/>
      <c r="O6" s="4622"/>
      <c r="P6" s="4622"/>
      <c r="Q6" s="4622"/>
      <c r="R6" s="4622"/>
      <c r="S6" s="4622"/>
      <c r="T6" s="4622"/>
      <c r="U6" s="4622"/>
      <c r="V6" s="4622"/>
      <c r="W6" s="4622"/>
      <c r="X6" s="4622"/>
      <c r="Y6" s="4622"/>
      <c r="Z6" s="4622"/>
      <c r="AA6" s="4622"/>
      <c r="AB6" s="4622"/>
      <c r="AC6" s="4622"/>
      <c r="AD6" s="4622"/>
      <c r="AE6" s="4622"/>
      <c r="AF6" s="4622"/>
      <c r="AG6" s="4622"/>
      <c r="AH6" s="4623"/>
      <c r="AI6" s="4624" t="s">
        <v>42</v>
      </c>
      <c r="AJ6" s="4495" t="s">
        <v>92</v>
      </c>
    </row>
    <row r="7" spans="1:36">
      <c r="A7" s="4496"/>
      <c r="B7" s="4495"/>
      <c r="C7" s="4496"/>
      <c r="D7" s="512">
        <v>1</v>
      </c>
      <c r="E7" s="512">
        <v>2</v>
      </c>
      <c r="F7" s="512">
        <v>3</v>
      </c>
      <c r="G7" s="512">
        <v>4</v>
      </c>
      <c r="H7" s="512">
        <v>5</v>
      </c>
      <c r="I7" s="512">
        <v>6</v>
      </c>
      <c r="J7" s="512">
        <v>7</v>
      </c>
      <c r="K7" s="512">
        <v>8</v>
      </c>
      <c r="L7" s="512">
        <v>9</v>
      </c>
      <c r="M7" s="512">
        <v>10</v>
      </c>
      <c r="N7" s="512">
        <v>11</v>
      </c>
      <c r="O7" s="512">
        <v>12</v>
      </c>
      <c r="P7" s="512">
        <v>13</v>
      </c>
      <c r="Q7" s="512">
        <v>14</v>
      </c>
      <c r="R7" s="512">
        <v>15</v>
      </c>
      <c r="S7" s="512">
        <v>16</v>
      </c>
      <c r="T7" s="512">
        <v>17</v>
      </c>
      <c r="U7" s="512">
        <v>18</v>
      </c>
      <c r="V7" s="512">
        <v>19</v>
      </c>
      <c r="W7" s="512">
        <v>20</v>
      </c>
      <c r="X7" s="512">
        <v>21</v>
      </c>
      <c r="Y7" s="512">
        <v>22</v>
      </c>
      <c r="Z7" s="512">
        <v>23</v>
      </c>
      <c r="AA7" s="512">
        <v>24</v>
      </c>
      <c r="AB7" s="512">
        <v>25</v>
      </c>
      <c r="AC7" s="512">
        <v>26</v>
      </c>
      <c r="AD7" s="512">
        <v>27</v>
      </c>
      <c r="AE7" s="512">
        <v>28</v>
      </c>
      <c r="AF7" s="512">
        <v>29</v>
      </c>
      <c r="AG7" s="512">
        <v>30</v>
      </c>
      <c r="AH7" s="512">
        <v>31</v>
      </c>
      <c r="AI7" s="4624" t="s">
        <v>434</v>
      </c>
      <c r="AJ7" s="4495"/>
    </row>
    <row r="8" spans="1:36">
      <c r="A8" s="326" t="s">
        <v>141</v>
      </c>
      <c r="B8" s="327" t="s">
        <v>435</v>
      </c>
      <c r="C8" s="326"/>
      <c r="D8" s="326" t="e">
        <f>SUM(D9:D31)</f>
        <v>#REF!</v>
      </c>
      <c r="E8" s="326" t="e">
        <f t="shared" ref="E8:AI8" si="0">SUM(E9:E31)</f>
        <v>#REF!</v>
      </c>
      <c r="F8" s="326" t="e">
        <f t="shared" si="0"/>
        <v>#REF!</v>
      </c>
      <c r="G8" s="326" t="e">
        <f t="shared" si="0"/>
        <v>#REF!</v>
      </c>
      <c r="H8" s="326" t="e">
        <f t="shared" si="0"/>
        <v>#REF!</v>
      </c>
      <c r="I8" s="326" t="e">
        <f t="shared" si="0"/>
        <v>#REF!</v>
      </c>
      <c r="J8" s="328" t="e">
        <f t="shared" si="0"/>
        <v>#REF!</v>
      </c>
      <c r="K8" s="328" t="e">
        <f t="shared" si="0"/>
        <v>#REF!</v>
      </c>
      <c r="L8" s="328" t="e">
        <f t="shared" si="0"/>
        <v>#REF!</v>
      </c>
      <c r="M8" s="328" t="e">
        <f t="shared" si="0"/>
        <v>#REF!</v>
      </c>
      <c r="N8" s="328" t="e">
        <f t="shared" si="0"/>
        <v>#REF!</v>
      </c>
      <c r="O8" s="328" t="e">
        <f t="shared" si="0"/>
        <v>#REF!</v>
      </c>
      <c r="P8" s="328" t="e">
        <f t="shared" si="0"/>
        <v>#REF!</v>
      </c>
      <c r="Q8" s="328" t="e">
        <f t="shared" si="0"/>
        <v>#REF!</v>
      </c>
      <c r="R8" s="328" t="e">
        <f t="shared" si="0"/>
        <v>#REF!</v>
      </c>
      <c r="S8" s="328" t="e">
        <f t="shared" si="0"/>
        <v>#REF!</v>
      </c>
      <c r="T8" s="328" t="e">
        <f t="shared" si="0"/>
        <v>#REF!</v>
      </c>
      <c r="U8" s="328" t="e">
        <f t="shared" si="0"/>
        <v>#REF!</v>
      </c>
      <c r="V8" s="328" t="e">
        <f t="shared" si="0"/>
        <v>#REF!</v>
      </c>
      <c r="W8" s="328" t="e">
        <f t="shared" si="0"/>
        <v>#REF!</v>
      </c>
      <c r="X8" s="328" t="e">
        <f t="shared" si="0"/>
        <v>#REF!</v>
      </c>
      <c r="Y8" s="328" t="e">
        <f t="shared" si="0"/>
        <v>#REF!</v>
      </c>
      <c r="Z8" s="328" t="e">
        <f t="shared" si="0"/>
        <v>#REF!</v>
      </c>
      <c r="AA8" s="328" t="e">
        <f t="shared" si="0"/>
        <v>#REF!</v>
      </c>
      <c r="AB8" s="328" t="e">
        <f t="shared" si="0"/>
        <v>#REF!</v>
      </c>
      <c r="AC8" s="328" t="e">
        <f t="shared" si="0"/>
        <v>#REF!</v>
      </c>
      <c r="AD8" s="328" t="e">
        <f t="shared" si="0"/>
        <v>#REF!</v>
      </c>
      <c r="AE8" s="328" t="e">
        <f t="shared" si="0"/>
        <v>#REF!</v>
      </c>
      <c r="AF8" s="328" t="e">
        <f t="shared" si="0"/>
        <v>#REF!</v>
      </c>
      <c r="AG8" s="328" t="e">
        <f t="shared" si="0"/>
        <v>#REF!</v>
      </c>
      <c r="AH8" s="328">
        <f t="shared" si="0"/>
        <v>0</v>
      </c>
      <c r="AI8" s="328">
        <f t="shared" si="0"/>
        <v>0</v>
      </c>
      <c r="AJ8" s="329"/>
    </row>
    <row r="9" spans="1:36">
      <c r="A9" s="330">
        <v>1</v>
      </c>
      <c r="B9" s="503" t="s">
        <v>354</v>
      </c>
      <c r="C9" s="287" t="s">
        <v>287</v>
      </c>
      <c r="D9" s="331" t="e">
        <f>IF(#REF!=0,"x","")</f>
        <v>#REF!</v>
      </c>
      <c r="E9" s="331" t="e">
        <f>IF(#REF!=0,"x","")</f>
        <v>#REF!</v>
      </c>
      <c r="F9" s="331" t="e">
        <f>IF(#REF!=0,"x","")</f>
        <v>#REF!</v>
      </c>
      <c r="G9" s="331" t="e">
        <f>IF(#REF!=0,"x","")</f>
        <v>#REF!</v>
      </c>
      <c r="H9" s="331" t="e">
        <f>IF(#REF!=0,"x","")</f>
        <v>#REF!</v>
      </c>
      <c r="I9" s="331" t="e">
        <f>IF(#REF!=0,"x","")</f>
        <v>#REF!</v>
      </c>
      <c r="J9" s="331" t="e">
        <f>IF(#REF!=0,"x","")</f>
        <v>#REF!</v>
      </c>
      <c r="K9" s="331" t="e">
        <f>IF(#REF!=0,"x","")</f>
        <v>#REF!</v>
      </c>
      <c r="L9" s="331" t="e">
        <f>IF(#REF!=0,"x","")</f>
        <v>#REF!</v>
      </c>
      <c r="M9" s="331" t="e">
        <f>IF(#REF!=0,"x","")</f>
        <v>#REF!</v>
      </c>
      <c r="N9" s="331" t="e">
        <f>IF(#REF!=0,"x","")</f>
        <v>#REF!</v>
      </c>
      <c r="O9" s="331" t="e">
        <f>IF(#REF!=0,"x","")</f>
        <v>#REF!</v>
      </c>
      <c r="P9" s="331" t="e">
        <f>IF(#REF!=0,"x","")</f>
        <v>#REF!</v>
      </c>
      <c r="Q9" s="331" t="e">
        <f>IF(#REF!=0,"x","")</f>
        <v>#REF!</v>
      </c>
      <c r="R9" s="331" t="e">
        <f>IF(#REF!=0,"x","")</f>
        <v>#REF!</v>
      </c>
      <c r="S9" s="331" t="e">
        <f>IF(#REF!=0,"x","")</f>
        <v>#REF!</v>
      </c>
      <c r="T9" s="331" t="e">
        <f>IF(#REF!=0,"x","")</f>
        <v>#REF!</v>
      </c>
      <c r="U9" s="331" t="e">
        <f>IF(#REF!=0,"x","")</f>
        <v>#REF!</v>
      </c>
      <c r="V9" s="331" t="e">
        <f>IF(#REF!=0,"x","")</f>
        <v>#REF!</v>
      </c>
      <c r="W9" s="331" t="e">
        <f>IF(#REF!=0,"x","")</f>
        <v>#REF!</v>
      </c>
      <c r="X9" s="331" t="e">
        <f>IF(#REF!=0,"x","")</f>
        <v>#REF!</v>
      </c>
      <c r="Y9" s="331" t="e">
        <f>IF(#REF!=0,"x","")</f>
        <v>#REF!</v>
      </c>
      <c r="Z9" s="331" t="e">
        <f>IF(#REF!=0,"x","")</f>
        <v>#REF!</v>
      </c>
      <c r="AA9" s="331" t="e">
        <f>IF(#REF!=0,"x","")</f>
        <v>#REF!</v>
      </c>
      <c r="AB9" s="331" t="e">
        <f>IF(#REF!=0,"x","")</f>
        <v>#REF!</v>
      </c>
      <c r="AC9" s="331" t="e">
        <f>IF(#REF!=0,"x","")</f>
        <v>#REF!</v>
      </c>
      <c r="AD9" s="331" t="e">
        <f>IF(#REF!=0,"x","")</f>
        <v>#REF!</v>
      </c>
      <c r="AE9" s="331" t="e">
        <f>IF(#REF!=0,"x","")</f>
        <v>#REF!</v>
      </c>
      <c r="AF9" s="331" t="e">
        <f>IF(#REF!=0,"x","")</f>
        <v>#REF!</v>
      </c>
      <c r="AG9" s="331" t="e">
        <f>IF(#REF!=0,"x","")</f>
        <v>#REF!</v>
      </c>
      <c r="AH9" s="331"/>
      <c r="AI9" s="332">
        <f>COUNTIF(D9:AG9,"x")</f>
        <v>0</v>
      </c>
      <c r="AJ9" s="333"/>
    </row>
    <row r="10" spans="1:36">
      <c r="A10" s="334">
        <v>2</v>
      </c>
      <c r="B10" s="320" t="s">
        <v>288</v>
      </c>
      <c r="C10" s="290" t="s">
        <v>287</v>
      </c>
      <c r="D10" s="331" t="e">
        <f>IF(#REF!=0,"x","")</f>
        <v>#REF!</v>
      </c>
      <c r="E10" s="331" t="e">
        <f>IF(#REF!=0,"x","")</f>
        <v>#REF!</v>
      </c>
      <c r="F10" s="331" t="e">
        <f>IF(#REF!=0,"x","")</f>
        <v>#REF!</v>
      </c>
      <c r="G10" s="331" t="e">
        <f>IF(#REF!=0,"x","")</f>
        <v>#REF!</v>
      </c>
      <c r="H10" s="331" t="e">
        <f>IF(#REF!=0,"x","")</f>
        <v>#REF!</v>
      </c>
      <c r="I10" s="331" t="e">
        <f>IF(#REF!=0,"x","")</f>
        <v>#REF!</v>
      </c>
      <c r="J10" s="331" t="e">
        <f>IF(#REF!=0,"x","")</f>
        <v>#REF!</v>
      </c>
      <c r="K10" s="331" t="e">
        <f>IF(#REF!=0,"x","")</f>
        <v>#REF!</v>
      </c>
      <c r="L10" s="331" t="e">
        <f>IF(#REF!=0,"x","")</f>
        <v>#REF!</v>
      </c>
      <c r="M10" s="331" t="e">
        <f>IF(#REF!=0,"x","")</f>
        <v>#REF!</v>
      </c>
      <c r="N10" s="331" t="e">
        <f>IF(#REF!=0,"x","")</f>
        <v>#REF!</v>
      </c>
      <c r="O10" s="331" t="e">
        <f>IF(#REF!=0,"x","")</f>
        <v>#REF!</v>
      </c>
      <c r="P10" s="331" t="e">
        <f>IF(#REF!=0,"x","")</f>
        <v>#REF!</v>
      </c>
      <c r="Q10" s="331" t="e">
        <f>IF(#REF!=0,"x","")</f>
        <v>#REF!</v>
      </c>
      <c r="R10" s="331" t="e">
        <f>IF(#REF!=0,"x","")</f>
        <v>#REF!</v>
      </c>
      <c r="S10" s="331" t="e">
        <f>IF(#REF!=0,"x","")</f>
        <v>#REF!</v>
      </c>
      <c r="T10" s="331" t="e">
        <f>IF(#REF!=0,"x","")</f>
        <v>#REF!</v>
      </c>
      <c r="U10" s="331" t="e">
        <f>IF(#REF!=0,"x","")</f>
        <v>#REF!</v>
      </c>
      <c r="V10" s="331" t="e">
        <f>IF(#REF!=0,"x","")</f>
        <v>#REF!</v>
      </c>
      <c r="W10" s="331" t="e">
        <f>IF(#REF!=0,"x","")</f>
        <v>#REF!</v>
      </c>
      <c r="X10" s="331" t="e">
        <f>IF(#REF!=0,"x","")</f>
        <v>#REF!</v>
      </c>
      <c r="Y10" s="331" t="e">
        <f>IF(#REF!=0,"x","")</f>
        <v>#REF!</v>
      </c>
      <c r="Z10" s="331" t="e">
        <f>IF(#REF!=0,"x","")</f>
        <v>#REF!</v>
      </c>
      <c r="AA10" s="331" t="e">
        <f>IF(#REF!=0,"x","")</f>
        <v>#REF!</v>
      </c>
      <c r="AB10" s="331" t="e">
        <f>IF(#REF!=0,"x","")</f>
        <v>#REF!</v>
      </c>
      <c r="AC10" s="331" t="e">
        <f>IF(#REF!=0,"x","")</f>
        <v>#REF!</v>
      </c>
      <c r="AD10" s="331" t="e">
        <f>IF(#REF!=0,"x","")</f>
        <v>#REF!</v>
      </c>
      <c r="AE10" s="331" t="e">
        <f>IF(#REF!=0,"x","")</f>
        <v>#REF!</v>
      </c>
      <c r="AF10" s="331" t="e">
        <f>IF(#REF!=0,"x","")</f>
        <v>#REF!</v>
      </c>
      <c r="AG10" s="331" t="e">
        <f>IF(#REF!=0,"x","")</f>
        <v>#REF!</v>
      </c>
      <c r="AH10" s="331"/>
      <c r="AI10" s="332">
        <f t="shared" ref="AI10:AI73" si="1">COUNTIF(D10:AG10,"x")</f>
        <v>0</v>
      </c>
      <c r="AJ10" s="256"/>
    </row>
    <row r="11" spans="1:36">
      <c r="A11" s="334">
        <v>3</v>
      </c>
      <c r="B11" s="320" t="s">
        <v>339</v>
      </c>
      <c r="C11" s="290" t="s">
        <v>402</v>
      </c>
      <c r="D11" s="331" t="e">
        <f>IF(#REF!=0,"x","")</f>
        <v>#REF!</v>
      </c>
      <c r="E11" s="331" t="e">
        <f>IF(#REF!=0,"x","")</f>
        <v>#REF!</v>
      </c>
      <c r="F11" s="331" t="e">
        <f>IF(#REF!=0,"x","")</f>
        <v>#REF!</v>
      </c>
      <c r="G11" s="331" t="e">
        <f>IF(#REF!=0,"x","")</f>
        <v>#REF!</v>
      </c>
      <c r="H11" s="331" t="e">
        <f>IF(#REF!=0,"x","")</f>
        <v>#REF!</v>
      </c>
      <c r="I11" s="331" t="e">
        <f>IF(#REF!=0,"x","")</f>
        <v>#REF!</v>
      </c>
      <c r="J11" s="331" t="e">
        <f>IF(#REF!=0,"x","")</f>
        <v>#REF!</v>
      </c>
      <c r="K11" s="331" t="e">
        <f>IF(#REF!=0,"x","")</f>
        <v>#REF!</v>
      </c>
      <c r="L11" s="331" t="e">
        <f>IF(#REF!=0,"x","")</f>
        <v>#REF!</v>
      </c>
      <c r="M11" s="331" t="e">
        <f>IF(#REF!=0,"x","")</f>
        <v>#REF!</v>
      </c>
      <c r="N11" s="331" t="e">
        <f>IF(#REF!=0,"x","")</f>
        <v>#REF!</v>
      </c>
      <c r="O11" s="331" t="e">
        <f>IF(#REF!=0,"x","")</f>
        <v>#REF!</v>
      </c>
      <c r="P11" s="331" t="e">
        <f>IF(#REF!=0,"x","")</f>
        <v>#REF!</v>
      </c>
      <c r="Q11" s="331" t="e">
        <f>IF(#REF!=0,"x","")</f>
        <v>#REF!</v>
      </c>
      <c r="R11" s="331" t="e">
        <f>IF(#REF!=0,"x","")</f>
        <v>#REF!</v>
      </c>
      <c r="S11" s="331" t="e">
        <f>IF(#REF!=0,"x","")</f>
        <v>#REF!</v>
      </c>
      <c r="T11" s="331" t="e">
        <f>IF(#REF!=0,"x","")</f>
        <v>#REF!</v>
      </c>
      <c r="U11" s="331" t="e">
        <f>IF(#REF!=0,"x","")</f>
        <v>#REF!</v>
      </c>
      <c r="V11" s="331" t="e">
        <f>IF(#REF!=0,"x","")</f>
        <v>#REF!</v>
      </c>
      <c r="W11" s="331" t="e">
        <f>IF(#REF!=0,"x","")</f>
        <v>#REF!</v>
      </c>
      <c r="X11" s="331" t="e">
        <f>IF(#REF!=0,"x","")</f>
        <v>#REF!</v>
      </c>
      <c r="Y11" s="331" t="e">
        <f>IF(#REF!=0,"x","")</f>
        <v>#REF!</v>
      </c>
      <c r="Z11" s="331" t="e">
        <f>IF(#REF!=0,"x","")</f>
        <v>#REF!</v>
      </c>
      <c r="AA11" s="331" t="e">
        <f>IF(#REF!=0,"x","")</f>
        <v>#REF!</v>
      </c>
      <c r="AB11" s="331" t="e">
        <f>IF(#REF!=0,"x","")</f>
        <v>#REF!</v>
      </c>
      <c r="AC11" s="331" t="e">
        <f>IF(#REF!=0,"x","")</f>
        <v>#REF!</v>
      </c>
      <c r="AD11" s="331" t="e">
        <f>IF(#REF!=0,"x","")</f>
        <v>#REF!</v>
      </c>
      <c r="AE11" s="331" t="e">
        <f>IF(#REF!=0,"x","")</f>
        <v>#REF!</v>
      </c>
      <c r="AF11" s="331" t="e">
        <f>IF(#REF!=0,"x","")</f>
        <v>#REF!</v>
      </c>
      <c r="AG11" s="331" t="e">
        <f>IF(#REF!=0,"x","")</f>
        <v>#REF!</v>
      </c>
      <c r="AH11" s="331"/>
      <c r="AI11" s="332">
        <f t="shared" si="1"/>
        <v>0</v>
      </c>
      <c r="AJ11" s="256"/>
    </row>
    <row r="12" spans="1:36">
      <c r="A12" s="334">
        <v>4</v>
      </c>
      <c r="B12" s="504" t="s">
        <v>340</v>
      </c>
      <c r="C12" s="290" t="s">
        <v>287</v>
      </c>
      <c r="D12" s="331" t="e">
        <f>IF(#REF!=0,"x","")</f>
        <v>#REF!</v>
      </c>
      <c r="E12" s="331" t="e">
        <f>IF(#REF!=0,"x","")</f>
        <v>#REF!</v>
      </c>
      <c r="F12" s="331" t="e">
        <f>IF(#REF!=0,"x","")</f>
        <v>#REF!</v>
      </c>
      <c r="G12" s="331" t="e">
        <f>IF(#REF!=0,"x","")</f>
        <v>#REF!</v>
      </c>
      <c r="H12" s="331" t="e">
        <f>IF(#REF!=0,"x","")</f>
        <v>#REF!</v>
      </c>
      <c r="I12" s="331" t="e">
        <f>IF(#REF!=0,"x","")</f>
        <v>#REF!</v>
      </c>
      <c r="J12" s="331" t="e">
        <f>IF(#REF!=0,"x","")</f>
        <v>#REF!</v>
      </c>
      <c r="K12" s="331" t="e">
        <f>IF(#REF!=0,"x","")</f>
        <v>#REF!</v>
      </c>
      <c r="L12" s="331" t="e">
        <f>IF(#REF!=0,"x","")</f>
        <v>#REF!</v>
      </c>
      <c r="M12" s="331" t="e">
        <f>IF(#REF!=0,"x","")</f>
        <v>#REF!</v>
      </c>
      <c r="N12" s="331" t="e">
        <f>IF(#REF!=0,"x","")</f>
        <v>#REF!</v>
      </c>
      <c r="O12" s="331" t="e">
        <f>IF(#REF!=0,"x","")</f>
        <v>#REF!</v>
      </c>
      <c r="P12" s="331" t="e">
        <f>IF(#REF!=0,"x","")</f>
        <v>#REF!</v>
      </c>
      <c r="Q12" s="331" t="e">
        <f>IF(#REF!=0,"x","")</f>
        <v>#REF!</v>
      </c>
      <c r="R12" s="331" t="e">
        <f>IF(#REF!=0,"x","")</f>
        <v>#REF!</v>
      </c>
      <c r="S12" s="331" t="e">
        <f>IF(#REF!=0,"x","")</f>
        <v>#REF!</v>
      </c>
      <c r="T12" s="331" t="e">
        <f>IF(#REF!=0,"x","")</f>
        <v>#REF!</v>
      </c>
      <c r="U12" s="331" t="e">
        <f>IF(#REF!=0,"x","")</f>
        <v>#REF!</v>
      </c>
      <c r="V12" s="331" t="e">
        <f>IF(#REF!=0,"x","")</f>
        <v>#REF!</v>
      </c>
      <c r="W12" s="331" t="e">
        <f>IF(#REF!=0,"x","")</f>
        <v>#REF!</v>
      </c>
      <c r="X12" s="331" t="e">
        <f>IF(#REF!=0,"x","")</f>
        <v>#REF!</v>
      </c>
      <c r="Y12" s="331" t="e">
        <f>IF(#REF!=0,"x","")</f>
        <v>#REF!</v>
      </c>
      <c r="Z12" s="331" t="e">
        <f>IF(#REF!=0,"x","")</f>
        <v>#REF!</v>
      </c>
      <c r="AA12" s="331" t="e">
        <f>IF(#REF!=0,"x","")</f>
        <v>#REF!</v>
      </c>
      <c r="AB12" s="331" t="e">
        <f>IF(#REF!=0,"x","")</f>
        <v>#REF!</v>
      </c>
      <c r="AC12" s="331" t="e">
        <f>IF(#REF!=0,"x","")</f>
        <v>#REF!</v>
      </c>
      <c r="AD12" s="331" t="e">
        <f>IF(#REF!=0,"x","")</f>
        <v>#REF!</v>
      </c>
      <c r="AE12" s="331" t="e">
        <f>IF(#REF!=0,"x","")</f>
        <v>#REF!</v>
      </c>
      <c r="AF12" s="331" t="e">
        <f>IF(#REF!=0,"x","")</f>
        <v>#REF!</v>
      </c>
      <c r="AG12" s="331" t="e">
        <f>IF(#REF!=0,"x","")</f>
        <v>#REF!</v>
      </c>
      <c r="AH12" s="331"/>
      <c r="AI12" s="332">
        <f t="shared" si="1"/>
        <v>0</v>
      </c>
      <c r="AJ12" s="256"/>
    </row>
    <row r="13" spans="1:36">
      <c r="A13" s="334">
        <v>5</v>
      </c>
      <c r="B13" s="504" t="s">
        <v>290</v>
      </c>
      <c r="C13" s="290" t="s">
        <v>287</v>
      </c>
      <c r="D13" s="331" t="e">
        <f>IF(#REF!=0,"x","")</f>
        <v>#REF!</v>
      </c>
      <c r="E13" s="331" t="e">
        <f>IF(#REF!=0,"x","")</f>
        <v>#REF!</v>
      </c>
      <c r="F13" s="331" t="e">
        <f>IF(#REF!=0,"x","")</f>
        <v>#REF!</v>
      </c>
      <c r="G13" s="331" t="e">
        <f>IF(#REF!=0,"x","")</f>
        <v>#REF!</v>
      </c>
      <c r="H13" s="331" t="e">
        <f>IF(#REF!=0,"x","")</f>
        <v>#REF!</v>
      </c>
      <c r="I13" s="331" t="e">
        <f>IF(#REF!=0,"x","")</f>
        <v>#REF!</v>
      </c>
      <c r="J13" s="331" t="e">
        <f>IF(#REF!=0,"x","")</f>
        <v>#REF!</v>
      </c>
      <c r="K13" s="331" t="e">
        <f>IF(#REF!=0,"x","")</f>
        <v>#REF!</v>
      </c>
      <c r="L13" s="331" t="e">
        <f>IF(#REF!=0,"x","")</f>
        <v>#REF!</v>
      </c>
      <c r="M13" s="331" t="e">
        <f>IF(#REF!=0,"x","")</f>
        <v>#REF!</v>
      </c>
      <c r="N13" s="331" t="e">
        <f>IF(#REF!=0,"x","")</f>
        <v>#REF!</v>
      </c>
      <c r="O13" s="331" t="e">
        <f>IF(#REF!=0,"x","")</f>
        <v>#REF!</v>
      </c>
      <c r="P13" s="331" t="e">
        <f>IF(#REF!=0,"x","")</f>
        <v>#REF!</v>
      </c>
      <c r="Q13" s="331" t="e">
        <f>IF(#REF!=0,"x","")</f>
        <v>#REF!</v>
      </c>
      <c r="R13" s="331" t="e">
        <f>IF(#REF!=0,"x","")</f>
        <v>#REF!</v>
      </c>
      <c r="S13" s="331" t="e">
        <f>IF(#REF!=0,"x","")</f>
        <v>#REF!</v>
      </c>
      <c r="T13" s="331" t="e">
        <f>IF(#REF!=0,"x","")</f>
        <v>#REF!</v>
      </c>
      <c r="U13" s="331" t="e">
        <f>IF(#REF!=0,"x","")</f>
        <v>#REF!</v>
      </c>
      <c r="V13" s="331" t="e">
        <f>IF(#REF!=0,"x","")</f>
        <v>#REF!</v>
      </c>
      <c r="W13" s="331" t="e">
        <f>IF(#REF!=0,"x","")</f>
        <v>#REF!</v>
      </c>
      <c r="X13" s="331" t="e">
        <f>IF(#REF!=0,"x","")</f>
        <v>#REF!</v>
      </c>
      <c r="Y13" s="331" t="e">
        <f>IF(#REF!=0,"x","")</f>
        <v>#REF!</v>
      </c>
      <c r="Z13" s="331" t="e">
        <f>IF(#REF!=0,"x","")</f>
        <v>#REF!</v>
      </c>
      <c r="AA13" s="331" t="e">
        <f>IF(#REF!=0,"x","")</f>
        <v>#REF!</v>
      </c>
      <c r="AB13" s="331" t="e">
        <f>IF(#REF!=0,"x","")</f>
        <v>#REF!</v>
      </c>
      <c r="AC13" s="331" t="e">
        <f>IF(#REF!=0,"x","")</f>
        <v>#REF!</v>
      </c>
      <c r="AD13" s="331" t="e">
        <f>IF(#REF!=0,"x","")</f>
        <v>#REF!</v>
      </c>
      <c r="AE13" s="331" t="e">
        <f>IF(#REF!=0,"x","")</f>
        <v>#REF!</v>
      </c>
      <c r="AF13" s="331" t="e">
        <f>IF(#REF!=0,"x","")</f>
        <v>#REF!</v>
      </c>
      <c r="AG13" s="331" t="e">
        <f>IF(#REF!=0,"x","")</f>
        <v>#REF!</v>
      </c>
      <c r="AH13" s="331"/>
      <c r="AI13" s="332">
        <f t="shared" si="1"/>
        <v>0</v>
      </c>
      <c r="AJ13" s="256"/>
    </row>
    <row r="14" spans="1:36">
      <c r="A14" s="334">
        <v>6</v>
      </c>
      <c r="B14" s="504" t="s">
        <v>341</v>
      </c>
      <c r="C14" s="290" t="s">
        <v>287</v>
      </c>
      <c r="D14" s="331" t="e">
        <f>IF(#REF!=0,"x","")</f>
        <v>#REF!</v>
      </c>
      <c r="E14" s="331" t="e">
        <f>IF(#REF!=0,"x","")</f>
        <v>#REF!</v>
      </c>
      <c r="F14" s="331" t="e">
        <f>IF(#REF!=0,"x","")</f>
        <v>#REF!</v>
      </c>
      <c r="G14" s="331" t="e">
        <f>IF(#REF!=0,"x","")</f>
        <v>#REF!</v>
      </c>
      <c r="H14" s="331" t="e">
        <f>IF(#REF!=0,"x","")</f>
        <v>#REF!</v>
      </c>
      <c r="I14" s="331" t="e">
        <f>IF(#REF!=0,"x","")</f>
        <v>#REF!</v>
      </c>
      <c r="J14" s="331" t="e">
        <f>IF(#REF!=0,"x","")</f>
        <v>#REF!</v>
      </c>
      <c r="K14" s="331" t="e">
        <f>IF(#REF!=0,"x","")</f>
        <v>#REF!</v>
      </c>
      <c r="L14" s="331" t="e">
        <f>IF(#REF!=0,"x","")</f>
        <v>#REF!</v>
      </c>
      <c r="M14" s="331" t="e">
        <f>IF(#REF!=0,"x","")</f>
        <v>#REF!</v>
      </c>
      <c r="N14" s="331" t="e">
        <f>IF(#REF!=0,"x","")</f>
        <v>#REF!</v>
      </c>
      <c r="O14" s="331" t="e">
        <f>IF(#REF!=0,"x","")</f>
        <v>#REF!</v>
      </c>
      <c r="P14" s="331" t="e">
        <f>IF(#REF!=0,"x","")</f>
        <v>#REF!</v>
      </c>
      <c r="Q14" s="331" t="e">
        <f>IF(#REF!=0,"x","")</f>
        <v>#REF!</v>
      </c>
      <c r="R14" s="331" t="e">
        <f>IF(#REF!=0,"x","")</f>
        <v>#REF!</v>
      </c>
      <c r="S14" s="331" t="e">
        <f>IF(#REF!=0,"x","")</f>
        <v>#REF!</v>
      </c>
      <c r="T14" s="331" t="e">
        <f>IF(#REF!=0,"x","")</f>
        <v>#REF!</v>
      </c>
      <c r="U14" s="331" t="e">
        <f>IF(#REF!=0,"x","")</f>
        <v>#REF!</v>
      </c>
      <c r="V14" s="331" t="e">
        <f>IF(#REF!=0,"x","")</f>
        <v>#REF!</v>
      </c>
      <c r="W14" s="331" t="e">
        <f>IF(#REF!=0,"x","")</f>
        <v>#REF!</v>
      </c>
      <c r="X14" s="331" t="e">
        <f>IF(#REF!=0,"x","")</f>
        <v>#REF!</v>
      </c>
      <c r="Y14" s="331" t="e">
        <f>IF(#REF!=0,"x","")</f>
        <v>#REF!</v>
      </c>
      <c r="Z14" s="331" t="e">
        <f>IF(#REF!=0,"x","")</f>
        <v>#REF!</v>
      </c>
      <c r="AA14" s="331" t="e">
        <f>IF(#REF!=0,"x","")</f>
        <v>#REF!</v>
      </c>
      <c r="AB14" s="331" t="e">
        <f>IF(#REF!=0,"x","")</f>
        <v>#REF!</v>
      </c>
      <c r="AC14" s="331" t="e">
        <f>IF(#REF!=0,"x","")</f>
        <v>#REF!</v>
      </c>
      <c r="AD14" s="331" t="e">
        <f>IF(#REF!=0,"x","")</f>
        <v>#REF!</v>
      </c>
      <c r="AE14" s="331" t="e">
        <f>IF(#REF!=0,"x","")</f>
        <v>#REF!</v>
      </c>
      <c r="AF14" s="331" t="e">
        <f>IF(#REF!=0,"x","")</f>
        <v>#REF!</v>
      </c>
      <c r="AG14" s="331" t="e">
        <f>IF(#REF!=0,"x","")</f>
        <v>#REF!</v>
      </c>
      <c r="AH14" s="331"/>
      <c r="AI14" s="332">
        <f t="shared" si="1"/>
        <v>0</v>
      </c>
      <c r="AJ14" s="256"/>
    </row>
    <row r="15" spans="1:36">
      <c r="A15" s="334">
        <v>7</v>
      </c>
      <c r="B15" s="504" t="s">
        <v>291</v>
      </c>
      <c r="C15" s="290" t="s">
        <v>287</v>
      </c>
      <c r="D15" s="331" t="e">
        <f>IF(#REF!=0,"x","")</f>
        <v>#REF!</v>
      </c>
      <c r="E15" s="331" t="e">
        <f>IF(#REF!=0,"x","")</f>
        <v>#REF!</v>
      </c>
      <c r="F15" s="331" t="e">
        <f>IF(#REF!=0,"x","")</f>
        <v>#REF!</v>
      </c>
      <c r="G15" s="331" t="e">
        <f>IF(#REF!=0,"x","")</f>
        <v>#REF!</v>
      </c>
      <c r="H15" s="331" t="e">
        <f>IF(#REF!=0,"x","")</f>
        <v>#REF!</v>
      </c>
      <c r="I15" s="331" t="e">
        <f>IF(#REF!=0,"x","")</f>
        <v>#REF!</v>
      </c>
      <c r="J15" s="331" t="e">
        <f>IF(#REF!=0,"x","")</f>
        <v>#REF!</v>
      </c>
      <c r="K15" s="331" t="e">
        <f>IF(#REF!=0,"x","")</f>
        <v>#REF!</v>
      </c>
      <c r="L15" s="331" t="e">
        <f>IF(#REF!=0,"x","")</f>
        <v>#REF!</v>
      </c>
      <c r="M15" s="331" t="e">
        <f>IF(#REF!=0,"x","")</f>
        <v>#REF!</v>
      </c>
      <c r="N15" s="331" t="e">
        <f>IF(#REF!=0,"x","")</f>
        <v>#REF!</v>
      </c>
      <c r="O15" s="331" t="e">
        <f>IF(#REF!=0,"x","")</f>
        <v>#REF!</v>
      </c>
      <c r="P15" s="331" t="e">
        <f>IF(#REF!=0,"x","")</f>
        <v>#REF!</v>
      </c>
      <c r="Q15" s="331" t="e">
        <f>IF(#REF!=0,"x","")</f>
        <v>#REF!</v>
      </c>
      <c r="R15" s="331" t="e">
        <f>IF(#REF!=0,"x","")</f>
        <v>#REF!</v>
      </c>
      <c r="S15" s="331" t="e">
        <f>IF(#REF!=0,"x","")</f>
        <v>#REF!</v>
      </c>
      <c r="T15" s="331" t="e">
        <f>IF(#REF!=0,"x","")</f>
        <v>#REF!</v>
      </c>
      <c r="U15" s="331" t="e">
        <f>IF(#REF!=0,"x","")</f>
        <v>#REF!</v>
      </c>
      <c r="V15" s="331" t="e">
        <f>IF(#REF!=0,"x","")</f>
        <v>#REF!</v>
      </c>
      <c r="W15" s="331" t="e">
        <f>IF(#REF!=0,"x","")</f>
        <v>#REF!</v>
      </c>
      <c r="X15" s="331" t="e">
        <f>IF(#REF!=0,"x","")</f>
        <v>#REF!</v>
      </c>
      <c r="Y15" s="331" t="e">
        <f>IF(#REF!=0,"x","")</f>
        <v>#REF!</v>
      </c>
      <c r="Z15" s="331" t="e">
        <f>IF(#REF!=0,"x","")</f>
        <v>#REF!</v>
      </c>
      <c r="AA15" s="331" t="e">
        <f>IF(#REF!=0,"x","")</f>
        <v>#REF!</v>
      </c>
      <c r="AB15" s="331" t="e">
        <f>IF(#REF!=0,"x","")</f>
        <v>#REF!</v>
      </c>
      <c r="AC15" s="331" t="e">
        <f>IF(#REF!=0,"x","")</f>
        <v>#REF!</v>
      </c>
      <c r="AD15" s="331" t="e">
        <f>IF(#REF!=0,"x","")</f>
        <v>#REF!</v>
      </c>
      <c r="AE15" s="331" t="e">
        <f>IF(#REF!=0,"x","")</f>
        <v>#REF!</v>
      </c>
      <c r="AF15" s="331" t="e">
        <f>IF(#REF!=0,"x","")</f>
        <v>#REF!</v>
      </c>
      <c r="AG15" s="331" t="e">
        <f>IF(#REF!=0,"x","")</f>
        <v>#REF!</v>
      </c>
      <c r="AH15" s="331"/>
      <c r="AI15" s="332">
        <f t="shared" si="1"/>
        <v>0</v>
      </c>
      <c r="AJ15" s="256"/>
    </row>
    <row r="16" spans="1:36">
      <c r="A16" s="334">
        <v>8</v>
      </c>
      <c r="B16" s="504" t="s">
        <v>292</v>
      </c>
      <c r="C16" s="290" t="s">
        <v>287</v>
      </c>
      <c r="D16" s="331" t="e">
        <f>IF(#REF!=0,"x","")</f>
        <v>#REF!</v>
      </c>
      <c r="E16" s="331" t="e">
        <f>IF(#REF!=0,"x","")</f>
        <v>#REF!</v>
      </c>
      <c r="F16" s="331" t="e">
        <f>IF(#REF!=0,"x","")</f>
        <v>#REF!</v>
      </c>
      <c r="G16" s="331" t="e">
        <f>IF(#REF!=0,"x","")</f>
        <v>#REF!</v>
      </c>
      <c r="H16" s="331" t="e">
        <f>IF(#REF!=0,"x","")</f>
        <v>#REF!</v>
      </c>
      <c r="I16" s="331" t="e">
        <f>IF(#REF!=0,"x","")</f>
        <v>#REF!</v>
      </c>
      <c r="J16" s="331" t="e">
        <f>IF(#REF!=0,"x","")</f>
        <v>#REF!</v>
      </c>
      <c r="K16" s="331" t="e">
        <f>IF(#REF!=0,"x","")</f>
        <v>#REF!</v>
      </c>
      <c r="L16" s="331" t="e">
        <f>IF(#REF!=0,"x","")</f>
        <v>#REF!</v>
      </c>
      <c r="M16" s="331" t="e">
        <f>IF(#REF!=0,"x","")</f>
        <v>#REF!</v>
      </c>
      <c r="N16" s="331" t="e">
        <f>IF(#REF!=0,"x","")</f>
        <v>#REF!</v>
      </c>
      <c r="O16" s="331" t="e">
        <f>IF(#REF!=0,"x","")</f>
        <v>#REF!</v>
      </c>
      <c r="P16" s="331" t="e">
        <f>IF(#REF!=0,"x","")</f>
        <v>#REF!</v>
      </c>
      <c r="Q16" s="331" t="e">
        <f>IF(#REF!=0,"x","")</f>
        <v>#REF!</v>
      </c>
      <c r="R16" s="331" t="e">
        <f>IF(#REF!=0,"x","")</f>
        <v>#REF!</v>
      </c>
      <c r="S16" s="331" t="e">
        <f>IF(#REF!=0,"x","")</f>
        <v>#REF!</v>
      </c>
      <c r="T16" s="331" t="e">
        <f>IF(#REF!=0,"x","")</f>
        <v>#REF!</v>
      </c>
      <c r="U16" s="331" t="e">
        <f>IF(#REF!=0,"x","")</f>
        <v>#REF!</v>
      </c>
      <c r="V16" s="331" t="e">
        <f>IF(#REF!=0,"x","")</f>
        <v>#REF!</v>
      </c>
      <c r="W16" s="331" t="e">
        <f>IF(#REF!=0,"x","")</f>
        <v>#REF!</v>
      </c>
      <c r="X16" s="331" t="e">
        <f>IF(#REF!=0,"x","")</f>
        <v>#REF!</v>
      </c>
      <c r="Y16" s="331" t="e">
        <f>IF(#REF!=0,"x","")</f>
        <v>#REF!</v>
      </c>
      <c r="Z16" s="331" t="e">
        <f>IF(#REF!=0,"x","")</f>
        <v>#REF!</v>
      </c>
      <c r="AA16" s="331" t="e">
        <f>IF(#REF!=0,"x","")</f>
        <v>#REF!</v>
      </c>
      <c r="AB16" s="331" t="e">
        <f>IF(#REF!=0,"x","")</f>
        <v>#REF!</v>
      </c>
      <c r="AC16" s="331" t="e">
        <f>IF(#REF!=0,"x","")</f>
        <v>#REF!</v>
      </c>
      <c r="AD16" s="331" t="e">
        <f>IF(#REF!=0,"x","")</f>
        <v>#REF!</v>
      </c>
      <c r="AE16" s="331" t="e">
        <f>IF(#REF!=0,"x","")</f>
        <v>#REF!</v>
      </c>
      <c r="AF16" s="331" t="e">
        <f>IF(#REF!=0,"x","")</f>
        <v>#REF!</v>
      </c>
      <c r="AG16" s="331" t="e">
        <f>IF(#REF!=0,"x","")</f>
        <v>#REF!</v>
      </c>
      <c r="AH16" s="331"/>
      <c r="AI16" s="332">
        <f t="shared" si="1"/>
        <v>0</v>
      </c>
      <c r="AJ16" s="256"/>
    </row>
    <row r="17" spans="1:36">
      <c r="A17" s="334">
        <v>9</v>
      </c>
      <c r="B17" s="504" t="s">
        <v>293</v>
      </c>
      <c r="C17" s="290" t="s">
        <v>287</v>
      </c>
      <c r="D17" s="331" t="e">
        <f>IF(#REF!=0,"x","")</f>
        <v>#REF!</v>
      </c>
      <c r="E17" s="331" t="e">
        <f>IF(#REF!=0,"x","")</f>
        <v>#REF!</v>
      </c>
      <c r="F17" s="331" t="e">
        <f>IF(#REF!=0,"x","")</f>
        <v>#REF!</v>
      </c>
      <c r="G17" s="331" t="e">
        <f>IF(#REF!=0,"x","")</f>
        <v>#REF!</v>
      </c>
      <c r="H17" s="331" t="e">
        <f>IF(#REF!=0,"x","")</f>
        <v>#REF!</v>
      </c>
      <c r="I17" s="331" t="e">
        <f>IF(#REF!=0,"x","")</f>
        <v>#REF!</v>
      </c>
      <c r="J17" s="331" t="e">
        <f>IF(#REF!=0,"x","")</f>
        <v>#REF!</v>
      </c>
      <c r="K17" s="331" t="e">
        <f>IF(#REF!=0,"x","")</f>
        <v>#REF!</v>
      </c>
      <c r="L17" s="331" t="e">
        <f>IF(#REF!=0,"x","")</f>
        <v>#REF!</v>
      </c>
      <c r="M17" s="331" t="e">
        <f>IF(#REF!=0,"x","")</f>
        <v>#REF!</v>
      </c>
      <c r="N17" s="331" t="e">
        <f>IF(#REF!=0,"x","")</f>
        <v>#REF!</v>
      </c>
      <c r="O17" s="331" t="e">
        <f>IF(#REF!=0,"x","")</f>
        <v>#REF!</v>
      </c>
      <c r="P17" s="331" t="e">
        <f>IF(#REF!=0,"x","")</f>
        <v>#REF!</v>
      </c>
      <c r="Q17" s="331" t="e">
        <f>IF(#REF!=0,"x","")</f>
        <v>#REF!</v>
      </c>
      <c r="R17" s="331" t="e">
        <f>IF(#REF!=0,"x","")</f>
        <v>#REF!</v>
      </c>
      <c r="S17" s="331" t="e">
        <f>IF(#REF!=0,"x","")</f>
        <v>#REF!</v>
      </c>
      <c r="T17" s="331" t="e">
        <f>IF(#REF!=0,"x","")</f>
        <v>#REF!</v>
      </c>
      <c r="U17" s="331" t="e">
        <f>IF(#REF!=0,"x","")</f>
        <v>#REF!</v>
      </c>
      <c r="V17" s="331" t="e">
        <f>IF(#REF!=0,"x","")</f>
        <v>#REF!</v>
      </c>
      <c r="W17" s="331" t="e">
        <f>IF(#REF!=0,"x","")</f>
        <v>#REF!</v>
      </c>
      <c r="X17" s="331" t="e">
        <f>IF(#REF!=0,"x","")</f>
        <v>#REF!</v>
      </c>
      <c r="Y17" s="331" t="e">
        <f>IF(#REF!=0,"x","")</f>
        <v>#REF!</v>
      </c>
      <c r="Z17" s="331" t="e">
        <f>IF(#REF!=0,"x","")</f>
        <v>#REF!</v>
      </c>
      <c r="AA17" s="331" t="e">
        <f>IF(#REF!=0,"x","")</f>
        <v>#REF!</v>
      </c>
      <c r="AB17" s="331" t="e">
        <f>IF(#REF!=0,"x","")</f>
        <v>#REF!</v>
      </c>
      <c r="AC17" s="331" t="e">
        <f>IF(#REF!=0,"x","")</f>
        <v>#REF!</v>
      </c>
      <c r="AD17" s="331" t="e">
        <f>IF(#REF!=0,"x","")</f>
        <v>#REF!</v>
      </c>
      <c r="AE17" s="331" t="e">
        <f>IF(#REF!=0,"x","")</f>
        <v>#REF!</v>
      </c>
      <c r="AF17" s="331" t="e">
        <f>IF(#REF!=0,"x","")</f>
        <v>#REF!</v>
      </c>
      <c r="AG17" s="331" t="e">
        <f>IF(#REF!=0,"x","")</f>
        <v>#REF!</v>
      </c>
      <c r="AH17" s="331"/>
      <c r="AI17" s="332">
        <f t="shared" si="1"/>
        <v>0</v>
      </c>
      <c r="AJ17" s="256"/>
    </row>
    <row r="18" spans="1:36">
      <c r="A18" s="334">
        <v>10</v>
      </c>
      <c r="B18" s="504" t="s">
        <v>342</v>
      </c>
      <c r="C18" s="290" t="s">
        <v>402</v>
      </c>
      <c r="D18" s="331" t="e">
        <f>IF(#REF!=0,"x","")</f>
        <v>#REF!</v>
      </c>
      <c r="E18" s="331" t="e">
        <f>IF(#REF!=0,"x","")</f>
        <v>#REF!</v>
      </c>
      <c r="F18" s="331" t="e">
        <f>IF(#REF!=0,"x","")</f>
        <v>#REF!</v>
      </c>
      <c r="G18" s="331" t="e">
        <f>IF(#REF!=0,"x","")</f>
        <v>#REF!</v>
      </c>
      <c r="H18" s="331" t="e">
        <f>IF(#REF!=0,"x","")</f>
        <v>#REF!</v>
      </c>
      <c r="I18" s="331" t="e">
        <f>IF(#REF!=0,"x","")</f>
        <v>#REF!</v>
      </c>
      <c r="J18" s="331" t="e">
        <f>IF(#REF!=0,"x","")</f>
        <v>#REF!</v>
      </c>
      <c r="K18" s="331" t="e">
        <f>IF(#REF!=0,"x","")</f>
        <v>#REF!</v>
      </c>
      <c r="L18" s="331" t="e">
        <f>IF(#REF!=0,"x","")</f>
        <v>#REF!</v>
      </c>
      <c r="M18" s="331" t="e">
        <f>IF(#REF!=0,"x","")</f>
        <v>#REF!</v>
      </c>
      <c r="N18" s="331" t="e">
        <f>IF(#REF!=0,"x","")</f>
        <v>#REF!</v>
      </c>
      <c r="O18" s="331" t="e">
        <f>IF(#REF!=0,"x","")</f>
        <v>#REF!</v>
      </c>
      <c r="P18" s="331" t="e">
        <f>IF(#REF!=0,"x","")</f>
        <v>#REF!</v>
      </c>
      <c r="Q18" s="331" t="e">
        <f>IF(#REF!=0,"x","")</f>
        <v>#REF!</v>
      </c>
      <c r="R18" s="331" t="e">
        <f>IF(#REF!=0,"x","")</f>
        <v>#REF!</v>
      </c>
      <c r="S18" s="331" t="e">
        <f>IF(#REF!=0,"x","")</f>
        <v>#REF!</v>
      </c>
      <c r="T18" s="331" t="e">
        <f>IF(#REF!=0,"x","")</f>
        <v>#REF!</v>
      </c>
      <c r="U18" s="331" t="e">
        <f>IF(#REF!=0,"x","")</f>
        <v>#REF!</v>
      </c>
      <c r="V18" s="331" t="e">
        <f>IF(#REF!=0,"x","")</f>
        <v>#REF!</v>
      </c>
      <c r="W18" s="331" t="e">
        <f>IF(#REF!=0,"x","")</f>
        <v>#REF!</v>
      </c>
      <c r="X18" s="331" t="e">
        <f>IF(#REF!=0,"x","")</f>
        <v>#REF!</v>
      </c>
      <c r="Y18" s="331" t="e">
        <f>IF(#REF!=0,"x","")</f>
        <v>#REF!</v>
      </c>
      <c r="Z18" s="331" t="e">
        <f>IF(#REF!=0,"x","")</f>
        <v>#REF!</v>
      </c>
      <c r="AA18" s="331" t="e">
        <f>IF(#REF!=0,"x","")</f>
        <v>#REF!</v>
      </c>
      <c r="AB18" s="331" t="e">
        <f>IF(#REF!=0,"x","")</f>
        <v>#REF!</v>
      </c>
      <c r="AC18" s="331" t="e">
        <f>IF(#REF!=0,"x","")</f>
        <v>#REF!</v>
      </c>
      <c r="AD18" s="331" t="e">
        <f>IF(#REF!=0,"x","")</f>
        <v>#REF!</v>
      </c>
      <c r="AE18" s="331" t="e">
        <f>IF(#REF!=0,"x","")</f>
        <v>#REF!</v>
      </c>
      <c r="AF18" s="331" t="e">
        <f>IF(#REF!=0,"x","")</f>
        <v>#REF!</v>
      </c>
      <c r="AG18" s="331" t="e">
        <f>IF(#REF!=0,"x","")</f>
        <v>#REF!</v>
      </c>
      <c r="AH18" s="331"/>
      <c r="AI18" s="332">
        <f t="shared" si="1"/>
        <v>0</v>
      </c>
      <c r="AJ18" s="256"/>
    </row>
    <row r="19" spans="1:36">
      <c r="A19" s="334">
        <v>11</v>
      </c>
      <c r="B19" s="504" t="s">
        <v>294</v>
      </c>
      <c r="C19" s="290" t="s">
        <v>295</v>
      </c>
      <c r="D19" s="331" t="e">
        <f>IF(#REF!=0,"x","")</f>
        <v>#REF!</v>
      </c>
      <c r="E19" s="331" t="e">
        <f>IF(#REF!=0,"x","")</f>
        <v>#REF!</v>
      </c>
      <c r="F19" s="331" t="e">
        <f>IF(#REF!=0,"x","")</f>
        <v>#REF!</v>
      </c>
      <c r="G19" s="331" t="e">
        <f>IF(#REF!=0,"x","")</f>
        <v>#REF!</v>
      </c>
      <c r="H19" s="331" t="e">
        <f>IF(#REF!=0,"x","")</f>
        <v>#REF!</v>
      </c>
      <c r="I19" s="331" t="e">
        <f>IF(#REF!=0,"x","")</f>
        <v>#REF!</v>
      </c>
      <c r="J19" s="331" t="e">
        <f>IF(#REF!=0,"x","")</f>
        <v>#REF!</v>
      </c>
      <c r="K19" s="331" t="e">
        <f>IF(#REF!=0,"x","")</f>
        <v>#REF!</v>
      </c>
      <c r="L19" s="331" t="e">
        <f>IF(#REF!=0,"x","")</f>
        <v>#REF!</v>
      </c>
      <c r="M19" s="331" t="e">
        <f>IF(#REF!=0,"x","")</f>
        <v>#REF!</v>
      </c>
      <c r="N19" s="331" t="e">
        <f>IF(#REF!=0,"x","")</f>
        <v>#REF!</v>
      </c>
      <c r="O19" s="331" t="e">
        <f>IF(#REF!=0,"x","")</f>
        <v>#REF!</v>
      </c>
      <c r="P19" s="331" t="e">
        <f>IF(#REF!=0,"x","")</f>
        <v>#REF!</v>
      </c>
      <c r="Q19" s="331" t="e">
        <f>IF(#REF!=0,"x","")</f>
        <v>#REF!</v>
      </c>
      <c r="R19" s="331" t="e">
        <f>IF(#REF!=0,"x","")</f>
        <v>#REF!</v>
      </c>
      <c r="S19" s="331" t="e">
        <f>IF(#REF!=0,"x","")</f>
        <v>#REF!</v>
      </c>
      <c r="T19" s="331" t="e">
        <f>IF(#REF!=0,"x","")</f>
        <v>#REF!</v>
      </c>
      <c r="U19" s="331" t="e">
        <f>IF(#REF!=0,"x","")</f>
        <v>#REF!</v>
      </c>
      <c r="V19" s="331" t="e">
        <f>IF(#REF!=0,"x","")</f>
        <v>#REF!</v>
      </c>
      <c r="W19" s="331" t="e">
        <f>IF(#REF!=0,"x","")</f>
        <v>#REF!</v>
      </c>
      <c r="X19" s="331" t="e">
        <f>IF(#REF!=0,"x","")</f>
        <v>#REF!</v>
      </c>
      <c r="Y19" s="331" t="e">
        <f>IF(#REF!=0,"x","")</f>
        <v>#REF!</v>
      </c>
      <c r="Z19" s="331" t="e">
        <f>IF(#REF!=0,"x","")</f>
        <v>#REF!</v>
      </c>
      <c r="AA19" s="331" t="e">
        <f>IF(#REF!=0,"x","")</f>
        <v>#REF!</v>
      </c>
      <c r="AB19" s="331" t="e">
        <f>IF(#REF!=0,"x","")</f>
        <v>#REF!</v>
      </c>
      <c r="AC19" s="331" t="e">
        <f>IF(#REF!=0,"x","")</f>
        <v>#REF!</v>
      </c>
      <c r="AD19" s="331" t="e">
        <f>IF(#REF!=0,"x","")</f>
        <v>#REF!</v>
      </c>
      <c r="AE19" s="331" t="e">
        <f>IF(#REF!=0,"x","")</f>
        <v>#REF!</v>
      </c>
      <c r="AF19" s="331" t="e">
        <f>IF(#REF!=0,"x","")</f>
        <v>#REF!</v>
      </c>
      <c r="AG19" s="331" t="e">
        <f>IF(#REF!=0,"x","")</f>
        <v>#REF!</v>
      </c>
      <c r="AH19" s="331"/>
      <c r="AI19" s="332">
        <f t="shared" si="1"/>
        <v>0</v>
      </c>
      <c r="AJ19" s="256"/>
    </row>
    <row r="20" spans="1:36">
      <c r="A20" s="334">
        <v>12</v>
      </c>
      <c r="B20" s="504" t="s">
        <v>296</v>
      </c>
      <c r="C20" s="290" t="s">
        <v>295</v>
      </c>
      <c r="D20" s="331" t="e">
        <f>IF(#REF!=0,"x","")</f>
        <v>#REF!</v>
      </c>
      <c r="E20" s="331" t="e">
        <f>IF(#REF!=0,"x","")</f>
        <v>#REF!</v>
      </c>
      <c r="F20" s="331" t="e">
        <f>IF(#REF!=0,"x","")</f>
        <v>#REF!</v>
      </c>
      <c r="G20" s="331" t="e">
        <f>IF(#REF!=0,"x","")</f>
        <v>#REF!</v>
      </c>
      <c r="H20" s="331" t="e">
        <f>IF(#REF!=0,"x","")</f>
        <v>#REF!</v>
      </c>
      <c r="I20" s="331" t="e">
        <f>IF(#REF!=0,"x","")</f>
        <v>#REF!</v>
      </c>
      <c r="J20" s="331" t="e">
        <f>IF(#REF!=0,"x","")</f>
        <v>#REF!</v>
      </c>
      <c r="K20" s="331" t="e">
        <f>IF(#REF!=0,"x","")</f>
        <v>#REF!</v>
      </c>
      <c r="L20" s="331" t="e">
        <f>IF(#REF!=0,"x","")</f>
        <v>#REF!</v>
      </c>
      <c r="M20" s="331" t="e">
        <f>IF(#REF!=0,"x","")</f>
        <v>#REF!</v>
      </c>
      <c r="N20" s="331" t="e">
        <f>IF(#REF!=0,"x","")</f>
        <v>#REF!</v>
      </c>
      <c r="O20" s="331" t="e">
        <f>IF(#REF!=0,"x","")</f>
        <v>#REF!</v>
      </c>
      <c r="P20" s="331" t="e">
        <f>IF(#REF!=0,"x","")</f>
        <v>#REF!</v>
      </c>
      <c r="Q20" s="331" t="e">
        <f>IF(#REF!=0,"x","")</f>
        <v>#REF!</v>
      </c>
      <c r="R20" s="331" t="e">
        <f>IF(#REF!=0,"x","")</f>
        <v>#REF!</v>
      </c>
      <c r="S20" s="331" t="e">
        <f>IF(#REF!=0,"x","")</f>
        <v>#REF!</v>
      </c>
      <c r="T20" s="331" t="e">
        <f>IF(#REF!=0,"x","")</f>
        <v>#REF!</v>
      </c>
      <c r="U20" s="331" t="e">
        <f>IF(#REF!=0,"x","")</f>
        <v>#REF!</v>
      </c>
      <c r="V20" s="331" t="e">
        <f>IF(#REF!=0,"x","")</f>
        <v>#REF!</v>
      </c>
      <c r="W20" s="331" t="e">
        <f>IF(#REF!=0,"x","")</f>
        <v>#REF!</v>
      </c>
      <c r="X20" s="331" t="e">
        <f>IF(#REF!=0,"x","")</f>
        <v>#REF!</v>
      </c>
      <c r="Y20" s="331" t="e">
        <f>IF(#REF!=0,"x","")</f>
        <v>#REF!</v>
      </c>
      <c r="Z20" s="331" t="e">
        <f>IF(#REF!=0,"x","")</f>
        <v>#REF!</v>
      </c>
      <c r="AA20" s="331" t="e">
        <f>IF(#REF!=0,"x","")</f>
        <v>#REF!</v>
      </c>
      <c r="AB20" s="331" t="e">
        <f>IF(#REF!=0,"x","")</f>
        <v>#REF!</v>
      </c>
      <c r="AC20" s="331" t="e">
        <f>IF(#REF!=0,"x","")</f>
        <v>#REF!</v>
      </c>
      <c r="AD20" s="331" t="e">
        <f>IF(#REF!=0,"x","")</f>
        <v>#REF!</v>
      </c>
      <c r="AE20" s="331" t="e">
        <f>IF(#REF!=0,"x","")</f>
        <v>#REF!</v>
      </c>
      <c r="AF20" s="331" t="e">
        <f>IF(#REF!=0,"x","")</f>
        <v>#REF!</v>
      </c>
      <c r="AG20" s="331" t="e">
        <f>IF(#REF!=0,"x","")</f>
        <v>#REF!</v>
      </c>
      <c r="AH20" s="331"/>
      <c r="AI20" s="332">
        <f t="shared" si="1"/>
        <v>0</v>
      </c>
      <c r="AJ20" s="256"/>
    </row>
    <row r="21" spans="1:36">
      <c r="A21" s="334">
        <v>13</v>
      </c>
      <c r="B21" s="504" t="s">
        <v>297</v>
      </c>
      <c r="C21" s="290" t="s">
        <v>295</v>
      </c>
      <c r="D21" s="331" t="e">
        <f>IF(#REF!=0,"x","")</f>
        <v>#REF!</v>
      </c>
      <c r="E21" s="331" t="e">
        <f>IF(#REF!=0,"x","")</f>
        <v>#REF!</v>
      </c>
      <c r="F21" s="331" t="e">
        <f>IF(#REF!=0,"x","")</f>
        <v>#REF!</v>
      </c>
      <c r="G21" s="331" t="e">
        <f>IF(#REF!=0,"x","")</f>
        <v>#REF!</v>
      </c>
      <c r="H21" s="331" t="e">
        <f>IF(#REF!=0,"x","")</f>
        <v>#REF!</v>
      </c>
      <c r="I21" s="331" t="e">
        <f>IF(#REF!=0,"x","")</f>
        <v>#REF!</v>
      </c>
      <c r="J21" s="331" t="e">
        <f>IF(#REF!=0,"x","")</f>
        <v>#REF!</v>
      </c>
      <c r="K21" s="331" t="e">
        <f>IF(#REF!=0,"x","")</f>
        <v>#REF!</v>
      </c>
      <c r="L21" s="331" t="e">
        <f>IF(#REF!=0,"x","")</f>
        <v>#REF!</v>
      </c>
      <c r="M21" s="331" t="e">
        <f>IF(#REF!=0,"x","")</f>
        <v>#REF!</v>
      </c>
      <c r="N21" s="331" t="e">
        <f>IF(#REF!=0,"x","")</f>
        <v>#REF!</v>
      </c>
      <c r="O21" s="331" t="e">
        <f>IF(#REF!=0,"x","")</f>
        <v>#REF!</v>
      </c>
      <c r="P21" s="331" t="e">
        <f>IF(#REF!=0,"x","")</f>
        <v>#REF!</v>
      </c>
      <c r="Q21" s="331" t="e">
        <f>IF(#REF!=0,"x","")</f>
        <v>#REF!</v>
      </c>
      <c r="R21" s="331" t="e">
        <f>IF(#REF!=0,"x","")</f>
        <v>#REF!</v>
      </c>
      <c r="S21" s="331" t="e">
        <f>IF(#REF!=0,"x","")</f>
        <v>#REF!</v>
      </c>
      <c r="T21" s="331" t="e">
        <f>IF(#REF!=0,"x","")</f>
        <v>#REF!</v>
      </c>
      <c r="U21" s="331" t="e">
        <f>IF(#REF!=0,"x","")</f>
        <v>#REF!</v>
      </c>
      <c r="V21" s="331" t="e">
        <f>IF(#REF!=0,"x","")</f>
        <v>#REF!</v>
      </c>
      <c r="W21" s="331" t="e">
        <f>IF(#REF!=0,"x","")</f>
        <v>#REF!</v>
      </c>
      <c r="X21" s="331" t="e">
        <f>IF(#REF!=0,"x","")</f>
        <v>#REF!</v>
      </c>
      <c r="Y21" s="331" t="e">
        <f>IF(#REF!=0,"x","")</f>
        <v>#REF!</v>
      </c>
      <c r="Z21" s="331" t="e">
        <f>IF(#REF!=0,"x","")</f>
        <v>#REF!</v>
      </c>
      <c r="AA21" s="331" t="e">
        <f>IF(#REF!=0,"x","")</f>
        <v>#REF!</v>
      </c>
      <c r="AB21" s="331" t="e">
        <f>IF(#REF!=0,"x","")</f>
        <v>#REF!</v>
      </c>
      <c r="AC21" s="331" t="e">
        <f>IF(#REF!=0,"x","")</f>
        <v>#REF!</v>
      </c>
      <c r="AD21" s="331" t="e">
        <f>IF(#REF!=0,"x","")</f>
        <v>#REF!</v>
      </c>
      <c r="AE21" s="331" t="e">
        <f>IF(#REF!=0,"x","")</f>
        <v>#REF!</v>
      </c>
      <c r="AF21" s="331" t="e">
        <f>IF(#REF!=0,"x","")</f>
        <v>#REF!</v>
      </c>
      <c r="AG21" s="331" t="e">
        <f>IF(#REF!=0,"x","")</f>
        <v>#REF!</v>
      </c>
      <c r="AH21" s="331"/>
      <c r="AI21" s="332">
        <f t="shared" si="1"/>
        <v>0</v>
      </c>
      <c r="AJ21" s="256"/>
    </row>
    <row r="22" spans="1:36">
      <c r="A22" s="334">
        <v>14</v>
      </c>
      <c r="B22" s="504" t="s">
        <v>298</v>
      </c>
      <c r="C22" s="290" t="s">
        <v>295</v>
      </c>
      <c r="D22" s="331" t="e">
        <f>IF(#REF!=0,"x","")</f>
        <v>#REF!</v>
      </c>
      <c r="E22" s="331" t="e">
        <f>IF(#REF!=0,"x","")</f>
        <v>#REF!</v>
      </c>
      <c r="F22" s="331" t="e">
        <f>IF(#REF!=0,"x","")</f>
        <v>#REF!</v>
      </c>
      <c r="G22" s="331" t="e">
        <f>IF(#REF!=0,"x","")</f>
        <v>#REF!</v>
      </c>
      <c r="H22" s="331" t="e">
        <f>IF(#REF!=0,"x","")</f>
        <v>#REF!</v>
      </c>
      <c r="I22" s="331" t="e">
        <f>IF(#REF!=0,"x","")</f>
        <v>#REF!</v>
      </c>
      <c r="J22" s="331" t="e">
        <f>IF(#REF!=0,"x","")</f>
        <v>#REF!</v>
      </c>
      <c r="K22" s="331" t="e">
        <f>IF(#REF!=0,"x","")</f>
        <v>#REF!</v>
      </c>
      <c r="L22" s="331" t="e">
        <f>IF(#REF!=0,"x","")</f>
        <v>#REF!</v>
      </c>
      <c r="M22" s="331" t="e">
        <f>IF(#REF!=0,"x","")</f>
        <v>#REF!</v>
      </c>
      <c r="N22" s="331" t="e">
        <f>IF(#REF!=0,"x","")</f>
        <v>#REF!</v>
      </c>
      <c r="O22" s="331" t="e">
        <f>IF(#REF!=0,"x","")</f>
        <v>#REF!</v>
      </c>
      <c r="P22" s="331" t="e">
        <f>IF(#REF!=0,"x","")</f>
        <v>#REF!</v>
      </c>
      <c r="Q22" s="331" t="e">
        <f>IF(#REF!=0,"x","")</f>
        <v>#REF!</v>
      </c>
      <c r="R22" s="331" t="e">
        <f>IF(#REF!=0,"x","")</f>
        <v>#REF!</v>
      </c>
      <c r="S22" s="331" t="e">
        <f>IF(#REF!=0,"x","")</f>
        <v>#REF!</v>
      </c>
      <c r="T22" s="331" t="e">
        <f>IF(#REF!=0,"x","")</f>
        <v>#REF!</v>
      </c>
      <c r="U22" s="331" t="e">
        <f>IF(#REF!=0,"x","")</f>
        <v>#REF!</v>
      </c>
      <c r="V22" s="331" t="e">
        <f>IF(#REF!=0,"x","")</f>
        <v>#REF!</v>
      </c>
      <c r="W22" s="331" t="e">
        <f>IF(#REF!=0,"x","")</f>
        <v>#REF!</v>
      </c>
      <c r="X22" s="331" t="e">
        <f>IF(#REF!=0,"x","")</f>
        <v>#REF!</v>
      </c>
      <c r="Y22" s="331" t="e">
        <f>IF(#REF!=0,"x","")</f>
        <v>#REF!</v>
      </c>
      <c r="Z22" s="331" t="e">
        <f>IF(#REF!=0,"x","")</f>
        <v>#REF!</v>
      </c>
      <c r="AA22" s="331" t="e">
        <f>IF(#REF!=0,"x","")</f>
        <v>#REF!</v>
      </c>
      <c r="AB22" s="331" t="e">
        <f>IF(#REF!=0,"x","")</f>
        <v>#REF!</v>
      </c>
      <c r="AC22" s="331" t="e">
        <f>IF(#REF!=0,"x","")</f>
        <v>#REF!</v>
      </c>
      <c r="AD22" s="331" t="e">
        <f>IF(#REF!=0,"x","")</f>
        <v>#REF!</v>
      </c>
      <c r="AE22" s="331" t="e">
        <f>IF(#REF!=0,"x","")</f>
        <v>#REF!</v>
      </c>
      <c r="AF22" s="331" t="e">
        <f>IF(#REF!=0,"x","")</f>
        <v>#REF!</v>
      </c>
      <c r="AG22" s="331" t="e">
        <f>IF(#REF!=0,"x","")</f>
        <v>#REF!</v>
      </c>
      <c r="AH22" s="331"/>
      <c r="AI22" s="332">
        <f t="shared" si="1"/>
        <v>0</v>
      </c>
      <c r="AJ22" s="256"/>
    </row>
    <row r="23" spans="1:36">
      <c r="A23" s="334">
        <v>15</v>
      </c>
      <c r="B23" s="504" t="s">
        <v>328</v>
      </c>
      <c r="C23" s="290" t="s">
        <v>295</v>
      </c>
      <c r="D23" s="331" t="e">
        <f>IF(#REF!=0,"x","")</f>
        <v>#REF!</v>
      </c>
      <c r="E23" s="331" t="e">
        <f>IF(#REF!=0,"x","")</f>
        <v>#REF!</v>
      </c>
      <c r="F23" s="331" t="e">
        <f>IF(#REF!=0,"x","")</f>
        <v>#REF!</v>
      </c>
      <c r="G23" s="331" t="e">
        <f>IF(#REF!=0,"x","")</f>
        <v>#REF!</v>
      </c>
      <c r="H23" s="331" t="e">
        <f>IF(#REF!=0,"x","")</f>
        <v>#REF!</v>
      </c>
      <c r="I23" s="331" t="e">
        <f>IF(#REF!=0,"x","")</f>
        <v>#REF!</v>
      </c>
      <c r="J23" s="331" t="e">
        <f>IF(#REF!=0,"x","")</f>
        <v>#REF!</v>
      </c>
      <c r="K23" s="331" t="e">
        <f>IF(#REF!=0,"x","")</f>
        <v>#REF!</v>
      </c>
      <c r="L23" s="331" t="e">
        <f>IF(#REF!=0,"x","")</f>
        <v>#REF!</v>
      </c>
      <c r="M23" s="331" t="e">
        <f>IF(#REF!=0,"x","")</f>
        <v>#REF!</v>
      </c>
      <c r="N23" s="331" t="e">
        <f>IF(#REF!=0,"x","")</f>
        <v>#REF!</v>
      </c>
      <c r="O23" s="331" t="e">
        <f>IF(#REF!=0,"x","")</f>
        <v>#REF!</v>
      </c>
      <c r="P23" s="331" t="e">
        <f>IF(#REF!=0,"x","")</f>
        <v>#REF!</v>
      </c>
      <c r="Q23" s="331" t="e">
        <f>IF(#REF!=0,"x","")</f>
        <v>#REF!</v>
      </c>
      <c r="R23" s="331" t="e">
        <f>IF(#REF!=0,"x","")</f>
        <v>#REF!</v>
      </c>
      <c r="S23" s="331" t="e">
        <f>IF(#REF!=0,"x","")</f>
        <v>#REF!</v>
      </c>
      <c r="T23" s="331" t="e">
        <f>IF(#REF!=0,"x","")</f>
        <v>#REF!</v>
      </c>
      <c r="U23" s="331" t="e">
        <f>IF(#REF!=0,"x","")</f>
        <v>#REF!</v>
      </c>
      <c r="V23" s="331" t="e">
        <f>IF(#REF!=0,"x","")</f>
        <v>#REF!</v>
      </c>
      <c r="W23" s="331" t="e">
        <f>IF(#REF!=0,"x","")</f>
        <v>#REF!</v>
      </c>
      <c r="X23" s="331" t="e">
        <f>IF(#REF!=0,"x","")</f>
        <v>#REF!</v>
      </c>
      <c r="Y23" s="331" t="e">
        <f>IF(#REF!=0,"x","")</f>
        <v>#REF!</v>
      </c>
      <c r="Z23" s="331" t="e">
        <f>IF(#REF!=0,"x","")</f>
        <v>#REF!</v>
      </c>
      <c r="AA23" s="331" t="e">
        <f>IF(#REF!=0,"x","")</f>
        <v>#REF!</v>
      </c>
      <c r="AB23" s="331" t="e">
        <f>IF(#REF!=0,"x","")</f>
        <v>#REF!</v>
      </c>
      <c r="AC23" s="331" t="e">
        <f>IF(#REF!=0,"x","")</f>
        <v>#REF!</v>
      </c>
      <c r="AD23" s="331" t="e">
        <f>IF(#REF!=0,"x","")</f>
        <v>#REF!</v>
      </c>
      <c r="AE23" s="331" t="e">
        <f>IF(#REF!=0,"x","")</f>
        <v>#REF!</v>
      </c>
      <c r="AF23" s="331" t="e">
        <f>IF(#REF!=0,"x","")</f>
        <v>#REF!</v>
      </c>
      <c r="AG23" s="331" t="e">
        <f>IF(#REF!=0,"x","")</f>
        <v>#REF!</v>
      </c>
      <c r="AH23" s="331"/>
      <c r="AI23" s="332">
        <f t="shared" si="1"/>
        <v>0</v>
      </c>
      <c r="AJ23" s="256"/>
    </row>
    <row r="24" spans="1:36">
      <c r="A24" s="334">
        <v>16</v>
      </c>
      <c r="B24" s="504" t="s">
        <v>299</v>
      </c>
      <c r="C24" s="290" t="s">
        <v>295</v>
      </c>
      <c r="D24" s="331" t="e">
        <f>IF(#REF!=0,"x","")</f>
        <v>#REF!</v>
      </c>
      <c r="E24" s="331" t="e">
        <f>IF(#REF!=0,"x","")</f>
        <v>#REF!</v>
      </c>
      <c r="F24" s="331" t="e">
        <f>IF(#REF!=0,"x","")</f>
        <v>#REF!</v>
      </c>
      <c r="G24" s="331" t="e">
        <f>IF(#REF!=0,"x","")</f>
        <v>#REF!</v>
      </c>
      <c r="H24" s="331" t="e">
        <f>IF(#REF!=0,"x","")</f>
        <v>#REF!</v>
      </c>
      <c r="I24" s="331" t="e">
        <f>IF(#REF!=0,"x","")</f>
        <v>#REF!</v>
      </c>
      <c r="J24" s="331" t="e">
        <f>IF(#REF!=0,"x","")</f>
        <v>#REF!</v>
      </c>
      <c r="K24" s="331" t="e">
        <f>IF(#REF!=0,"x","")</f>
        <v>#REF!</v>
      </c>
      <c r="L24" s="331" t="e">
        <f>IF(#REF!=0,"x","")</f>
        <v>#REF!</v>
      </c>
      <c r="M24" s="331" t="e">
        <f>IF(#REF!=0,"x","")</f>
        <v>#REF!</v>
      </c>
      <c r="N24" s="331" t="e">
        <f>IF(#REF!=0,"x","")</f>
        <v>#REF!</v>
      </c>
      <c r="O24" s="331" t="e">
        <f>IF(#REF!=0,"x","")</f>
        <v>#REF!</v>
      </c>
      <c r="P24" s="331" t="e">
        <f>IF(#REF!=0,"x","")</f>
        <v>#REF!</v>
      </c>
      <c r="Q24" s="331" t="e">
        <f>IF(#REF!=0,"x","")</f>
        <v>#REF!</v>
      </c>
      <c r="R24" s="331" t="e">
        <f>IF(#REF!=0,"x","")</f>
        <v>#REF!</v>
      </c>
      <c r="S24" s="331" t="e">
        <f>IF(#REF!=0,"x","")</f>
        <v>#REF!</v>
      </c>
      <c r="T24" s="331" t="e">
        <f>IF(#REF!=0,"x","")</f>
        <v>#REF!</v>
      </c>
      <c r="U24" s="331" t="e">
        <f>IF(#REF!=0,"x","")</f>
        <v>#REF!</v>
      </c>
      <c r="V24" s="331" t="e">
        <f>IF(#REF!=0,"x","")</f>
        <v>#REF!</v>
      </c>
      <c r="W24" s="331" t="e">
        <f>IF(#REF!=0,"x","")</f>
        <v>#REF!</v>
      </c>
      <c r="X24" s="331" t="e">
        <f>IF(#REF!=0,"x","")</f>
        <v>#REF!</v>
      </c>
      <c r="Y24" s="331" t="e">
        <f>IF(#REF!=0,"x","")</f>
        <v>#REF!</v>
      </c>
      <c r="Z24" s="331" t="e">
        <f>IF(#REF!=0,"x","")</f>
        <v>#REF!</v>
      </c>
      <c r="AA24" s="331" t="e">
        <f>IF(#REF!=0,"x","")</f>
        <v>#REF!</v>
      </c>
      <c r="AB24" s="331" t="e">
        <f>IF(#REF!=0,"x","")</f>
        <v>#REF!</v>
      </c>
      <c r="AC24" s="331" t="e">
        <f>IF(#REF!=0,"x","")</f>
        <v>#REF!</v>
      </c>
      <c r="AD24" s="331" t="e">
        <f>IF(#REF!=0,"x","")</f>
        <v>#REF!</v>
      </c>
      <c r="AE24" s="331" t="e">
        <f>IF(#REF!=0,"x","")</f>
        <v>#REF!</v>
      </c>
      <c r="AF24" s="331" t="e">
        <f>IF(#REF!=0,"x","")</f>
        <v>#REF!</v>
      </c>
      <c r="AG24" s="331" t="e">
        <f>IF(#REF!=0,"x","")</f>
        <v>#REF!</v>
      </c>
      <c r="AH24" s="331"/>
      <c r="AI24" s="332">
        <f t="shared" si="1"/>
        <v>0</v>
      </c>
      <c r="AJ24" s="335"/>
    </row>
    <row r="25" spans="1:36">
      <c r="A25" s="334">
        <v>17</v>
      </c>
      <c r="B25" s="504" t="s">
        <v>300</v>
      </c>
      <c r="C25" s="290" t="s">
        <v>301</v>
      </c>
      <c r="D25" s="331" t="e">
        <f>IF(#REF!=0,"x","")</f>
        <v>#REF!</v>
      </c>
      <c r="E25" s="331" t="e">
        <f>IF(#REF!=0,"x","")</f>
        <v>#REF!</v>
      </c>
      <c r="F25" s="331" t="e">
        <f>IF(#REF!=0,"x","")</f>
        <v>#REF!</v>
      </c>
      <c r="G25" s="331" t="e">
        <f>IF(#REF!=0,"x","")</f>
        <v>#REF!</v>
      </c>
      <c r="H25" s="331" t="e">
        <f>IF(#REF!=0,"x","")</f>
        <v>#REF!</v>
      </c>
      <c r="I25" s="331" t="e">
        <f>IF(#REF!=0,"x","")</f>
        <v>#REF!</v>
      </c>
      <c r="J25" s="331" t="e">
        <f>IF(#REF!=0,"x","")</f>
        <v>#REF!</v>
      </c>
      <c r="K25" s="331" t="e">
        <f>IF(#REF!=0,"x","")</f>
        <v>#REF!</v>
      </c>
      <c r="L25" s="331" t="e">
        <f>IF(#REF!=0,"x","")</f>
        <v>#REF!</v>
      </c>
      <c r="M25" s="331" t="e">
        <f>IF(#REF!=0,"x","")</f>
        <v>#REF!</v>
      </c>
      <c r="N25" s="331" t="e">
        <f>IF(#REF!=0,"x","")</f>
        <v>#REF!</v>
      </c>
      <c r="O25" s="331" t="e">
        <f>IF(#REF!=0,"x","")</f>
        <v>#REF!</v>
      </c>
      <c r="P25" s="331" t="e">
        <f>IF(#REF!=0,"x","")</f>
        <v>#REF!</v>
      </c>
      <c r="Q25" s="331" t="e">
        <f>IF(#REF!=0,"x","")</f>
        <v>#REF!</v>
      </c>
      <c r="R25" s="331" t="e">
        <f>IF(#REF!=0,"x","")</f>
        <v>#REF!</v>
      </c>
      <c r="S25" s="331" t="e">
        <f>IF(#REF!=0,"x","")</f>
        <v>#REF!</v>
      </c>
      <c r="T25" s="331" t="e">
        <f>IF(#REF!=0,"x","")</f>
        <v>#REF!</v>
      </c>
      <c r="U25" s="331" t="e">
        <f>IF(#REF!=0,"x","")</f>
        <v>#REF!</v>
      </c>
      <c r="V25" s="331" t="e">
        <f>IF(#REF!=0,"x","")</f>
        <v>#REF!</v>
      </c>
      <c r="W25" s="331" t="e">
        <f>IF(#REF!=0,"x","")</f>
        <v>#REF!</v>
      </c>
      <c r="X25" s="331" t="e">
        <f>IF(#REF!=0,"x","")</f>
        <v>#REF!</v>
      </c>
      <c r="Y25" s="331" t="e">
        <f>IF(#REF!=0,"x","")</f>
        <v>#REF!</v>
      </c>
      <c r="Z25" s="331" t="e">
        <f>IF(#REF!=0,"x","")</f>
        <v>#REF!</v>
      </c>
      <c r="AA25" s="331" t="e">
        <f>IF(#REF!=0,"x","")</f>
        <v>#REF!</v>
      </c>
      <c r="AB25" s="331" t="e">
        <f>IF(#REF!=0,"x","")</f>
        <v>#REF!</v>
      </c>
      <c r="AC25" s="331" t="e">
        <f>IF(#REF!=0,"x","")</f>
        <v>#REF!</v>
      </c>
      <c r="AD25" s="331" t="e">
        <f>IF(#REF!=0,"x","")</f>
        <v>#REF!</v>
      </c>
      <c r="AE25" s="331" t="e">
        <f>IF(#REF!=0,"x","")</f>
        <v>#REF!</v>
      </c>
      <c r="AF25" s="331" t="e">
        <f>IF(#REF!=0,"x","")</f>
        <v>#REF!</v>
      </c>
      <c r="AG25" s="331" t="e">
        <f>IF(#REF!=0,"x","")</f>
        <v>#REF!</v>
      </c>
      <c r="AH25" s="331"/>
      <c r="AI25" s="332">
        <f t="shared" si="1"/>
        <v>0</v>
      </c>
      <c r="AJ25" s="256"/>
    </row>
    <row r="26" spans="1:36">
      <c r="A26" s="334">
        <v>18</v>
      </c>
      <c r="B26" s="504" t="s">
        <v>302</v>
      </c>
      <c r="C26" s="290" t="s">
        <v>301</v>
      </c>
      <c r="D26" s="331" t="e">
        <f>IF(#REF!=0,"x","")</f>
        <v>#REF!</v>
      </c>
      <c r="E26" s="331" t="e">
        <f>IF(#REF!=0,"x","")</f>
        <v>#REF!</v>
      </c>
      <c r="F26" s="331" t="e">
        <f>IF(#REF!=0,"x","")</f>
        <v>#REF!</v>
      </c>
      <c r="G26" s="331" t="e">
        <f>IF(#REF!=0,"x","")</f>
        <v>#REF!</v>
      </c>
      <c r="H26" s="331" t="e">
        <f>IF(#REF!=0,"x","")</f>
        <v>#REF!</v>
      </c>
      <c r="I26" s="331" t="e">
        <f>IF(#REF!=0,"x","")</f>
        <v>#REF!</v>
      </c>
      <c r="J26" s="331" t="e">
        <f>IF(#REF!=0,"x","")</f>
        <v>#REF!</v>
      </c>
      <c r="K26" s="331" t="e">
        <f>IF(#REF!=0,"x","")</f>
        <v>#REF!</v>
      </c>
      <c r="L26" s="331" t="e">
        <f>IF(#REF!=0,"x","")</f>
        <v>#REF!</v>
      </c>
      <c r="M26" s="331" t="e">
        <f>IF(#REF!=0,"x","")</f>
        <v>#REF!</v>
      </c>
      <c r="N26" s="331" t="e">
        <f>IF(#REF!=0,"x","")</f>
        <v>#REF!</v>
      </c>
      <c r="O26" s="331" t="e">
        <f>IF(#REF!=0,"x","")</f>
        <v>#REF!</v>
      </c>
      <c r="P26" s="331" t="e">
        <f>IF(#REF!=0,"x","")</f>
        <v>#REF!</v>
      </c>
      <c r="Q26" s="331" t="e">
        <f>IF(#REF!=0,"x","")</f>
        <v>#REF!</v>
      </c>
      <c r="R26" s="331" t="e">
        <f>IF(#REF!=0,"x","")</f>
        <v>#REF!</v>
      </c>
      <c r="S26" s="331" t="e">
        <f>IF(#REF!=0,"x","")</f>
        <v>#REF!</v>
      </c>
      <c r="T26" s="331" t="e">
        <f>IF(#REF!=0,"x","")</f>
        <v>#REF!</v>
      </c>
      <c r="U26" s="331" t="e">
        <f>IF(#REF!=0,"x","")</f>
        <v>#REF!</v>
      </c>
      <c r="V26" s="331" t="e">
        <f>IF(#REF!=0,"x","")</f>
        <v>#REF!</v>
      </c>
      <c r="W26" s="331" t="e">
        <f>IF(#REF!=0,"x","")</f>
        <v>#REF!</v>
      </c>
      <c r="X26" s="331" t="e">
        <f>IF(#REF!=0,"x","")</f>
        <v>#REF!</v>
      </c>
      <c r="Y26" s="331" t="e">
        <f>IF(#REF!=0,"x","")</f>
        <v>#REF!</v>
      </c>
      <c r="Z26" s="331" t="e">
        <f>IF(#REF!=0,"x","")</f>
        <v>#REF!</v>
      </c>
      <c r="AA26" s="331" t="e">
        <f>IF(#REF!=0,"x","")</f>
        <v>#REF!</v>
      </c>
      <c r="AB26" s="331" t="e">
        <f>IF(#REF!=0,"x","")</f>
        <v>#REF!</v>
      </c>
      <c r="AC26" s="331" t="e">
        <f>IF(#REF!=0,"x","")</f>
        <v>#REF!</v>
      </c>
      <c r="AD26" s="331" t="e">
        <f>IF(#REF!=0,"x","")</f>
        <v>#REF!</v>
      </c>
      <c r="AE26" s="331" t="e">
        <f>IF(#REF!=0,"x","")</f>
        <v>#REF!</v>
      </c>
      <c r="AF26" s="331" t="e">
        <f>IF(#REF!=0,"x","")</f>
        <v>#REF!</v>
      </c>
      <c r="AG26" s="331" t="e">
        <f>IF(#REF!=0,"x","")</f>
        <v>#REF!</v>
      </c>
      <c r="AH26" s="331"/>
      <c r="AI26" s="332">
        <f t="shared" si="1"/>
        <v>0</v>
      </c>
      <c r="AJ26" s="256"/>
    </row>
    <row r="27" spans="1:36">
      <c r="A27" s="334">
        <v>19</v>
      </c>
      <c r="B27" s="504" t="s">
        <v>303</v>
      </c>
      <c r="C27" s="290" t="s">
        <v>301</v>
      </c>
      <c r="D27" s="331" t="e">
        <f>IF(#REF!=0,"x","")</f>
        <v>#REF!</v>
      </c>
      <c r="E27" s="331" t="e">
        <f>IF(#REF!=0,"x","")</f>
        <v>#REF!</v>
      </c>
      <c r="F27" s="331" t="e">
        <f>IF(#REF!=0,"x","")</f>
        <v>#REF!</v>
      </c>
      <c r="G27" s="331" t="e">
        <f>IF(#REF!=0,"x","")</f>
        <v>#REF!</v>
      </c>
      <c r="H27" s="331" t="e">
        <f>IF(#REF!=0,"x","")</f>
        <v>#REF!</v>
      </c>
      <c r="I27" s="331" t="e">
        <f>IF(#REF!=0,"x","")</f>
        <v>#REF!</v>
      </c>
      <c r="J27" s="331" t="e">
        <f>IF(#REF!=0,"x","")</f>
        <v>#REF!</v>
      </c>
      <c r="K27" s="331" t="e">
        <f>IF(#REF!=0,"x","")</f>
        <v>#REF!</v>
      </c>
      <c r="L27" s="331" t="e">
        <f>IF(#REF!=0,"x","")</f>
        <v>#REF!</v>
      </c>
      <c r="M27" s="331" t="e">
        <f>IF(#REF!=0,"x","")</f>
        <v>#REF!</v>
      </c>
      <c r="N27" s="331" t="e">
        <f>IF(#REF!=0,"x","")</f>
        <v>#REF!</v>
      </c>
      <c r="O27" s="331" t="e">
        <f>IF(#REF!=0,"x","")</f>
        <v>#REF!</v>
      </c>
      <c r="P27" s="331" t="e">
        <f>IF(#REF!=0,"x","")</f>
        <v>#REF!</v>
      </c>
      <c r="Q27" s="331" t="e">
        <f>IF(#REF!=0,"x","")</f>
        <v>#REF!</v>
      </c>
      <c r="R27" s="331" t="e">
        <f>IF(#REF!=0,"x","")</f>
        <v>#REF!</v>
      </c>
      <c r="S27" s="331" t="e">
        <f>IF(#REF!=0,"x","")</f>
        <v>#REF!</v>
      </c>
      <c r="T27" s="331" t="e">
        <f>IF(#REF!=0,"x","")</f>
        <v>#REF!</v>
      </c>
      <c r="U27" s="331" t="e">
        <f>IF(#REF!=0,"x","")</f>
        <v>#REF!</v>
      </c>
      <c r="V27" s="331" t="e">
        <f>IF(#REF!=0,"x","")</f>
        <v>#REF!</v>
      </c>
      <c r="W27" s="331" t="e">
        <f>IF(#REF!=0,"x","")</f>
        <v>#REF!</v>
      </c>
      <c r="X27" s="331" t="e">
        <f>IF(#REF!=0,"x","")</f>
        <v>#REF!</v>
      </c>
      <c r="Y27" s="331" t="e">
        <f>IF(#REF!=0,"x","")</f>
        <v>#REF!</v>
      </c>
      <c r="Z27" s="331" t="e">
        <f>IF(#REF!=0,"x","")</f>
        <v>#REF!</v>
      </c>
      <c r="AA27" s="331" t="e">
        <f>IF(#REF!=0,"x","")</f>
        <v>#REF!</v>
      </c>
      <c r="AB27" s="331" t="e">
        <f>IF(#REF!=0,"x","")</f>
        <v>#REF!</v>
      </c>
      <c r="AC27" s="331" t="e">
        <f>IF(#REF!=0,"x","")</f>
        <v>#REF!</v>
      </c>
      <c r="AD27" s="331" t="e">
        <f>IF(#REF!=0,"x","")</f>
        <v>#REF!</v>
      </c>
      <c r="AE27" s="331" t="e">
        <f>IF(#REF!=0,"x","")</f>
        <v>#REF!</v>
      </c>
      <c r="AF27" s="331" t="e">
        <f>IF(#REF!=0,"x","")</f>
        <v>#REF!</v>
      </c>
      <c r="AG27" s="331" t="e">
        <f>IF(#REF!=0,"x","")</f>
        <v>#REF!</v>
      </c>
      <c r="AH27" s="331"/>
      <c r="AI27" s="332">
        <f t="shared" si="1"/>
        <v>0</v>
      </c>
      <c r="AJ27" s="256"/>
    </row>
    <row r="28" spans="1:36">
      <c r="A28" s="334">
        <v>20</v>
      </c>
      <c r="B28" s="504" t="s">
        <v>304</v>
      </c>
      <c r="C28" s="290" t="s">
        <v>301</v>
      </c>
      <c r="D28" s="331" t="e">
        <f>IF(#REF!=0,"x","")</f>
        <v>#REF!</v>
      </c>
      <c r="E28" s="331" t="e">
        <f>IF(#REF!=0,"x","")</f>
        <v>#REF!</v>
      </c>
      <c r="F28" s="331" t="e">
        <f>IF(#REF!=0,"x","")</f>
        <v>#REF!</v>
      </c>
      <c r="G28" s="331" t="e">
        <f>IF(#REF!=0,"x","")</f>
        <v>#REF!</v>
      </c>
      <c r="H28" s="331" t="e">
        <f>IF(#REF!=0,"x","")</f>
        <v>#REF!</v>
      </c>
      <c r="I28" s="331" t="e">
        <f>IF(#REF!=0,"x","")</f>
        <v>#REF!</v>
      </c>
      <c r="J28" s="331" t="e">
        <f>IF(#REF!=0,"x","")</f>
        <v>#REF!</v>
      </c>
      <c r="K28" s="331" t="e">
        <f>IF(#REF!=0,"x","")</f>
        <v>#REF!</v>
      </c>
      <c r="L28" s="331" t="e">
        <f>IF(#REF!=0,"x","")</f>
        <v>#REF!</v>
      </c>
      <c r="M28" s="331" t="e">
        <f>IF(#REF!=0,"x","")</f>
        <v>#REF!</v>
      </c>
      <c r="N28" s="331" t="e">
        <f>IF(#REF!=0,"x","")</f>
        <v>#REF!</v>
      </c>
      <c r="O28" s="331" t="e">
        <f>IF(#REF!=0,"x","")</f>
        <v>#REF!</v>
      </c>
      <c r="P28" s="331" t="e">
        <f>IF(#REF!=0,"x","")</f>
        <v>#REF!</v>
      </c>
      <c r="Q28" s="331" t="e">
        <f>IF(#REF!=0,"x","")</f>
        <v>#REF!</v>
      </c>
      <c r="R28" s="331" t="e">
        <f>IF(#REF!=0,"x","")</f>
        <v>#REF!</v>
      </c>
      <c r="S28" s="331" t="e">
        <f>IF(#REF!=0,"x","")</f>
        <v>#REF!</v>
      </c>
      <c r="T28" s="331" t="e">
        <f>IF(#REF!=0,"x","")</f>
        <v>#REF!</v>
      </c>
      <c r="U28" s="331" t="e">
        <f>IF(#REF!=0,"x","")</f>
        <v>#REF!</v>
      </c>
      <c r="V28" s="331" t="e">
        <f>IF(#REF!=0,"x","")</f>
        <v>#REF!</v>
      </c>
      <c r="W28" s="331" t="e">
        <f>IF(#REF!=0,"x","")</f>
        <v>#REF!</v>
      </c>
      <c r="X28" s="331" t="e">
        <f>IF(#REF!=0,"x","")</f>
        <v>#REF!</v>
      </c>
      <c r="Y28" s="331" t="e">
        <f>IF(#REF!=0,"x","")</f>
        <v>#REF!</v>
      </c>
      <c r="Z28" s="331" t="e">
        <f>IF(#REF!=0,"x","")</f>
        <v>#REF!</v>
      </c>
      <c r="AA28" s="331" t="e">
        <f>IF(#REF!=0,"x","")</f>
        <v>#REF!</v>
      </c>
      <c r="AB28" s="331" t="e">
        <f>IF(#REF!=0,"x","")</f>
        <v>#REF!</v>
      </c>
      <c r="AC28" s="331" t="e">
        <f>IF(#REF!=0,"x","")</f>
        <v>#REF!</v>
      </c>
      <c r="AD28" s="331" t="e">
        <f>IF(#REF!=0,"x","")</f>
        <v>#REF!</v>
      </c>
      <c r="AE28" s="331" t="e">
        <f>IF(#REF!=0,"x","")</f>
        <v>#REF!</v>
      </c>
      <c r="AF28" s="331" t="e">
        <f>IF(#REF!=0,"x","")</f>
        <v>#REF!</v>
      </c>
      <c r="AG28" s="331" t="e">
        <f>IF(#REF!=0,"x","")</f>
        <v>#REF!</v>
      </c>
      <c r="AH28" s="331"/>
      <c r="AI28" s="332">
        <f>COUNTIF(D28:AG28,"x")</f>
        <v>0</v>
      </c>
      <c r="AJ28" s="256"/>
    </row>
    <row r="29" spans="1:36">
      <c r="A29" s="334">
        <v>21</v>
      </c>
      <c r="B29" s="504" t="s">
        <v>404</v>
      </c>
      <c r="C29" s="290" t="s">
        <v>301</v>
      </c>
      <c r="D29" s="331" t="e">
        <f>IF(#REF!=0,"x","")</f>
        <v>#REF!</v>
      </c>
      <c r="E29" s="331" t="e">
        <f>IF(#REF!=0,"x","")</f>
        <v>#REF!</v>
      </c>
      <c r="F29" s="331" t="e">
        <f>IF(#REF!=0,"x","")</f>
        <v>#REF!</v>
      </c>
      <c r="G29" s="331" t="e">
        <f>IF(#REF!=0,"x","")</f>
        <v>#REF!</v>
      </c>
      <c r="H29" s="331" t="e">
        <f>IF(#REF!=0,"x","")</f>
        <v>#REF!</v>
      </c>
      <c r="I29" s="331" t="e">
        <f>IF(#REF!=0,"x","")</f>
        <v>#REF!</v>
      </c>
      <c r="J29" s="331" t="e">
        <f>IF(#REF!=0,"x","")</f>
        <v>#REF!</v>
      </c>
      <c r="K29" s="331" t="e">
        <f>IF(#REF!=0,"x","")</f>
        <v>#REF!</v>
      </c>
      <c r="L29" s="331" t="e">
        <f>IF(#REF!=0,"x","")</f>
        <v>#REF!</v>
      </c>
      <c r="M29" s="331" t="e">
        <f>IF(#REF!=0,"x","")</f>
        <v>#REF!</v>
      </c>
      <c r="N29" s="331" t="e">
        <f>IF(#REF!=0,"x","")</f>
        <v>#REF!</v>
      </c>
      <c r="O29" s="331" t="e">
        <f>IF(#REF!=0,"x","")</f>
        <v>#REF!</v>
      </c>
      <c r="P29" s="331" t="e">
        <f>IF(#REF!=0,"x","")</f>
        <v>#REF!</v>
      </c>
      <c r="Q29" s="331" t="e">
        <f>IF(#REF!=0,"x","")</f>
        <v>#REF!</v>
      </c>
      <c r="R29" s="331" t="e">
        <f>IF(#REF!=0,"x","")</f>
        <v>#REF!</v>
      </c>
      <c r="S29" s="331" t="e">
        <f>IF(#REF!=0,"x","")</f>
        <v>#REF!</v>
      </c>
      <c r="T29" s="331" t="e">
        <f>IF(#REF!=0,"x","")</f>
        <v>#REF!</v>
      </c>
      <c r="U29" s="331" t="e">
        <f>IF(#REF!=0,"x","")</f>
        <v>#REF!</v>
      </c>
      <c r="V29" s="331" t="e">
        <f>IF(#REF!=0,"x","")</f>
        <v>#REF!</v>
      </c>
      <c r="W29" s="331" t="e">
        <f>IF(#REF!=0,"x","")</f>
        <v>#REF!</v>
      </c>
      <c r="X29" s="331" t="e">
        <f>IF(#REF!=0,"x","")</f>
        <v>#REF!</v>
      </c>
      <c r="Y29" s="331" t="e">
        <f>IF(#REF!=0,"x","")</f>
        <v>#REF!</v>
      </c>
      <c r="Z29" s="331" t="e">
        <f>IF(#REF!=0,"x","")</f>
        <v>#REF!</v>
      </c>
      <c r="AA29" s="331" t="e">
        <f>IF(#REF!=0,"x","")</f>
        <v>#REF!</v>
      </c>
      <c r="AB29" s="331" t="e">
        <f>IF(#REF!=0,"x","")</f>
        <v>#REF!</v>
      </c>
      <c r="AC29" s="331" t="e">
        <f>IF(#REF!=0,"x","")</f>
        <v>#REF!</v>
      </c>
      <c r="AD29" s="331" t="e">
        <f>IF(#REF!=0,"x","")</f>
        <v>#REF!</v>
      </c>
      <c r="AE29" s="331" t="e">
        <f>IF(#REF!=0,"x","")</f>
        <v>#REF!</v>
      </c>
      <c r="AF29" s="331" t="e">
        <f>IF(#REF!=0,"x","")</f>
        <v>#REF!</v>
      </c>
      <c r="AG29" s="331" t="e">
        <f>IF(#REF!=0,"x","")</f>
        <v>#REF!</v>
      </c>
      <c r="AH29" s="331"/>
      <c r="AI29" s="332">
        <f t="shared" si="1"/>
        <v>0</v>
      </c>
      <c r="AJ29" s="256"/>
    </row>
    <row r="30" spans="1:36">
      <c r="A30" s="334">
        <v>22</v>
      </c>
      <c r="B30" s="504" t="s">
        <v>305</v>
      </c>
      <c r="C30" s="290" t="s">
        <v>301</v>
      </c>
      <c r="D30" s="331" t="e">
        <f>IF(#REF!=0,"x","")</f>
        <v>#REF!</v>
      </c>
      <c r="E30" s="331" t="e">
        <f>IF(#REF!=0,"x","")</f>
        <v>#REF!</v>
      </c>
      <c r="F30" s="331" t="e">
        <f>IF(#REF!=0,"x","")</f>
        <v>#REF!</v>
      </c>
      <c r="G30" s="331" t="e">
        <f>IF(#REF!=0,"x","")</f>
        <v>#REF!</v>
      </c>
      <c r="H30" s="331" t="e">
        <f>IF(#REF!=0,"x","")</f>
        <v>#REF!</v>
      </c>
      <c r="I30" s="331" t="e">
        <f>IF(#REF!=0,"x","")</f>
        <v>#REF!</v>
      </c>
      <c r="J30" s="331" t="e">
        <f>IF(#REF!=0,"x","")</f>
        <v>#REF!</v>
      </c>
      <c r="K30" s="331" t="e">
        <f>IF(#REF!=0,"x","")</f>
        <v>#REF!</v>
      </c>
      <c r="L30" s="331" t="e">
        <f>IF(#REF!=0,"x","")</f>
        <v>#REF!</v>
      </c>
      <c r="M30" s="331" t="e">
        <f>IF(#REF!=0,"x","")</f>
        <v>#REF!</v>
      </c>
      <c r="N30" s="331" t="e">
        <f>IF(#REF!=0,"x","")</f>
        <v>#REF!</v>
      </c>
      <c r="O30" s="331" t="e">
        <f>IF(#REF!=0,"x","")</f>
        <v>#REF!</v>
      </c>
      <c r="P30" s="331" t="e">
        <f>IF(#REF!=0,"x","")</f>
        <v>#REF!</v>
      </c>
      <c r="Q30" s="331" t="e">
        <f>IF(#REF!=0,"x","")</f>
        <v>#REF!</v>
      </c>
      <c r="R30" s="331" t="e">
        <f>IF(#REF!=0,"x","")</f>
        <v>#REF!</v>
      </c>
      <c r="S30" s="331" t="e">
        <f>IF(#REF!=0,"x","")</f>
        <v>#REF!</v>
      </c>
      <c r="T30" s="331" t="e">
        <f>IF(#REF!=0,"x","")</f>
        <v>#REF!</v>
      </c>
      <c r="U30" s="331" t="e">
        <f>IF(#REF!=0,"x","")</f>
        <v>#REF!</v>
      </c>
      <c r="V30" s="331" t="e">
        <f>IF(#REF!=0,"x","")</f>
        <v>#REF!</v>
      </c>
      <c r="W30" s="331" t="e">
        <f>IF(#REF!=0,"x","")</f>
        <v>#REF!</v>
      </c>
      <c r="X30" s="331" t="e">
        <f>IF(#REF!=0,"x","")</f>
        <v>#REF!</v>
      </c>
      <c r="Y30" s="331" t="e">
        <f>IF(#REF!=0,"x","")</f>
        <v>#REF!</v>
      </c>
      <c r="Z30" s="331" t="e">
        <f>IF(#REF!=0,"x","")</f>
        <v>#REF!</v>
      </c>
      <c r="AA30" s="331" t="e">
        <f>IF(#REF!=0,"x","")</f>
        <v>#REF!</v>
      </c>
      <c r="AB30" s="331" t="e">
        <f>IF(#REF!=0,"x","")</f>
        <v>#REF!</v>
      </c>
      <c r="AC30" s="331" t="e">
        <f>IF(#REF!=0,"x","")</f>
        <v>#REF!</v>
      </c>
      <c r="AD30" s="331" t="e">
        <f>IF(#REF!=0,"x","")</f>
        <v>#REF!</v>
      </c>
      <c r="AE30" s="331" t="e">
        <f>IF(#REF!=0,"x","")</f>
        <v>#REF!</v>
      </c>
      <c r="AF30" s="331" t="e">
        <f>IF(#REF!=0,"x","")</f>
        <v>#REF!</v>
      </c>
      <c r="AG30" s="331" t="e">
        <f>IF(#REF!=0,"x","")</f>
        <v>#REF!</v>
      </c>
      <c r="AH30" s="331"/>
      <c r="AI30" s="332">
        <f t="shared" si="1"/>
        <v>0</v>
      </c>
      <c r="AJ30" s="256"/>
    </row>
    <row r="31" spans="1:36">
      <c r="A31" s="334">
        <v>23</v>
      </c>
      <c r="B31" s="505" t="s">
        <v>403</v>
      </c>
      <c r="C31" s="506" t="s">
        <v>301</v>
      </c>
      <c r="D31" s="331" t="e">
        <f>IF(#REF!=0,"x","")</f>
        <v>#REF!</v>
      </c>
      <c r="E31" s="331" t="e">
        <f>IF(#REF!=0,"x","")</f>
        <v>#REF!</v>
      </c>
      <c r="F31" s="331" t="e">
        <f>IF(#REF!=0,"x","")</f>
        <v>#REF!</v>
      </c>
      <c r="G31" s="331" t="e">
        <f>IF(#REF!=0,"x","")</f>
        <v>#REF!</v>
      </c>
      <c r="H31" s="331" t="e">
        <f>IF(#REF!=0,"x","")</f>
        <v>#REF!</v>
      </c>
      <c r="I31" s="331" t="e">
        <f>IF(#REF!=0,"x","")</f>
        <v>#REF!</v>
      </c>
      <c r="J31" s="331" t="e">
        <f>IF(#REF!=0,"x","")</f>
        <v>#REF!</v>
      </c>
      <c r="K31" s="331" t="e">
        <f>IF(#REF!=0,"x","")</f>
        <v>#REF!</v>
      </c>
      <c r="L31" s="331" t="e">
        <f>IF(#REF!=0,"x","")</f>
        <v>#REF!</v>
      </c>
      <c r="M31" s="331" t="e">
        <f>IF(#REF!=0,"x","")</f>
        <v>#REF!</v>
      </c>
      <c r="N31" s="331" t="e">
        <f>IF(#REF!=0,"x","")</f>
        <v>#REF!</v>
      </c>
      <c r="O31" s="331" t="e">
        <f>IF(#REF!=0,"x","")</f>
        <v>#REF!</v>
      </c>
      <c r="P31" s="331" t="e">
        <f>IF(#REF!=0,"x","")</f>
        <v>#REF!</v>
      </c>
      <c r="Q31" s="331" t="e">
        <f>IF(#REF!=0,"x","")</f>
        <v>#REF!</v>
      </c>
      <c r="R31" s="331" t="e">
        <f>IF(#REF!=0,"x","")</f>
        <v>#REF!</v>
      </c>
      <c r="S31" s="331" t="e">
        <f>IF(#REF!=0,"x","")</f>
        <v>#REF!</v>
      </c>
      <c r="T31" s="331" t="e">
        <f>IF(#REF!=0,"x","")</f>
        <v>#REF!</v>
      </c>
      <c r="U31" s="331" t="e">
        <f>IF(#REF!=0,"x","")</f>
        <v>#REF!</v>
      </c>
      <c r="V31" s="331" t="e">
        <f>IF(#REF!=0,"x","")</f>
        <v>#REF!</v>
      </c>
      <c r="W31" s="331" t="e">
        <f>IF(#REF!=0,"x","")</f>
        <v>#REF!</v>
      </c>
      <c r="X31" s="331" t="e">
        <f>IF(#REF!=0,"x","")</f>
        <v>#REF!</v>
      </c>
      <c r="Y31" s="331" t="e">
        <f>IF(#REF!=0,"x","")</f>
        <v>#REF!</v>
      </c>
      <c r="Z31" s="331" t="e">
        <f>IF(#REF!=0,"x","")</f>
        <v>#REF!</v>
      </c>
      <c r="AA31" s="331" t="e">
        <f>IF(#REF!=0,"x","")</f>
        <v>#REF!</v>
      </c>
      <c r="AB31" s="331" t="e">
        <f>IF(#REF!=0,"x","")</f>
        <v>#REF!</v>
      </c>
      <c r="AC31" s="331" t="e">
        <f>IF(#REF!=0,"x","")</f>
        <v>#REF!</v>
      </c>
      <c r="AD31" s="331" t="e">
        <f>IF(#REF!=0,"x","")</f>
        <v>#REF!</v>
      </c>
      <c r="AE31" s="331" t="e">
        <f>IF(#REF!=0,"x","")</f>
        <v>#REF!</v>
      </c>
      <c r="AF31" s="331" t="e">
        <f>IF(#REF!=0,"x","")</f>
        <v>#REF!</v>
      </c>
      <c r="AG31" s="331" t="e">
        <f>IF(#REF!=0,"x","")</f>
        <v>#REF!</v>
      </c>
      <c r="AH31" s="331"/>
      <c r="AI31" s="332">
        <f t="shared" si="1"/>
        <v>0</v>
      </c>
      <c r="AJ31" s="336"/>
    </row>
    <row r="32" spans="1:36">
      <c r="A32" s="326" t="s">
        <v>138</v>
      </c>
      <c r="B32" s="327" t="s">
        <v>405</v>
      </c>
      <c r="C32" s="326"/>
      <c r="D32" s="328" t="e">
        <f t="shared" ref="D32:AI32" si="2">SUM(D33:D73)</f>
        <v>#REF!</v>
      </c>
      <c r="E32" s="328" t="e">
        <f t="shared" si="2"/>
        <v>#REF!</v>
      </c>
      <c r="F32" s="328" t="e">
        <f t="shared" si="2"/>
        <v>#REF!</v>
      </c>
      <c r="G32" s="328" t="e">
        <f t="shared" si="2"/>
        <v>#REF!</v>
      </c>
      <c r="H32" s="328" t="e">
        <f t="shared" si="2"/>
        <v>#REF!</v>
      </c>
      <c r="I32" s="328" t="e">
        <f t="shared" si="2"/>
        <v>#REF!</v>
      </c>
      <c r="J32" s="328" t="e">
        <f t="shared" si="2"/>
        <v>#REF!</v>
      </c>
      <c r="K32" s="328" t="e">
        <f t="shared" si="2"/>
        <v>#REF!</v>
      </c>
      <c r="L32" s="328" t="e">
        <f t="shared" si="2"/>
        <v>#REF!</v>
      </c>
      <c r="M32" s="328" t="e">
        <f t="shared" si="2"/>
        <v>#REF!</v>
      </c>
      <c r="N32" s="328" t="e">
        <f t="shared" si="2"/>
        <v>#REF!</v>
      </c>
      <c r="O32" s="328" t="e">
        <f t="shared" si="2"/>
        <v>#REF!</v>
      </c>
      <c r="P32" s="328" t="e">
        <f t="shared" si="2"/>
        <v>#REF!</v>
      </c>
      <c r="Q32" s="328" t="e">
        <f t="shared" si="2"/>
        <v>#REF!</v>
      </c>
      <c r="R32" s="328" t="e">
        <f t="shared" si="2"/>
        <v>#REF!</v>
      </c>
      <c r="S32" s="328" t="e">
        <f t="shared" si="2"/>
        <v>#REF!</v>
      </c>
      <c r="T32" s="328" t="e">
        <f t="shared" si="2"/>
        <v>#REF!</v>
      </c>
      <c r="U32" s="328" t="e">
        <f t="shared" si="2"/>
        <v>#REF!</v>
      </c>
      <c r="V32" s="328" t="e">
        <f t="shared" si="2"/>
        <v>#REF!</v>
      </c>
      <c r="W32" s="328" t="e">
        <f t="shared" si="2"/>
        <v>#REF!</v>
      </c>
      <c r="X32" s="328" t="e">
        <f t="shared" si="2"/>
        <v>#REF!</v>
      </c>
      <c r="Y32" s="328" t="e">
        <f t="shared" si="2"/>
        <v>#REF!</v>
      </c>
      <c r="Z32" s="328" t="e">
        <f t="shared" si="2"/>
        <v>#REF!</v>
      </c>
      <c r="AA32" s="328" t="e">
        <f t="shared" si="2"/>
        <v>#REF!</v>
      </c>
      <c r="AB32" s="328" t="e">
        <f t="shared" si="2"/>
        <v>#REF!</v>
      </c>
      <c r="AC32" s="328" t="e">
        <f t="shared" si="2"/>
        <v>#REF!</v>
      </c>
      <c r="AD32" s="328" t="e">
        <f t="shared" si="2"/>
        <v>#REF!</v>
      </c>
      <c r="AE32" s="328" t="e">
        <f t="shared" si="2"/>
        <v>#REF!</v>
      </c>
      <c r="AF32" s="328" t="e">
        <f t="shared" si="2"/>
        <v>#REF!</v>
      </c>
      <c r="AG32" s="328" t="e">
        <f t="shared" si="2"/>
        <v>#REF!</v>
      </c>
      <c r="AH32" s="328">
        <f t="shared" si="2"/>
        <v>0</v>
      </c>
      <c r="AI32" s="328">
        <f t="shared" si="2"/>
        <v>0</v>
      </c>
      <c r="AJ32" s="329"/>
    </row>
    <row r="33" spans="1:36">
      <c r="A33" s="288">
        <v>1</v>
      </c>
      <c r="B33" s="507" t="s">
        <v>343</v>
      </c>
      <c r="C33" s="508" t="s">
        <v>406</v>
      </c>
      <c r="D33" s="331" t="e">
        <f>IF(#REF!=0,"x","")</f>
        <v>#REF!</v>
      </c>
      <c r="E33" s="331" t="e">
        <f>IF(#REF!=0,"x","")</f>
        <v>#REF!</v>
      </c>
      <c r="F33" s="331" t="e">
        <f>IF(#REF!=0,"x","")</f>
        <v>#REF!</v>
      </c>
      <c r="G33" s="331" t="e">
        <f>IF(#REF!=0,"x","")</f>
        <v>#REF!</v>
      </c>
      <c r="H33" s="331" t="e">
        <f>IF(#REF!=0,"x","")</f>
        <v>#REF!</v>
      </c>
      <c r="I33" s="331" t="e">
        <f>IF(#REF!=0,"x","")</f>
        <v>#REF!</v>
      </c>
      <c r="J33" s="331" t="e">
        <f>IF(#REF!=0,"x","")</f>
        <v>#REF!</v>
      </c>
      <c r="K33" s="331" t="e">
        <f>IF(#REF!=0,"x","")</f>
        <v>#REF!</v>
      </c>
      <c r="L33" s="331" t="e">
        <f>IF(#REF!=0,"x","")</f>
        <v>#REF!</v>
      </c>
      <c r="M33" s="331" t="e">
        <f>IF(#REF!=0,"x","")</f>
        <v>#REF!</v>
      </c>
      <c r="N33" s="331" t="e">
        <f>IF(#REF!=0,"x","")</f>
        <v>#REF!</v>
      </c>
      <c r="O33" s="331" t="e">
        <f>IF(#REF!=0,"x","")</f>
        <v>#REF!</v>
      </c>
      <c r="P33" s="331" t="e">
        <f>IF(#REF!=0,"x","")</f>
        <v>#REF!</v>
      </c>
      <c r="Q33" s="331" t="e">
        <f>IF(#REF!=0,"x","")</f>
        <v>#REF!</v>
      </c>
      <c r="R33" s="331" t="e">
        <f>IF(#REF!=0,"x","")</f>
        <v>#REF!</v>
      </c>
      <c r="S33" s="331" t="e">
        <f>IF(#REF!=0,"x","")</f>
        <v>#REF!</v>
      </c>
      <c r="T33" s="331" t="e">
        <f>IF(#REF!=0,"x","")</f>
        <v>#REF!</v>
      </c>
      <c r="U33" s="331" t="e">
        <f>IF(#REF!=0,"x","")</f>
        <v>#REF!</v>
      </c>
      <c r="V33" s="331" t="e">
        <f>IF(#REF!=0,"x","")</f>
        <v>#REF!</v>
      </c>
      <c r="W33" s="331" t="e">
        <f>IF(#REF!=0,"x","")</f>
        <v>#REF!</v>
      </c>
      <c r="X33" s="331" t="e">
        <f>IF(#REF!=0,"x","")</f>
        <v>#REF!</v>
      </c>
      <c r="Y33" s="331" t="e">
        <f>IF(#REF!=0,"x","")</f>
        <v>#REF!</v>
      </c>
      <c r="Z33" s="331" t="e">
        <f>IF(#REF!=0,"x","")</f>
        <v>#REF!</v>
      </c>
      <c r="AA33" s="331" t="e">
        <f>IF(#REF!=0,"x","")</f>
        <v>#REF!</v>
      </c>
      <c r="AB33" s="331" t="e">
        <f>IF(#REF!=0,"x","")</f>
        <v>#REF!</v>
      </c>
      <c r="AC33" s="331" t="e">
        <f>IF(#REF!=0,"x","")</f>
        <v>#REF!</v>
      </c>
      <c r="AD33" s="331" t="e">
        <f>IF(#REF!=0,"x","")</f>
        <v>#REF!</v>
      </c>
      <c r="AE33" s="331" t="e">
        <f>IF(#REF!=0,"x","")</f>
        <v>#REF!</v>
      </c>
      <c r="AF33" s="331" t="e">
        <f>IF(#REF!=0,"x","")</f>
        <v>#REF!</v>
      </c>
      <c r="AG33" s="331" t="e">
        <f>IF(#REF!=0,"x","")</f>
        <v>#REF!</v>
      </c>
      <c r="AH33" s="331"/>
      <c r="AI33" s="332">
        <f t="shared" si="1"/>
        <v>0</v>
      </c>
      <c r="AJ33" s="337"/>
    </row>
    <row r="34" spans="1:36">
      <c r="A34" s="234">
        <v>2</v>
      </c>
      <c r="B34" s="509" t="s">
        <v>147</v>
      </c>
      <c r="C34" s="291" t="s">
        <v>406</v>
      </c>
      <c r="D34" s="331" t="e">
        <f>IF(#REF!=0,"x","")</f>
        <v>#REF!</v>
      </c>
      <c r="E34" s="331" t="e">
        <f>IF(#REF!=0,"x","")</f>
        <v>#REF!</v>
      </c>
      <c r="F34" s="331" t="e">
        <f>IF(#REF!=0,"x","")</f>
        <v>#REF!</v>
      </c>
      <c r="G34" s="331" t="e">
        <f>IF(#REF!=0,"x","")</f>
        <v>#REF!</v>
      </c>
      <c r="H34" s="331" t="e">
        <f>IF(#REF!=0,"x","")</f>
        <v>#REF!</v>
      </c>
      <c r="I34" s="331" t="e">
        <f>IF(#REF!=0,"x","")</f>
        <v>#REF!</v>
      </c>
      <c r="J34" s="331" t="e">
        <f>IF(#REF!=0,"x","")</f>
        <v>#REF!</v>
      </c>
      <c r="K34" s="331" t="e">
        <f>IF(#REF!=0,"x","")</f>
        <v>#REF!</v>
      </c>
      <c r="L34" s="331" t="e">
        <f>IF(#REF!=0,"x","")</f>
        <v>#REF!</v>
      </c>
      <c r="M34" s="331" t="e">
        <f>IF(#REF!=0,"x","")</f>
        <v>#REF!</v>
      </c>
      <c r="N34" s="331" t="e">
        <f>IF(#REF!=0,"x","")</f>
        <v>#REF!</v>
      </c>
      <c r="O34" s="331" t="e">
        <f>IF(#REF!=0,"x","")</f>
        <v>#REF!</v>
      </c>
      <c r="P34" s="331" t="e">
        <f>IF(#REF!=0,"x","")</f>
        <v>#REF!</v>
      </c>
      <c r="Q34" s="331" t="e">
        <f>IF(#REF!=0,"x","")</f>
        <v>#REF!</v>
      </c>
      <c r="R34" s="331" t="e">
        <f>IF(#REF!=0,"x","")</f>
        <v>#REF!</v>
      </c>
      <c r="S34" s="331" t="e">
        <f>IF(#REF!=0,"x","")</f>
        <v>#REF!</v>
      </c>
      <c r="T34" s="331" t="e">
        <f>IF(#REF!=0,"x","")</f>
        <v>#REF!</v>
      </c>
      <c r="U34" s="331" t="e">
        <f>IF(#REF!=0,"x","")</f>
        <v>#REF!</v>
      </c>
      <c r="V34" s="331" t="e">
        <f>IF(#REF!=0,"x","")</f>
        <v>#REF!</v>
      </c>
      <c r="W34" s="331" t="e">
        <f>IF(#REF!=0,"x","")</f>
        <v>#REF!</v>
      </c>
      <c r="X34" s="331" t="e">
        <f>IF(#REF!=0,"x","")</f>
        <v>#REF!</v>
      </c>
      <c r="Y34" s="331" t="e">
        <f>IF(#REF!=0,"x","")</f>
        <v>#REF!</v>
      </c>
      <c r="Z34" s="331" t="e">
        <f>IF(#REF!=0,"x","")</f>
        <v>#REF!</v>
      </c>
      <c r="AA34" s="331" t="e">
        <f>IF(#REF!=0,"x","")</f>
        <v>#REF!</v>
      </c>
      <c r="AB34" s="331" t="e">
        <f>IF(#REF!=0,"x","")</f>
        <v>#REF!</v>
      </c>
      <c r="AC34" s="331" t="e">
        <f>IF(#REF!=0,"x","")</f>
        <v>#REF!</v>
      </c>
      <c r="AD34" s="331" t="e">
        <f>IF(#REF!=0,"x","")</f>
        <v>#REF!</v>
      </c>
      <c r="AE34" s="331" t="e">
        <f>IF(#REF!=0,"x","")</f>
        <v>#REF!</v>
      </c>
      <c r="AF34" s="331" t="e">
        <f>IF(#REF!=0,"x","")</f>
        <v>#REF!</v>
      </c>
      <c r="AG34" s="331" t="e">
        <f>IF(#REF!=0,"x","")</f>
        <v>#REF!</v>
      </c>
      <c r="AH34" s="331"/>
      <c r="AI34" s="332">
        <f t="shared" si="1"/>
        <v>0</v>
      </c>
      <c r="AJ34" s="338"/>
    </row>
    <row r="35" spans="1:36">
      <c r="A35" s="234">
        <v>3</v>
      </c>
      <c r="B35" s="509" t="s">
        <v>329</v>
      </c>
      <c r="C35" s="338"/>
      <c r="D35" s="331" t="e">
        <f>IF(#REF!=0,"x","")</f>
        <v>#REF!</v>
      </c>
      <c r="E35" s="331" t="e">
        <f>IF(#REF!=0,"x","")</f>
        <v>#REF!</v>
      </c>
      <c r="F35" s="331" t="e">
        <f>IF(#REF!=0,"x","")</f>
        <v>#REF!</v>
      </c>
      <c r="G35" s="331" t="e">
        <f>IF(#REF!=0,"x","")</f>
        <v>#REF!</v>
      </c>
      <c r="H35" s="331" t="e">
        <f>IF(#REF!=0,"x","")</f>
        <v>#REF!</v>
      </c>
      <c r="I35" s="331" t="e">
        <f>IF(#REF!=0,"x","")</f>
        <v>#REF!</v>
      </c>
      <c r="J35" s="331" t="e">
        <f>IF(#REF!=0,"x","")</f>
        <v>#REF!</v>
      </c>
      <c r="K35" s="331" t="e">
        <f>IF(#REF!=0,"x","")</f>
        <v>#REF!</v>
      </c>
      <c r="L35" s="331" t="e">
        <f>IF(#REF!=0,"x","")</f>
        <v>#REF!</v>
      </c>
      <c r="M35" s="331" t="e">
        <f>IF(#REF!=0,"x","")</f>
        <v>#REF!</v>
      </c>
      <c r="N35" s="331" t="e">
        <f>IF(#REF!=0,"x","")</f>
        <v>#REF!</v>
      </c>
      <c r="O35" s="331" t="e">
        <f>IF(#REF!=0,"x","")</f>
        <v>#REF!</v>
      </c>
      <c r="P35" s="331" t="e">
        <f>IF(#REF!=0,"x","")</f>
        <v>#REF!</v>
      </c>
      <c r="Q35" s="331" t="e">
        <f>IF(#REF!=0,"x","")</f>
        <v>#REF!</v>
      </c>
      <c r="R35" s="331" t="e">
        <f>IF(#REF!=0,"x","")</f>
        <v>#REF!</v>
      </c>
      <c r="S35" s="331" t="e">
        <f>IF(#REF!=0,"x","")</f>
        <v>#REF!</v>
      </c>
      <c r="T35" s="331" t="e">
        <f>IF(#REF!=0,"x","")</f>
        <v>#REF!</v>
      </c>
      <c r="U35" s="331" t="e">
        <f>IF(#REF!=0,"x","")</f>
        <v>#REF!</v>
      </c>
      <c r="V35" s="331" t="e">
        <f>IF(#REF!=0,"x","")</f>
        <v>#REF!</v>
      </c>
      <c r="W35" s="331" t="e">
        <f>IF(#REF!=0,"x","")</f>
        <v>#REF!</v>
      </c>
      <c r="X35" s="331" t="e">
        <f>IF(#REF!=0,"x","")</f>
        <v>#REF!</v>
      </c>
      <c r="Y35" s="331" t="e">
        <f>IF(#REF!=0,"x","")</f>
        <v>#REF!</v>
      </c>
      <c r="Z35" s="331" t="e">
        <f>IF(#REF!=0,"x","")</f>
        <v>#REF!</v>
      </c>
      <c r="AA35" s="331" t="e">
        <f>IF(#REF!=0,"x","")</f>
        <v>#REF!</v>
      </c>
      <c r="AB35" s="331" t="e">
        <f>IF(#REF!=0,"x","")</f>
        <v>#REF!</v>
      </c>
      <c r="AC35" s="331" t="e">
        <f>IF(#REF!=0,"x","")</f>
        <v>#REF!</v>
      </c>
      <c r="AD35" s="331" t="e">
        <f>IF(#REF!=0,"x","")</f>
        <v>#REF!</v>
      </c>
      <c r="AE35" s="331" t="e">
        <f>IF(#REF!=0,"x","")</f>
        <v>#REF!</v>
      </c>
      <c r="AF35" s="331" t="e">
        <f>IF(#REF!=0,"x","")</f>
        <v>#REF!</v>
      </c>
      <c r="AG35" s="331" t="e">
        <f>IF(#REF!=0,"x","")</f>
        <v>#REF!</v>
      </c>
      <c r="AH35" s="331"/>
      <c r="AI35" s="332">
        <f t="shared" si="1"/>
        <v>0</v>
      </c>
      <c r="AJ35" s="338"/>
    </row>
    <row r="36" spans="1:36">
      <c r="A36" s="234">
        <v>4</v>
      </c>
      <c r="B36" s="432" t="s">
        <v>161</v>
      </c>
      <c r="C36" s="291" t="s">
        <v>406</v>
      </c>
      <c r="D36" s="331" t="e">
        <f>IF(#REF!=0,"x","")</f>
        <v>#REF!</v>
      </c>
      <c r="E36" s="331" t="e">
        <f>IF(#REF!=0,"x","")</f>
        <v>#REF!</v>
      </c>
      <c r="F36" s="331" t="e">
        <f>IF(#REF!=0,"x","")</f>
        <v>#REF!</v>
      </c>
      <c r="G36" s="331" t="e">
        <f>IF(#REF!=0,"x","")</f>
        <v>#REF!</v>
      </c>
      <c r="H36" s="331" t="e">
        <f>IF(#REF!=0,"x","")</f>
        <v>#REF!</v>
      </c>
      <c r="I36" s="331" t="e">
        <f>IF(#REF!=0,"x","")</f>
        <v>#REF!</v>
      </c>
      <c r="J36" s="331" t="e">
        <f>IF(#REF!=0,"x","")</f>
        <v>#REF!</v>
      </c>
      <c r="K36" s="331" t="e">
        <f>IF(#REF!=0,"x","")</f>
        <v>#REF!</v>
      </c>
      <c r="L36" s="331" t="e">
        <f>IF(#REF!=0,"x","")</f>
        <v>#REF!</v>
      </c>
      <c r="M36" s="331" t="e">
        <f>IF(#REF!=0,"x","")</f>
        <v>#REF!</v>
      </c>
      <c r="N36" s="331" t="e">
        <f>IF(#REF!=0,"x","")</f>
        <v>#REF!</v>
      </c>
      <c r="O36" s="331" t="e">
        <f>IF(#REF!=0,"x","")</f>
        <v>#REF!</v>
      </c>
      <c r="P36" s="331" t="e">
        <f>IF(#REF!=0,"x","")</f>
        <v>#REF!</v>
      </c>
      <c r="Q36" s="331" t="e">
        <f>IF(#REF!=0,"x","")</f>
        <v>#REF!</v>
      </c>
      <c r="R36" s="331" t="e">
        <f>IF(#REF!=0,"x","")</f>
        <v>#REF!</v>
      </c>
      <c r="S36" s="331" t="e">
        <f>IF(#REF!=0,"x","")</f>
        <v>#REF!</v>
      </c>
      <c r="T36" s="331" t="e">
        <f>IF(#REF!=0,"x","")</f>
        <v>#REF!</v>
      </c>
      <c r="U36" s="331" t="e">
        <f>IF(#REF!=0,"x","")</f>
        <v>#REF!</v>
      </c>
      <c r="V36" s="331" t="e">
        <f>IF(#REF!=0,"x","")</f>
        <v>#REF!</v>
      </c>
      <c r="W36" s="331" t="e">
        <f>IF(#REF!=0,"x","")</f>
        <v>#REF!</v>
      </c>
      <c r="X36" s="331" t="e">
        <f>IF(#REF!=0,"x","")</f>
        <v>#REF!</v>
      </c>
      <c r="Y36" s="331" t="e">
        <f>IF(#REF!=0,"x","")</f>
        <v>#REF!</v>
      </c>
      <c r="Z36" s="331" t="e">
        <f>IF(#REF!=0,"x","")</f>
        <v>#REF!</v>
      </c>
      <c r="AA36" s="331" t="e">
        <f>IF(#REF!=0,"x","")</f>
        <v>#REF!</v>
      </c>
      <c r="AB36" s="331" t="e">
        <f>IF(#REF!=0,"x","")</f>
        <v>#REF!</v>
      </c>
      <c r="AC36" s="331" t="e">
        <f>IF(#REF!=0,"x","")</f>
        <v>#REF!</v>
      </c>
      <c r="AD36" s="331" t="e">
        <f>IF(#REF!=0,"x","")</f>
        <v>#REF!</v>
      </c>
      <c r="AE36" s="331" t="e">
        <f>IF(#REF!=0,"x","")</f>
        <v>#REF!</v>
      </c>
      <c r="AF36" s="331" t="e">
        <f>IF(#REF!=0,"x","")</f>
        <v>#REF!</v>
      </c>
      <c r="AG36" s="331" t="e">
        <f>IF(#REF!=0,"x","")</f>
        <v>#REF!</v>
      </c>
      <c r="AH36" s="331"/>
      <c r="AI36" s="332">
        <f t="shared" si="1"/>
        <v>0</v>
      </c>
      <c r="AJ36" s="338"/>
    </row>
    <row r="37" spans="1:36">
      <c r="A37" s="234">
        <v>5</v>
      </c>
      <c r="B37" s="509" t="s">
        <v>228</v>
      </c>
      <c r="C37" s="338"/>
      <c r="D37" s="331" t="e">
        <f>IF(#REF!=0,"x","")</f>
        <v>#REF!</v>
      </c>
      <c r="E37" s="331" t="e">
        <f>IF(#REF!=0,"x","")</f>
        <v>#REF!</v>
      </c>
      <c r="F37" s="331" t="e">
        <f>IF(#REF!=0,"x","")</f>
        <v>#REF!</v>
      </c>
      <c r="G37" s="331" t="e">
        <f>IF(#REF!=0,"x","")</f>
        <v>#REF!</v>
      </c>
      <c r="H37" s="331" t="e">
        <f>IF(#REF!=0,"x","")</f>
        <v>#REF!</v>
      </c>
      <c r="I37" s="331" t="e">
        <f>IF(#REF!=0,"x","")</f>
        <v>#REF!</v>
      </c>
      <c r="J37" s="331" t="e">
        <f>IF(#REF!=0,"x","")</f>
        <v>#REF!</v>
      </c>
      <c r="K37" s="331" t="e">
        <f>IF(#REF!=0,"x","")</f>
        <v>#REF!</v>
      </c>
      <c r="L37" s="331" t="e">
        <f>IF(#REF!=0,"x","")</f>
        <v>#REF!</v>
      </c>
      <c r="M37" s="331" t="e">
        <f>IF(#REF!=0,"x","")</f>
        <v>#REF!</v>
      </c>
      <c r="N37" s="331" t="e">
        <f>IF(#REF!=0,"x","")</f>
        <v>#REF!</v>
      </c>
      <c r="O37" s="331" t="e">
        <f>IF(#REF!=0,"x","")</f>
        <v>#REF!</v>
      </c>
      <c r="P37" s="331" t="e">
        <f>IF(#REF!=0,"x","")</f>
        <v>#REF!</v>
      </c>
      <c r="Q37" s="331" t="e">
        <f>IF(#REF!=0,"x","")</f>
        <v>#REF!</v>
      </c>
      <c r="R37" s="331" t="e">
        <f>IF(#REF!=0,"x","")</f>
        <v>#REF!</v>
      </c>
      <c r="S37" s="331" t="e">
        <f>IF(#REF!=0,"x","")</f>
        <v>#REF!</v>
      </c>
      <c r="T37" s="331" t="e">
        <f>IF(#REF!=0,"x","")</f>
        <v>#REF!</v>
      </c>
      <c r="U37" s="331" t="e">
        <f>IF(#REF!=0,"x","")</f>
        <v>#REF!</v>
      </c>
      <c r="V37" s="331" t="e">
        <f>IF(#REF!=0,"x","")</f>
        <v>#REF!</v>
      </c>
      <c r="W37" s="331" t="e">
        <f>IF(#REF!=0,"x","")</f>
        <v>#REF!</v>
      </c>
      <c r="X37" s="331" t="e">
        <f>IF(#REF!=0,"x","")</f>
        <v>#REF!</v>
      </c>
      <c r="Y37" s="331" t="e">
        <f>IF(#REF!=0,"x","")</f>
        <v>#REF!</v>
      </c>
      <c r="Z37" s="331" t="e">
        <f>IF(#REF!=0,"x","")</f>
        <v>#REF!</v>
      </c>
      <c r="AA37" s="331" t="e">
        <f>IF(#REF!=0,"x","")</f>
        <v>#REF!</v>
      </c>
      <c r="AB37" s="331" t="e">
        <f>IF(#REF!=0,"x","")</f>
        <v>#REF!</v>
      </c>
      <c r="AC37" s="331" t="e">
        <f>IF(#REF!=0,"x","")</f>
        <v>#REF!</v>
      </c>
      <c r="AD37" s="331" t="e">
        <f>IF(#REF!=0,"x","")</f>
        <v>#REF!</v>
      </c>
      <c r="AE37" s="331" t="e">
        <f>IF(#REF!=0,"x","")</f>
        <v>#REF!</v>
      </c>
      <c r="AF37" s="331" t="e">
        <f>IF(#REF!=0,"x","")</f>
        <v>#REF!</v>
      </c>
      <c r="AG37" s="331" t="e">
        <f>IF(#REF!=0,"x","")</f>
        <v>#REF!</v>
      </c>
      <c r="AH37" s="331"/>
      <c r="AI37" s="332">
        <f t="shared" si="1"/>
        <v>0</v>
      </c>
      <c r="AJ37" s="338"/>
    </row>
    <row r="38" spans="1:36">
      <c r="A38" s="234">
        <v>6</v>
      </c>
      <c r="B38" s="509" t="s">
        <v>154</v>
      </c>
      <c r="C38" s="291" t="s">
        <v>243</v>
      </c>
      <c r="D38" s="331" t="e">
        <f>IF(#REF!=0,"x","")</f>
        <v>#REF!</v>
      </c>
      <c r="E38" s="331" t="e">
        <f>IF(#REF!=0,"x","")</f>
        <v>#REF!</v>
      </c>
      <c r="F38" s="331" t="e">
        <f>IF(#REF!=0,"x","")</f>
        <v>#REF!</v>
      </c>
      <c r="G38" s="331" t="e">
        <f>IF(#REF!=0,"x","")</f>
        <v>#REF!</v>
      </c>
      <c r="H38" s="331" t="e">
        <f>IF(#REF!=0,"x","")</f>
        <v>#REF!</v>
      </c>
      <c r="I38" s="331" t="e">
        <f>IF(#REF!=0,"x","")</f>
        <v>#REF!</v>
      </c>
      <c r="J38" s="331" t="e">
        <f>IF(#REF!=0,"x","")</f>
        <v>#REF!</v>
      </c>
      <c r="K38" s="331" t="e">
        <f>IF(#REF!=0,"x","")</f>
        <v>#REF!</v>
      </c>
      <c r="L38" s="331" t="e">
        <f>IF(#REF!=0,"x","")</f>
        <v>#REF!</v>
      </c>
      <c r="M38" s="331" t="e">
        <f>IF(#REF!=0,"x","")</f>
        <v>#REF!</v>
      </c>
      <c r="N38" s="331" t="e">
        <f>IF(#REF!=0,"x","")</f>
        <v>#REF!</v>
      </c>
      <c r="O38" s="331" t="e">
        <f>IF(#REF!=0,"x","")</f>
        <v>#REF!</v>
      </c>
      <c r="P38" s="331" t="e">
        <f>IF(#REF!=0,"x","")</f>
        <v>#REF!</v>
      </c>
      <c r="Q38" s="331" t="e">
        <f>IF(#REF!=0,"x","")</f>
        <v>#REF!</v>
      </c>
      <c r="R38" s="331" t="e">
        <f>IF(#REF!=0,"x","")</f>
        <v>#REF!</v>
      </c>
      <c r="S38" s="331" t="e">
        <f>IF(#REF!=0,"x","")</f>
        <v>#REF!</v>
      </c>
      <c r="T38" s="331" t="e">
        <f>IF(#REF!=0,"x","")</f>
        <v>#REF!</v>
      </c>
      <c r="U38" s="331" t="e">
        <f>IF(#REF!=0,"x","")</f>
        <v>#REF!</v>
      </c>
      <c r="V38" s="331" t="e">
        <f>IF(#REF!=0,"x","")</f>
        <v>#REF!</v>
      </c>
      <c r="W38" s="331" t="e">
        <f>IF(#REF!=0,"x","")</f>
        <v>#REF!</v>
      </c>
      <c r="X38" s="331" t="e">
        <f>IF(#REF!=0,"x","")</f>
        <v>#REF!</v>
      </c>
      <c r="Y38" s="331" t="e">
        <f>IF(#REF!=0,"x","")</f>
        <v>#REF!</v>
      </c>
      <c r="Z38" s="331" t="e">
        <f>IF(#REF!=0,"x","")</f>
        <v>#REF!</v>
      </c>
      <c r="AA38" s="331" t="e">
        <f>IF(#REF!=0,"x","")</f>
        <v>#REF!</v>
      </c>
      <c r="AB38" s="331" t="e">
        <f>IF(#REF!=0,"x","")</f>
        <v>#REF!</v>
      </c>
      <c r="AC38" s="331" t="e">
        <f>IF(#REF!=0,"x","")</f>
        <v>#REF!</v>
      </c>
      <c r="AD38" s="331" t="e">
        <f>IF(#REF!=0,"x","")</f>
        <v>#REF!</v>
      </c>
      <c r="AE38" s="331" t="e">
        <f>IF(#REF!=0,"x","")</f>
        <v>#REF!</v>
      </c>
      <c r="AF38" s="331" t="e">
        <f>IF(#REF!=0,"x","")</f>
        <v>#REF!</v>
      </c>
      <c r="AG38" s="331" t="e">
        <f>IF(#REF!=0,"x","")</f>
        <v>#REF!</v>
      </c>
      <c r="AH38" s="331"/>
      <c r="AI38" s="332">
        <f t="shared" si="1"/>
        <v>0</v>
      </c>
      <c r="AJ38" s="338"/>
    </row>
    <row r="39" spans="1:36">
      <c r="A39" s="234">
        <v>7</v>
      </c>
      <c r="B39" s="509" t="s">
        <v>330</v>
      </c>
      <c r="C39" s="291" t="s">
        <v>407</v>
      </c>
      <c r="D39" s="331" t="e">
        <f>IF(#REF!=0,"x","")</f>
        <v>#REF!</v>
      </c>
      <c r="E39" s="331" t="e">
        <f>IF(#REF!=0,"x","")</f>
        <v>#REF!</v>
      </c>
      <c r="F39" s="331" t="e">
        <f>IF(#REF!=0,"x","")</f>
        <v>#REF!</v>
      </c>
      <c r="G39" s="331" t="e">
        <f>IF(#REF!=0,"x","")</f>
        <v>#REF!</v>
      </c>
      <c r="H39" s="331" t="e">
        <f>IF(#REF!=0,"x","")</f>
        <v>#REF!</v>
      </c>
      <c r="I39" s="331" t="e">
        <f>IF(#REF!=0,"x","")</f>
        <v>#REF!</v>
      </c>
      <c r="J39" s="331" t="e">
        <f>IF(#REF!=0,"x","")</f>
        <v>#REF!</v>
      </c>
      <c r="K39" s="331" t="e">
        <f>IF(#REF!=0,"x","")</f>
        <v>#REF!</v>
      </c>
      <c r="L39" s="331" t="e">
        <f>IF(#REF!=0,"x","")</f>
        <v>#REF!</v>
      </c>
      <c r="M39" s="331" t="e">
        <f>IF(#REF!=0,"x","")</f>
        <v>#REF!</v>
      </c>
      <c r="N39" s="331" t="e">
        <f>IF(#REF!=0,"x","")</f>
        <v>#REF!</v>
      </c>
      <c r="O39" s="331" t="e">
        <f>IF(#REF!=0,"x","")</f>
        <v>#REF!</v>
      </c>
      <c r="P39" s="331" t="e">
        <f>IF(#REF!=0,"x","")</f>
        <v>#REF!</v>
      </c>
      <c r="Q39" s="331" t="e">
        <f>IF(#REF!=0,"x","")</f>
        <v>#REF!</v>
      </c>
      <c r="R39" s="331" t="e">
        <f>IF(#REF!=0,"x","")</f>
        <v>#REF!</v>
      </c>
      <c r="S39" s="331" t="e">
        <f>IF(#REF!=0,"x","")</f>
        <v>#REF!</v>
      </c>
      <c r="T39" s="331" t="e">
        <f>IF(#REF!=0,"x","")</f>
        <v>#REF!</v>
      </c>
      <c r="U39" s="331" t="e">
        <f>IF(#REF!=0,"x","")</f>
        <v>#REF!</v>
      </c>
      <c r="V39" s="331" t="e">
        <f>IF(#REF!=0,"x","")</f>
        <v>#REF!</v>
      </c>
      <c r="W39" s="331" t="e">
        <f>IF(#REF!=0,"x","")</f>
        <v>#REF!</v>
      </c>
      <c r="X39" s="331" t="e">
        <f>IF(#REF!=0,"x","")</f>
        <v>#REF!</v>
      </c>
      <c r="Y39" s="331" t="e">
        <f>IF(#REF!=0,"x","")</f>
        <v>#REF!</v>
      </c>
      <c r="Z39" s="331" t="e">
        <f>IF(#REF!=0,"x","")</f>
        <v>#REF!</v>
      </c>
      <c r="AA39" s="331" t="e">
        <f>IF(#REF!=0,"x","")</f>
        <v>#REF!</v>
      </c>
      <c r="AB39" s="331" t="e">
        <f>IF(#REF!=0,"x","")</f>
        <v>#REF!</v>
      </c>
      <c r="AC39" s="331" t="e">
        <f>IF(#REF!=0,"x","")</f>
        <v>#REF!</v>
      </c>
      <c r="AD39" s="331" t="e">
        <f>IF(#REF!=0,"x","")</f>
        <v>#REF!</v>
      </c>
      <c r="AE39" s="331" t="e">
        <f>IF(#REF!=0,"x","")</f>
        <v>#REF!</v>
      </c>
      <c r="AF39" s="331" t="e">
        <f>IF(#REF!=0,"x","")</f>
        <v>#REF!</v>
      </c>
      <c r="AG39" s="331" t="e">
        <f>IF(#REF!=0,"x","")</f>
        <v>#REF!</v>
      </c>
      <c r="AH39" s="331"/>
      <c r="AI39" s="332">
        <f t="shared" si="1"/>
        <v>0</v>
      </c>
      <c r="AJ39" s="338"/>
    </row>
    <row r="40" spans="1:36">
      <c r="A40" s="234">
        <v>8</v>
      </c>
      <c r="B40" s="509" t="s">
        <v>144</v>
      </c>
      <c r="C40" s="338"/>
      <c r="D40" s="331" t="e">
        <f>IF(#REF!=0,"x","")</f>
        <v>#REF!</v>
      </c>
      <c r="E40" s="331" t="e">
        <f>IF(#REF!=0,"x","")</f>
        <v>#REF!</v>
      </c>
      <c r="F40" s="331" t="e">
        <f>IF(#REF!=0,"x","")</f>
        <v>#REF!</v>
      </c>
      <c r="G40" s="331" t="e">
        <f>IF(#REF!=0,"x","")</f>
        <v>#REF!</v>
      </c>
      <c r="H40" s="331" t="e">
        <f>IF(#REF!=0,"x","")</f>
        <v>#REF!</v>
      </c>
      <c r="I40" s="331" t="e">
        <f>IF(#REF!=0,"x","")</f>
        <v>#REF!</v>
      </c>
      <c r="J40" s="331" t="e">
        <f>IF(#REF!=0,"x","")</f>
        <v>#REF!</v>
      </c>
      <c r="K40" s="331" t="e">
        <f>IF(#REF!=0,"x","")</f>
        <v>#REF!</v>
      </c>
      <c r="L40" s="331" t="e">
        <f>IF(#REF!=0,"x","")</f>
        <v>#REF!</v>
      </c>
      <c r="M40" s="331" t="e">
        <f>IF(#REF!=0,"x","")</f>
        <v>#REF!</v>
      </c>
      <c r="N40" s="331" t="e">
        <f>IF(#REF!=0,"x","")</f>
        <v>#REF!</v>
      </c>
      <c r="O40" s="331" t="e">
        <f>IF(#REF!=0,"x","")</f>
        <v>#REF!</v>
      </c>
      <c r="P40" s="331" t="e">
        <f>IF(#REF!=0,"x","")</f>
        <v>#REF!</v>
      </c>
      <c r="Q40" s="331" t="e">
        <f>IF(#REF!=0,"x","")</f>
        <v>#REF!</v>
      </c>
      <c r="R40" s="331" t="e">
        <f>IF(#REF!=0,"x","")</f>
        <v>#REF!</v>
      </c>
      <c r="S40" s="331" t="e">
        <f>IF(#REF!=0,"x","")</f>
        <v>#REF!</v>
      </c>
      <c r="T40" s="331" t="e">
        <f>IF(#REF!=0,"x","")</f>
        <v>#REF!</v>
      </c>
      <c r="U40" s="331" t="e">
        <f>IF(#REF!=0,"x","")</f>
        <v>#REF!</v>
      </c>
      <c r="V40" s="331" t="e">
        <f>IF(#REF!=0,"x","")</f>
        <v>#REF!</v>
      </c>
      <c r="W40" s="331" t="e">
        <f>IF(#REF!=0,"x","")</f>
        <v>#REF!</v>
      </c>
      <c r="X40" s="331" t="e">
        <f>IF(#REF!=0,"x","")</f>
        <v>#REF!</v>
      </c>
      <c r="Y40" s="331" t="e">
        <f>IF(#REF!=0,"x","")</f>
        <v>#REF!</v>
      </c>
      <c r="Z40" s="331" t="e">
        <f>IF(#REF!=0,"x","")</f>
        <v>#REF!</v>
      </c>
      <c r="AA40" s="331" t="e">
        <f>IF(#REF!=0,"x","")</f>
        <v>#REF!</v>
      </c>
      <c r="AB40" s="331" t="e">
        <f>IF(#REF!=0,"x","")</f>
        <v>#REF!</v>
      </c>
      <c r="AC40" s="331" t="e">
        <f>IF(#REF!=0,"x","")</f>
        <v>#REF!</v>
      </c>
      <c r="AD40" s="331" t="e">
        <f>IF(#REF!=0,"x","")</f>
        <v>#REF!</v>
      </c>
      <c r="AE40" s="331" t="e">
        <f>IF(#REF!=0,"x","")</f>
        <v>#REF!</v>
      </c>
      <c r="AF40" s="331" t="e">
        <f>IF(#REF!=0,"x","")</f>
        <v>#REF!</v>
      </c>
      <c r="AG40" s="331" t="e">
        <f>IF(#REF!=0,"x","")</f>
        <v>#REF!</v>
      </c>
      <c r="AH40" s="331"/>
      <c r="AI40" s="332">
        <f t="shared" si="1"/>
        <v>0</v>
      </c>
      <c r="AJ40" s="338"/>
    </row>
    <row r="41" spans="1:36">
      <c r="A41" s="234">
        <v>9</v>
      </c>
      <c r="B41" s="509" t="s">
        <v>145</v>
      </c>
      <c r="C41" s="291" t="s">
        <v>407</v>
      </c>
      <c r="D41" s="331" t="e">
        <f>IF(#REF!=0,"x","")</f>
        <v>#REF!</v>
      </c>
      <c r="E41" s="331" t="e">
        <f>IF(#REF!=0,"x","")</f>
        <v>#REF!</v>
      </c>
      <c r="F41" s="331" t="e">
        <f>IF(#REF!=0,"x","")</f>
        <v>#REF!</v>
      </c>
      <c r="G41" s="331" t="e">
        <f>IF(#REF!=0,"x","")</f>
        <v>#REF!</v>
      </c>
      <c r="H41" s="331" t="e">
        <f>IF(#REF!=0,"x","")</f>
        <v>#REF!</v>
      </c>
      <c r="I41" s="331" t="e">
        <f>IF(#REF!=0,"x","")</f>
        <v>#REF!</v>
      </c>
      <c r="J41" s="331" t="e">
        <f>IF(#REF!=0,"x","")</f>
        <v>#REF!</v>
      </c>
      <c r="K41" s="331" t="e">
        <f>IF(#REF!=0,"x","")</f>
        <v>#REF!</v>
      </c>
      <c r="L41" s="331" t="e">
        <f>IF(#REF!=0,"x","")</f>
        <v>#REF!</v>
      </c>
      <c r="M41" s="331" t="e">
        <f>IF(#REF!=0,"x","")</f>
        <v>#REF!</v>
      </c>
      <c r="N41" s="331" t="e">
        <f>IF(#REF!=0,"x","")</f>
        <v>#REF!</v>
      </c>
      <c r="O41" s="331" t="e">
        <f>IF(#REF!=0,"x","")</f>
        <v>#REF!</v>
      </c>
      <c r="P41" s="331" t="e">
        <f>IF(#REF!=0,"x","")</f>
        <v>#REF!</v>
      </c>
      <c r="Q41" s="331" t="e">
        <f>IF(#REF!=0,"x","")</f>
        <v>#REF!</v>
      </c>
      <c r="R41" s="331" t="e">
        <f>IF(#REF!=0,"x","")</f>
        <v>#REF!</v>
      </c>
      <c r="S41" s="331" t="e">
        <f>IF(#REF!=0,"x","")</f>
        <v>#REF!</v>
      </c>
      <c r="T41" s="331" t="e">
        <f>IF(#REF!=0,"x","")</f>
        <v>#REF!</v>
      </c>
      <c r="U41" s="331" t="e">
        <f>IF(#REF!=0,"x","")</f>
        <v>#REF!</v>
      </c>
      <c r="V41" s="331" t="e">
        <f>IF(#REF!=0,"x","")</f>
        <v>#REF!</v>
      </c>
      <c r="W41" s="331" t="e">
        <f>IF(#REF!=0,"x","")</f>
        <v>#REF!</v>
      </c>
      <c r="X41" s="331" t="e">
        <f>IF(#REF!=0,"x","")</f>
        <v>#REF!</v>
      </c>
      <c r="Y41" s="331" t="e">
        <f>IF(#REF!=0,"x","")</f>
        <v>#REF!</v>
      </c>
      <c r="Z41" s="331" t="e">
        <f>IF(#REF!=0,"x","")</f>
        <v>#REF!</v>
      </c>
      <c r="AA41" s="331" t="e">
        <f>IF(#REF!=0,"x","")</f>
        <v>#REF!</v>
      </c>
      <c r="AB41" s="331" t="e">
        <f>IF(#REF!=0,"x","")</f>
        <v>#REF!</v>
      </c>
      <c r="AC41" s="331" t="e">
        <f>IF(#REF!=0,"x","")</f>
        <v>#REF!</v>
      </c>
      <c r="AD41" s="331" t="e">
        <f>IF(#REF!=0,"x","")</f>
        <v>#REF!</v>
      </c>
      <c r="AE41" s="331" t="e">
        <f>IF(#REF!=0,"x","")</f>
        <v>#REF!</v>
      </c>
      <c r="AF41" s="331" t="e">
        <f>IF(#REF!=0,"x","")</f>
        <v>#REF!</v>
      </c>
      <c r="AG41" s="331" t="e">
        <f>IF(#REF!=0,"x","")</f>
        <v>#REF!</v>
      </c>
      <c r="AH41" s="331"/>
      <c r="AI41" s="332">
        <f t="shared" si="1"/>
        <v>0</v>
      </c>
      <c r="AJ41" s="338"/>
    </row>
    <row r="42" spans="1:36">
      <c r="A42" s="234">
        <v>10</v>
      </c>
      <c r="B42" s="509" t="s">
        <v>148</v>
      </c>
      <c r="C42" s="291" t="s">
        <v>407</v>
      </c>
      <c r="D42" s="331" t="e">
        <f>IF(#REF!=0,"x","")</f>
        <v>#REF!</v>
      </c>
      <c r="E42" s="331" t="e">
        <f>IF(#REF!=0,"x","")</f>
        <v>#REF!</v>
      </c>
      <c r="F42" s="331" t="e">
        <f>IF(#REF!=0,"x","")</f>
        <v>#REF!</v>
      </c>
      <c r="G42" s="331" t="e">
        <f>IF(#REF!=0,"x","")</f>
        <v>#REF!</v>
      </c>
      <c r="H42" s="331" t="e">
        <f>IF(#REF!=0,"x","")</f>
        <v>#REF!</v>
      </c>
      <c r="I42" s="331" t="e">
        <f>IF(#REF!=0,"x","")</f>
        <v>#REF!</v>
      </c>
      <c r="J42" s="331" t="e">
        <f>IF(#REF!=0,"x","")</f>
        <v>#REF!</v>
      </c>
      <c r="K42" s="331" t="e">
        <f>IF(#REF!=0,"x","")</f>
        <v>#REF!</v>
      </c>
      <c r="L42" s="331" t="e">
        <f>IF(#REF!=0,"x","")</f>
        <v>#REF!</v>
      </c>
      <c r="M42" s="331" t="e">
        <f>IF(#REF!=0,"x","")</f>
        <v>#REF!</v>
      </c>
      <c r="N42" s="331" t="e">
        <f>IF(#REF!=0,"x","")</f>
        <v>#REF!</v>
      </c>
      <c r="O42" s="331" t="e">
        <f>IF(#REF!=0,"x","")</f>
        <v>#REF!</v>
      </c>
      <c r="P42" s="331" t="e">
        <f>IF(#REF!=0,"x","")</f>
        <v>#REF!</v>
      </c>
      <c r="Q42" s="331" t="e">
        <f>IF(#REF!=0,"x","")</f>
        <v>#REF!</v>
      </c>
      <c r="R42" s="331" t="e">
        <f>IF(#REF!=0,"x","")</f>
        <v>#REF!</v>
      </c>
      <c r="S42" s="331" t="e">
        <f>IF(#REF!=0,"x","")</f>
        <v>#REF!</v>
      </c>
      <c r="T42" s="331" t="e">
        <f>IF(#REF!=0,"x","")</f>
        <v>#REF!</v>
      </c>
      <c r="U42" s="331" t="e">
        <f>IF(#REF!=0,"x","")</f>
        <v>#REF!</v>
      </c>
      <c r="V42" s="331" t="e">
        <f>IF(#REF!=0,"x","")</f>
        <v>#REF!</v>
      </c>
      <c r="W42" s="331" t="e">
        <f>IF(#REF!=0,"x","")</f>
        <v>#REF!</v>
      </c>
      <c r="X42" s="331" t="e">
        <f>IF(#REF!=0,"x","")</f>
        <v>#REF!</v>
      </c>
      <c r="Y42" s="331" t="e">
        <f>IF(#REF!=0,"x","")</f>
        <v>#REF!</v>
      </c>
      <c r="Z42" s="331" t="e">
        <f>IF(#REF!=0,"x","")</f>
        <v>#REF!</v>
      </c>
      <c r="AA42" s="331" t="e">
        <f>IF(#REF!=0,"x","")</f>
        <v>#REF!</v>
      </c>
      <c r="AB42" s="331" t="e">
        <f>IF(#REF!=0,"x","")</f>
        <v>#REF!</v>
      </c>
      <c r="AC42" s="331" t="e">
        <f>IF(#REF!=0,"x","")</f>
        <v>#REF!</v>
      </c>
      <c r="AD42" s="331" t="e">
        <f>IF(#REF!=0,"x","")</f>
        <v>#REF!</v>
      </c>
      <c r="AE42" s="331" t="e">
        <f>IF(#REF!=0,"x","")</f>
        <v>#REF!</v>
      </c>
      <c r="AF42" s="331" t="e">
        <f>IF(#REF!=0,"x","")</f>
        <v>#REF!</v>
      </c>
      <c r="AG42" s="331" t="e">
        <f>IF(#REF!=0,"x","")</f>
        <v>#REF!</v>
      </c>
      <c r="AH42" s="331"/>
      <c r="AI42" s="332">
        <f t="shared" si="1"/>
        <v>0</v>
      </c>
      <c r="AJ42" s="338"/>
    </row>
    <row r="43" spans="1:36">
      <c r="A43" s="234">
        <v>11</v>
      </c>
      <c r="B43" s="509" t="s">
        <v>344</v>
      </c>
      <c r="C43" s="291" t="s">
        <v>407</v>
      </c>
      <c r="D43" s="331" t="e">
        <f>IF(#REF!=0,"x","")</f>
        <v>#REF!</v>
      </c>
      <c r="E43" s="331" t="e">
        <f>IF(#REF!=0,"x","")</f>
        <v>#REF!</v>
      </c>
      <c r="F43" s="331" t="e">
        <f>IF(#REF!=0,"x","")</f>
        <v>#REF!</v>
      </c>
      <c r="G43" s="331" t="e">
        <f>IF(#REF!=0,"x","")</f>
        <v>#REF!</v>
      </c>
      <c r="H43" s="331" t="e">
        <f>IF(#REF!=0,"x","")</f>
        <v>#REF!</v>
      </c>
      <c r="I43" s="331" t="e">
        <f>IF(#REF!=0,"x","")</f>
        <v>#REF!</v>
      </c>
      <c r="J43" s="331" t="e">
        <f>IF(#REF!=0,"x","")</f>
        <v>#REF!</v>
      </c>
      <c r="K43" s="331" t="e">
        <f>IF(#REF!=0,"x","")</f>
        <v>#REF!</v>
      </c>
      <c r="L43" s="331" t="e">
        <f>IF(#REF!=0,"x","")</f>
        <v>#REF!</v>
      </c>
      <c r="M43" s="331" t="e">
        <f>IF(#REF!=0,"x","")</f>
        <v>#REF!</v>
      </c>
      <c r="N43" s="331" t="e">
        <f>IF(#REF!=0,"x","")</f>
        <v>#REF!</v>
      </c>
      <c r="O43" s="331" t="e">
        <f>IF(#REF!=0,"x","")</f>
        <v>#REF!</v>
      </c>
      <c r="P43" s="331" t="e">
        <f>IF(#REF!=0,"x","")</f>
        <v>#REF!</v>
      </c>
      <c r="Q43" s="331" t="e">
        <f>IF(#REF!=0,"x","")</f>
        <v>#REF!</v>
      </c>
      <c r="R43" s="331" t="e">
        <f>IF(#REF!=0,"x","")</f>
        <v>#REF!</v>
      </c>
      <c r="S43" s="331" t="e">
        <f>IF(#REF!=0,"x","")</f>
        <v>#REF!</v>
      </c>
      <c r="T43" s="331" t="e">
        <f>IF(#REF!=0,"x","")</f>
        <v>#REF!</v>
      </c>
      <c r="U43" s="331" t="e">
        <f>IF(#REF!=0,"x","")</f>
        <v>#REF!</v>
      </c>
      <c r="V43" s="331" t="e">
        <f>IF(#REF!=0,"x","")</f>
        <v>#REF!</v>
      </c>
      <c r="W43" s="331" t="e">
        <f>IF(#REF!=0,"x","")</f>
        <v>#REF!</v>
      </c>
      <c r="X43" s="331" t="e">
        <f>IF(#REF!=0,"x","")</f>
        <v>#REF!</v>
      </c>
      <c r="Y43" s="331" t="e">
        <f>IF(#REF!=0,"x","")</f>
        <v>#REF!</v>
      </c>
      <c r="Z43" s="331" t="e">
        <f>IF(#REF!=0,"x","")</f>
        <v>#REF!</v>
      </c>
      <c r="AA43" s="331" t="e">
        <f>IF(#REF!=0,"x","")</f>
        <v>#REF!</v>
      </c>
      <c r="AB43" s="331" t="e">
        <f>IF(#REF!=0,"x","")</f>
        <v>#REF!</v>
      </c>
      <c r="AC43" s="331" t="e">
        <f>IF(#REF!=0,"x","")</f>
        <v>#REF!</v>
      </c>
      <c r="AD43" s="331" t="e">
        <f>IF(#REF!=0,"x","")</f>
        <v>#REF!</v>
      </c>
      <c r="AE43" s="331" t="e">
        <f>IF(#REF!=0,"x","")</f>
        <v>#REF!</v>
      </c>
      <c r="AF43" s="331" t="e">
        <f>IF(#REF!=0,"x","")</f>
        <v>#REF!</v>
      </c>
      <c r="AG43" s="331" t="e">
        <f>IF(#REF!=0,"x","")</f>
        <v>#REF!</v>
      </c>
      <c r="AH43" s="331"/>
      <c r="AI43" s="332">
        <f t="shared" si="1"/>
        <v>0</v>
      </c>
      <c r="AJ43" s="338"/>
    </row>
    <row r="44" spans="1:36">
      <c r="A44" s="234">
        <v>12</v>
      </c>
      <c r="B44" s="509" t="s">
        <v>411</v>
      </c>
      <c r="C44" s="338"/>
      <c r="D44" s="331" t="e">
        <f>IF(#REF!=0,"x","")</f>
        <v>#REF!</v>
      </c>
      <c r="E44" s="331" t="e">
        <f>IF(#REF!=0,"x","")</f>
        <v>#REF!</v>
      </c>
      <c r="F44" s="331" t="e">
        <f>IF(#REF!=0,"x","")</f>
        <v>#REF!</v>
      </c>
      <c r="G44" s="331" t="e">
        <f>IF(#REF!=0,"x","")</f>
        <v>#REF!</v>
      </c>
      <c r="H44" s="331" t="e">
        <f>IF(#REF!=0,"x","")</f>
        <v>#REF!</v>
      </c>
      <c r="I44" s="331" t="e">
        <f>IF(#REF!=0,"x","")</f>
        <v>#REF!</v>
      </c>
      <c r="J44" s="331" t="e">
        <f>IF(#REF!=0,"x","")</f>
        <v>#REF!</v>
      </c>
      <c r="K44" s="331" t="e">
        <f>IF(#REF!=0,"x","")</f>
        <v>#REF!</v>
      </c>
      <c r="L44" s="331" t="e">
        <f>IF(#REF!=0,"x","")</f>
        <v>#REF!</v>
      </c>
      <c r="M44" s="331" t="e">
        <f>IF(#REF!=0,"x","")</f>
        <v>#REF!</v>
      </c>
      <c r="N44" s="331" t="e">
        <f>IF(#REF!=0,"x","")</f>
        <v>#REF!</v>
      </c>
      <c r="O44" s="331" t="e">
        <f>IF(#REF!=0,"x","")</f>
        <v>#REF!</v>
      </c>
      <c r="P44" s="331" t="e">
        <f>IF(#REF!=0,"x","")</f>
        <v>#REF!</v>
      </c>
      <c r="Q44" s="331" t="e">
        <f>IF(#REF!=0,"x","")</f>
        <v>#REF!</v>
      </c>
      <c r="R44" s="331" t="e">
        <f>IF(#REF!=0,"x","")</f>
        <v>#REF!</v>
      </c>
      <c r="S44" s="331" t="e">
        <f>IF(#REF!=0,"x","")</f>
        <v>#REF!</v>
      </c>
      <c r="T44" s="331" t="e">
        <f>IF(#REF!=0,"x","")</f>
        <v>#REF!</v>
      </c>
      <c r="U44" s="331" t="e">
        <f>IF(#REF!=0,"x","")</f>
        <v>#REF!</v>
      </c>
      <c r="V44" s="331" t="e">
        <f>IF(#REF!=0,"x","")</f>
        <v>#REF!</v>
      </c>
      <c r="W44" s="331" t="e">
        <f>IF(#REF!=0,"x","")</f>
        <v>#REF!</v>
      </c>
      <c r="X44" s="331" t="e">
        <f>IF(#REF!=0,"x","")</f>
        <v>#REF!</v>
      </c>
      <c r="Y44" s="331" t="e">
        <f>IF(#REF!=0,"x","")</f>
        <v>#REF!</v>
      </c>
      <c r="Z44" s="331" t="e">
        <f>IF(#REF!=0,"x","")</f>
        <v>#REF!</v>
      </c>
      <c r="AA44" s="331" t="e">
        <f>IF(#REF!=0,"x","")</f>
        <v>#REF!</v>
      </c>
      <c r="AB44" s="331" t="e">
        <f>IF(#REF!=0,"x","")</f>
        <v>#REF!</v>
      </c>
      <c r="AC44" s="331" t="e">
        <f>IF(#REF!=0,"x","")</f>
        <v>#REF!</v>
      </c>
      <c r="AD44" s="331" t="e">
        <f>IF(#REF!=0,"x","")</f>
        <v>#REF!</v>
      </c>
      <c r="AE44" s="331" t="e">
        <f>IF(#REF!=0,"x","")</f>
        <v>#REF!</v>
      </c>
      <c r="AF44" s="331" t="e">
        <f>IF(#REF!=0,"x","")</f>
        <v>#REF!</v>
      </c>
      <c r="AG44" s="331" t="e">
        <f>IF(#REF!=0,"x","")</f>
        <v>#REF!</v>
      </c>
      <c r="AH44" s="331"/>
      <c r="AI44" s="332">
        <f t="shared" si="1"/>
        <v>0</v>
      </c>
      <c r="AJ44" s="338"/>
    </row>
    <row r="45" spans="1:36">
      <c r="A45" s="234">
        <v>13</v>
      </c>
      <c r="B45" s="509" t="s">
        <v>149</v>
      </c>
      <c r="C45" s="338"/>
      <c r="D45" s="331" t="e">
        <f>IF(#REF!=0,"x","")</f>
        <v>#REF!</v>
      </c>
      <c r="E45" s="331" t="e">
        <f>IF(#REF!=0,"x","")</f>
        <v>#REF!</v>
      </c>
      <c r="F45" s="331" t="e">
        <f>IF(#REF!=0,"x","")</f>
        <v>#REF!</v>
      </c>
      <c r="G45" s="331" t="e">
        <f>IF(#REF!=0,"x","")</f>
        <v>#REF!</v>
      </c>
      <c r="H45" s="331" t="e">
        <f>IF(#REF!=0,"x","")</f>
        <v>#REF!</v>
      </c>
      <c r="I45" s="331" t="e">
        <f>IF(#REF!=0,"x","")</f>
        <v>#REF!</v>
      </c>
      <c r="J45" s="331" t="e">
        <f>IF(#REF!=0,"x","")</f>
        <v>#REF!</v>
      </c>
      <c r="K45" s="331" t="e">
        <f>IF(#REF!=0,"x","")</f>
        <v>#REF!</v>
      </c>
      <c r="L45" s="331" t="e">
        <f>IF(#REF!=0,"x","")</f>
        <v>#REF!</v>
      </c>
      <c r="M45" s="331" t="e">
        <f>IF(#REF!=0,"x","")</f>
        <v>#REF!</v>
      </c>
      <c r="N45" s="331" t="e">
        <f>IF(#REF!=0,"x","")</f>
        <v>#REF!</v>
      </c>
      <c r="O45" s="331" t="e">
        <f>IF(#REF!=0,"x","")</f>
        <v>#REF!</v>
      </c>
      <c r="P45" s="331" t="e">
        <f>IF(#REF!=0,"x","")</f>
        <v>#REF!</v>
      </c>
      <c r="Q45" s="331" t="e">
        <f>IF(#REF!=0,"x","")</f>
        <v>#REF!</v>
      </c>
      <c r="R45" s="331" t="e">
        <f>IF(#REF!=0,"x","")</f>
        <v>#REF!</v>
      </c>
      <c r="S45" s="331" t="e">
        <f>IF(#REF!=0,"x","")</f>
        <v>#REF!</v>
      </c>
      <c r="T45" s="331" t="e">
        <f>IF(#REF!=0,"x","")</f>
        <v>#REF!</v>
      </c>
      <c r="U45" s="331" t="e">
        <f>IF(#REF!=0,"x","")</f>
        <v>#REF!</v>
      </c>
      <c r="V45" s="331" t="e">
        <f>IF(#REF!=0,"x","")</f>
        <v>#REF!</v>
      </c>
      <c r="W45" s="331" t="e">
        <f>IF(#REF!=0,"x","")</f>
        <v>#REF!</v>
      </c>
      <c r="X45" s="331" t="e">
        <f>IF(#REF!=0,"x","")</f>
        <v>#REF!</v>
      </c>
      <c r="Y45" s="331" t="e">
        <f>IF(#REF!=0,"x","")</f>
        <v>#REF!</v>
      </c>
      <c r="Z45" s="331" t="e">
        <f>IF(#REF!=0,"x","")</f>
        <v>#REF!</v>
      </c>
      <c r="AA45" s="331" t="e">
        <f>IF(#REF!=0,"x","")</f>
        <v>#REF!</v>
      </c>
      <c r="AB45" s="331" t="e">
        <f>IF(#REF!=0,"x","")</f>
        <v>#REF!</v>
      </c>
      <c r="AC45" s="331" t="e">
        <f>IF(#REF!=0,"x","")</f>
        <v>#REF!</v>
      </c>
      <c r="AD45" s="331" t="e">
        <f>IF(#REF!=0,"x","")</f>
        <v>#REF!</v>
      </c>
      <c r="AE45" s="331" t="e">
        <f>IF(#REF!=0,"x","")</f>
        <v>#REF!</v>
      </c>
      <c r="AF45" s="331" t="e">
        <f>IF(#REF!=0,"x","")</f>
        <v>#REF!</v>
      </c>
      <c r="AG45" s="331" t="e">
        <f>IF(#REF!=0,"x","")</f>
        <v>#REF!</v>
      </c>
      <c r="AH45" s="331"/>
      <c r="AI45" s="332">
        <f t="shared" si="1"/>
        <v>0</v>
      </c>
      <c r="AJ45" s="338"/>
    </row>
    <row r="46" spans="1:36">
      <c r="A46" s="234">
        <v>14</v>
      </c>
      <c r="B46" s="509" t="s">
        <v>331</v>
      </c>
      <c r="C46" s="338"/>
      <c r="D46" s="331" t="e">
        <f>IF(#REF!=0,"x","")</f>
        <v>#REF!</v>
      </c>
      <c r="E46" s="331" t="e">
        <f>IF(#REF!=0,"x","")</f>
        <v>#REF!</v>
      </c>
      <c r="F46" s="331" t="e">
        <f>IF(#REF!=0,"x","")</f>
        <v>#REF!</v>
      </c>
      <c r="G46" s="331" t="e">
        <f>IF(#REF!=0,"x","")</f>
        <v>#REF!</v>
      </c>
      <c r="H46" s="331" t="e">
        <f>IF(#REF!=0,"x","")</f>
        <v>#REF!</v>
      </c>
      <c r="I46" s="331" t="e">
        <f>IF(#REF!=0,"x","")</f>
        <v>#REF!</v>
      </c>
      <c r="J46" s="331" t="e">
        <f>IF(#REF!=0,"x","")</f>
        <v>#REF!</v>
      </c>
      <c r="K46" s="331" t="e">
        <f>IF(#REF!=0,"x","")</f>
        <v>#REF!</v>
      </c>
      <c r="L46" s="331" t="e">
        <f>IF(#REF!=0,"x","")</f>
        <v>#REF!</v>
      </c>
      <c r="M46" s="331" t="e">
        <f>IF(#REF!=0,"x","")</f>
        <v>#REF!</v>
      </c>
      <c r="N46" s="331" t="e">
        <f>IF(#REF!=0,"x","")</f>
        <v>#REF!</v>
      </c>
      <c r="O46" s="331" t="e">
        <f>IF(#REF!=0,"x","")</f>
        <v>#REF!</v>
      </c>
      <c r="P46" s="331" t="e">
        <f>IF(#REF!=0,"x","")</f>
        <v>#REF!</v>
      </c>
      <c r="Q46" s="331" t="e">
        <f>IF(#REF!=0,"x","")</f>
        <v>#REF!</v>
      </c>
      <c r="R46" s="331" t="e">
        <f>IF(#REF!=0,"x","")</f>
        <v>#REF!</v>
      </c>
      <c r="S46" s="331" t="e">
        <f>IF(#REF!=0,"x","")</f>
        <v>#REF!</v>
      </c>
      <c r="T46" s="331" t="e">
        <f>IF(#REF!=0,"x","")</f>
        <v>#REF!</v>
      </c>
      <c r="U46" s="331" t="e">
        <f>IF(#REF!=0,"x","")</f>
        <v>#REF!</v>
      </c>
      <c r="V46" s="331" t="e">
        <f>IF(#REF!=0,"x","")</f>
        <v>#REF!</v>
      </c>
      <c r="W46" s="331" t="e">
        <f>IF(#REF!=0,"x","")</f>
        <v>#REF!</v>
      </c>
      <c r="X46" s="331" t="e">
        <f>IF(#REF!=0,"x","")</f>
        <v>#REF!</v>
      </c>
      <c r="Y46" s="331" t="e">
        <f>IF(#REF!=0,"x","")</f>
        <v>#REF!</v>
      </c>
      <c r="Z46" s="331" t="e">
        <f>IF(#REF!=0,"x","")</f>
        <v>#REF!</v>
      </c>
      <c r="AA46" s="331" t="e">
        <f>IF(#REF!=0,"x","")</f>
        <v>#REF!</v>
      </c>
      <c r="AB46" s="331" t="e">
        <f>IF(#REF!=0,"x","")</f>
        <v>#REF!</v>
      </c>
      <c r="AC46" s="331" t="e">
        <f>IF(#REF!=0,"x","")</f>
        <v>#REF!</v>
      </c>
      <c r="AD46" s="331" t="e">
        <f>IF(#REF!=0,"x","")</f>
        <v>#REF!</v>
      </c>
      <c r="AE46" s="331" t="e">
        <f>IF(#REF!=0,"x","")</f>
        <v>#REF!</v>
      </c>
      <c r="AF46" s="331" t="e">
        <f>IF(#REF!=0,"x","")</f>
        <v>#REF!</v>
      </c>
      <c r="AG46" s="331" t="e">
        <f>IF(#REF!=0,"x","")</f>
        <v>#REF!</v>
      </c>
      <c r="AH46" s="331"/>
      <c r="AI46" s="332">
        <f t="shared" si="1"/>
        <v>0</v>
      </c>
      <c r="AJ46" s="338"/>
    </row>
    <row r="47" spans="1:36">
      <c r="A47" s="234">
        <v>15</v>
      </c>
      <c r="B47" s="509" t="s">
        <v>162</v>
      </c>
      <c r="C47" s="338"/>
      <c r="D47" s="331" t="e">
        <f>IF(#REF!=0,"x","")</f>
        <v>#REF!</v>
      </c>
      <c r="E47" s="331" t="e">
        <f>IF(#REF!=0,"x","")</f>
        <v>#REF!</v>
      </c>
      <c r="F47" s="331" t="e">
        <f>IF(#REF!=0,"x","")</f>
        <v>#REF!</v>
      </c>
      <c r="G47" s="331" t="e">
        <f>IF(#REF!=0,"x","")</f>
        <v>#REF!</v>
      </c>
      <c r="H47" s="331" t="e">
        <f>IF(#REF!=0,"x","")</f>
        <v>#REF!</v>
      </c>
      <c r="I47" s="331" t="e">
        <f>IF(#REF!=0,"x","")</f>
        <v>#REF!</v>
      </c>
      <c r="J47" s="331" t="e">
        <f>IF(#REF!=0,"x","")</f>
        <v>#REF!</v>
      </c>
      <c r="K47" s="331" t="e">
        <f>IF(#REF!=0,"x","")</f>
        <v>#REF!</v>
      </c>
      <c r="L47" s="331" t="e">
        <f>IF(#REF!=0,"x","")</f>
        <v>#REF!</v>
      </c>
      <c r="M47" s="331" t="e">
        <f>IF(#REF!=0,"x","")</f>
        <v>#REF!</v>
      </c>
      <c r="N47" s="331" t="e">
        <f>IF(#REF!=0,"x","")</f>
        <v>#REF!</v>
      </c>
      <c r="O47" s="331" t="e">
        <f>IF(#REF!=0,"x","")</f>
        <v>#REF!</v>
      </c>
      <c r="P47" s="331" t="e">
        <f>IF(#REF!=0,"x","")</f>
        <v>#REF!</v>
      </c>
      <c r="Q47" s="331" t="e">
        <f>IF(#REF!=0,"x","")</f>
        <v>#REF!</v>
      </c>
      <c r="R47" s="331" t="e">
        <f>IF(#REF!=0,"x","")</f>
        <v>#REF!</v>
      </c>
      <c r="S47" s="331" t="e">
        <f>IF(#REF!=0,"x","")</f>
        <v>#REF!</v>
      </c>
      <c r="T47" s="331" t="e">
        <f>IF(#REF!=0,"x","")</f>
        <v>#REF!</v>
      </c>
      <c r="U47" s="331" t="e">
        <f>IF(#REF!=0,"x","")</f>
        <v>#REF!</v>
      </c>
      <c r="V47" s="331" t="e">
        <f>IF(#REF!=0,"x","")</f>
        <v>#REF!</v>
      </c>
      <c r="W47" s="331" t="e">
        <f>IF(#REF!=0,"x","")</f>
        <v>#REF!</v>
      </c>
      <c r="X47" s="331" t="e">
        <f>IF(#REF!=0,"x","")</f>
        <v>#REF!</v>
      </c>
      <c r="Y47" s="331" t="e">
        <f>IF(#REF!=0,"x","")</f>
        <v>#REF!</v>
      </c>
      <c r="Z47" s="331" t="e">
        <f>IF(#REF!=0,"x","")</f>
        <v>#REF!</v>
      </c>
      <c r="AA47" s="331" t="e">
        <f>IF(#REF!=0,"x","")</f>
        <v>#REF!</v>
      </c>
      <c r="AB47" s="331" t="e">
        <f>IF(#REF!=0,"x","")</f>
        <v>#REF!</v>
      </c>
      <c r="AC47" s="331" t="e">
        <f>IF(#REF!=0,"x","")</f>
        <v>#REF!</v>
      </c>
      <c r="AD47" s="331" t="e">
        <f>IF(#REF!=0,"x","")</f>
        <v>#REF!</v>
      </c>
      <c r="AE47" s="331" t="e">
        <f>IF(#REF!=0,"x","")</f>
        <v>#REF!</v>
      </c>
      <c r="AF47" s="331" t="e">
        <f>IF(#REF!=0,"x","")</f>
        <v>#REF!</v>
      </c>
      <c r="AG47" s="331" t="e">
        <f>IF(#REF!=0,"x","")</f>
        <v>#REF!</v>
      </c>
      <c r="AH47" s="331"/>
      <c r="AI47" s="332">
        <f t="shared" si="1"/>
        <v>0</v>
      </c>
      <c r="AJ47" s="338"/>
    </row>
    <row r="48" spans="1:36">
      <c r="A48" s="234">
        <v>16</v>
      </c>
      <c r="B48" s="509" t="s">
        <v>152</v>
      </c>
      <c r="C48" s="338"/>
      <c r="D48" s="331" t="e">
        <f>IF(#REF!=0,"x","")</f>
        <v>#REF!</v>
      </c>
      <c r="E48" s="331" t="e">
        <f>IF(#REF!=0,"x","")</f>
        <v>#REF!</v>
      </c>
      <c r="F48" s="331" t="e">
        <f>IF(#REF!=0,"x","")</f>
        <v>#REF!</v>
      </c>
      <c r="G48" s="331" t="e">
        <f>IF(#REF!=0,"x","")</f>
        <v>#REF!</v>
      </c>
      <c r="H48" s="331" t="e">
        <f>IF(#REF!=0,"x","")</f>
        <v>#REF!</v>
      </c>
      <c r="I48" s="331" t="e">
        <f>IF(#REF!=0,"x","")</f>
        <v>#REF!</v>
      </c>
      <c r="J48" s="331" t="e">
        <f>IF(#REF!=0,"x","")</f>
        <v>#REF!</v>
      </c>
      <c r="K48" s="331" t="e">
        <f>IF(#REF!=0,"x","")</f>
        <v>#REF!</v>
      </c>
      <c r="L48" s="331" t="e">
        <f>IF(#REF!=0,"x","")</f>
        <v>#REF!</v>
      </c>
      <c r="M48" s="331" t="e">
        <f>IF(#REF!=0,"x","")</f>
        <v>#REF!</v>
      </c>
      <c r="N48" s="331" t="e">
        <f>IF(#REF!=0,"x","")</f>
        <v>#REF!</v>
      </c>
      <c r="O48" s="331" t="e">
        <f>IF(#REF!=0,"x","")</f>
        <v>#REF!</v>
      </c>
      <c r="P48" s="331" t="e">
        <f>IF(#REF!=0,"x","")</f>
        <v>#REF!</v>
      </c>
      <c r="Q48" s="331" t="e">
        <f>IF(#REF!=0,"x","")</f>
        <v>#REF!</v>
      </c>
      <c r="R48" s="331" t="e">
        <f>IF(#REF!=0,"x","")</f>
        <v>#REF!</v>
      </c>
      <c r="S48" s="331" t="e">
        <f>IF(#REF!=0,"x","")</f>
        <v>#REF!</v>
      </c>
      <c r="T48" s="331" t="e">
        <f>IF(#REF!=0,"x","")</f>
        <v>#REF!</v>
      </c>
      <c r="U48" s="331" t="e">
        <f>IF(#REF!=0,"x","")</f>
        <v>#REF!</v>
      </c>
      <c r="V48" s="331" t="e">
        <f>IF(#REF!=0,"x","")</f>
        <v>#REF!</v>
      </c>
      <c r="W48" s="331" t="e">
        <f>IF(#REF!=0,"x","")</f>
        <v>#REF!</v>
      </c>
      <c r="X48" s="331" t="e">
        <f>IF(#REF!=0,"x","")</f>
        <v>#REF!</v>
      </c>
      <c r="Y48" s="331" t="e">
        <f>IF(#REF!=0,"x","")</f>
        <v>#REF!</v>
      </c>
      <c r="Z48" s="331" t="e">
        <f>IF(#REF!=0,"x","")</f>
        <v>#REF!</v>
      </c>
      <c r="AA48" s="331" t="e">
        <f>IF(#REF!=0,"x","")</f>
        <v>#REF!</v>
      </c>
      <c r="AB48" s="331" t="e">
        <f>IF(#REF!=0,"x","")</f>
        <v>#REF!</v>
      </c>
      <c r="AC48" s="331" t="e">
        <f>IF(#REF!=0,"x","")</f>
        <v>#REF!</v>
      </c>
      <c r="AD48" s="331" t="e">
        <f>IF(#REF!=0,"x","")</f>
        <v>#REF!</v>
      </c>
      <c r="AE48" s="331" t="e">
        <f>IF(#REF!=0,"x","")</f>
        <v>#REF!</v>
      </c>
      <c r="AF48" s="331" t="e">
        <f>IF(#REF!=0,"x","")</f>
        <v>#REF!</v>
      </c>
      <c r="AG48" s="331" t="e">
        <f>IF(#REF!=0,"x","")</f>
        <v>#REF!</v>
      </c>
      <c r="AH48" s="331"/>
      <c r="AI48" s="332">
        <f t="shared" si="1"/>
        <v>0</v>
      </c>
      <c r="AJ48" s="338"/>
    </row>
    <row r="49" spans="1:36">
      <c r="A49" s="234">
        <v>17</v>
      </c>
      <c r="B49" s="509" t="s">
        <v>151</v>
      </c>
      <c r="C49" s="338"/>
      <c r="D49" s="331" t="e">
        <f>IF(#REF!=0,"x","")</f>
        <v>#REF!</v>
      </c>
      <c r="E49" s="331" t="e">
        <f>IF(#REF!=0,"x","")</f>
        <v>#REF!</v>
      </c>
      <c r="F49" s="331" t="e">
        <f>IF(#REF!=0,"x","")</f>
        <v>#REF!</v>
      </c>
      <c r="G49" s="331" t="e">
        <f>IF(#REF!=0,"x","")</f>
        <v>#REF!</v>
      </c>
      <c r="H49" s="331" t="e">
        <f>IF(#REF!=0,"x","")</f>
        <v>#REF!</v>
      </c>
      <c r="I49" s="331" t="e">
        <f>IF(#REF!=0,"x","")</f>
        <v>#REF!</v>
      </c>
      <c r="J49" s="331" t="e">
        <f>IF(#REF!=0,"x","")</f>
        <v>#REF!</v>
      </c>
      <c r="K49" s="331" t="e">
        <f>IF(#REF!=0,"x","")</f>
        <v>#REF!</v>
      </c>
      <c r="L49" s="331" t="e">
        <f>IF(#REF!=0,"x","")</f>
        <v>#REF!</v>
      </c>
      <c r="M49" s="331" t="e">
        <f>IF(#REF!=0,"x","")</f>
        <v>#REF!</v>
      </c>
      <c r="N49" s="331" t="e">
        <f>IF(#REF!=0,"x","")</f>
        <v>#REF!</v>
      </c>
      <c r="O49" s="331" t="e">
        <f>IF(#REF!=0,"x","")</f>
        <v>#REF!</v>
      </c>
      <c r="P49" s="331" t="e">
        <f>IF(#REF!=0,"x","")</f>
        <v>#REF!</v>
      </c>
      <c r="Q49" s="331" t="e">
        <f>IF(#REF!=0,"x","")</f>
        <v>#REF!</v>
      </c>
      <c r="R49" s="331" t="e">
        <f>IF(#REF!=0,"x","")</f>
        <v>#REF!</v>
      </c>
      <c r="S49" s="331" t="e">
        <f>IF(#REF!=0,"x","")</f>
        <v>#REF!</v>
      </c>
      <c r="T49" s="331" t="e">
        <f>IF(#REF!=0,"x","")</f>
        <v>#REF!</v>
      </c>
      <c r="U49" s="331" t="e">
        <f>IF(#REF!=0,"x","")</f>
        <v>#REF!</v>
      </c>
      <c r="V49" s="331" t="e">
        <f>IF(#REF!=0,"x","")</f>
        <v>#REF!</v>
      </c>
      <c r="W49" s="331" t="e">
        <f>IF(#REF!=0,"x","")</f>
        <v>#REF!</v>
      </c>
      <c r="X49" s="331" t="e">
        <f>IF(#REF!=0,"x","")</f>
        <v>#REF!</v>
      </c>
      <c r="Y49" s="331" t="e">
        <f>IF(#REF!=0,"x","")</f>
        <v>#REF!</v>
      </c>
      <c r="Z49" s="331" t="e">
        <f>IF(#REF!=0,"x","")</f>
        <v>#REF!</v>
      </c>
      <c r="AA49" s="331" t="e">
        <f>IF(#REF!=0,"x","")</f>
        <v>#REF!</v>
      </c>
      <c r="AB49" s="331" t="e">
        <f>IF(#REF!=0,"x","")</f>
        <v>#REF!</v>
      </c>
      <c r="AC49" s="331" t="e">
        <f>IF(#REF!=0,"x","")</f>
        <v>#REF!</v>
      </c>
      <c r="AD49" s="331" t="e">
        <f>IF(#REF!=0,"x","")</f>
        <v>#REF!</v>
      </c>
      <c r="AE49" s="331" t="e">
        <f>IF(#REF!=0,"x","")</f>
        <v>#REF!</v>
      </c>
      <c r="AF49" s="331" t="e">
        <f>IF(#REF!=0,"x","")</f>
        <v>#REF!</v>
      </c>
      <c r="AG49" s="331" t="e">
        <f>IF(#REF!=0,"x","")</f>
        <v>#REF!</v>
      </c>
      <c r="AH49" s="331"/>
      <c r="AI49" s="332">
        <f t="shared" si="1"/>
        <v>0</v>
      </c>
      <c r="AJ49" s="338"/>
    </row>
    <row r="50" spans="1:36">
      <c r="A50" s="234">
        <v>18</v>
      </c>
      <c r="B50" s="509" t="s">
        <v>345</v>
      </c>
      <c r="C50" s="291" t="s">
        <v>407</v>
      </c>
      <c r="D50" s="331" t="e">
        <f>IF(#REF!=0,"x","")</f>
        <v>#REF!</v>
      </c>
      <c r="E50" s="331" t="e">
        <f>IF(#REF!=0,"x","")</f>
        <v>#REF!</v>
      </c>
      <c r="F50" s="331" t="e">
        <f>IF(#REF!=0,"x","")</f>
        <v>#REF!</v>
      </c>
      <c r="G50" s="331" t="e">
        <f>IF(#REF!=0,"x","")</f>
        <v>#REF!</v>
      </c>
      <c r="H50" s="331" t="e">
        <f>IF(#REF!=0,"x","")</f>
        <v>#REF!</v>
      </c>
      <c r="I50" s="331" t="e">
        <f>IF(#REF!=0,"x","")</f>
        <v>#REF!</v>
      </c>
      <c r="J50" s="331" t="e">
        <f>IF(#REF!=0,"x","")</f>
        <v>#REF!</v>
      </c>
      <c r="K50" s="331" t="e">
        <f>IF(#REF!=0,"x","")</f>
        <v>#REF!</v>
      </c>
      <c r="L50" s="331" t="e">
        <f>IF(#REF!=0,"x","")</f>
        <v>#REF!</v>
      </c>
      <c r="M50" s="331" t="e">
        <f>IF(#REF!=0,"x","")</f>
        <v>#REF!</v>
      </c>
      <c r="N50" s="331" t="e">
        <f>IF(#REF!=0,"x","")</f>
        <v>#REF!</v>
      </c>
      <c r="O50" s="331" t="e">
        <f>IF(#REF!=0,"x","")</f>
        <v>#REF!</v>
      </c>
      <c r="P50" s="331" t="e">
        <f>IF(#REF!=0,"x","")</f>
        <v>#REF!</v>
      </c>
      <c r="Q50" s="331" t="e">
        <f>IF(#REF!=0,"x","")</f>
        <v>#REF!</v>
      </c>
      <c r="R50" s="331" t="e">
        <f>IF(#REF!=0,"x","")</f>
        <v>#REF!</v>
      </c>
      <c r="S50" s="331" t="e">
        <f>IF(#REF!=0,"x","")</f>
        <v>#REF!</v>
      </c>
      <c r="T50" s="331" t="e">
        <f>IF(#REF!=0,"x","")</f>
        <v>#REF!</v>
      </c>
      <c r="U50" s="331" t="e">
        <f>IF(#REF!=0,"x","")</f>
        <v>#REF!</v>
      </c>
      <c r="V50" s="331" t="e">
        <f>IF(#REF!=0,"x","")</f>
        <v>#REF!</v>
      </c>
      <c r="W50" s="331" t="e">
        <f>IF(#REF!=0,"x","")</f>
        <v>#REF!</v>
      </c>
      <c r="X50" s="331" t="e">
        <f>IF(#REF!=0,"x","")</f>
        <v>#REF!</v>
      </c>
      <c r="Y50" s="331" t="e">
        <f>IF(#REF!=0,"x","")</f>
        <v>#REF!</v>
      </c>
      <c r="Z50" s="331" t="e">
        <f>IF(#REF!=0,"x","")</f>
        <v>#REF!</v>
      </c>
      <c r="AA50" s="331" t="e">
        <f>IF(#REF!=0,"x","")</f>
        <v>#REF!</v>
      </c>
      <c r="AB50" s="331" t="e">
        <f>IF(#REF!=0,"x","")</f>
        <v>#REF!</v>
      </c>
      <c r="AC50" s="331" t="e">
        <f>IF(#REF!=0,"x","")</f>
        <v>#REF!</v>
      </c>
      <c r="AD50" s="331" t="e">
        <f>IF(#REF!=0,"x","")</f>
        <v>#REF!</v>
      </c>
      <c r="AE50" s="331" t="e">
        <f>IF(#REF!=0,"x","")</f>
        <v>#REF!</v>
      </c>
      <c r="AF50" s="331" t="e">
        <f>IF(#REF!=0,"x","")</f>
        <v>#REF!</v>
      </c>
      <c r="AG50" s="331" t="e">
        <f>IF(#REF!=0,"x","")</f>
        <v>#REF!</v>
      </c>
      <c r="AH50" s="331"/>
      <c r="AI50" s="332">
        <f t="shared" si="1"/>
        <v>0</v>
      </c>
      <c r="AJ50" s="338"/>
    </row>
    <row r="51" spans="1:36">
      <c r="A51" s="234">
        <v>19</v>
      </c>
      <c r="B51" s="509" t="s">
        <v>153</v>
      </c>
      <c r="C51" s="338"/>
      <c r="D51" s="331" t="e">
        <f>IF(#REF!=0,"x","")</f>
        <v>#REF!</v>
      </c>
      <c r="E51" s="331" t="e">
        <f>IF(#REF!=0,"x","")</f>
        <v>#REF!</v>
      </c>
      <c r="F51" s="331" t="e">
        <f>IF(#REF!=0,"x","")</f>
        <v>#REF!</v>
      </c>
      <c r="G51" s="331" t="e">
        <f>IF(#REF!=0,"x","")</f>
        <v>#REF!</v>
      </c>
      <c r="H51" s="331" t="e">
        <f>IF(#REF!=0,"x","")</f>
        <v>#REF!</v>
      </c>
      <c r="I51" s="331" t="e">
        <f>IF(#REF!=0,"x","")</f>
        <v>#REF!</v>
      </c>
      <c r="J51" s="331" t="e">
        <f>IF(#REF!=0,"x","")</f>
        <v>#REF!</v>
      </c>
      <c r="K51" s="331" t="e">
        <f>IF(#REF!=0,"x","")</f>
        <v>#REF!</v>
      </c>
      <c r="L51" s="331" t="e">
        <f>IF(#REF!=0,"x","")</f>
        <v>#REF!</v>
      </c>
      <c r="M51" s="331" t="e">
        <f>IF(#REF!=0,"x","")</f>
        <v>#REF!</v>
      </c>
      <c r="N51" s="331" t="e">
        <f>IF(#REF!=0,"x","")</f>
        <v>#REF!</v>
      </c>
      <c r="O51" s="331" t="e">
        <f>IF(#REF!=0,"x","")</f>
        <v>#REF!</v>
      </c>
      <c r="P51" s="331" t="e">
        <f>IF(#REF!=0,"x","")</f>
        <v>#REF!</v>
      </c>
      <c r="Q51" s="331" t="e">
        <f>IF(#REF!=0,"x","")</f>
        <v>#REF!</v>
      </c>
      <c r="R51" s="331" t="e">
        <f>IF(#REF!=0,"x","")</f>
        <v>#REF!</v>
      </c>
      <c r="S51" s="331" t="e">
        <f>IF(#REF!=0,"x","")</f>
        <v>#REF!</v>
      </c>
      <c r="T51" s="331" t="e">
        <f>IF(#REF!=0,"x","")</f>
        <v>#REF!</v>
      </c>
      <c r="U51" s="331" t="e">
        <f>IF(#REF!=0,"x","")</f>
        <v>#REF!</v>
      </c>
      <c r="V51" s="331" t="e">
        <f>IF(#REF!=0,"x","")</f>
        <v>#REF!</v>
      </c>
      <c r="W51" s="331" t="e">
        <f>IF(#REF!=0,"x","")</f>
        <v>#REF!</v>
      </c>
      <c r="X51" s="331" t="e">
        <f>IF(#REF!=0,"x","")</f>
        <v>#REF!</v>
      </c>
      <c r="Y51" s="331" t="e">
        <f>IF(#REF!=0,"x","")</f>
        <v>#REF!</v>
      </c>
      <c r="Z51" s="331" t="e">
        <f>IF(#REF!=0,"x","")</f>
        <v>#REF!</v>
      </c>
      <c r="AA51" s="331" t="e">
        <f>IF(#REF!=0,"x","")</f>
        <v>#REF!</v>
      </c>
      <c r="AB51" s="331" t="e">
        <f>IF(#REF!=0,"x","")</f>
        <v>#REF!</v>
      </c>
      <c r="AC51" s="331" t="e">
        <f>IF(#REF!=0,"x","")</f>
        <v>#REF!</v>
      </c>
      <c r="AD51" s="331" t="e">
        <f>IF(#REF!=0,"x","")</f>
        <v>#REF!</v>
      </c>
      <c r="AE51" s="331" t="e">
        <f>IF(#REF!=0,"x","")</f>
        <v>#REF!</v>
      </c>
      <c r="AF51" s="331" t="e">
        <f>IF(#REF!=0,"x","")</f>
        <v>#REF!</v>
      </c>
      <c r="AG51" s="331" t="e">
        <f>IF(#REF!=0,"x","")</f>
        <v>#REF!</v>
      </c>
      <c r="AH51" s="331"/>
      <c r="AI51" s="332">
        <f t="shared" si="1"/>
        <v>0</v>
      </c>
      <c r="AJ51" s="338"/>
    </row>
    <row r="52" spans="1:36">
      <c r="A52" s="234">
        <v>20</v>
      </c>
      <c r="B52" s="509" t="s">
        <v>410</v>
      </c>
      <c r="C52" s="338"/>
      <c r="D52" s="331" t="e">
        <f>IF(#REF!=0,"x","")</f>
        <v>#REF!</v>
      </c>
      <c r="E52" s="331" t="e">
        <f>IF(#REF!=0,"x","")</f>
        <v>#REF!</v>
      </c>
      <c r="F52" s="331" t="e">
        <f>IF(#REF!=0,"x","")</f>
        <v>#REF!</v>
      </c>
      <c r="G52" s="331" t="e">
        <f>IF(#REF!=0,"x","")</f>
        <v>#REF!</v>
      </c>
      <c r="H52" s="331" t="e">
        <f>IF(#REF!=0,"x","")</f>
        <v>#REF!</v>
      </c>
      <c r="I52" s="331" t="e">
        <f>IF(#REF!=0,"x","")</f>
        <v>#REF!</v>
      </c>
      <c r="J52" s="331" t="e">
        <f>IF(#REF!=0,"x","")</f>
        <v>#REF!</v>
      </c>
      <c r="K52" s="331" t="e">
        <f>IF(#REF!=0,"x","")</f>
        <v>#REF!</v>
      </c>
      <c r="L52" s="331" t="e">
        <f>IF(#REF!=0,"x","")</f>
        <v>#REF!</v>
      </c>
      <c r="M52" s="331" t="e">
        <f>IF(#REF!=0,"x","")</f>
        <v>#REF!</v>
      </c>
      <c r="N52" s="331" t="e">
        <f>IF(#REF!=0,"x","")</f>
        <v>#REF!</v>
      </c>
      <c r="O52" s="331" t="e">
        <f>IF(#REF!=0,"x","")</f>
        <v>#REF!</v>
      </c>
      <c r="P52" s="331" t="e">
        <f>IF(#REF!=0,"x","")</f>
        <v>#REF!</v>
      </c>
      <c r="Q52" s="331" t="e">
        <f>IF(#REF!=0,"x","")</f>
        <v>#REF!</v>
      </c>
      <c r="R52" s="331" t="e">
        <f>IF(#REF!=0,"x","")</f>
        <v>#REF!</v>
      </c>
      <c r="S52" s="331" t="e">
        <f>IF(#REF!=0,"x","")</f>
        <v>#REF!</v>
      </c>
      <c r="T52" s="331" t="e">
        <f>IF(#REF!=0,"x","")</f>
        <v>#REF!</v>
      </c>
      <c r="U52" s="331" t="e">
        <f>IF(#REF!=0,"x","")</f>
        <v>#REF!</v>
      </c>
      <c r="V52" s="331" t="e">
        <f>IF(#REF!=0,"x","")</f>
        <v>#REF!</v>
      </c>
      <c r="W52" s="331" t="e">
        <f>IF(#REF!=0,"x","")</f>
        <v>#REF!</v>
      </c>
      <c r="X52" s="331" t="e">
        <f>IF(#REF!=0,"x","")</f>
        <v>#REF!</v>
      </c>
      <c r="Y52" s="331" t="e">
        <f>IF(#REF!=0,"x","")</f>
        <v>#REF!</v>
      </c>
      <c r="Z52" s="331" t="e">
        <f>IF(#REF!=0,"x","")</f>
        <v>#REF!</v>
      </c>
      <c r="AA52" s="331" t="e">
        <f>IF(#REF!=0,"x","")</f>
        <v>#REF!</v>
      </c>
      <c r="AB52" s="331" t="e">
        <f>IF(#REF!=0,"x","")</f>
        <v>#REF!</v>
      </c>
      <c r="AC52" s="331" t="e">
        <f>IF(#REF!=0,"x","")</f>
        <v>#REF!</v>
      </c>
      <c r="AD52" s="331" t="e">
        <f>IF(#REF!=0,"x","")</f>
        <v>#REF!</v>
      </c>
      <c r="AE52" s="331" t="e">
        <f>IF(#REF!=0,"x","")</f>
        <v>#REF!</v>
      </c>
      <c r="AF52" s="331" t="e">
        <f>IF(#REF!=0,"x","")</f>
        <v>#REF!</v>
      </c>
      <c r="AG52" s="331" t="e">
        <f>IF(#REF!=0,"x","")</f>
        <v>#REF!</v>
      </c>
      <c r="AH52" s="331"/>
      <c r="AI52" s="332">
        <f t="shared" si="1"/>
        <v>0</v>
      </c>
      <c r="AJ52" s="338"/>
    </row>
    <row r="53" spans="1:36">
      <c r="A53" s="234">
        <v>21</v>
      </c>
      <c r="B53" s="509" t="s">
        <v>346</v>
      </c>
      <c r="C53" s="338"/>
      <c r="D53" s="331" t="e">
        <f>IF(#REF!=0,"x","")</f>
        <v>#REF!</v>
      </c>
      <c r="E53" s="331" t="e">
        <f>IF(#REF!=0,"x","")</f>
        <v>#REF!</v>
      </c>
      <c r="F53" s="331" t="e">
        <f>IF(#REF!=0,"x","")</f>
        <v>#REF!</v>
      </c>
      <c r="G53" s="331" t="e">
        <f>IF(#REF!=0,"x","")</f>
        <v>#REF!</v>
      </c>
      <c r="H53" s="331" t="e">
        <f>IF(#REF!=0,"x","")</f>
        <v>#REF!</v>
      </c>
      <c r="I53" s="331" t="e">
        <f>IF(#REF!=0,"x","")</f>
        <v>#REF!</v>
      </c>
      <c r="J53" s="331" t="e">
        <f>IF(#REF!=0,"x","")</f>
        <v>#REF!</v>
      </c>
      <c r="K53" s="331" t="e">
        <f>IF(#REF!=0,"x","")</f>
        <v>#REF!</v>
      </c>
      <c r="L53" s="331" t="e">
        <f>IF(#REF!=0,"x","")</f>
        <v>#REF!</v>
      </c>
      <c r="M53" s="331" t="e">
        <f>IF(#REF!=0,"x","")</f>
        <v>#REF!</v>
      </c>
      <c r="N53" s="331" t="e">
        <f>IF(#REF!=0,"x","")</f>
        <v>#REF!</v>
      </c>
      <c r="O53" s="331" t="e">
        <f>IF(#REF!=0,"x","")</f>
        <v>#REF!</v>
      </c>
      <c r="P53" s="331" t="e">
        <f>IF(#REF!=0,"x","")</f>
        <v>#REF!</v>
      </c>
      <c r="Q53" s="331" t="e">
        <f>IF(#REF!=0,"x","")</f>
        <v>#REF!</v>
      </c>
      <c r="R53" s="331" t="e">
        <f>IF(#REF!=0,"x","")</f>
        <v>#REF!</v>
      </c>
      <c r="S53" s="331" t="e">
        <f>IF(#REF!=0,"x","")</f>
        <v>#REF!</v>
      </c>
      <c r="T53" s="331" t="e">
        <f>IF(#REF!=0,"x","")</f>
        <v>#REF!</v>
      </c>
      <c r="U53" s="331" t="e">
        <f>IF(#REF!=0,"x","")</f>
        <v>#REF!</v>
      </c>
      <c r="V53" s="331" t="e">
        <f>IF(#REF!=0,"x","")</f>
        <v>#REF!</v>
      </c>
      <c r="W53" s="331" t="e">
        <f>IF(#REF!=0,"x","")</f>
        <v>#REF!</v>
      </c>
      <c r="X53" s="331" t="e">
        <f>IF(#REF!=0,"x","")</f>
        <v>#REF!</v>
      </c>
      <c r="Y53" s="331" t="e">
        <f>IF(#REF!=0,"x","")</f>
        <v>#REF!</v>
      </c>
      <c r="Z53" s="331" t="e">
        <f>IF(#REF!=0,"x","")</f>
        <v>#REF!</v>
      </c>
      <c r="AA53" s="331" t="e">
        <f>IF(#REF!=0,"x","")</f>
        <v>#REF!</v>
      </c>
      <c r="AB53" s="331" t="e">
        <f>IF(#REF!=0,"x","")</f>
        <v>#REF!</v>
      </c>
      <c r="AC53" s="331" t="e">
        <f>IF(#REF!=0,"x","")</f>
        <v>#REF!</v>
      </c>
      <c r="AD53" s="331" t="e">
        <f>IF(#REF!=0,"x","")</f>
        <v>#REF!</v>
      </c>
      <c r="AE53" s="331" t="e">
        <f>IF(#REF!=0,"x","")</f>
        <v>#REF!</v>
      </c>
      <c r="AF53" s="331" t="e">
        <f>IF(#REF!=0,"x","")</f>
        <v>#REF!</v>
      </c>
      <c r="AG53" s="331" t="e">
        <f>IF(#REF!=0,"x","")</f>
        <v>#REF!</v>
      </c>
      <c r="AH53" s="331"/>
      <c r="AI53" s="332">
        <f t="shared" si="1"/>
        <v>0</v>
      </c>
      <c r="AJ53" s="338"/>
    </row>
    <row r="54" spans="1:36">
      <c r="A54" s="234">
        <v>22</v>
      </c>
      <c r="B54" s="509" t="s">
        <v>327</v>
      </c>
      <c r="C54" s="338"/>
      <c r="D54" s="331" t="e">
        <f>IF(#REF!=0,"x","")</f>
        <v>#REF!</v>
      </c>
      <c r="E54" s="331" t="e">
        <f>IF(#REF!=0,"x","")</f>
        <v>#REF!</v>
      </c>
      <c r="F54" s="331" t="e">
        <f>IF(#REF!=0,"x","")</f>
        <v>#REF!</v>
      </c>
      <c r="G54" s="331" t="e">
        <f>IF(#REF!=0,"x","")</f>
        <v>#REF!</v>
      </c>
      <c r="H54" s="331" t="e">
        <f>IF(#REF!=0,"x","")</f>
        <v>#REF!</v>
      </c>
      <c r="I54" s="331" t="e">
        <f>IF(#REF!=0,"x","")</f>
        <v>#REF!</v>
      </c>
      <c r="J54" s="331" t="e">
        <f>IF(#REF!=0,"x","")</f>
        <v>#REF!</v>
      </c>
      <c r="K54" s="331" t="e">
        <f>IF(#REF!=0,"x","")</f>
        <v>#REF!</v>
      </c>
      <c r="L54" s="331" t="e">
        <f>IF(#REF!=0,"x","")</f>
        <v>#REF!</v>
      </c>
      <c r="M54" s="331" t="e">
        <f>IF(#REF!=0,"x","")</f>
        <v>#REF!</v>
      </c>
      <c r="N54" s="331" t="e">
        <f>IF(#REF!=0,"x","")</f>
        <v>#REF!</v>
      </c>
      <c r="O54" s="331" t="e">
        <f>IF(#REF!=0,"x","")</f>
        <v>#REF!</v>
      </c>
      <c r="P54" s="331" t="e">
        <f>IF(#REF!=0,"x","")</f>
        <v>#REF!</v>
      </c>
      <c r="Q54" s="331" t="e">
        <f>IF(#REF!=0,"x","")</f>
        <v>#REF!</v>
      </c>
      <c r="R54" s="331" t="e">
        <f>IF(#REF!=0,"x","")</f>
        <v>#REF!</v>
      </c>
      <c r="S54" s="331" t="e">
        <f>IF(#REF!=0,"x","")</f>
        <v>#REF!</v>
      </c>
      <c r="T54" s="331" t="e">
        <f>IF(#REF!=0,"x","")</f>
        <v>#REF!</v>
      </c>
      <c r="U54" s="331" t="e">
        <f>IF(#REF!=0,"x","")</f>
        <v>#REF!</v>
      </c>
      <c r="V54" s="331" t="e">
        <f>IF(#REF!=0,"x","")</f>
        <v>#REF!</v>
      </c>
      <c r="W54" s="331" t="e">
        <f>IF(#REF!=0,"x","")</f>
        <v>#REF!</v>
      </c>
      <c r="X54" s="331" t="e">
        <f>IF(#REF!=0,"x","")</f>
        <v>#REF!</v>
      </c>
      <c r="Y54" s="331" t="e">
        <f>IF(#REF!=0,"x","")</f>
        <v>#REF!</v>
      </c>
      <c r="Z54" s="331" t="e">
        <f>IF(#REF!=0,"x","")</f>
        <v>#REF!</v>
      </c>
      <c r="AA54" s="331" t="e">
        <f>IF(#REF!=0,"x","")</f>
        <v>#REF!</v>
      </c>
      <c r="AB54" s="331" t="e">
        <f>IF(#REF!=0,"x","")</f>
        <v>#REF!</v>
      </c>
      <c r="AC54" s="331" t="e">
        <f>IF(#REF!=0,"x","")</f>
        <v>#REF!</v>
      </c>
      <c r="AD54" s="331" t="e">
        <f>IF(#REF!=0,"x","")</f>
        <v>#REF!</v>
      </c>
      <c r="AE54" s="331" t="e">
        <f>IF(#REF!=0,"x","")</f>
        <v>#REF!</v>
      </c>
      <c r="AF54" s="331" t="e">
        <f>IF(#REF!=0,"x","")</f>
        <v>#REF!</v>
      </c>
      <c r="AG54" s="331" t="e">
        <f>IF(#REF!=0,"x","")</f>
        <v>#REF!</v>
      </c>
      <c r="AH54" s="331"/>
      <c r="AI54" s="332">
        <f t="shared" si="1"/>
        <v>0</v>
      </c>
      <c r="AJ54" s="338"/>
    </row>
    <row r="55" spans="1:36">
      <c r="A55" s="234">
        <v>23</v>
      </c>
      <c r="B55" s="509" t="s">
        <v>409</v>
      </c>
      <c r="C55" s="338"/>
      <c r="D55" s="331" t="e">
        <f>IF(#REF!=0,"x","")</f>
        <v>#REF!</v>
      </c>
      <c r="E55" s="331" t="e">
        <f>IF(#REF!=0,"x","")</f>
        <v>#REF!</v>
      </c>
      <c r="F55" s="331" t="e">
        <f>IF(#REF!=0,"x","")</f>
        <v>#REF!</v>
      </c>
      <c r="G55" s="331" t="e">
        <f>IF(#REF!=0,"x","")</f>
        <v>#REF!</v>
      </c>
      <c r="H55" s="331" t="e">
        <f>IF(#REF!=0,"x","")</f>
        <v>#REF!</v>
      </c>
      <c r="I55" s="331" t="e">
        <f>IF(#REF!=0,"x","")</f>
        <v>#REF!</v>
      </c>
      <c r="J55" s="331" t="e">
        <f>IF(#REF!=0,"x","")</f>
        <v>#REF!</v>
      </c>
      <c r="K55" s="331" t="e">
        <f>IF(#REF!=0,"x","")</f>
        <v>#REF!</v>
      </c>
      <c r="L55" s="331" t="e">
        <f>IF(#REF!=0,"x","")</f>
        <v>#REF!</v>
      </c>
      <c r="M55" s="331" t="e">
        <f>IF(#REF!=0,"x","")</f>
        <v>#REF!</v>
      </c>
      <c r="N55" s="331" t="e">
        <f>IF(#REF!=0,"x","")</f>
        <v>#REF!</v>
      </c>
      <c r="O55" s="331" t="e">
        <f>IF(#REF!=0,"x","")</f>
        <v>#REF!</v>
      </c>
      <c r="P55" s="331" t="e">
        <f>IF(#REF!=0,"x","")</f>
        <v>#REF!</v>
      </c>
      <c r="Q55" s="331" t="e">
        <f>IF(#REF!=0,"x","")</f>
        <v>#REF!</v>
      </c>
      <c r="R55" s="331" t="e">
        <f>IF(#REF!=0,"x","")</f>
        <v>#REF!</v>
      </c>
      <c r="S55" s="331" t="e">
        <f>IF(#REF!=0,"x","")</f>
        <v>#REF!</v>
      </c>
      <c r="T55" s="331" t="e">
        <f>IF(#REF!=0,"x","")</f>
        <v>#REF!</v>
      </c>
      <c r="U55" s="331" t="e">
        <f>IF(#REF!=0,"x","")</f>
        <v>#REF!</v>
      </c>
      <c r="V55" s="331" t="e">
        <f>IF(#REF!=0,"x","")</f>
        <v>#REF!</v>
      </c>
      <c r="W55" s="331" t="e">
        <f>IF(#REF!=0,"x","")</f>
        <v>#REF!</v>
      </c>
      <c r="X55" s="331" t="e">
        <f>IF(#REF!=0,"x","")</f>
        <v>#REF!</v>
      </c>
      <c r="Y55" s="331" t="e">
        <f>IF(#REF!=0,"x","")</f>
        <v>#REF!</v>
      </c>
      <c r="Z55" s="331" t="e">
        <f>IF(#REF!=0,"x","")</f>
        <v>#REF!</v>
      </c>
      <c r="AA55" s="331" t="e">
        <f>IF(#REF!=0,"x","")</f>
        <v>#REF!</v>
      </c>
      <c r="AB55" s="331" t="e">
        <f>IF(#REF!=0,"x","")</f>
        <v>#REF!</v>
      </c>
      <c r="AC55" s="331" t="e">
        <f>IF(#REF!=0,"x","")</f>
        <v>#REF!</v>
      </c>
      <c r="AD55" s="331" t="e">
        <f>IF(#REF!=0,"x","")</f>
        <v>#REF!</v>
      </c>
      <c r="AE55" s="331" t="e">
        <f>IF(#REF!=0,"x","")</f>
        <v>#REF!</v>
      </c>
      <c r="AF55" s="331" t="e">
        <f>IF(#REF!=0,"x","")</f>
        <v>#REF!</v>
      </c>
      <c r="AG55" s="331" t="e">
        <f>IF(#REF!=0,"x","")</f>
        <v>#REF!</v>
      </c>
      <c r="AH55" s="331"/>
      <c r="AI55" s="332">
        <f t="shared" si="1"/>
        <v>0</v>
      </c>
      <c r="AJ55" s="338"/>
    </row>
    <row r="56" spans="1:36">
      <c r="A56" s="234">
        <v>24</v>
      </c>
      <c r="B56" s="509" t="s">
        <v>328</v>
      </c>
      <c r="C56" s="338"/>
      <c r="D56" s="331" t="e">
        <f>IF(#REF!=0,"x","")</f>
        <v>#REF!</v>
      </c>
      <c r="E56" s="331" t="e">
        <f>IF(#REF!=0,"x","")</f>
        <v>#REF!</v>
      </c>
      <c r="F56" s="331" t="e">
        <f>IF(#REF!=0,"x","")</f>
        <v>#REF!</v>
      </c>
      <c r="G56" s="331" t="e">
        <f>IF(#REF!=0,"x","")</f>
        <v>#REF!</v>
      </c>
      <c r="H56" s="331" t="e">
        <f>IF(#REF!=0,"x","")</f>
        <v>#REF!</v>
      </c>
      <c r="I56" s="331" t="e">
        <f>IF(#REF!=0,"x","")</f>
        <v>#REF!</v>
      </c>
      <c r="J56" s="331" t="e">
        <f>IF(#REF!=0,"x","")</f>
        <v>#REF!</v>
      </c>
      <c r="K56" s="331" t="e">
        <f>IF(#REF!=0,"x","")</f>
        <v>#REF!</v>
      </c>
      <c r="L56" s="331" t="e">
        <f>IF(#REF!=0,"x","")</f>
        <v>#REF!</v>
      </c>
      <c r="M56" s="331" t="e">
        <f>IF(#REF!=0,"x","")</f>
        <v>#REF!</v>
      </c>
      <c r="N56" s="331" t="e">
        <f>IF(#REF!=0,"x","")</f>
        <v>#REF!</v>
      </c>
      <c r="O56" s="331" t="e">
        <f>IF(#REF!=0,"x","")</f>
        <v>#REF!</v>
      </c>
      <c r="P56" s="331" t="e">
        <f>IF(#REF!=0,"x","")</f>
        <v>#REF!</v>
      </c>
      <c r="Q56" s="331" t="e">
        <f>IF(#REF!=0,"x","")</f>
        <v>#REF!</v>
      </c>
      <c r="R56" s="331" t="e">
        <f>IF(#REF!=0,"x","")</f>
        <v>#REF!</v>
      </c>
      <c r="S56" s="331" t="e">
        <f>IF(#REF!=0,"x","")</f>
        <v>#REF!</v>
      </c>
      <c r="T56" s="331" t="e">
        <f>IF(#REF!=0,"x","")</f>
        <v>#REF!</v>
      </c>
      <c r="U56" s="331" t="e">
        <f>IF(#REF!=0,"x","")</f>
        <v>#REF!</v>
      </c>
      <c r="V56" s="331" t="e">
        <f>IF(#REF!=0,"x","")</f>
        <v>#REF!</v>
      </c>
      <c r="W56" s="331" t="e">
        <f>IF(#REF!=0,"x","")</f>
        <v>#REF!</v>
      </c>
      <c r="X56" s="331" t="e">
        <f>IF(#REF!=0,"x","")</f>
        <v>#REF!</v>
      </c>
      <c r="Y56" s="331" t="e">
        <f>IF(#REF!=0,"x","")</f>
        <v>#REF!</v>
      </c>
      <c r="Z56" s="331" t="e">
        <f>IF(#REF!=0,"x","")</f>
        <v>#REF!</v>
      </c>
      <c r="AA56" s="331" t="e">
        <f>IF(#REF!=0,"x","")</f>
        <v>#REF!</v>
      </c>
      <c r="AB56" s="331" t="e">
        <f>IF(#REF!=0,"x","")</f>
        <v>#REF!</v>
      </c>
      <c r="AC56" s="331" t="e">
        <f>IF(#REF!=0,"x","")</f>
        <v>#REF!</v>
      </c>
      <c r="AD56" s="331" t="e">
        <f>IF(#REF!=0,"x","")</f>
        <v>#REF!</v>
      </c>
      <c r="AE56" s="331" t="e">
        <f>IF(#REF!=0,"x","")</f>
        <v>#REF!</v>
      </c>
      <c r="AF56" s="331" t="e">
        <f>IF(#REF!=0,"x","")</f>
        <v>#REF!</v>
      </c>
      <c r="AG56" s="331" t="e">
        <f>IF(#REF!=0,"x","")</f>
        <v>#REF!</v>
      </c>
      <c r="AH56" s="331"/>
      <c r="AI56" s="332">
        <f t="shared" si="1"/>
        <v>0</v>
      </c>
      <c r="AJ56" s="338"/>
    </row>
    <row r="57" spans="1:36">
      <c r="A57" s="234">
        <v>25</v>
      </c>
      <c r="B57" s="509" t="s">
        <v>413</v>
      </c>
      <c r="C57" s="338"/>
      <c r="D57" s="331" t="e">
        <f>IF(#REF!=0,"x","")</f>
        <v>#REF!</v>
      </c>
      <c r="E57" s="331" t="e">
        <f>IF(#REF!=0,"x","")</f>
        <v>#REF!</v>
      </c>
      <c r="F57" s="331" t="e">
        <f>IF(#REF!=0,"x","")</f>
        <v>#REF!</v>
      </c>
      <c r="G57" s="331" t="e">
        <f>IF(#REF!=0,"x","")</f>
        <v>#REF!</v>
      </c>
      <c r="H57" s="331" t="e">
        <f>IF(#REF!=0,"x","")</f>
        <v>#REF!</v>
      </c>
      <c r="I57" s="331" t="e">
        <f>IF(#REF!=0,"x","")</f>
        <v>#REF!</v>
      </c>
      <c r="J57" s="331" t="e">
        <f>IF(#REF!=0,"x","")</f>
        <v>#REF!</v>
      </c>
      <c r="K57" s="331" t="e">
        <f>IF(#REF!=0,"x","")</f>
        <v>#REF!</v>
      </c>
      <c r="L57" s="331" t="e">
        <f>IF(#REF!=0,"x","")</f>
        <v>#REF!</v>
      </c>
      <c r="M57" s="331" t="e">
        <f>IF(#REF!=0,"x","")</f>
        <v>#REF!</v>
      </c>
      <c r="N57" s="331" t="e">
        <f>IF(#REF!=0,"x","")</f>
        <v>#REF!</v>
      </c>
      <c r="O57" s="331" t="e">
        <f>IF(#REF!=0,"x","")</f>
        <v>#REF!</v>
      </c>
      <c r="P57" s="331" t="e">
        <f>IF(#REF!=0,"x","")</f>
        <v>#REF!</v>
      </c>
      <c r="Q57" s="331" t="e">
        <f>IF(#REF!=0,"x","")</f>
        <v>#REF!</v>
      </c>
      <c r="R57" s="331" t="e">
        <f>IF(#REF!=0,"x","")</f>
        <v>#REF!</v>
      </c>
      <c r="S57" s="331" t="e">
        <f>IF(#REF!=0,"x","")</f>
        <v>#REF!</v>
      </c>
      <c r="T57" s="331" t="e">
        <f>IF(#REF!=0,"x","")</f>
        <v>#REF!</v>
      </c>
      <c r="U57" s="331" t="e">
        <f>IF(#REF!=0,"x","")</f>
        <v>#REF!</v>
      </c>
      <c r="V57" s="331" t="e">
        <f>IF(#REF!=0,"x","")</f>
        <v>#REF!</v>
      </c>
      <c r="W57" s="331" t="e">
        <f>IF(#REF!=0,"x","")</f>
        <v>#REF!</v>
      </c>
      <c r="X57" s="331" t="e">
        <f>IF(#REF!=0,"x","")</f>
        <v>#REF!</v>
      </c>
      <c r="Y57" s="331" t="e">
        <f>IF(#REF!=0,"x","")</f>
        <v>#REF!</v>
      </c>
      <c r="Z57" s="331" t="e">
        <f>IF(#REF!=0,"x","")</f>
        <v>#REF!</v>
      </c>
      <c r="AA57" s="331" t="e">
        <f>IF(#REF!=0,"x","")</f>
        <v>#REF!</v>
      </c>
      <c r="AB57" s="331" t="e">
        <f>IF(#REF!=0,"x","")</f>
        <v>#REF!</v>
      </c>
      <c r="AC57" s="331" t="e">
        <f>IF(#REF!=0,"x","")</f>
        <v>#REF!</v>
      </c>
      <c r="AD57" s="331" t="e">
        <f>IF(#REF!=0,"x","")</f>
        <v>#REF!</v>
      </c>
      <c r="AE57" s="331" t="e">
        <f>IF(#REF!=0,"x","")</f>
        <v>#REF!</v>
      </c>
      <c r="AF57" s="331" t="e">
        <f>IF(#REF!=0,"x","")</f>
        <v>#REF!</v>
      </c>
      <c r="AG57" s="331" t="e">
        <f>IF(#REF!=0,"x","")</f>
        <v>#REF!</v>
      </c>
      <c r="AH57" s="331"/>
      <c r="AI57" s="332">
        <f t="shared" si="1"/>
        <v>0</v>
      </c>
      <c r="AJ57" s="338"/>
    </row>
    <row r="58" spans="1:36">
      <c r="A58" s="234">
        <v>26</v>
      </c>
      <c r="B58" s="509" t="s">
        <v>347</v>
      </c>
      <c r="C58" s="338"/>
      <c r="D58" s="331" t="e">
        <f>IF(#REF!=0,"x","")</f>
        <v>#REF!</v>
      </c>
      <c r="E58" s="331" t="e">
        <f>IF(#REF!=0,"x","")</f>
        <v>#REF!</v>
      </c>
      <c r="F58" s="331" t="e">
        <f>IF(#REF!=0,"x","")</f>
        <v>#REF!</v>
      </c>
      <c r="G58" s="331" t="e">
        <f>IF(#REF!=0,"x","")</f>
        <v>#REF!</v>
      </c>
      <c r="H58" s="331" t="e">
        <f>IF(#REF!=0,"x","")</f>
        <v>#REF!</v>
      </c>
      <c r="I58" s="331" t="e">
        <f>IF(#REF!=0,"x","")</f>
        <v>#REF!</v>
      </c>
      <c r="J58" s="331" t="e">
        <f>IF(#REF!=0,"x","")</f>
        <v>#REF!</v>
      </c>
      <c r="K58" s="331" t="e">
        <f>IF(#REF!=0,"x","")</f>
        <v>#REF!</v>
      </c>
      <c r="L58" s="331" t="e">
        <f>IF(#REF!=0,"x","")</f>
        <v>#REF!</v>
      </c>
      <c r="M58" s="331" t="e">
        <f>IF(#REF!=0,"x","")</f>
        <v>#REF!</v>
      </c>
      <c r="N58" s="331" t="e">
        <f>IF(#REF!=0,"x","")</f>
        <v>#REF!</v>
      </c>
      <c r="O58" s="331" t="e">
        <f>IF(#REF!=0,"x","")</f>
        <v>#REF!</v>
      </c>
      <c r="P58" s="331" t="e">
        <f>IF(#REF!=0,"x","")</f>
        <v>#REF!</v>
      </c>
      <c r="Q58" s="331" t="e">
        <f>IF(#REF!=0,"x","")</f>
        <v>#REF!</v>
      </c>
      <c r="R58" s="331" t="e">
        <f>IF(#REF!=0,"x","")</f>
        <v>#REF!</v>
      </c>
      <c r="S58" s="331" t="e">
        <f>IF(#REF!=0,"x","")</f>
        <v>#REF!</v>
      </c>
      <c r="T58" s="331" t="e">
        <f>IF(#REF!=0,"x","")</f>
        <v>#REF!</v>
      </c>
      <c r="U58" s="331" t="e">
        <f>IF(#REF!=0,"x","")</f>
        <v>#REF!</v>
      </c>
      <c r="V58" s="331" t="e">
        <f>IF(#REF!=0,"x","")</f>
        <v>#REF!</v>
      </c>
      <c r="W58" s="331" t="e">
        <f>IF(#REF!=0,"x","")</f>
        <v>#REF!</v>
      </c>
      <c r="X58" s="331" t="e">
        <f>IF(#REF!=0,"x","")</f>
        <v>#REF!</v>
      </c>
      <c r="Y58" s="331" t="e">
        <f>IF(#REF!=0,"x","")</f>
        <v>#REF!</v>
      </c>
      <c r="Z58" s="331" t="e">
        <f>IF(#REF!=0,"x","")</f>
        <v>#REF!</v>
      </c>
      <c r="AA58" s="331" t="e">
        <f>IF(#REF!=0,"x","")</f>
        <v>#REF!</v>
      </c>
      <c r="AB58" s="331" t="e">
        <f>IF(#REF!=0,"x","")</f>
        <v>#REF!</v>
      </c>
      <c r="AC58" s="331" t="e">
        <f>IF(#REF!=0,"x","")</f>
        <v>#REF!</v>
      </c>
      <c r="AD58" s="331" t="e">
        <f>IF(#REF!=0,"x","")</f>
        <v>#REF!</v>
      </c>
      <c r="AE58" s="331" t="e">
        <f>IF(#REF!=0,"x","")</f>
        <v>#REF!</v>
      </c>
      <c r="AF58" s="331" t="e">
        <f>IF(#REF!=0,"x","")</f>
        <v>#REF!</v>
      </c>
      <c r="AG58" s="331" t="e">
        <f>IF(#REF!=0,"x","")</f>
        <v>#REF!</v>
      </c>
      <c r="AH58" s="331"/>
      <c r="AI58" s="332">
        <f t="shared" si="1"/>
        <v>0</v>
      </c>
      <c r="AJ58" s="338"/>
    </row>
    <row r="59" spans="1:36">
      <c r="A59" s="234">
        <v>27</v>
      </c>
      <c r="B59" s="509" t="s">
        <v>348</v>
      </c>
      <c r="C59" s="338"/>
      <c r="D59" s="331" t="e">
        <f>IF(#REF!=0,"x","")</f>
        <v>#REF!</v>
      </c>
      <c r="E59" s="331" t="e">
        <f>IF(#REF!=0,"x","")</f>
        <v>#REF!</v>
      </c>
      <c r="F59" s="331" t="e">
        <f>IF(#REF!=0,"x","")</f>
        <v>#REF!</v>
      </c>
      <c r="G59" s="331" t="e">
        <f>IF(#REF!=0,"x","")</f>
        <v>#REF!</v>
      </c>
      <c r="H59" s="331" t="e">
        <f>IF(#REF!=0,"x","")</f>
        <v>#REF!</v>
      </c>
      <c r="I59" s="331" t="e">
        <f>IF(#REF!=0,"x","")</f>
        <v>#REF!</v>
      </c>
      <c r="J59" s="331" t="e">
        <f>IF(#REF!=0,"x","")</f>
        <v>#REF!</v>
      </c>
      <c r="K59" s="331" t="e">
        <f>IF(#REF!=0,"x","")</f>
        <v>#REF!</v>
      </c>
      <c r="L59" s="331" t="e">
        <f>IF(#REF!=0,"x","")</f>
        <v>#REF!</v>
      </c>
      <c r="M59" s="331" t="e">
        <f>IF(#REF!=0,"x","")</f>
        <v>#REF!</v>
      </c>
      <c r="N59" s="331" t="e">
        <f>IF(#REF!=0,"x","")</f>
        <v>#REF!</v>
      </c>
      <c r="O59" s="331" t="e">
        <f>IF(#REF!=0,"x","")</f>
        <v>#REF!</v>
      </c>
      <c r="P59" s="331" t="e">
        <f>IF(#REF!=0,"x","")</f>
        <v>#REF!</v>
      </c>
      <c r="Q59" s="331" t="e">
        <f>IF(#REF!=0,"x","")</f>
        <v>#REF!</v>
      </c>
      <c r="R59" s="331" t="e">
        <f>IF(#REF!=0,"x","")</f>
        <v>#REF!</v>
      </c>
      <c r="S59" s="331" t="e">
        <f>IF(#REF!=0,"x","")</f>
        <v>#REF!</v>
      </c>
      <c r="T59" s="331" t="e">
        <f>IF(#REF!=0,"x","")</f>
        <v>#REF!</v>
      </c>
      <c r="U59" s="331" t="e">
        <f>IF(#REF!=0,"x","")</f>
        <v>#REF!</v>
      </c>
      <c r="V59" s="331" t="e">
        <f>IF(#REF!=0,"x","")</f>
        <v>#REF!</v>
      </c>
      <c r="W59" s="331" t="e">
        <f>IF(#REF!=0,"x","")</f>
        <v>#REF!</v>
      </c>
      <c r="X59" s="331" t="e">
        <f>IF(#REF!=0,"x","")</f>
        <v>#REF!</v>
      </c>
      <c r="Y59" s="331" t="e">
        <f>IF(#REF!=0,"x","")</f>
        <v>#REF!</v>
      </c>
      <c r="Z59" s="331" t="e">
        <f>IF(#REF!=0,"x","")</f>
        <v>#REF!</v>
      </c>
      <c r="AA59" s="331" t="e">
        <f>IF(#REF!=0,"x","")</f>
        <v>#REF!</v>
      </c>
      <c r="AB59" s="331" t="e">
        <f>IF(#REF!=0,"x","")</f>
        <v>#REF!</v>
      </c>
      <c r="AC59" s="331" t="e">
        <f>IF(#REF!=0,"x","")</f>
        <v>#REF!</v>
      </c>
      <c r="AD59" s="331" t="e">
        <f>IF(#REF!=0,"x","")</f>
        <v>#REF!</v>
      </c>
      <c r="AE59" s="331" t="e">
        <f>IF(#REF!=0,"x","")</f>
        <v>#REF!</v>
      </c>
      <c r="AF59" s="331" t="e">
        <f>IF(#REF!=0,"x","")</f>
        <v>#REF!</v>
      </c>
      <c r="AG59" s="331" t="e">
        <f>IF(#REF!=0,"x","")</f>
        <v>#REF!</v>
      </c>
      <c r="AH59" s="331"/>
      <c r="AI59" s="332">
        <f t="shared" si="1"/>
        <v>0</v>
      </c>
      <c r="AJ59" s="338"/>
    </row>
    <row r="60" spans="1:36">
      <c r="A60" s="234">
        <v>28</v>
      </c>
      <c r="B60" s="434" t="s">
        <v>415</v>
      </c>
      <c r="C60" s="338"/>
      <c r="D60" s="331" t="e">
        <f>IF(#REF!=0,"x","")</f>
        <v>#REF!</v>
      </c>
      <c r="E60" s="331" t="e">
        <f>IF(#REF!=0,"x","")</f>
        <v>#REF!</v>
      </c>
      <c r="F60" s="331" t="e">
        <f>IF(#REF!=0,"x","")</f>
        <v>#REF!</v>
      </c>
      <c r="G60" s="331" t="e">
        <f>IF(#REF!=0,"x","")</f>
        <v>#REF!</v>
      </c>
      <c r="H60" s="331" t="e">
        <f>IF(#REF!=0,"x","")</f>
        <v>#REF!</v>
      </c>
      <c r="I60" s="331" t="e">
        <f>IF(#REF!=0,"x","")</f>
        <v>#REF!</v>
      </c>
      <c r="J60" s="331" t="e">
        <f>IF(#REF!=0,"x","")</f>
        <v>#REF!</v>
      </c>
      <c r="K60" s="331" t="e">
        <f>IF(#REF!=0,"x","")</f>
        <v>#REF!</v>
      </c>
      <c r="L60" s="331" t="e">
        <f>IF(#REF!=0,"x","")</f>
        <v>#REF!</v>
      </c>
      <c r="M60" s="331" t="e">
        <f>IF(#REF!=0,"x","")</f>
        <v>#REF!</v>
      </c>
      <c r="N60" s="331" t="e">
        <f>IF(#REF!=0,"x","")</f>
        <v>#REF!</v>
      </c>
      <c r="O60" s="331" t="e">
        <f>IF(#REF!=0,"x","")</f>
        <v>#REF!</v>
      </c>
      <c r="P60" s="331" t="e">
        <f>IF(#REF!=0,"x","")</f>
        <v>#REF!</v>
      </c>
      <c r="Q60" s="331" t="e">
        <f>IF(#REF!=0,"x","")</f>
        <v>#REF!</v>
      </c>
      <c r="R60" s="331" t="e">
        <f>IF(#REF!=0,"x","")</f>
        <v>#REF!</v>
      </c>
      <c r="S60" s="331" t="e">
        <f>IF(#REF!=0,"x","")</f>
        <v>#REF!</v>
      </c>
      <c r="T60" s="331" t="e">
        <f>IF(#REF!=0,"x","")</f>
        <v>#REF!</v>
      </c>
      <c r="U60" s="331" t="e">
        <f>IF(#REF!=0,"x","")</f>
        <v>#REF!</v>
      </c>
      <c r="V60" s="331" t="e">
        <f>IF(#REF!=0,"x","")</f>
        <v>#REF!</v>
      </c>
      <c r="W60" s="331" t="e">
        <f>IF(#REF!=0,"x","")</f>
        <v>#REF!</v>
      </c>
      <c r="X60" s="331" t="e">
        <f>IF(#REF!=0,"x","")</f>
        <v>#REF!</v>
      </c>
      <c r="Y60" s="331" t="e">
        <f>IF(#REF!=0,"x","")</f>
        <v>#REF!</v>
      </c>
      <c r="Z60" s="331" t="e">
        <f>IF(#REF!=0,"x","")</f>
        <v>#REF!</v>
      </c>
      <c r="AA60" s="331" t="e">
        <f>IF(#REF!=0,"x","")</f>
        <v>#REF!</v>
      </c>
      <c r="AB60" s="331" t="e">
        <f>IF(#REF!=0,"x","")</f>
        <v>#REF!</v>
      </c>
      <c r="AC60" s="331" t="e">
        <f>IF(#REF!=0,"x","")</f>
        <v>#REF!</v>
      </c>
      <c r="AD60" s="331" t="e">
        <f>IF(#REF!=0,"x","")</f>
        <v>#REF!</v>
      </c>
      <c r="AE60" s="331" t="e">
        <f>IF(#REF!=0,"x","")</f>
        <v>#REF!</v>
      </c>
      <c r="AF60" s="331" t="e">
        <f>IF(#REF!=0,"x","")</f>
        <v>#REF!</v>
      </c>
      <c r="AG60" s="331" t="e">
        <f>IF(#REF!=0,"x","")</f>
        <v>#REF!</v>
      </c>
      <c r="AH60" s="331"/>
      <c r="AI60" s="332">
        <f t="shared" si="1"/>
        <v>0</v>
      </c>
      <c r="AJ60" s="338"/>
    </row>
    <row r="61" spans="1:36">
      <c r="A61" s="234">
        <v>29</v>
      </c>
      <c r="B61" s="509" t="s">
        <v>349</v>
      </c>
      <c r="C61" s="338"/>
      <c r="D61" s="331" t="e">
        <f>IF(#REF!=0,"x","")</f>
        <v>#REF!</v>
      </c>
      <c r="E61" s="331" t="e">
        <f>IF(#REF!=0,"x","")</f>
        <v>#REF!</v>
      </c>
      <c r="F61" s="331" t="e">
        <f>IF(#REF!=0,"x","")</f>
        <v>#REF!</v>
      </c>
      <c r="G61" s="331" t="e">
        <f>IF(#REF!=0,"x","")</f>
        <v>#REF!</v>
      </c>
      <c r="H61" s="331" t="e">
        <f>IF(#REF!=0,"x","")</f>
        <v>#REF!</v>
      </c>
      <c r="I61" s="331" t="e">
        <f>IF(#REF!=0,"x","")</f>
        <v>#REF!</v>
      </c>
      <c r="J61" s="331" t="e">
        <f>IF(#REF!=0,"x","")</f>
        <v>#REF!</v>
      </c>
      <c r="K61" s="331" t="e">
        <f>IF(#REF!=0,"x","")</f>
        <v>#REF!</v>
      </c>
      <c r="L61" s="331" t="e">
        <f>IF(#REF!=0,"x","")</f>
        <v>#REF!</v>
      </c>
      <c r="M61" s="331" t="e">
        <f>IF(#REF!=0,"x","")</f>
        <v>#REF!</v>
      </c>
      <c r="N61" s="331" t="e">
        <f>IF(#REF!=0,"x","")</f>
        <v>#REF!</v>
      </c>
      <c r="O61" s="331" t="e">
        <f>IF(#REF!=0,"x","")</f>
        <v>#REF!</v>
      </c>
      <c r="P61" s="331" t="e">
        <f>IF(#REF!=0,"x","")</f>
        <v>#REF!</v>
      </c>
      <c r="Q61" s="331" t="e">
        <f>IF(#REF!=0,"x","")</f>
        <v>#REF!</v>
      </c>
      <c r="R61" s="331" t="e">
        <f>IF(#REF!=0,"x","")</f>
        <v>#REF!</v>
      </c>
      <c r="S61" s="331" t="e">
        <f>IF(#REF!=0,"x","")</f>
        <v>#REF!</v>
      </c>
      <c r="T61" s="331" t="e">
        <f>IF(#REF!=0,"x","")</f>
        <v>#REF!</v>
      </c>
      <c r="U61" s="331" t="e">
        <f>IF(#REF!=0,"x","")</f>
        <v>#REF!</v>
      </c>
      <c r="V61" s="331" t="e">
        <f>IF(#REF!=0,"x","")</f>
        <v>#REF!</v>
      </c>
      <c r="W61" s="331" t="e">
        <f>IF(#REF!=0,"x","")</f>
        <v>#REF!</v>
      </c>
      <c r="X61" s="331" t="e">
        <f>IF(#REF!=0,"x","")</f>
        <v>#REF!</v>
      </c>
      <c r="Y61" s="331" t="e">
        <f>IF(#REF!=0,"x","")</f>
        <v>#REF!</v>
      </c>
      <c r="Z61" s="331" t="e">
        <f>IF(#REF!=0,"x","")</f>
        <v>#REF!</v>
      </c>
      <c r="AA61" s="331" t="e">
        <f>IF(#REF!=0,"x","")</f>
        <v>#REF!</v>
      </c>
      <c r="AB61" s="331" t="e">
        <f>IF(#REF!=0,"x","")</f>
        <v>#REF!</v>
      </c>
      <c r="AC61" s="331" t="e">
        <f>IF(#REF!=0,"x","")</f>
        <v>#REF!</v>
      </c>
      <c r="AD61" s="331" t="e">
        <f>IF(#REF!=0,"x","")</f>
        <v>#REF!</v>
      </c>
      <c r="AE61" s="331" t="e">
        <f>IF(#REF!=0,"x","")</f>
        <v>#REF!</v>
      </c>
      <c r="AF61" s="331" t="e">
        <f>IF(#REF!=0,"x","")</f>
        <v>#REF!</v>
      </c>
      <c r="AG61" s="331" t="e">
        <f>IF(#REF!=0,"x","")</f>
        <v>#REF!</v>
      </c>
      <c r="AH61" s="331"/>
      <c r="AI61" s="332">
        <f t="shared" si="1"/>
        <v>0</v>
      </c>
      <c r="AJ61" s="338"/>
    </row>
    <row r="62" spans="1:36">
      <c r="A62" s="234">
        <v>30</v>
      </c>
      <c r="B62" s="509" t="s">
        <v>332</v>
      </c>
      <c r="C62" s="338"/>
      <c r="D62" s="331" t="e">
        <f>IF(#REF!=0,"x","")</f>
        <v>#REF!</v>
      </c>
      <c r="E62" s="331" t="e">
        <f>IF(#REF!=0,"x","")</f>
        <v>#REF!</v>
      </c>
      <c r="F62" s="331" t="e">
        <f>IF(#REF!=0,"x","")</f>
        <v>#REF!</v>
      </c>
      <c r="G62" s="331" t="e">
        <f>IF(#REF!=0,"x","")</f>
        <v>#REF!</v>
      </c>
      <c r="H62" s="331" t="e">
        <f>IF(#REF!=0,"x","")</f>
        <v>#REF!</v>
      </c>
      <c r="I62" s="331" t="e">
        <f>IF(#REF!=0,"x","")</f>
        <v>#REF!</v>
      </c>
      <c r="J62" s="331" t="e">
        <f>IF(#REF!=0,"x","")</f>
        <v>#REF!</v>
      </c>
      <c r="K62" s="331" t="e">
        <f>IF(#REF!=0,"x","")</f>
        <v>#REF!</v>
      </c>
      <c r="L62" s="331" t="e">
        <f>IF(#REF!=0,"x","")</f>
        <v>#REF!</v>
      </c>
      <c r="M62" s="331" t="e">
        <f>IF(#REF!=0,"x","")</f>
        <v>#REF!</v>
      </c>
      <c r="N62" s="331" t="e">
        <f>IF(#REF!=0,"x","")</f>
        <v>#REF!</v>
      </c>
      <c r="O62" s="331" t="e">
        <f>IF(#REF!=0,"x","")</f>
        <v>#REF!</v>
      </c>
      <c r="P62" s="331" t="e">
        <f>IF(#REF!=0,"x","")</f>
        <v>#REF!</v>
      </c>
      <c r="Q62" s="331" t="e">
        <f>IF(#REF!=0,"x","")</f>
        <v>#REF!</v>
      </c>
      <c r="R62" s="331" t="e">
        <f>IF(#REF!=0,"x","")</f>
        <v>#REF!</v>
      </c>
      <c r="S62" s="331" t="e">
        <f>IF(#REF!=0,"x","")</f>
        <v>#REF!</v>
      </c>
      <c r="T62" s="331" t="e">
        <f>IF(#REF!=0,"x","")</f>
        <v>#REF!</v>
      </c>
      <c r="U62" s="331" t="e">
        <f>IF(#REF!=0,"x","")</f>
        <v>#REF!</v>
      </c>
      <c r="V62" s="331" t="e">
        <f>IF(#REF!=0,"x","")</f>
        <v>#REF!</v>
      </c>
      <c r="W62" s="331" t="e">
        <f>IF(#REF!=0,"x","")</f>
        <v>#REF!</v>
      </c>
      <c r="X62" s="331" t="e">
        <f>IF(#REF!=0,"x","")</f>
        <v>#REF!</v>
      </c>
      <c r="Y62" s="331" t="e">
        <f>IF(#REF!=0,"x","")</f>
        <v>#REF!</v>
      </c>
      <c r="Z62" s="331" t="e">
        <f>IF(#REF!=0,"x","")</f>
        <v>#REF!</v>
      </c>
      <c r="AA62" s="331" t="e">
        <f>IF(#REF!=0,"x","")</f>
        <v>#REF!</v>
      </c>
      <c r="AB62" s="331" t="e">
        <f>IF(#REF!=0,"x","")</f>
        <v>#REF!</v>
      </c>
      <c r="AC62" s="331" t="e">
        <f>IF(#REF!=0,"x","")</f>
        <v>#REF!</v>
      </c>
      <c r="AD62" s="331" t="e">
        <f>IF(#REF!=0,"x","")</f>
        <v>#REF!</v>
      </c>
      <c r="AE62" s="331" t="e">
        <f>IF(#REF!=0,"x","")</f>
        <v>#REF!</v>
      </c>
      <c r="AF62" s="331" t="e">
        <f>IF(#REF!=0,"x","")</f>
        <v>#REF!</v>
      </c>
      <c r="AG62" s="331" t="e">
        <f>IF(#REF!=0,"x","")</f>
        <v>#REF!</v>
      </c>
      <c r="AH62" s="331"/>
      <c r="AI62" s="332">
        <f t="shared" si="1"/>
        <v>0</v>
      </c>
      <c r="AJ62" s="338"/>
    </row>
    <row r="63" spans="1:36">
      <c r="A63" s="234">
        <v>31</v>
      </c>
      <c r="B63" s="509" t="s">
        <v>350</v>
      </c>
      <c r="C63" s="338"/>
      <c r="D63" s="331" t="e">
        <f>IF(#REF!=0,"x","")</f>
        <v>#REF!</v>
      </c>
      <c r="E63" s="331" t="e">
        <f>IF(#REF!=0,"x","")</f>
        <v>#REF!</v>
      </c>
      <c r="F63" s="331" t="e">
        <f>IF(#REF!=0,"x","")</f>
        <v>#REF!</v>
      </c>
      <c r="G63" s="331" t="e">
        <f>IF(#REF!=0,"x","")</f>
        <v>#REF!</v>
      </c>
      <c r="H63" s="331" t="e">
        <f>IF(#REF!=0,"x","")</f>
        <v>#REF!</v>
      </c>
      <c r="I63" s="331" t="e">
        <f>IF(#REF!=0,"x","")</f>
        <v>#REF!</v>
      </c>
      <c r="J63" s="331" t="e">
        <f>IF(#REF!=0,"x","")</f>
        <v>#REF!</v>
      </c>
      <c r="K63" s="331" t="e">
        <f>IF(#REF!=0,"x","")</f>
        <v>#REF!</v>
      </c>
      <c r="L63" s="331" t="e">
        <f>IF(#REF!=0,"x","")</f>
        <v>#REF!</v>
      </c>
      <c r="M63" s="331" t="e">
        <f>IF(#REF!=0,"x","")</f>
        <v>#REF!</v>
      </c>
      <c r="N63" s="331" t="e">
        <f>IF(#REF!=0,"x","")</f>
        <v>#REF!</v>
      </c>
      <c r="O63" s="331" t="e">
        <f>IF(#REF!=0,"x","")</f>
        <v>#REF!</v>
      </c>
      <c r="P63" s="331" t="e">
        <f>IF(#REF!=0,"x","")</f>
        <v>#REF!</v>
      </c>
      <c r="Q63" s="331" t="e">
        <f>IF(#REF!=0,"x","")</f>
        <v>#REF!</v>
      </c>
      <c r="R63" s="331" t="e">
        <f>IF(#REF!=0,"x","")</f>
        <v>#REF!</v>
      </c>
      <c r="S63" s="331" t="e">
        <f>IF(#REF!=0,"x","")</f>
        <v>#REF!</v>
      </c>
      <c r="T63" s="331" t="e">
        <f>IF(#REF!=0,"x","")</f>
        <v>#REF!</v>
      </c>
      <c r="U63" s="331" t="e">
        <f>IF(#REF!=0,"x","")</f>
        <v>#REF!</v>
      </c>
      <c r="V63" s="331" t="e">
        <f>IF(#REF!=0,"x","")</f>
        <v>#REF!</v>
      </c>
      <c r="W63" s="331" t="e">
        <f>IF(#REF!=0,"x","")</f>
        <v>#REF!</v>
      </c>
      <c r="X63" s="331" t="e">
        <f>IF(#REF!=0,"x","")</f>
        <v>#REF!</v>
      </c>
      <c r="Y63" s="331" t="e">
        <f>IF(#REF!=0,"x","")</f>
        <v>#REF!</v>
      </c>
      <c r="Z63" s="331" t="e">
        <f>IF(#REF!=0,"x","")</f>
        <v>#REF!</v>
      </c>
      <c r="AA63" s="331" t="e">
        <f>IF(#REF!=0,"x","")</f>
        <v>#REF!</v>
      </c>
      <c r="AB63" s="331" t="e">
        <f>IF(#REF!=0,"x","")</f>
        <v>#REF!</v>
      </c>
      <c r="AC63" s="331" t="e">
        <f>IF(#REF!=0,"x","")</f>
        <v>#REF!</v>
      </c>
      <c r="AD63" s="331" t="e">
        <f>IF(#REF!=0,"x","")</f>
        <v>#REF!</v>
      </c>
      <c r="AE63" s="331" t="e">
        <f>IF(#REF!=0,"x","")</f>
        <v>#REF!</v>
      </c>
      <c r="AF63" s="331" t="e">
        <f>IF(#REF!=0,"x","")</f>
        <v>#REF!</v>
      </c>
      <c r="AG63" s="331" t="e">
        <f>IF(#REF!=0,"x","")</f>
        <v>#REF!</v>
      </c>
      <c r="AH63" s="331"/>
      <c r="AI63" s="332">
        <f t="shared" si="1"/>
        <v>0</v>
      </c>
      <c r="AJ63" s="338"/>
    </row>
    <row r="64" spans="1:36">
      <c r="A64" s="234">
        <v>32</v>
      </c>
      <c r="B64" s="509" t="s">
        <v>150</v>
      </c>
      <c r="C64" s="338"/>
      <c r="D64" s="331" t="e">
        <f>IF(#REF!=0,"x","")</f>
        <v>#REF!</v>
      </c>
      <c r="E64" s="331" t="e">
        <f>IF(#REF!=0,"x","")</f>
        <v>#REF!</v>
      </c>
      <c r="F64" s="331" t="e">
        <f>IF(#REF!=0,"x","")</f>
        <v>#REF!</v>
      </c>
      <c r="G64" s="331" t="e">
        <f>IF(#REF!=0,"x","")</f>
        <v>#REF!</v>
      </c>
      <c r="H64" s="331" t="e">
        <f>IF(#REF!=0,"x","")</f>
        <v>#REF!</v>
      </c>
      <c r="I64" s="331" t="e">
        <f>IF(#REF!=0,"x","")</f>
        <v>#REF!</v>
      </c>
      <c r="J64" s="331" t="e">
        <f>IF(#REF!=0,"x","")</f>
        <v>#REF!</v>
      </c>
      <c r="K64" s="331" t="e">
        <f>IF(#REF!=0,"x","")</f>
        <v>#REF!</v>
      </c>
      <c r="L64" s="331" t="e">
        <f>IF(#REF!=0,"x","")</f>
        <v>#REF!</v>
      </c>
      <c r="M64" s="331" t="e">
        <f>IF(#REF!=0,"x","")</f>
        <v>#REF!</v>
      </c>
      <c r="N64" s="331" t="e">
        <f>IF(#REF!=0,"x","")</f>
        <v>#REF!</v>
      </c>
      <c r="O64" s="331" t="e">
        <f>IF(#REF!=0,"x","")</f>
        <v>#REF!</v>
      </c>
      <c r="P64" s="331" t="e">
        <f>IF(#REF!=0,"x","")</f>
        <v>#REF!</v>
      </c>
      <c r="Q64" s="331" t="e">
        <f>IF(#REF!=0,"x","")</f>
        <v>#REF!</v>
      </c>
      <c r="R64" s="331" t="e">
        <f>IF(#REF!=0,"x","")</f>
        <v>#REF!</v>
      </c>
      <c r="S64" s="331" t="e">
        <f>IF(#REF!=0,"x","")</f>
        <v>#REF!</v>
      </c>
      <c r="T64" s="331" t="e">
        <f>IF(#REF!=0,"x","")</f>
        <v>#REF!</v>
      </c>
      <c r="U64" s="331" t="e">
        <f>IF(#REF!=0,"x","")</f>
        <v>#REF!</v>
      </c>
      <c r="V64" s="331" t="e">
        <f>IF(#REF!=0,"x","")</f>
        <v>#REF!</v>
      </c>
      <c r="W64" s="331" t="e">
        <f>IF(#REF!=0,"x","")</f>
        <v>#REF!</v>
      </c>
      <c r="X64" s="331" t="e">
        <f>IF(#REF!=0,"x","")</f>
        <v>#REF!</v>
      </c>
      <c r="Y64" s="331" t="e">
        <f>IF(#REF!=0,"x","")</f>
        <v>#REF!</v>
      </c>
      <c r="Z64" s="331" t="e">
        <f>IF(#REF!=0,"x","")</f>
        <v>#REF!</v>
      </c>
      <c r="AA64" s="331" t="e">
        <f>IF(#REF!=0,"x","")</f>
        <v>#REF!</v>
      </c>
      <c r="AB64" s="331" t="e">
        <f>IF(#REF!=0,"x","")</f>
        <v>#REF!</v>
      </c>
      <c r="AC64" s="331" t="e">
        <f>IF(#REF!=0,"x","")</f>
        <v>#REF!</v>
      </c>
      <c r="AD64" s="331" t="e">
        <f>IF(#REF!=0,"x","")</f>
        <v>#REF!</v>
      </c>
      <c r="AE64" s="331" t="e">
        <f>IF(#REF!=0,"x","")</f>
        <v>#REF!</v>
      </c>
      <c r="AF64" s="331" t="e">
        <f>IF(#REF!=0,"x","")</f>
        <v>#REF!</v>
      </c>
      <c r="AG64" s="331" t="e">
        <f>IF(#REF!=0,"x","")</f>
        <v>#REF!</v>
      </c>
      <c r="AH64" s="331"/>
      <c r="AI64" s="332">
        <f t="shared" si="1"/>
        <v>0</v>
      </c>
      <c r="AJ64" s="338"/>
    </row>
    <row r="65" spans="1:36">
      <c r="A65" s="234">
        <v>33</v>
      </c>
      <c r="B65" s="432" t="s">
        <v>316</v>
      </c>
      <c r="C65" s="338"/>
      <c r="D65" s="331" t="e">
        <f>IF(#REF!=0,"x","")</f>
        <v>#REF!</v>
      </c>
      <c r="E65" s="331" t="e">
        <f>IF(#REF!=0,"x","")</f>
        <v>#REF!</v>
      </c>
      <c r="F65" s="331" t="e">
        <f>IF(#REF!=0,"x","")</f>
        <v>#REF!</v>
      </c>
      <c r="G65" s="331" t="e">
        <f>IF(#REF!=0,"x","")</f>
        <v>#REF!</v>
      </c>
      <c r="H65" s="331" t="e">
        <f>IF(#REF!=0,"x","")</f>
        <v>#REF!</v>
      </c>
      <c r="I65" s="331" t="e">
        <f>IF(#REF!=0,"x","")</f>
        <v>#REF!</v>
      </c>
      <c r="J65" s="331" t="e">
        <f>IF(#REF!=0,"x","")</f>
        <v>#REF!</v>
      </c>
      <c r="K65" s="331" t="e">
        <f>IF(#REF!=0,"x","")</f>
        <v>#REF!</v>
      </c>
      <c r="L65" s="331" t="e">
        <f>IF(#REF!=0,"x","")</f>
        <v>#REF!</v>
      </c>
      <c r="M65" s="331" t="e">
        <f>IF(#REF!=0,"x","")</f>
        <v>#REF!</v>
      </c>
      <c r="N65" s="331" t="e">
        <f>IF(#REF!=0,"x","")</f>
        <v>#REF!</v>
      </c>
      <c r="O65" s="331" t="e">
        <f>IF(#REF!=0,"x","")</f>
        <v>#REF!</v>
      </c>
      <c r="P65" s="331" t="e">
        <f>IF(#REF!=0,"x","")</f>
        <v>#REF!</v>
      </c>
      <c r="Q65" s="331" t="e">
        <f>IF(#REF!=0,"x","")</f>
        <v>#REF!</v>
      </c>
      <c r="R65" s="331" t="e">
        <f>IF(#REF!=0,"x","")</f>
        <v>#REF!</v>
      </c>
      <c r="S65" s="331" t="e">
        <f>IF(#REF!=0,"x","")</f>
        <v>#REF!</v>
      </c>
      <c r="T65" s="331" t="e">
        <f>IF(#REF!=0,"x","")</f>
        <v>#REF!</v>
      </c>
      <c r="U65" s="331" t="e">
        <f>IF(#REF!=0,"x","")</f>
        <v>#REF!</v>
      </c>
      <c r="V65" s="331" t="e">
        <f>IF(#REF!=0,"x","")</f>
        <v>#REF!</v>
      </c>
      <c r="W65" s="331" t="e">
        <f>IF(#REF!=0,"x","")</f>
        <v>#REF!</v>
      </c>
      <c r="X65" s="331" t="e">
        <f>IF(#REF!=0,"x","")</f>
        <v>#REF!</v>
      </c>
      <c r="Y65" s="331" t="e">
        <f>IF(#REF!=0,"x","")</f>
        <v>#REF!</v>
      </c>
      <c r="Z65" s="331" t="e">
        <f>IF(#REF!=0,"x","")</f>
        <v>#REF!</v>
      </c>
      <c r="AA65" s="331" t="e">
        <f>IF(#REF!=0,"x","")</f>
        <v>#REF!</v>
      </c>
      <c r="AB65" s="331" t="e">
        <f>IF(#REF!=0,"x","")</f>
        <v>#REF!</v>
      </c>
      <c r="AC65" s="331" t="e">
        <f>IF(#REF!=0,"x","")</f>
        <v>#REF!</v>
      </c>
      <c r="AD65" s="331" t="e">
        <f>IF(#REF!=0,"x","")</f>
        <v>#REF!</v>
      </c>
      <c r="AE65" s="331" t="e">
        <f>IF(#REF!=0,"x","")</f>
        <v>#REF!</v>
      </c>
      <c r="AF65" s="331" t="e">
        <f>IF(#REF!=0,"x","")</f>
        <v>#REF!</v>
      </c>
      <c r="AG65" s="331" t="e">
        <f>IF(#REF!=0,"x","")</f>
        <v>#REF!</v>
      </c>
      <c r="AH65" s="331"/>
      <c r="AI65" s="332">
        <f t="shared" si="1"/>
        <v>0</v>
      </c>
      <c r="AJ65" s="338"/>
    </row>
    <row r="66" spans="1:36">
      <c r="A66" s="234">
        <v>34</v>
      </c>
      <c r="B66" s="509" t="s">
        <v>317</v>
      </c>
      <c r="C66" s="338"/>
      <c r="D66" s="331" t="e">
        <f>IF(#REF!=0,"x","")</f>
        <v>#REF!</v>
      </c>
      <c r="E66" s="331" t="e">
        <f>IF(#REF!=0,"x","")</f>
        <v>#REF!</v>
      </c>
      <c r="F66" s="331" t="e">
        <f>IF(#REF!=0,"x","")</f>
        <v>#REF!</v>
      </c>
      <c r="G66" s="331" t="e">
        <f>IF(#REF!=0,"x","")</f>
        <v>#REF!</v>
      </c>
      <c r="H66" s="331" t="e">
        <f>IF(#REF!=0,"x","")</f>
        <v>#REF!</v>
      </c>
      <c r="I66" s="331" t="e">
        <f>IF(#REF!=0,"x","")</f>
        <v>#REF!</v>
      </c>
      <c r="J66" s="331" t="e">
        <f>IF(#REF!=0,"x","")</f>
        <v>#REF!</v>
      </c>
      <c r="K66" s="331" t="e">
        <f>IF(#REF!=0,"x","")</f>
        <v>#REF!</v>
      </c>
      <c r="L66" s="331" t="e">
        <f>IF(#REF!=0,"x","")</f>
        <v>#REF!</v>
      </c>
      <c r="M66" s="331" t="e">
        <f>IF(#REF!=0,"x","")</f>
        <v>#REF!</v>
      </c>
      <c r="N66" s="331" t="e">
        <f>IF(#REF!=0,"x","")</f>
        <v>#REF!</v>
      </c>
      <c r="O66" s="331" t="e">
        <f>IF(#REF!=0,"x","")</f>
        <v>#REF!</v>
      </c>
      <c r="P66" s="331" t="e">
        <f>IF(#REF!=0,"x","")</f>
        <v>#REF!</v>
      </c>
      <c r="Q66" s="331" t="e">
        <f>IF(#REF!=0,"x","")</f>
        <v>#REF!</v>
      </c>
      <c r="R66" s="331" t="e">
        <f>IF(#REF!=0,"x","")</f>
        <v>#REF!</v>
      </c>
      <c r="S66" s="331" t="e">
        <f>IF(#REF!=0,"x","")</f>
        <v>#REF!</v>
      </c>
      <c r="T66" s="331" t="e">
        <f>IF(#REF!=0,"x","")</f>
        <v>#REF!</v>
      </c>
      <c r="U66" s="331" t="e">
        <f>IF(#REF!=0,"x","")</f>
        <v>#REF!</v>
      </c>
      <c r="V66" s="331" t="e">
        <f>IF(#REF!=0,"x","")</f>
        <v>#REF!</v>
      </c>
      <c r="W66" s="331" t="e">
        <f>IF(#REF!=0,"x","")</f>
        <v>#REF!</v>
      </c>
      <c r="X66" s="331" t="e">
        <f>IF(#REF!=0,"x","")</f>
        <v>#REF!</v>
      </c>
      <c r="Y66" s="331" t="e">
        <f>IF(#REF!=0,"x","")</f>
        <v>#REF!</v>
      </c>
      <c r="Z66" s="331" t="e">
        <f>IF(#REF!=0,"x","")</f>
        <v>#REF!</v>
      </c>
      <c r="AA66" s="331" t="e">
        <f>IF(#REF!=0,"x","")</f>
        <v>#REF!</v>
      </c>
      <c r="AB66" s="331" t="e">
        <f>IF(#REF!=0,"x","")</f>
        <v>#REF!</v>
      </c>
      <c r="AC66" s="331" t="e">
        <f>IF(#REF!=0,"x","")</f>
        <v>#REF!</v>
      </c>
      <c r="AD66" s="331" t="e">
        <f>IF(#REF!=0,"x","")</f>
        <v>#REF!</v>
      </c>
      <c r="AE66" s="331" t="e">
        <f>IF(#REF!=0,"x","")</f>
        <v>#REF!</v>
      </c>
      <c r="AF66" s="331" t="e">
        <f>IF(#REF!=0,"x","")</f>
        <v>#REF!</v>
      </c>
      <c r="AG66" s="331" t="e">
        <f>IF(#REF!=0,"x","")</f>
        <v>#REF!</v>
      </c>
      <c r="AH66" s="331"/>
      <c r="AI66" s="332">
        <f t="shared" si="1"/>
        <v>0</v>
      </c>
      <c r="AJ66" s="338"/>
    </row>
    <row r="67" spans="1:36">
      <c r="A67" s="234">
        <v>35</v>
      </c>
      <c r="B67" s="509" t="s">
        <v>408</v>
      </c>
      <c r="C67" s="338"/>
      <c r="D67" s="331" t="e">
        <f>IF(#REF!=0,"x","")</f>
        <v>#REF!</v>
      </c>
      <c r="E67" s="331" t="e">
        <f>IF(#REF!=0,"x","")</f>
        <v>#REF!</v>
      </c>
      <c r="F67" s="331" t="e">
        <f>IF(#REF!=0,"x","")</f>
        <v>#REF!</v>
      </c>
      <c r="G67" s="331" t="e">
        <f>IF(#REF!=0,"x","")</f>
        <v>#REF!</v>
      </c>
      <c r="H67" s="331" t="e">
        <f>IF(#REF!=0,"x","")</f>
        <v>#REF!</v>
      </c>
      <c r="I67" s="331" t="e">
        <f>IF(#REF!=0,"x","")</f>
        <v>#REF!</v>
      </c>
      <c r="J67" s="331" t="e">
        <f>IF(#REF!=0,"x","")</f>
        <v>#REF!</v>
      </c>
      <c r="K67" s="331" t="e">
        <f>IF(#REF!=0,"x","")</f>
        <v>#REF!</v>
      </c>
      <c r="L67" s="331" t="e">
        <f>IF(#REF!=0,"x","")</f>
        <v>#REF!</v>
      </c>
      <c r="M67" s="331" t="e">
        <f>IF(#REF!=0,"x","")</f>
        <v>#REF!</v>
      </c>
      <c r="N67" s="331" t="e">
        <f>IF(#REF!=0,"x","")</f>
        <v>#REF!</v>
      </c>
      <c r="O67" s="331" t="e">
        <f>IF(#REF!=0,"x","")</f>
        <v>#REF!</v>
      </c>
      <c r="P67" s="331" t="e">
        <f>IF(#REF!=0,"x","")</f>
        <v>#REF!</v>
      </c>
      <c r="Q67" s="331" t="e">
        <f>IF(#REF!=0,"x","")</f>
        <v>#REF!</v>
      </c>
      <c r="R67" s="331" t="e">
        <f>IF(#REF!=0,"x","")</f>
        <v>#REF!</v>
      </c>
      <c r="S67" s="331" t="e">
        <f>IF(#REF!=0,"x","")</f>
        <v>#REF!</v>
      </c>
      <c r="T67" s="331" t="e">
        <f>IF(#REF!=0,"x","")</f>
        <v>#REF!</v>
      </c>
      <c r="U67" s="331" t="e">
        <f>IF(#REF!=0,"x","")</f>
        <v>#REF!</v>
      </c>
      <c r="V67" s="331" t="e">
        <f>IF(#REF!=0,"x","")</f>
        <v>#REF!</v>
      </c>
      <c r="W67" s="331" t="e">
        <f>IF(#REF!=0,"x","")</f>
        <v>#REF!</v>
      </c>
      <c r="X67" s="331" t="e">
        <f>IF(#REF!=0,"x","")</f>
        <v>#REF!</v>
      </c>
      <c r="Y67" s="331" t="e">
        <f>IF(#REF!=0,"x","")</f>
        <v>#REF!</v>
      </c>
      <c r="Z67" s="331" t="e">
        <f>IF(#REF!=0,"x","")</f>
        <v>#REF!</v>
      </c>
      <c r="AA67" s="331" t="e">
        <f>IF(#REF!=0,"x","")</f>
        <v>#REF!</v>
      </c>
      <c r="AB67" s="331" t="e">
        <f>IF(#REF!=0,"x","")</f>
        <v>#REF!</v>
      </c>
      <c r="AC67" s="331" t="e">
        <f>IF(#REF!=0,"x","")</f>
        <v>#REF!</v>
      </c>
      <c r="AD67" s="331" t="e">
        <f>IF(#REF!=0,"x","")</f>
        <v>#REF!</v>
      </c>
      <c r="AE67" s="331" t="e">
        <f>IF(#REF!=0,"x","")</f>
        <v>#REF!</v>
      </c>
      <c r="AF67" s="331" t="e">
        <f>IF(#REF!=0,"x","")</f>
        <v>#REF!</v>
      </c>
      <c r="AG67" s="331" t="e">
        <f>IF(#REF!=0,"x","")</f>
        <v>#REF!</v>
      </c>
      <c r="AH67" s="331"/>
      <c r="AI67" s="332">
        <f t="shared" si="1"/>
        <v>0</v>
      </c>
      <c r="AJ67" s="338"/>
    </row>
    <row r="68" spans="1:36">
      <c r="A68" s="234">
        <v>36</v>
      </c>
      <c r="B68" s="509" t="s">
        <v>284</v>
      </c>
      <c r="C68" s="338"/>
      <c r="D68" s="331" t="e">
        <f>IF(#REF!=0,"x","")</f>
        <v>#REF!</v>
      </c>
      <c r="E68" s="331" t="e">
        <f>IF(#REF!=0,"x","")</f>
        <v>#REF!</v>
      </c>
      <c r="F68" s="331" t="e">
        <f>IF(#REF!=0,"x","")</f>
        <v>#REF!</v>
      </c>
      <c r="G68" s="331" t="e">
        <f>IF(#REF!=0,"x","")</f>
        <v>#REF!</v>
      </c>
      <c r="H68" s="331" t="e">
        <f>IF(#REF!=0,"x","")</f>
        <v>#REF!</v>
      </c>
      <c r="I68" s="331" t="e">
        <f>IF(#REF!=0,"x","")</f>
        <v>#REF!</v>
      </c>
      <c r="J68" s="331" t="e">
        <f>IF(#REF!=0,"x","")</f>
        <v>#REF!</v>
      </c>
      <c r="K68" s="331" t="e">
        <f>IF(#REF!=0,"x","")</f>
        <v>#REF!</v>
      </c>
      <c r="L68" s="331" t="e">
        <f>IF(#REF!=0,"x","")</f>
        <v>#REF!</v>
      </c>
      <c r="M68" s="331" t="e">
        <f>IF(#REF!=0,"x","")</f>
        <v>#REF!</v>
      </c>
      <c r="N68" s="331" t="e">
        <f>IF(#REF!=0,"x","")</f>
        <v>#REF!</v>
      </c>
      <c r="O68" s="331" t="e">
        <f>IF(#REF!=0,"x","")</f>
        <v>#REF!</v>
      </c>
      <c r="P68" s="331" t="e">
        <f>IF(#REF!=0,"x","")</f>
        <v>#REF!</v>
      </c>
      <c r="Q68" s="331" t="e">
        <f>IF(#REF!=0,"x","")</f>
        <v>#REF!</v>
      </c>
      <c r="R68" s="331" t="e">
        <f>IF(#REF!=0,"x","")</f>
        <v>#REF!</v>
      </c>
      <c r="S68" s="331" t="e">
        <f>IF(#REF!=0,"x","")</f>
        <v>#REF!</v>
      </c>
      <c r="T68" s="331" t="e">
        <f>IF(#REF!=0,"x","")</f>
        <v>#REF!</v>
      </c>
      <c r="U68" s="331" t="e">
        <f>IF(#REF!=0,"x","")</f>
        <v>#REF!</v>
      </c>
      <c r="V68" s="331" t="e">
        <f>IF(#REF!=0,"x","")</f>
        <v>#REF!</v>
      </c>
      <c r="W68" s="331" t="e">
        <f>IF(#REF!=0,"x","")</f>
        <v>#REF!</v>
      </c>
      <c r="X68" s="331" t="e">
        <f>IF(#REF!=0,"x","")</f>
        <v>#REF!</v>
      </c>
      <c r="Y68" s="331" t="e">
        <f>IF(#REF!=0,"x","")</f>
        <v>#REF!</v>
      </c>
      <c r="Z68" s="331" t="e">
        <f>IF(#REF!=0,"x","")</f>
        <v>#REF!</v>
      </c>
      <c r="AA68" s="331" t="e">
        <f>IF(#REF!=0,"x","")</f>
        <v>#REF!</v>
      </c>
      <c r="AB68" s="331" t="e">
        <f>IF(#REF!=0,"x","")</f>
        <v>#REF!</v>
      </c>
      <c r="AC68" s="331" t="e">
        <f>IF(#REF!=0,"x","")</f>
        <v>#REF!</v>
      </c>
      <c r="AD68" s="331" t="e">
        <f>IF(#REF!=0,"x","")</f>
        <v>#REF!</v>
      </c>
      <c r="AE68" s="331" t="e">
        <f>IF(#REF!=0,"x","")</f>
        <v>#REF!</v>
      </c>
      <c r="AF68" s="331" t="e">
        <f>IF(#REF!=0,"x","")</f>
        <v>#REF!</v>
      </c>
      <c r="AG68" s="331" t="e">
        <f>IF(#REF!=0,"x","")</f>
        <v>#REF!</v>
      </c>
      <c r="AH68" s="331"/>
      <c r="AI68" s="332">
        <f t="shared" si="1"/>
        <v>0</v>
      </c>
      <c r="AJ68" s="338"/>
    </row>
    <row r="69" spans="1:36">
      <c r="A69" s="234">
        <v>37</v>
      </c>
      <c r="B69" s="509" t="s">
        <v>282</v>
      </c>
      <c r="C69" s="338"/>
      <c r="D69" s="331" t="e">
        <f>IF(#REF!=0,"x","")</f>
        <v>#REF!</v>
      </c>
      <c r="E69" s="331" t="e">
        <f>IF(#REF!=0,"x","")</f>
        <v>#REF!</v>
      </c>
      <c r="F69" s="331" t="e">
        <f>IF(#REF!=0,"x","")</f>
        <v>#REF!</v>
      </c>
      <c r="G69" s="331" t="e">
        <f>IF(#REF!=0,"x","")</f>
        <v>#REF!</v>
      </c>
      <c r="H69" s="331" t="e">
        <f>IF(#REF!=0,"x","")</f>
        <v>#REF!</v>
      </c>
      <c r="I69" s="331" t="e">
        <f>IF(#REF!=0,"x","")</f>
        <v>#REF!</v>
      </c>
      <c r="J69" s="331" t="e">
        <f>IF(#REF!=0,"x","")</f>
        <v>#REF!</v>
      </c>
      <c r="K69" s="331" t="e">
        <f>IF(#REF!=0,"x","")</f>
        <v>#REF!</v>
      </c>
      <c r="L69" s="331" t="e">
        <f>IF(#REF!=0,"x","")</f>
        <v>#REF!</v>
      </c>
      <c r="M69" s="331" t="e">
        <f>IF(#REF!=0,"x","")</f>
        <v>#REF!</v>
      </c>
      <c r="N69" s="331" t="e">
        <f>IF(#REF!=0,"x","")</f>
        <v>#REF!</v>
      </c>
      <c r="O69" s="331" t="e">
        <f>IF(#REF!=0,"x","")</f>
        <v>#REF!</v>
      </c>
      <c r="P69" s="331" t="e">
        <f>IF(#REF!=0,"x","")</f>
        <v>#REF!</v>
      </c>
      <c r="Q69" s="331" t="e">
        <f>IF(#REF!=0,"x","")</f>
        <v>#REF!</v>
      </c>
      <c r="R69" s="331" t="e">
        <f>IF(#REF!=0,"x","")</f>
        <v>#REF!</v>
      </c>
      <c r="S69" s="331" t="e">
        <f>IF(#REF!=0,"x","")</f>
        <v>#REF!</v>
      </c>
      <c r="T69" s="331" t="e">
        <f>IF(#REF!=0,"x","")</f>
        <v>#REF!</v>
      </c>
      <c r="U69" s="331" t="e">
        <f>IF(#REF!=0,"x","")</f>
        <v>#REF!</v>
      </c>
      <c r="V69" s="331" t="e">
        <f>IF(#REF!=0,"x","")</f>
        <v>#REF!</v>
      </c>
      <c r="W69" s="331" t="e">
        <f>IF(#REF!=0,"x","")</f>
        <v>#REF!</v>
      </c>
      <c r="X69" s="331" t="e">
        <f>IF(#REF!=0,"x","")</f>
        <v>#REF!</v>
      </c>
      <c r="Y69" s="331" t="e">
        <f>IF(#REF!=0,"x","")</f>
        <v>#REF!</v>
      </c>
      <c r="Z69" s="331" t="e">
        <f>IF(#REF!=0,"x","")</f>
        <v>#REF!</v>
      </c>
      <c r="AA69" s="331" t="e">
        <f>IF(#REF!=0,"x","")</f>
        <v>#REF!</v>
      </c>
      <c r="AB69" s="331" t="e">
        <f>IF(#REF!=0,"x","")</f>
        <v>#REF!</v>
      </c>
      <c r="AC69" s="331" t="e">
        <f>IF(#REF!=0,"x","")</f>
        <v>#REF!</v>
      </c>
      <c r="AD69" s="331" t="e">
        <f>IF(#REF!=0,"x","")</f>
        <v>#REF!</v>
      </c>
      <c r="AE69" s="331" t="e">
        <f>IF(#REF!=0,"x","")</f>
        <v>#REF!</v>
      </c>
      <c r="AF69" s="331" t="e">
        <f>IF(#REF!=0,"x","")</f>
        <v>#REF!</v>
      </c>
      <c r="AG69" s="331" t="e">
        <f>IF(#REF!=0,"x","")</f>
        <v>#REF!</v>
      </c>
      <c r="AH69" s="331"/>
      <c r="AI69" s="332">
        <f t="shared" si="1"/>
        <v>0</v>
      </c>
      <c r="AJ69" s="338"/>
    </row>
    <row r="70" spans="1:36">
      <c r="A70" s="234">
        <v>38</v>
      </c>
      <c r="B70" s="509" t="s">
        <v>414</v>
      </c>
      <c r="C70" s="338"/>
      <c r="D70" s="331" t="e">
        <f>IF(#REF!=0,"x","")</f>
        <v>#REF!</v>
      </c>
      <c r="E70" s="331" t="e">
        <f>IF(#REF!=0,"x","")</f>
        <v>#REF!</v>
      </c>
      <c r="F70" s="331" t="e">
        <f>IF(#REF!=0,"x","")</f>
        <v>#REF!</v>
      </c>
      <c r="G70" s="331" t="e">
        <f>IF(#REF!=0,"x","")</f>
        <v>#REF!</v>
      </c>
      <c r="H70" s="331" t="e">
        <f>IF(#REF!=0,"x","")</f>
        <v>#REF!</v>
      </c>
      <c r="I70" s="331" t="e">
        <f>IF(#REF!=0,"x","")</f>
        <v>#REF!</v>
      </c>
      <c r="J70" s="331" t="e">
        <f>IF(#REF!=0,"x","")</f>
        <v>#REF!</v>
      </c>
      <c r="K70" s="331" t="e">
        <f>IF(#REF!=0,"x","")</f>
        <v>#REF!</v>
      </c>
      <c r="L70" s="331" t="e">
        <f>IF(#REF!=0,"x","")</f>
        <v>#REF!</v>
      </c>
      <c r="M70" s="331" t="e">
        <f>IF(#REF!=0,"x","")</f>
        <v>#REF!</v>
      </c>
      <c r="N70" s="331" t="e">
        <f>IF(#REF!=0,"x","")</f>
        <v>#REF!</v>
      </c>
      <c r="O70" s="331" t="e">
        <f>IF(#REF!=0,"x","")</f>
        <v>#REF!</v>
      </c>
      <c r="P70" s="331" t="e">
        <f>IF(#REF!=0,"x","")</f>
        <v>#REF!</v>
      </c>
      <c r="Q70" s="331" t="e">
        <f>IF(#REF!=0,"x","")</f>
        <v>#REF!</v>
      </c>
      <c r="R70" s="331" t="e">
        <f>IF(#REF!=0,"x","")</f>
        <v>#REF!</v>
      </c>
      <c r="S70" s="331" t="e">
        <f>IF(#REF!=0,"x","")</f>
        <v>#REF!</v>
      </c>
      <c r="T70" s="331" t="e">
        <f>IF(#REF!=0,"x","")</f>
        <v>#REF!</v>
      </c>
      <c r="U70" s="331" t="e">
        <f>IF(#REF!=0,"x","")</f>
        <v>#REF!</v>
      </c>
      <c r="V70" s="331" t="e">
        <f>IF(#REF!=0,"x","")</f>
        <v>#REF!</v>
      </c>
      <c r="W70" s="331" t="e">
        <f>IF(#REF!=0,"x","")</f>
        <v>#REF!</v>
      </c>
      <c r="X70" s="331" t="e">
        <f>IF(#REF!=0,"x","")</f>
        <v>#REF!</v>
      </c>
      <c r="Y70" s="331" t="e">
        <f>IF(#REF!=0,"x","")</f>
        <v>#REF!</v>
      </c>
      <c r="Z70" s="331" t="e">
        <f>IF(#REF!=0,"x","")</f>
        <v>#REF!</v>
      </c>
      <c r="AA70" s="331" t="e">
        <f>IF(#REF!=0,"x","")</f>
        <v>#REF!</v>
      </c>
      <c r="AB70" s="331" t="e">
        <f>IF(#REF!=0,"x","")</f>
        <v>#REF!</v>
      </c>
      <c r="AC70" s="331" t="e">
        <f>IF(#REF!=0,"x","")</f>
        <v>#REF!</v>
      </c>
      <c r="AD70" s="331" t="e">
        <f>IF(#REF!=0,"x","")</f>
        <v>#REF!</v>
      </c>
      <c r="AE70" s="331" t="e">
        <f>IF(#REF!=0,"x","")</f>
        <v>#REF!</v>
      </c>
      <c r="AF70" s="331" t="e">
        <f>IF(#REF!=0,"x","")</f>
        <v>#REF!</v>
      </c>
      <c r="AG70" s="331" t="e">
        <f>IF(#REF!=0,"x","")</f>
        <v>#REF!</v>
      </c>
      <c r="AH70" s="331"/>
      <c r="AI70" s="332">
        <f t="shared" si="1"/>
        <v>0</v>
      </c>
      <c r="AJ70" s="338"/>
    </row>
    <row r="71" spans="1:36">
      <c r="A71" s="234">
        <v>39</v>
      </c>
      <c r="B71" s="509" t="s">
        <v>412</v>
      </c>
      <c r="C71" s="338"/>
      <c r="D71" s="331" t="e">
        <f>IF(#REF!=0,"x","")</f>
        <v>#REF!</v>
      </c>
      <c r="E71" s="331" t="e">
        <f>IF(#REF!=0,"x","")</f>
        <v>#REF!</v>
      </c>
      <c r="F71" s="331" t="e">
        <f>IF(#REF!=0,"x","")</f>
        <v>#REF!</v>
      </c>
      <c r="G71" s="331" t="e">
        <f>IF(#REF!=0,"x","")</f>
        <v>#REF!</v>
      </c>
      <c r="H71" s="331" t="e">
        <f>IF(#REF!=0,"x","")</f>
        <v>#REF!</v>
      </c>
      <c r="I71" s="331" t="e">
        <f>IF(#REF!=0,"x","")</f>
        <v>#REF!</v>
      </c>
      <c r="J71" s="331" t="e">
        <f>IF(#REF!=0,"x","")</f>
        <v>#REF!</v>
      </c>
      <c r="K71" s="331" t="e">
        <f>IF(#REF!=0,"x","")</f>
        <v>#REF!</v>
      </c>
      <c r="L71" s="331" t="e">
        <f>IF(#REF!=0,"x","")</f>
        <v>#REF!</v>
      </c>
      <c r="M71" s="331" t="e">
        <f>IF(#REF!=0,"x","")</f>
        <v>#REF!</v>
      </c>
      <c r="N71" s="331" t="e">
        <f>IF(#REF!=0,"x","")</f>
        <v>#REF!</v>
      </c>
      <c r="O71" s="331" t="e">
        <f>IF(#REF!=0,"x","")</f>
        <v>#REF!</v>
      </c>
      <c r="P71" s="331" t="e">
        <f>IF(#REF!=0,"x","")</f>
        <v>#REF!</v>
      </c>
      <c r="Q71" s="331" t="e">
        <f>IF(#REF!=0,"x","")</f>
        <v>#REF!</v>
      </c>
      <c r="R71" s="331" t="e">
        <f>IF(#REF!=0,"x","")</f>
        <v>#REF!</v>
      </c>
      <c r="S71" s="331" t="e">
        <f>IF(#REF!=0,"x","")</f>
        <v>#REF!</v>
      </c>
      <c r="T71" s="331" t="e">
        <f>IF(#REF!=0,"x","")</f>
        <v>#REF!</v>
      </c>
      <c r="U71" s="331" t="e">
        <f>IF(#REF!=0,"x","")</f>
        <v>#REF!</v>
      </c>
      <c r="V71" s="331" t="e">
        <f>IF(#REF!=0,"x","")</f>
        <v>#REF!</v>
      </c>
      <c r="W71" s="331" t="e">
        <f>IF(#REF!=0,"x","")</f>
        <v>#REF!</v>
      </c>
      <c r="X71" s="331" t="e">
        <f>IF(#REF!=0,"x","")</f>
        <v>#REF!</v>
      </c>
      <c r="Y71" s="331" t="e">
        <f>IF(#REF!=0,"x","")</f>
        <v>#REF!</v>
      </c>
      <c r="Z71" s="331" t="e">
        <f>IF(#REF!=0,"x","")</f>
        <v>#REF!</v>
      </c>
      <c r="AA71" s="331" t="e">
        <f>IF(#REF!=0,"x","")</f>
        <v>#REF!</v>
      </c>
      <c r="AB71" s="331" t="e">
        <f>IF(#REF!=0,"x","")</f>
        <v>#REF!</v>
      </c>
      <c r="AC71" s="331" t="e">
        <f>IF(#REF!=0,"x","")</f>
        <v>#REF!</v>
      </c>
      <c r="AD71" s="331" t="e">
        <f>IF(#REF!=0,"x","")</f>
        <v>#REF!</v>
      </c>
      <c r="AE71" s="331" t="e">
        <f>IF(#REF!=0,"x","")</f>
        <v>#REF!</v>
      </c>
      <c r="AF71" s="331" t="e">
        <f>IF(#REF!=0,"x","")</f>
        <v>#REF!</v>
      </c>
      <c r="AG71" s="331" t="e">
        <f>IF(#REF!=0,"x","")</f>
        <v>#REF!</v>
      </c>
      <c r="AH71" s="331"/>
      <c r="AI71" s="332">
        <f t="shared" si="1"/>
        <v>0</v>
      </c>
      <c r="AJ71" s="338"/>
    </row>
    <row r="72" spans="1:36">
      <c r="A72" s="234">
        <v>40</v>
      </c>
      <c r="B72" s="509" t="s">
        <v>283</v>
      </c>
      <c r="C72" s="338"/>
      <c r="D72" s="331" t="e">
        <f>IF(#REF!=0,"x","")</f>
        <v>#REF!</v>
      </c>
      <c r="E72" s="331" t="e">
        <f>IF(#REF!=0,"x","")</f>
        <v>#REF!</v>
      </c>
      <c r="F72" s="331" t="e">
        <f>IF(#REF!=0,"x","")</f>
        <v>#REF!</v>
      </c>
      <c r="G72" s="331" t="e">
        <f>IF(#REF!=0,"x","")</f>
        <v>#REF!</v>
      </c>
      <c r="H72" s="331" t="e">
        <f>IF(#REF!=0,"x","")</f>
        <v>#REF!</v>
      </c>
      <c r="I72" s="331" t="e">
        <f>IF(#REF!=0,"x","")</f>
        <v>#REF!</v>
      </c>
      <c r="J72" s="331" t="e">
        <f>IF(#REF!=0,"x","")</f>
        <v>#REF!</v>
      </c>
      <c r="K72" s="331" t="e">
        <f>IF(#REF!=0,"x","")</f>
        <v>#REF!</v>
      </c>
      <c r="L72" s="331" t="e">
        <f>IF(#REF!=0,"x","")</f>
        <v>#REF!</v>
      </c>
      <c r="M72" s="331" t="e">
        <f>IF(#REF!=0,"x","")</f>
        <v>#REF!</v>
      </c>
      <c r="N72" s="331" t="e">
        <f>IF(#REF!=0,"x","")</f>
        <v>#REF!</v>
      </c>
      <c r="O72" s="331" t="e">
        <f>IF(#REF!=0,"x","")</f>
        <v>#REF!</v>
      </c>
      <c r="P72" s="331" t="e">
        <f>IF(#REF!=0,"x","")</f>
        <v>#REF!</v>
      </c>
      <c r="Q72" s="331" t="e">
        <f>IF(#REF!=0,"x","")</f>
        <v>#REF!</v>
      </c>
      <c r="R72" s="331" t="e">
        <f>IF(#REF!=0,"x","")</f>
        <v>#REF!</v>
      </c>
      <c r="S72" s="331" t="e">
        <f>IF(#REF!=0,"x","")</f>
        <v>#REF!</v>
      </c>
      <c r="T72" s="331" t="e">
        <f>IF(#REF!=0,"x","")</f>
        <v>#REF!</v>
      </c>
      <c r="U72" s="331" t="e">
        <f>IF(#REF!=0,"x","")</f>
        <v>#REF!</v>
      </c>
      <c r="V72" s="331" t="e">
        <f>IF(#REF!=0,"x","")</f>
        <v>#REF!</v>
      </c>
      <c r="W72" s="331" t="e">
        <f>IF(#REF!=0,"x","")</f>
        <v>#REF!</v>
      </c>
      <c r="X72" s="331" t="e">
        <f>IF(#REF!=0,"x","")</f>
        <v>#REF!</v>
      </c>
      <c r="Y72" s="331" t="e">
        <f>IF(#REF!=0,"x","")</f>
        <v>#REF!</v>
      </c>
      <c r="Z72" s="331" t="e">
        <f>IF(#REF!=0,"x","")</f>
        <v>#REF!</v>
      </c>
      <c r="AA72" s="331" t="e">
        <f>IF(#REF!=0,"x","")</f>
        <v>#REF!</v>
      </c>
      <c r="AB72" s="331" t="e">
        <f>IF(#REF!=0,"x","")</f>
        <v>#REF!</v>
      </c>
      <c r="AC72" s="331" t="e">
        <f>IF(#REF!=0,"x","")</f>
        <v>#REF!</v>
      </c>
      <c r="AD72" s="331" t="e">
        <f>IF(#REF!=0,"x","")</f>
        <v>#REF!</v>
      </c>
      <c r="AE72" s="331" t="e">
        <f>IF(#REF!=0,"x","")</f>
        <v>#REF!</v>
      </c>
      <c r="AF72" s="331" t="e">
        <f>IF(#REF!=0,"x","")</f>
        <v>#REF!</v>
      </c>
      <c r="AG72" s="331" t="e">
        <f>IF(#REF!=0,"x","")</f>
        <v>#REF!</v>
      </c>
      <c r="AH72" s="331"/>
      <c r="AI72" s="332">
        <f t="shared" si="1"/>
        <v>0</v>
      </c>
      <c r="AJ72" s="338"/>
    </row>
    <row r="73" spans="1:36">
      <c r="A73" s="288">
        <v>41</v>
      </c>
      <c r="B73" s="509" t="s">
        <v>281</v>
      </c>
      <c r="C73" s="338"/>
      <c r="D73" s="331" t="e">
        <f>IF(#REF!=0,"x","")</f>
        <v>#REF!</v>
      </c>
      <c r="E73" s="331" t="e">
        <f>IF(#REF!=0,"x","")</f>
        <v>#REF!</v>
      </c>
      <c r="F73" s="331" t="e">
        <f>IF(#REF!=0,"x","")</f>
        <v>#REF!</v>
      </c>
      <c r="G73" s="331" t="e">
        <f>IF(#REF!=0,"x","")</f>
        <v>#REF!</v>
      </c>
      <c r="H73" s="331" t="e">
        <f>IF(#REF!=0,"x","")</f>
        <v>#REF!</v>
      </c>
      <c r="I73" s="331" t="e">
        <f>IF(#REF!=0,"x","")</f>
        <v>#REF!</v>
      </c>
      <c r="J73" s="331" t="e">
        <f>IF(#REF!=0,"x","")</f>
        <v>#REF!</v>
      </c>
      <c r="K73" s="331" t="e">
        <f>IF(#REF!=0,"x","")</f>
        <v>#REF!</v>
      </c>
      <c r="L73" s="331" t="e">
        <f>IF(#REF!=0,"x","")</f>
        <v>#REF!</v>
      </c>
      <c r="M73" s="331" t="e">
        <f>IF(#REF!=0,"x","")</f>
        <v>#REF!</v>
      </c>
      <c r="N73" s="331" t="e">
        <f>IF(#REF!=0,"x","")</f>
        <v>#REF!</v>
      </c>
      <c r="O73" s="331" t="e">
        <f>IF(#REF!=0,"x","")</f>
        <v>#REF!</v>
      </c>
      <c r="P73" s="331" t="e">
        <f>IF(#REF!=0,"x","")</f>
        <v>#REF!</v>
      </c>
      <c r="Q73" s="331" t="e">
        <f>IF(#REF!=0,"x","")</f>
        <v>#REF!</v>
      </c>
      <c r="R73" s="331" t="e">
        <f>IF(#REF!=0,"x","")</f>
        <v>#REF!</v>
      </c>
      <c r="S73" s="331" t="e">
        <f>IF(#REF!=0,"x","")</f>
        <v>#REF!</v>
      </c>
      <c r="T73" s="331" t="e">
        <f>IF(#REF!=0,"x","")</f>
        <v>#REF!</v>
      </c>
      <c r="U73" s="331" t="e">
        <f>IF(#REF!=0,"x","")</f>
        <v>#REF!</v>
      </c>
      <c r="V73" s="331" t="e">
        <f>IF(#REF!=0,"x","")</f>
        <v>#REF!</v>
      </c>
      <c r="W73" s="331" t="e">
        <f>IF(#REF!=0,"x","")</f>
        <v>#REF!</v>
      </c>
      <c r="X73" s="331" t="e">
        <f>IF(#REF!=0,"x","")</f>
        <v>#REF!</v>
      </c>
      <c r="Y73" s="331" t="e">
        <f>IF(#REF!=0,"x","")</f>
        <v>#REF!</v>
      </c>
      <c r="Z73" s="331" t="e">
        <f>IF(#REF!=0,"x","")</f>
        <v>#REF!</v>
      </c>
      <c r="AA73" s="331" t="e">
        <f>IF(#REF!=0,"x","")</f>
        <v>#REF!</v>
      </c>
      <c r="AB73" s="331" t="e">
        <f>IF(#REF!=0,"x","")</f>
        <v>#REF!</v>
      </c>
      <c r="AC73" s="331" t="e">
        <f>IF(#REF!=0,"x","")</f>
        <v>#REF!</v>
      </c>
      <c r="AD73" s="331" t="e">
        <f>IF(#REF!=0,"x","")</f>
        <v>#REF!</v>
      </c>
      <c r="AE73" s="331" t="e">
        <f>IF(#REF!=0,"x","")</f>
        <v>#REF!</v>
      </c>
      <c r="AF73" s="331" t="e">
        <f>IF(#REF!=0,"x","")</f>
        <v>#REF!</v>
      </c>
      <c r="AG73" s="331" t="e">
        <f>IF(#REF!=0,"x","")</f>
        <v>#REF!</v>
      </c>
      <c r="AH73" s="331"/>
      <c r="AI73" s="332">
        <f t="shared" si="1"/>
        <v>0</v>
      </c>
      <c r="AJ73" s="338"/>
    </row>
    <row r="74" spans="1:36">
      <c r="A74" s="234">
        <v>42</v>
      </c>
      <c r="B74" s="289" t="s">
        <v>486</v>
      </c>
      <c r="C74" s="292" t="s">
        <v>160</v>
      </c>
      <c r="D74" s="331" t="e">
        <f>IF(#REF!=0,"x","")</f>
        <v>#REF!</v>
      </c>
      <c r="E74" s="331" t="e">
        <f>IF(#REF!=0,"x","")</f>
        <v>#REF!</v>
      </c>
      <c r="F74" s="331" t="e">
        <f>IF(#REF!=0,"x","")</f>
        <v>#REF!</v>
      </c>
      <c r="G74" s="331" t="e">
        <f>IF(#REF!=0,"x","")</f>
        <v>#REF!</v>
      </c>
      <c r="H74" s="331" t="e">
        <f>IF(#REF!=0,"x","")</f>
        <v>#REF!</v>
      </c>
      <c r="I74" s="331" t="e">
        <f>IF(#REF!=0,"x","")</f>
        <v>#REF!</v>
      </c>
      <c r="J74" s="331" t="e">
        <f>IF(#REF!=0,"x","")</f>
        <v>#REF!</v>
      </c>
      <c r="K74" s="331" t="e">
        <f>IF(#REF!=0,"x","")</f>
        <v>#REF!</v>
      </c>
      <c r="L74" s="331" t="e">
        <f>IF(#REF!=0,"x","")</f>
        <v>#REF!</v>
      </c>
      <c r="M74" s="331" t="e">
        <f>IF(#REF!=0,"x","")</f>
        <v>#REF!</v>
      </c>
      <c r="N74" s="331" t="e">
        <f>IF(#REF!=0,"x","")</f>
        <v>#REF!</v>
      </c>
      <c r="O74" s="331" t="e">
        <f>IF(#REF!=0,"x","")</f>
        <v>#REF!</v>
      </c>
      <c r="P74" s="331" t="e">
        <f>IF(#REF!=0,"x","")</f>
        <v>#REF!</v>
      </c>
      <c r="Q74" s="331" t="e">
        <f>IF(#REF!=0,"x","")</f>
        <v>#REF!</v>
      </c>
      <c r="R74" s="331" t="e">
        <f>IF(#REF!=0,"x","")</f>
        <v>#REF!</v>
      </c>
      <c r="S74" s="331" t="e">
        <f>IF(#REF!=0,"x","")</f>
        <v>#REF!</v>
      </c>
      <c r="T74" s="331" t="e">
        <f>IF(#REF!=0,"x","")</f>
        <v>#REF!</v>
      </c>
      <c r="U74" s="331" t="e">
        <f>IF(#REF!=0,"x","")</f>
        <v>#REF!</v>
      </c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2">
        <f t="shared" ref="AI74:AI93" si="3">COUNTIF(D74:AG74,"x")</f>
        <v>0</v>
      </c>
      <c r="AJ74" s="338"/>
    </row>
    <row r="75" spans="1:36">
      <c r="A75" s="288">
        <v>43</v>
      </c>
      <c r="B75" s="289" t="s">
        <v>487</v>
      </c>
      <c r="C75" s="292" t="s">
        <v>160</v>
      </c>
      <c r="D75" s="331" t="e">
        <f>IF(#REF!=0,"x","")</f>
        <v>#REF!</v>
      </c>
      <c r="E75" s="331" t="e">
        <f>IF(#REF!=0,"x","")</f>
        <v>#REF!</v>
      </c>
      <c r="F75" s="331" t="e">
        <f>IF(#REF!=0,"x","")</f>
        <v>#REF!</v>
      </c>
      <c r="G75" s="331" t="e">
        <f>IF(#REF!=0,"x","")</f>
        <v>#REF!</v>
      </c>
      <c r="H75" s="331" t="e">
        <f>IF(#REF!=0,"x","")</f>
        <v>#REF!</v>
      </c>
      <c r="I75" s="331" t="e">
        <f>IF(#REF!=0,"x","")</f>
        <v>#REF!</v>
      </c>
      <c r="J75" s="331" t="e">
        <f>IF(#REF!=0,"x","")</f>
        <v>#REF!</v>
      </c>
      <c r="K75" s="331" t="e">
        <f>IF(#REF!=0,"x","")</f>
        <v>#REF!</v>
      </c>
      <c r="L75" s="331" t="e">
        <f>IF(#REF!=0,"x","")</f>
        <v>#REF!</v>
      </c>
      <c r="M75" s="331" t="e">
        <f>IF(#REF!=0,"x","")</f>
        <v>#REF!</v>
      </c>
      <c r="N75" s="331" t="e">
        <f>IF(#REF!=0,"x","")</f>
        <v>#REF!</v>
      </c>
      <c r="O75" s="331" t="e">
        <f>IF(#REF!=0,"x","")</f>
        <v>#REF!</v>
      </c>
      <c r="P75" s="331" t="e">
        <f>IF(#REF!=0,"x","")</f>
        <v>#REF!</v>
      </c>
      <c r="Q75" s="331" t="e">
        <f>IF(#REF!=0,"x","")</f>
        <v>#REF!</v>
      </c>
      <c r="R75" s="331" t="e">
        <f>IF(#REF!=0,"x","")</f>
        <v>#REF!</v>
      </c>
      <c r="S75" s="331" t="e">
        <f>IF(#REF!=0,"x","")</f>
        <v>#REF!</v>
      </c>
      <c r="T75" s="331" t="e">
        <f>IF(#REF!=0,"x","")</f>
        <v>#REF!</v>
      </c>
      <c r="U75" s="331" t="e">
        <f>IF(#REF!=0,"x","")</f>
        <v>#REF!</v>
      </c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2">
        <f t="shared" si="3"/>
        <v>0</v>
      </c>
      <c r="AJ75" s="338"/>
    </row>
    <row r="76" spans="1:36">
      <c r="A76" s="234">
        <v>44</v>
      </c>
      <c r="B76" s="293" t="s">
        <v>488</v>
      </c>
      <c r="C76" s="292" t="s">
        <v>160</v>
      </c>
      <c r="D76" s="331" t="e">
        <f>IF(#REF!=0,"x","")</f>
        <v>#REF!</v>
      </c>
      <c r="E76" s="331" t="e">
        <f>IF(#REF!=0,"x","")</f>
        <v>#REF!</v>
      </c>
      <c r="F76" s="331" t="e">
        <f>IF(#REF!=0,"x","")</f>
        <v>#REF!</v>
      </c>
      <c r="G76" s="331" t="e">
        <f>IF(#REF!=0,"x","")</f>
        <v>#REF!</v>
      </c>
      <c r="H76" s="331" t="e">
        <f>IF(#REF!=0,"x","")</f>
        <v>#REF!</v>
      </c>
      <c r="I76" s="331" t="e">
        <f>IF(#REF!=0,"x","")</f>
        <v>#REF!</v>
      </c>
      <c r="J76" s="331" t="e">
        <f>IF(#REF!=0,"x","")</f>
        <v>#REF!</v>
      </c>
      <c r="K76" s="331" t="e">
        <f>IF(#REF!=0,"x","")</f>
        <v>#REF!</v>
      </c>
      <c r="L76" s="331" t="e">
        <f>IF(#REF!=0,"x","")</f>
        <v>#REF!</v>
      </c>
      <c r="M76" s="331" t="e">
        <f>IF(#REF!=0,"x","")</f>
        <v>#REF!</v>
      </c>
      <c r="N76" s="331" t="e">
        <f>IF(#REF!=0,"x","")</f>
        <v>#REF!</v>
      </c>
      <c r="O76" s="331" t="e">
        <f>IF(#REF!=0,"x","")</f>
        <v>#REF!</v>
      </c>
      <c r="P76" s="331" t="e">
        <f>IF(#REF!=0,"x","")</f>
        <v>#REF!</v>
      </c>
      <c r="Q76" s="331" t="e">
        <f>IF(#REF!=0,"x","")</f>
        <v>#REF!</v>
      </c>
      <c r="R76" s="331" t="e">
        <f>IF(#REF!=0,"x","")</f>
        <v>#REF!</v>
      </c>
      <c r="S76" s="331" t="e">
        <f>IF(#REF!=0,"x","")</f>
        <v>#REF!</v>
      </c>
      <c r="T76" s="331" t="e">
        <f>IF(#REF!=0,"x","")</f>
        <v>#REF!</v>
      </c>
      <c r="U76" s="331" t="e">
        <f>IF(#REF!=0,"x","")</f>
        <v>#REF!</v>
      </c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2">
        <f t="shared" si="3"/>
        <v>0</v>
      </c>
      <c r="AJ76" s="338"/>
    </row>
    <row r="77" spans="1:36">
      <c r="A77" s="326" t="s">
        <v>138</v>
      </c>
      <c r="B77" s="327" t="s">
        <v>416</v>
      </c>
      <c r="C77" s="326"/>
      <c r="D77" s="328" t="e">
        <f t="shared" ref="D77:AI77" si="4">SUM(D78:D93)</f>
        <v>#REF!</v>
      </c>
      <c r="E77" s="328" t="e">
        <f t="shared" si="4"/>
        <v>#REF!</v>
      </c>
      <c r="F77" s="328" t="e">
        <f t="shared" si="4"/>
        <v>#REF!</v>
      </c>
      <c r="G77" s="328" t="e">
        <f t="shared" si="4"/>
        <v>#REF!</v>
      </c>
      <c r="H77" s="328" t="e">
        <f t="shared" si="4"/>
        <v>#REF!</v>
      </c>
      <c r="I77" s="328" t="e">
        <f t="shared" si="4"/>
        <v>#REF!</v>
      </c>
      <c r="J77" s="328" t="e">
        <f t="shared" si="4"/>
        <v>#REF!</v>
      </c>
      <c r="K77" s="328" t="e">
        <f t="shared" si="4"/>
        <v>#REF!</v>
      </c>
      <c r="L77" s="328" t="e">
        <f t="shared" si="4"/>
        <v>#REF!</v>
      </c>
      <c r="M77" s="328" t="e">
        <f t="shared" si="4"/>
        <v>#REF!</v>
      </c>
      <c r="N77" s="328" t="e">
        <f t="shared" si="4"/>
        <v>#REF!</v>
      </c>
      <c r="O77" s="328" t="e">
        <f t="shared" si="4"/>
        <v>#REF!</v>
      </c>
      <c r="P77" s="328" t="e">
        <f t="shared" si="4"/>
        <v>#REF!</v>
      </c>
      <c r="Q77" s="328" t="e">
        <f t="shared" si="4"/>
        <v>#REF!</v>
      </c>
      <c r="R77" s="328" t="e">
        <f t="shared" si="4"/>
        <v>#REF!</v>
      </c>
      <c r="S77" s="328" t="e">
        <f t="shared" si="4"/>
        <v>#REF!</v>
      </c>
      <c r="T77" s="328" t="e">
        <f t="shared" si="4"/>
        <v>#REF!</v>
      </c>
      <c r="U77" s="328" t="e">
        <f t="shared" si="4"/>
        <v>#REF!</v>
      </c>
      <c r="V77" s="328" t="e">
        <f t="shared" si="4"/>
        <v>#REF!</v>
      </c>
      <c r="W77" s="328" t="e">
        <f t="shared" si="4"/>
        <v>#REF!</v>
      </c>
      <c r="X77" s="328" t="e">
        <f t="shared" si="4"/>
        <v>#REF!</v>
      </c>
      <c r="Y77" s="328" t="e">
        <f t="shared" si="4"/>
        <v>#REF!</v>
      </c>
      <c r="Z77" s="328" t="e">
        <f t="shared" si="4"/>
        <v>#REF!</v>
      </c>
      <c r="AA77" s="328" t="e">
        <f t="shared" si="4"/>
        <v>#REF!</v>
      </c>
      <c r="AB77" s="328" t="e">
        <f t="shared" si="4"/>
        <v>#REF!</v>
      </c>
      <c r="AC77" s="328" t="e">
        <f t="shared" si="4"/>
        <v>#REF!</v>
      </c>
      <c r="AD77" s="328" t="e">
        <f t="shared" si="4"/>
        <v>#REF!</v>
      </c>
      <c r="AE77" s="328" t="e">
        <f t="shared" si="4"/>
        <v>#REF!</v>
      </c>
      <c r="AF77" s="328" t="e">
        <f t="shared" si="4"/>
        <v>#REF!</v>
      </c>
      <c r="AG77" s="328" t="e">
        <f t="shared" si="4"/>
        <v>#REF!</v>
      </c>
      <c r="AH77" s="328">
        <f t="shared" si="4"/>
        <v>0</v>
      </c>
      <c r="AI77" s="328">
        <f t="shared" si="4"/>
        <v>0</v>
      </c>
      <c r="AJ77" s="329"/>
    </row>
    <row r="78" spans="1:36">
      <c r="A78" s="288">
        <v>1</v>
      </c>
      <c r="B78" s="510" t="s">
        <v>276</v>
      </c>
      <c r="C78" s="290" t="s">
        <v>274</v>
      </c>
      <c r="D78" s="331" t="e">
        <f>IF(#REF!=0,"x","")</f>
        <v>#REF!</v>
      </c>
      <c r="E78" s="331" t="e">
        <f>IF(#REF!=0,"x","")</f>
        <v>#REF!</v>
      </c>
      <c r="F78" s="331" t="e">
        <f>IF(#REF!=0,"x","")</f>
        <v>#REF!</v>
      </c>
      <c r="G78" s="331" t="e">
        <f>IF(#REF!=0,"x","")</f>
        <v>#REF!</v>
      </c>
      <c r="H78" s="331" t="e">
        <f>IF(#REF!=0,"x","")</f>
        <v>#REF!</v>
      </c>
      <c r="I78" s="331" t="e">
        <f>IF(#REF!=0,"x","")</f>
        <v>#REF!</v>
      </c>
      <c r="J78" s="331" t="e">
        <f>IF(#REF!=0,"x","")</f>
        <v>#REF!</v>
      </c>
      <c r="K78" s="331" t="e">
        <f>IF(#REF!=0,"x","")</f>
        <v>#REF!</v>
      </c>
      <c r="L78" s="331" t="e">
        <f>IF(#REF!=0,"x","")</f>
        <v>#REF!</v>
      </c>
      <c r="M78" s="331" t="e">
        <f>IF(#REF!=0,"x","")</f>
        <v>#REF!</v>
      </c>
      <c r="N78" s="331" t="e">
        <f>IF(#REF!=0,"x","")</f>
        <v>#REF!</v>
      </c>
      <c r="O78" s="331" t="e">
        <f>IF(#REF!=0,"x","")</f>
        <v>#REF!</v>
      </c>
      <c r="P78" s="331" t="e">
        <f>IF(#REF!=0,"x","")</f>
        <v>#REF!</v>
      </c>
      <c r="Q78" s="331" t="e">
        <f>IF(#REF!=0,"x","")</f>
        <v>#REF!</v>
      </c>
      <c r="R78" s="331" t="e">
        <f>IF(#REF!=0,"x","")</f>
        <v>#REF!</v>
      </c>
      <c r="S78" s="331" t="e">
        <f>IF(#REF!=0,"x","")</f>
        <v>#REF!</v>
      </c>
      <c r="T78" s="331" t="e">
        <f>IF(#REF!=0,"x","")</f>
        <v>#REF!</v>
      </c>
      <c r="U78" s="331" t="e">
        <f>IF(#REF!=0,"x","")</f>
        <v>#REF!</v>
      </c>
      <c r="V78" s="331" t="e">
        <f>IF(#REF!=0,"x","")</f>
        <v>#REF!</v>
      </c>
      <c r="W78" s="331" t="e">
        <f>IF(#REF!=0,"x","")</f>
        <v>#REF!</v>
      </c>
      <c r="X78" s="331" t="e">
        <f>IF(#REF!=0,"x","")</f>
        <v>#REF!</v>
      </c>
      <c r="Y78" s="331" t="e">
        <f>IF(#REF!=0,"x","")</f>
        <v>#REF!</v>
      </c>
      <c r="Z78" s="331" t="e">
        <f>IF(#REF!=0,"x","")</f>
        <v>#REF!</v>
      </c>
      <c r="AA78" s="331" t="e">
        <f>IF(#REF!=0,"x","")</f>
        <v>#REF!</v>
      </c>
      <c r="AB78" s="331" t="e">
        <f>IF(#REF!=0,"x","")</f>
        <v>#REF!</v>
      </c>
      <c r="AC78" s="331" t="e">
        <f>IF(#REF!=0,"x","")</f>
        <v>#REF!</v>
      </c>
      <c r="AD78" s="331" t="e">
        <f>IF(#REF!=0,"x","")</f>
        <v>#REF!</v>
      </c>
      <c r="AE78" s="331" t="e">
        <f>IF(#REF!=0,"x","")</f>
        <v>#REF!</v>
      </c>
      <c r="AF78" s="331" t="e">
        <f>IF(#REF!=0,"x","")</f>
        <v>#REF!</v>
      </c>
      <c r="AG78" s="331" t="e">
        <f>IF(#REF!=0,"x","")</f>
        <v>#REF!</v>
      </c>
      <c r="AH78" s="331"/>
      <c r="AI78" s="332">
        <f t="shared" si="3"/>
        <v>0</v>
      </c>
      <c r="AJ78" s="337"/>
    </row>
    <row r="79" spans="1:36">
      <c r="A79" s="234">
        <v>2</v>
      </c>
      <c r="B79" s="504" t="s">
        <v>333</v>
      </c>
      <c r="C79" s="290" t="s">
        <v>274</v>
      </c>
      <c r="D79" s="331" t="e">
        <f>IF(#REF!=0,"x","")</f>
        <v>#REF!</v>
      </c>
      <c r="E79" s="331" t="e">
        <f>IF(#REF!=0,"x","")</f>
        <v>#REF!</v>
      </c>
      <c r="F79" s="331" t="e">
        <f>IF(#REF!=0,"x","")</f>
        <v>#REF!</v>
      </c>
      <c r="G79" s="331" t="e">
        <f>IF(#REF!=0,"x","")</f>
        <v>#REF!</v>
      </c>
      <c r="H79" s="331" t="e">
        <f>IF(#REF!=0,"x","")</f>
        <v>#REF!</v>
      </c>
      <c r="I79" s="331" t="e">
        <f>IF(#REF!=0,"x","")</f>
        <v>#REF!</v>
      </c>
      <c r="J79" s="331" t="e">
        <f>IF(#REF!=0,"x","")</f>
        <v>#REF!</v>
      </c>
      <c r="K79" s="331" t="e">
        <f>IF(#REF!=0,"x","")</f>
        <v>#REF!</v>
      </c>
      <c r="L79" s="331" t="e">
        <f>IF(#REF!=0,"x","")</f>
        <v>#REF!</v>
      </c>
      <c r="M79" s="331" t="e">
        <f>IF(#REF!=0,"x","")</f>
        <v>#REF!</v>
      </c>
      <c r="N79" s="331" t="e">
        <f>IF(#REF!=0,"x","")</f>
        <v>#REF!</v>
      </c>
      <c r="O79" s="331" t="e">
        <f>IF(#REF!=0,"x","")</f>
        <v>#REF!</v>
      </c>
      <c r="P79" s="331" t="e">
        <f>IF(#REF!=0,"x","")</f>
        <v>#REF!</v>
      </c>
      <c r="Q79" s="331" t="e">
        <f>IF(#REF!=0,"x","")</f>
        <v>#REF!</v>
      </c>
      <c r="R79" s="331" t="e">
        <f>IF(#REF!=0,"x","")</f>
        <v>#REF!</v>
      </c>
      <c r="S79" s="331" t="e">
        <f>IF(#REF!=0,"x","")</f>
        <v>#REF!</v>
      </c>
      <c r="T79" s="331" t="e">
        <f>IF(#REF!=0,"x","")</f>
        <v>#REF!</v>
      </c>
      <c r="U79" s="331" t="e">
        <f>IF(#REF!=0,"x","")</f>
        <v>#REF!</v>
      </c>
      <c r="V79" s="331" t="e">
        <f>IF(#REF!=0,"x","")</f>
        <v>#REF!</v>
      </c>
      <c r="W79" s="331" t="e">
        <f>IF(#REF!=0,"x","")</f>
        <v>#REF!</v>
      </c>
      <c r="X79" s="331" t="e">
        <f>IF(#REF!=0,"x","")</f>
        <v>#REF!</v>
      </c>
      <c r="Y79" s="331" t="e">
        <f>IF(#REF!=0,"x","")</f>
        <v>#REF!</v>
      </c>
      <c r="Z79" s="331" t="e">
        <f>IF(#REF!=0,"x","")</f>
        <v>#REF!</v>
      </c>
      <c r="AA79" s="331" t="e">
        <f>IF(#REF!=0,"x","")</f>
        <v>#REF!</v>
      </c>
      <c r="AB79" s="331" t="e">
        <f>IF(#REF!=0,"x","")</f>
        <v>#REF!</v>
      </c>
      <c r="AC79" s="331" t="e">
        <f>IF(#REF!=0,"x","")</f>
        <v>#REF!</v>
      </c>
      <c r="AD79" s="331" t="e">
        <f>IF(#REF!=0,"x","")</f>
        <v>#REF!</v>
      </c>
      <c r="AE79" s="331" t="e">
        <f>IF(#REF!=0,"x","")</f>
        <v>#REF!</v>
      </c>
      <c r="AF79" s="331" t="e">
        <f>IF(#REF!=0,"x","")</f>
        <v>#REF!</v>
      </c>
      <c r="AG79" s="331" t="e">
        <f>IF(#REF!=0,"x","")</f>
        <v>#REF!</v>
      </c>
      <c r="AH79" s="331"/>
      <c r="AI79" s="332">
        <f t="shared" si="3"/>
        <v>0</v>
      </c>
      <c r="AJ79" s="338"/>
    </row>
    <row r="80" spans="1:36">
      <c r="A80" s="234">
        <v>3</v>
      </c>
      <c r="B80" s="504" t="s">
        <v>334</v>
      </c>
      <c r="C80" s="290" t="s">
        <v>274</v>
      </c>
      <c r="D80" s="331" t="e">
        <f>IF(#REF!=0,"x","")</f>
        <v>#REF!</v>
      </c>
      <c r="E80" s="331" t="e">
        <f>IF(#REF!=0,"x","")</f>
        <v>#REF!</v>
      </c>
      <c r="F80" s="331" t="e">
        <f>IF(#REF!=0,"x","")</f>
        <v>#REF!</v>
      </c>
      <c r="G80" s="331" t="e">
        <f>IF(#REF!=0,"x","")</f>
        <v>#REF!</v>
      </c>
      <c r="H80" s="331" t="e">
        <f>IF(#REF!=0,"x","")</f>
        <v>#REF!</v>
      </c>
      <c r="I80" s="331" t="e">
        <f>IF(#REF!=0,"x","")</f>
        <v>#REF!</v>
      </c>
      <c r="J80" s="331" t="e">
        <f>IF(#REF!=0,"x","")</f>
        <v>#REF!</v>
      </c>
      <c r="K80" s="331" t="e">
        <f>IF(#REF!=0,"x","")</f>
        <v>#REF!</v>
      </c>
      <c r="L80" s="331" t="e">
        <f>IF(#REF!=0,"x","")</f>
        <v>#REF!</v>
      </c>
      <c r="M80" s="331" t="e">
        <f>IF(#REF!=0,"x","")</f>
        <v>#REF!</v>
      </c>
      <c r="N80" s="331" t="e">
        <f>IF(#REF!=0,"x","")</f>
        <v>#REF!</v>
      </c>
      <c r="O80" s="331" t="e">
        <f>IF(#REF!=0,"x","")</f>
        <v>#REF!</v>
      </c>
      <c r="P80" s="331" t="e">
        <f>IF(#REF!=0,"x","")</f>
        <v>#REF!</v>
      </c>
      <c r="Q80" s="331" t="e">
        <f>IF(#REF!=0,"x","")</f>
        <v>#REF!</v>
      </c>
      <c r="R80" s="331" t="e">
        <f>IF(#REF!=0,"x","")</f>
        <v>#REF!</v>
      </c>
      <c r="S80" s="331" t="e">
        <f>IF(#REF!=0,"x","")</f>
        <v>#REF!</v>
      </c>
      <c r="T80" s="331" t="e">
        <f>IF(#REF!=0,"x","")</f>
        <v>#REF!</v>
      </c>
      <c r="U80" s="331" t="e">
        <f>IF(#REF!=0,"x","")</f>
        <v>#REF!</v>
      </c>
      <c r="V80" s="331" t="e">
        <f>IF(#REF!=0,"x","")</f>
        <v>#REF!</v>
      </c>
      <c r="W80" s="331" t="e">
        <f>IF(#REF!=0,"x","")</f>
        <v>#REF!</v>
      </c>
      <c r="X80" s="331" t="e">
        <f>IF(#REF!=0,"x","")</f>
        <v>#REF!</v>
      </c>
      <c r="Y80" s="331" t="e">
        <f>IF(#REF!=0,"x","")</f>
        <v>#REF!</v>
      </c>
      <c r="Z80" s="331" t="e">
        <f>IF(#REF!=0,"x","")</f>
        <v>#REF!</v>
      </c>
      <c r="AA80" s="331" t="e">
        <f>IF(#REF!=0,"x","")</f>
        <v>#REF!</v>
      </c>
      <c r="AB80" s="331" t="e">
        <f>IF(#REF!=0,"x","")</f>
        <v>#REF!</v>
      </c>
      <c r="AC80" s="331" t="e">
        <f>IF(#REF!=0,"x","")</f>
        <v>#REF!</v>
      </c>
      <c r="AD80" s="331" t="e">
        <f>IF(#REF!=0,"x","")</f>
        <v>#REF!</v>
      </c>
      <c r="AE80" s="331" t="e">
        <f>IF(#REF!=0,"x","")</f>
        <v>#REF!</v>
      </c>
      <c r="AF80" s="331" t="e">
        <f>IF(#REF!=0,"x","")</f>
        <v>#REF!</v>
      </c>
      <c r="AG80" s="331" t="e">
        <f>IF(#REF!=0,"x","")</f>
        <v>#REF!</v>
      </c>
      <c r="AH80" s="331"/>
      <c r="AI80" s="332">
        <f t="shared" si="3"/>
        <v>0</v>
      </c>
      <c r="AJ80" s="338"/>
    </row>
    <row r="81" spans="1:36">
      <c r="A81" s="234">
        <v>4</v>
      </c>
      <c r="B81" s="511" t="s">
        <v>351</v>
      </c>
      <c r="C81" s="294" t="s">
        <v>274</v>
      </c>
      <c r="D81" s="331" t="e">
        <f>IF(#REF!=0,"x","")</f>
        <v>#REF!</v>
      </c>
      <c r="E81" s="331" t="e">
        <f>IF(#REF!=0,"x","")</f>
        <v>#REF!</v>
      </c>
      <c r="F81" s="331" t="e">
        <f>IF(#REF!=0,"x","")</f>
        <v>#REF!</v>
      </c>
      <c r="G81" s="331" t="e">
        <f>IF(#REF!=0,"x","")</f>
        <v>#REF!</v>
      </c>
      <c r="H81" s="331" t="e">
        <f>IF(#REF!=0,"x","")</f>
        <v>#REF!</v>
      </c>
      <c r="I81" s="331" t="e">
        <f>IF(#REF!=0,"x","")</f>
        <v>#REF!</v>
      </c>
      <c r="J81" s="331" t="e">
        <f>IF(#REF!=0,"x","")</f>
        <v>#REF!</v>
      </c>
      <c r="K81" s="331" t="e">
        <f>IF(#REF!=0,"x","")</f>
        <v>#REF!</v>
      </c>
      <c r="L81" s="331" t="e">
        <f>IF(#REF!=0,"x","")</f>
        <v>#REF!</v>
      </c>
      <c r="M81" s="331" t="e">
        <f>IF(#REF!=0,"x","")</f>
        <v>#REF!</v>
      </c>
      <c r="N81" s="331" t="e">
        <f>IF(#REF!=0,"x","")</f>
        <v>#REF!</v>
      </c>
      <c r="O81" s="331" t="e">
        <f>IF(#REF!=0,"x","")</f>
        <v>#REF!</v>
      </c>
      <c r="P81" s="331" t="e">
        <f>IF(#REF!=0,"x","")</f>
        <v>#REF!</v>
      </c>
      <c r="Q81" s="331" t="e">
        <f>IF(#REF!=0,"x","")</f>
        <v>#REF!</v>
      </c>
      <c r="R81" s="331" t="e">
        <f>IF(#REF!=0,"x","")</f>
        <v>#REF!</v>
      </c>
      <c r="S81" s="331" t="e">
        <f>IF(#REF!=0,"x","")</f>
        <v>#REF!</v>
      </c>
      <c r="T81" s="331" t="e">
        <f>IF(#REF!=0,"x","")</f>
        <v>#REF!</v>
      </c>
      <c r="U81" s="331" t="e">
        <f>IF(#REF!=0,"x","")</f>
        <v>#REF!</v>
      </c>
      <c r="V81" s="331" t="e">
        <f>IF(#REF!=0,"x","")</f>
        <v>#REF!</v>
      </c>
      <c r="W81" s="331" t="e">
        <f>IF(#REF!=0,"x","")</f>
        <v>#REF!</v>
      </c>
      <c r="X81" s="331" t="e">
        <f>IF(#REF!=0,"x","")</f>
        <v>#REF!</v>
      </c>
      <c r="Y81" s="331" t="e">
        <f>IF(#REF!=0,"x","")</f>
        <v>#REF!</v>
      </c>
      <c r="Z81" s="331" t="e">
        <f>IF(#REF!=0,"x","")</f>
        <v>#REF!</v>
      </c>
      <c r="AA81" s="331" t="e">
        <f>IF(#REF!=0,"x","")</f>
        <v>#REF!</v>
      </c>
      <c r="AB81" s="331" t="e">
        <f>IF(#REF!=0,"x","")</f>
        <v>#REF!</v>
      </c>
      <c r="AC81" s="331" t="e">
        <f>IF(#REF!=0,"x","")</f>
        <v>#REF!</v>
      </c>
      <c r="AD81" s="331" t="e">
        <f>IF(#REF!=0,"x","")</f>
        <v>#REF!</v>
      </c>
      <c r="AE81" s="331" t="e">
        <f>IF(#REF!=0,"x","")</f>
        <v>#REF!</v>
      </c>
      <c r="AF81" s="331" t="e">
        <f>IF(#REF!=0,"x","")</f>
        <v>#REF!</v>
      </c>
      <c r="AG81" s="331" t="e">
        <f>IF(#REF!=0,"x","")</f>
        <v>#REF!</v>
      </c>
      <c r="AH81" s="331"/>
      <c r="AI81" s="332">
        <f t="shared" si="3"/>
        <v>0</v>
      </c>
      <c r="AJ81" s="338"/>
    </row>
    <row r="82" spans="1:36">
      <c r="A82" s="234">
        <v>5</v>
      </c>
      <c r="B82" s="504" t="s">
        <v>277</v>
      </c>
      <c r="C82" s="290" t="s">
        <v>274</v>
      </c>
      <c r="D82" s="331" t="e">
        <f>IF(#REF!=0,"x","")</f>
        <v>#REF!</v>
      </c>
      <c r="E82" s="331" t="e">
        <f>IF(#REF!=0,"x","")</f>
        <v>#REF!</v>
      </c>
      <c r="F82" s="331" t="e">
        <f>IF(#REF!=0,"x","")</f>
        <v>#REF!</v>
      </c>
      <c r="G82" s="331" t="e">
        <f>IF(#REF!=0,"x","")</f>
        <v>#REF!</v>
      </c>
      <c r="H82" s="331" t="e">
        <f>IF(#REF!=0,"x","")</f>
        <v>#REF!</v>
      </c>
      <c r="I82" s="331" t="e">
        <f>IF(#REF!=0,"x","")</f>
        <v>#REF!</v>
      </c>
      <c r="J82" s="331" t="e">
        <f>IF(#REF!=0,"x","")</f>
        <v>#REF!</v>
      </c>
      <c r="K82" s="331" t="e">
        <f>IF(#REF!=0,"x","")</f>
        <v>#REF!</v>
      </c>
      <c r="L82" s="331" t="e">
        <f>IF(#REF!=0,"x","")</f>
        <v>#REF!</v>
      </c>
      <c r="M82" s="331" t="e">
        <f>IF(#REF!=0,"x","")</f>
        <v>#REF!</v>
      </c>
      <c r="N82" s="331" t="e">
        <f>IF(#REF!=0,"x","")</f>
        <v>#REF!</v>
      </c>
      <c r="O82" s="331" t="e">
        <f>IF(#REF!=0,"x","")</f>
        <v>#REF!</v>
      </c>
      <c r="P82" s="331" t="e">
        <f>IF(#REF!=0,"x","")</f>
        <v>#REF!</v>
      </c>
      <c r="Q82" s="331" t="e">
        <f>IF(#REF!=0,"x","")</f>
        <v>#REF!</v>
      </c>
      <c r="R82" s="331" t="e">
        <f>IF(#REF!=0,"x","")</f>
        <v>#REF!</v>
      </c>
      <c r="S82" s="331" t="e">
        <f>IF(#REF!=0,"x","")</f>
        <v>#REF!</v>
      </c>
      <c r="T82" s="331" t="e">
        <f>IF(#REF!=0,"x","")</f>
        <v>#REF!</v>
      </c>
      <c r="U82" s="331" t="e">
        <f>IF(#REF!=0,"x","")</f>
        <v>#REF!</v>
      </c>
      <c r="V82" s="331" t="e">
        <f>IF(#REF!=0,"x","")</f>
        <v>#REF!</v>
      </c>
      <c r="W82" s="331" t="e">
        <f>IF(#REF!=0,"x","")</f>
        <v>#REF!</v>
      </c>
      <c r="X82" s="331" t="e">
        <f>IF(#REF!=0,"x","")</f>
        <v>#REF!</v>
      </c>
      <c r="Y82" s="331" t="e">
        <f>IF(#REF!=0,"x","")</f>
        <v>#REF!</v>
      </c>
      <c r="Z82" s="331" t="e">
        <f>IF(#REF!=0,"x","")</f>
        <v>#REF!</v>
      </c>
      <c r="AA82" s="331" t="e">
        <f>IF(#REF!=0,"x","")</f>
        <v>#REF!</v>
      </c>
      <c r="AB82" s="331" t="e">
        <f>IF(#REF!=0,"x","")</f>
        <v>#REF!</v>
      </c>
      <c r="AC82" s="331" t="e">
        <f>IF(#REF!=0,"x","")</f>
        <v>#REF!</v>
      </c>
      <c r="AD82" s="331" t="e">
        <f>IF(#REF!=0,"x","")</f>
        <v>#REF!</v>
      </c>
      <c r="AE82" s="331" t="e">
        <f>IF(#REF!=0,"x","")</f>
        <v>#REF!</v>
      </c>
      <c r="AF82" s="331" t="e">
        <f>IF(#REF!=0,"x","")</f>
        <v>#REF!</v>
      </c>
      <c r="AG82" s="331" t="e">
        <f>IF(#REF!=0,"x","")</f>
        <v>#REF!</v>
      </c>
      <c r="AH82" s="331"/>
      <c r="AI82" s="332">
        <f t="shared" si="3"/>
        <v>0</v>
      </c>
      <c r="AJ82" s="338"/>
    </row>
    <row r="83" spans="1:36">
      <c r="A83" s="234">
        <v>6</v>
      </c>
      <c r="B83" s="509" t="s">
        <v>279</v>
      </c>
      <c r="C83" s="290" t="s">
        <v>274</v>
      </c>
      <c r="D83" s="331" t="e">
        <f>IF(#REF!=0,"x","")</f>
        <v>#REF!</v>
      </c>
      <c r="E83" s="331" t="e">
        <f>IF(#REF!=0,"x","")</f>
        <v>#REF!</v>
      </c>
      <c r="F83" s="331" t="e">
        <f>IF(#REF!=0,"x","")</f>
        <v>#REF!</v>
      </c>
      <c r="G83" s="331" t="e">
        <f>IF(#REF!=0,"x","")</f>
        <v>#REF!</v>
      </c>
      <c r="H83" s="331" t="e">
        <f>IF(#REF!=0,"x","")</f>
        <v>#REF!</v>
      </c>
      <c r="I83" s="331" t="e">
        <f>IF(#REF!=0,"x","")</f>
        <v>#REF!</v>
      </c>
      <c r="J83" s="331" t="e">
        <f>IF(#REF!=0,"x","")</f>
        <v>#REF!</v>
      </c>
      <c r="K83" s="331" t="e">
        <f>IF(#REF!=0,"x","")</f>
        <v>#REF!</v>
      </c>
      <c r="L83" s="331" t="e">
        <f>IF(#REF!=0,"x","")</f>
        <v>#REF!</v>
      </c>
      <c r="M83" s="331" t="e">
        <f>IF(#REF!=0,"x","")</f>
        <v>#REF!</v>
      </c>
      <c r="N83" s="331" t="e">
        <f>IF(#REF!=0,"x","")</f>
        <v>#REF!</v>
      </c>
      <c r="O83" s="331" t="e">
        <f>IF(#REF!=0,"x","")</f>
        <v>#REF!</v>
      </c>
      <c r="P83" s="331" t="e">
        <f>IF(#REF!=0,"x","")</f>
        <v>#REF!</v>
      </c>
      <c r="Q83" s="331" t="e">
        <f>IF(#REF!=0,"x","")</f>
        <v>#REF!</v>
      </c>
      <c r="R83" s="331" t="e">
        <f>IF(#REF!=0,"x","")</f>
        <v>#REF!</v>
      </c>
      <c r="S83" s="331" t="e">
        <f>IF(#REF!=0,"x","")</f>
        <v>#REF!</v>
      </c>
      <c r="T83" s="331" t="e">
        <f>IF(#REF!=0,"x","")</f>
        <v>#REF!</v>
      </c>
      <c r="U83" s="331" t="e">
        <f>IF(#REF!=0,"x","")</f>
        <v>#REF!</v>
      </c>
      <c r="V83" s="331" t="e">
        <f>IF(#REF!=0,"x","")</f>
        <v>#REF!</v>
      </c>
      <c r="W83" s="331" t="e">
        <f>IF(#REF!=0,"x","")</f>
        <v>#REF!</v>
      </c>
      <c r="X83" s="331" t="e">
        <f>IF(#REF!=0,"x","")</f>
        <v>#REF!</v>
      </c>
      <c r="Y83" s="331" t="e">
        <f>IF(#REF!=0,"x","")</f>
        <v>#REF!</v>
      </c>
      <c r="Z83" s="331" t="e">
        <f>IF(#REF!=0,"x","")</f>
        <v>#REF!</v>
      </c>
      <c r="AA83" s="331" t="e">
        <f>IF(#REF!=0,"x","")</f>
        <v>#REF!</v>
      </c>
      <c r="AB83" s="331" t="e">
        <f>IF(#REF!=0,"x","")</f>
        <v>#REF!</v>
      </c>
      <c r="AC83" s="331" t="e">
        <f>IF(#REF!=0,"x","")</f>
        <v>#REF!</v>
      </c>
      <c r="AD83" s="331" t="e">
        <f>IF(#REF!=0,"x","")</f>
        <v>#REF!</v>
      </c>
      <c r="AE83" s="331" t="e">
        <f>IF(#REF!=0,"x","")</f>
        <v>#REF!</v>
      </c>
      <c r="AF83" s="331" t="e">
        <f>IF(#REF!=0,"x","")</f>
        <v>#REF!</v>
      </c>
      <c r="AG83" s="331" t="e">
        <f>IF(#REF!=0,"x","")</f>
        <v>#REF!</v>
      </c>
      <c r="AH83" s="331"/>
      <c r="AI83" s="332">
        <f t="shared" si="3"/>
        <v>0</v>
      </c>
      <c r="AJ83" s="338"/>
    </row>
    <row r="84" spans="1:36">
      <c r="A84" s="234">
        <v>7</v>
      </c>
      <c r="B84" s="504" t="s">
        <v>335</v>
      </c>
      <c r="C84" s="295" t="s">
        <v>274</v>
      </c>
      <c r="D84" s="331" t="e">
        <f>IF(#REF!=0,"x","")</f>
        <v>#REF!</v>
      </c>
      <c r="E84" s="331" t="e">
        <f>IF(#REF!=0,"x","")</f>
        <v>#REF!</v>
      </c>
      <c r="F84" s="331" t="e">
        <f>IF(#REF!=0,"x","")</f>
        <v>#REF!</v>
      </c>
      <c r="G84" s="331" t="e">
        <f>IF(#REF!=0,"x","")</f>
        <v>#REF!</v>
      </c>
      <c r="H84" s="331" t="e">
        <f>IF(#REF!=0,"x","")</f>
        <v>#REF!</v>
      </c>
      <c r="I84" s="331" t="e">
        <f>IF(#REF!=0,"x","")</f>
        <v>#REF!</v>
      </c>
      <c r="J84" s="331" t="e">
        <f>IF(#REF!=0,"x","")</f>
        <v>#REF!</v>
      </c>
      <c r="K84" s="331" t="e">
        <f>IF(#REF!=0,"x","")</f>
        <v>#REF!</v>
      </c>
      <c r="L84" s="331" t="e">
        <f>IF(#REF!=0,"x","")</f>
        <v>#REF!</v>
      </c>
      <c r="M84" s="331" t="e">
        <f>IF(#REF!=0,"x","")</f>
        <v>#REF!</v>
      </c>
      <c r="N84" s="331" t="e">
        <f>IF(#REF!=0,"x","")</f>
        <v>#REF!</v>
      </c>
      <c r="O84" s="331" t="e">
        <f>IF(#REF!=0,"x","")</f>
        <v>#REF!</v>
      </c>
      <c r="P84" s="331" t="e">
        <f>IF(#REF!=0,"x","")</f>
        <v>#REF!</v>
      </c>
      <c r="Q84" s="331" t="e">
        <f>IF(#REF!=0,"x","")</f>
        <v>#REF!</v>
      </c>
      <c r="R84" s="331" t="e">
        <f>IF(#REF!=0,"x","")</f>
        <v>#REF!</v>
      </c>
      <c r="S84" s="331" t="e">
        <f>IF(#REF!=0,"x","")</f>
        <v>#REF!</v>
      </c>
      <c r="T84" s="331" t="e">
        <f>IF(#REF!=0,"x","")</f>
        <v>#REF!</v>
      </c>
      <c r="U84" s="331" t="e">
        <f>IF(#REF!=0,"x","")</f>
        <v>#REF!</v>
      </c>
      <c r="V84" s="331" t="e">
        <f>IF(#REF!=0,"x","")</f>
        <v>#REF!</v>
      </c>
      <c r="W84" s="331" t="e">
        <f>IF(#REF!=0,"x","")</f>
        <v>#REF!</v>
      </c>
      <c r="X84" s="331" t="e">
        <f>IF(#REF!=0,"x","")</f>
        <v>#REF!</v>
      </c>
      <c r="Y84" s="331" t="e">
        <f>IF(#REF!=0,"x","")</f>
        <v>#REF!</v>
      </c>
      <c r="Z84" s="331" t="e">
        <f>IF(#REF!=0,"x","")</f>
        <v>#REF!</v>
      </c>
      <c r="AA84" s="331" t="e">
        <f>IF(#REF!=0,"x","")</f>
        <v>#REF!</v>
      </c>
      <c r="AB84" s="331" t="e">
        <f>IF(#REF!=0,"x","")</f>
        <v>#REF!</v>
      </c>
      <c r="AC84" s="331" t="e">
        <f>IF(#REF!=0,"x","")</f>
        <v>#REF!</v>
      </c>
      <c r="AD84" s="331" t="e">
        <f>IF(#REF!=0,"x","")</f>
        <v>#REF!</v>
      </c>
      <c r="AE84" s="331" t="e">
        <f>IF(#REF!=0,"x","")</f>
        <v>#REF!</v>
      </c>
      <c r="AF84" s="331" t="e">
        <f>IF(#REF!=0,"x","")</f>
        <v>#REF!</v>
      </c>
      <c r="AG84" s="331" t="e">
        <f>IF(#REF!=0,"x","")</f>
        <v>#REF!</v>
      </c>
      <c r="AH84" s="331"/>
      <c r="AI84" s="332">
        <f t="shared" si="3"/>
        <v>0</v>
      </c>
      <c r="AJ84" s="338"/>
    </row>
    <row r="85" spans="1:36">
      <c r="A85" s="234">
        <v>8</v>
      </c>
      <c r="B85" s="504" t="s">
        <v>286</v>
      </c>
      <c r="C85" s="290" t="s">
        <v>243</v>
      </c>
      <c r="D85" s="331" t="e">
        <f>IF(#REF!=0,"x","")</f>
        <v>#REF!</v>
      </c>
      <c r="E85" s="331" t="e">
        <f>IF(#REF!=0,"x","")</f>
        <v>#REF!</v>
      </c>
      <c r="F85" s="331" t="e">
        <f>IF(#REF!=0,"x","")</f>
        <v>#REF!</v>
      </c>
      <c r="G85" s="331" t="e">
        <f>IF(#REF!=0,"x","")</f>
        <v>#REF!</v>
      </c>
      <c r="H85" s="331" t="e">
        <f>IF(#REF!=0,"x","")</f>
        <v>#REF!</v>
      </c>
      <c r="I85" s="331" t="e">
        <f>IF(#REF!=0,"x","")</f>
        <v>#REF!</v>
      </c>
      <c r="J85" s="331" t="e">
        <f>IF(#REF!=0,"x","")</f>
        <v>#REF!</v>
      </c>
      <c r="K85" s="331" t="e">
        <f>IF(#REF!=0,"x","")</f>
        <v>#REF!</v>
      </c>
      <c r="L85" s="331" t="e">
        <f>IF(#REF!=0,"x","")</f>
        <v>#REF!</v>
      </c>
      <c r="M85" s="331" t="e">
        <f>IF(#REF!=0,"x","")</f>
        <v>#REF!</v>
      </c>
      <c r="N85" s="331" t="e">
        <f>IF(#REF!=0,"x","")</f>
        <v>#REF!</v>
      </c>
      <c r="O85" s="331" t="e">
        <f>IF(#REF!=0,"x","")</f>
        <v>#REF!</v>
      </c>
      <c r="P85" s="331" t="e">
        <f>IF(#REF!=0,"x","")</f>
        <v>#REF!</v>
      </c>
      <c r="Q85" s="331" t="e">
        <f>IF(#REF!=0,"x","")</f>
        <v>#REF!</v>
      </c>
      <c r="R85" s="331" t="e">
        <f>IF(#REF!=0,"x","")</f>
        <v>#REF!</v>
      </c>
      <c r="S85" s="331" t="e">
        <f>IF(#REF!=0,"x","")</f>
        <v>#REF!</v>
      </c>
      <c r="T85" s="331" t="e">
        <f>IF(#REF!=0,"x","")</f>
        <v>#REF!</v>
      </c>
      <c r="U85" s="331" t="e">
        <f>IF(#REF!=0,"x","")</f>
        <v>#REF!</v>
      </c>
      <c r="V85" s="331" t="e">
        <f>IF(#REF!=0,"x","")</f>
        <v>#REF!</v>
      </c>
      <c r="W85" s="331" t="e">
        <f>IF(#REF!=0,"x","")</f>
        <v>#REF!</v>
      </c>
      <c r="X85" s="331" t="e">
        <f>IF(#REF!=0,"x","")</f>
        <v>#REF!</v>
      </c>
      <c r="Y85" s="331" t="e">
        <f>IF(#REF!=0,"x","")</f>
        <v>#REF!</v>
      </c>
      <c r="Z85" s="331" t="e">
        <f>IF(#REF!=0,"x","")</f>
        <v>#REF!</v>
      </c>
      <c r="AA85" s="331" t="e">
        <f>IF(#REF!=0,"x","")</f>
        <v>#REF!</v>
      </c>
      <c r="AB85" s="331" t="e">
        <f>IF(#REF!=0,"x","")</f>
        <v>#REF!</v>
      </c>
      <c r="AC85" s="331" t="e">
        <f>IF(#REF!=0,"x","")</f>
        <v>#REF!</v>
      </c>
      <c r="AD85" s="331" t="e">
        <f>IF(#REF!=0,"x","")</f>
        <v>#REF!</v>
      </c>
      <c r="AE85" s="331" t="e">
        <f>IF(#REF!=0,"x","")</f>
        <v>#REF!</v>
      </c>
      <c r="AF85" s="331" t="e">
        <f>IF(#REF!=0,"x","")</f>
        <v>#REF!</v>
      </c>
      <c r="AG85" s="331" t="e">
        <f>IF(#REF!=0,"x","")</f>
        <v>#REF!</v>
      </c>
      <c r="AH85" s="331"/>
      <c r="AI85" s="332">
        <f t="shared" si="3"/>
        <v>0</v>
      </c>
      <c r="AJ85" s="338"/>
    </row>
    <row r="86" spans="1:36">
      <c r="A86" s="234">
        <v>9</v>
      </c>
      <c r="B86" s="504" t="s">
        <v>489</v>
      </c>
      <c r="C86" s="290" t="s">
        <v>274</v>
      </c>
      <c r="D86" s="331" t="e">
        <f>IF(#REF!=0,"x","")</f>
        <v>#REF!</v>
      </c>
      <c r="E86" s="331" t="e">
        <f>IF(#REF!=0,"x","")</f>
        <v>#REF!</v>
      </c>
      <c r="F86" s="331" t="e">
        <f>IF(#REF!=0,"x","")</f>
        <v>#REF!</v>
      </c>
      <c r="G86" s="331" t="e">
        <f>IF(#REF!=0,"x","")</f>
        <v>#REF!</v>
      </c>
      <c r="H86" s="331" t="e">
        <f>IF(#REF!=0,"x","")</f>
        <v>#REF!</v>
      </c>
      <c r="I86" s="331" t="e">
        <f>IF(#REF!=0,"x","")</f>
        <v>#REF!</v>
      </c>
      <c r="J86" s="331" t="e">
        <f>IF(#REF!=0,"x","")</f>
        <v>#REF!</v>
      </c>
      <c r="K86" s="331" t="e">
        <f>IF(#REF!=0,"x","")</f>
        <v>#REF!</v>
      </c>
      <c r="L86" s="331" t="e">
        <f>IF(#REF!=0,"x","")</f>
        <v>#REF!</v>
      </c>
      <c r="M86" s="331" t="e">
        <f>IF(#REF!=0,"x","")</f>
        <v>#REF!</v>
      </c>
      <c r="N86" s="331" t="e">
        <f>IF(#REF!=0,"x","")</f>
        <v>#REF!</v>
      </c>
      <c r="O86" s="331" t="e">
        <f>IF(#REF!=0,"x","")</f>
        <v>#REF!</v>
      </c>
      <c r="P86" s="331" t="e">
        <f>IF(#REF!=0,"x","")</f>
        <v>#REF!</v>
      </c>
      <c r="Q86" s="331" t="e">
        <f>IF(#REF!=0,"x","")</f>
        <v>#REF!</v>
      </c>
      <c r="R86" s="331" t="e">
        <f>IF(#REF!=0,"x","")</f>
        <v>#REF!</v>
      </c>
      <c r="S86" s="331" t="e">
        <f>IF(#REF!=0,"x","")</f>
        <v>#REF!</v>
      </c>
      <c r="T86" s="331" t="e">
        <f>IF(#REF!=0,"x","")</f>
        <v>#REF!</v>
      </c>
      <c r="U86" s="331" t="e">
        <f>IF(#REF!=0,"x","")</f>
        <v>#REF!</v>
      </c>
      <c r="V86" s="331" t="e">
        <f>IF(#REF!=0,"x","")</f>
        <v>#REF!</v>
      </c>
      <c r="W86" s="331" t="e">
        <f>IF(#REF!=0,"x","")</f>
        <v>#REF!</v>
      </c>
      <c r="X86" s="331" t="e">
        <f>IF(#REF!=0,"x","")</f>
        <v>#REF!</v>
      </c>
      <c r="Y86" s="331" t="e">
        <f>IF(#REF!=0,"x","")</f>
        <v>#REF!</v>
      </c>
      <c r="Z86" s="331" t="e">
        <f>IF(#REF!=0,"x","")</f>
        <v>#REF!</v>
      </c>
      <c r="AA86" s="331" t="e">
        <f>IF(#REF!=0,"x","")</f>
        <v>#REF!</v>
      </c>
      <c r="AB86" s="331" t="e">
        <f>IF(#REF!=0,"x","")</f>
        <v>#REF!</v>
      </c>
      <c r="AC86" s="331" t="e">
        <f>IF(#REF!=0,"x","")</f>
        <v>#REF!</v>
      </c>
      <c r="AD86" s="331" t="e">
        <f>IF(#REF!=0,"x","")</f>
        <v>#REF!</v>
      </c>
      <c r="AE86" s="331" t="e">
        <f>IF(#REF!=0,"x","")</f>
        <v>#REF!</v>
      </c>
      <c r="AF86" s="331" t="e">
        <f>IF(#REF!=0,"x","")</f>
        <v>#REF!</v>
      </c>
      <c r="AG86" s="331" t="e">
        <f>IF(#REF!=0,"x","")</f>
        <v>#REF!</v>
      </c>
      <c r="AH86" s="331"/>
      <c r="AI86" s="332">
        <f t="shared" si="3"/>
        <v>0</v>
      </c>
      <c r="AJ86" s="338"/>
    </row>
    <row r="87" spans="1:36">
      <c r="A87" s="234">
        <v>10</v>
      </c>
      <c r="B87" s="504" t="s">
        <v>352</v>
      </c>
      <c r="C87" s="290" t="s">
        <v>274</v>
      </c>
      <c r="D87" s="331" t="e">
        <f>IF(#REF!=0,"x","")</f>
        <v>#REF!</v>
      </c>
      <c r="E87" s="331" t="e">
        <f>IF(#REF!=0,"x","")</f>
        <v>#REF!</v>
      </c>
      <c r="F87" s="331" t="e">
        <f>IF(#REF!=0,"x","")</f>
        <v>#REF!</v>
      </c>
      <c r="G87" s="331" t="e">
        <f>IF(#REF!=0,"x","")</f>
        <v>#REF!</v>
      </c>
      <c r="H87" s="331" t="e">
        <f>IF(#REF!=0,"x","")</f>
        <v>#REF!</v>
      </c>
      <c r="I87" s="331" t="e">
        <f>IF(#REF!=0,"x","")</f>
        <v>#REF!</v>
      </c>
      <c r="J87" s="331" t="e">
        <f>IF(#REF!=0,"x","")</f>
        <v>#REF!</v>
      </c>
      <c r="K87" s="331" t="e">
        <f>IF(#REF!=0,"x","")</f>
        <v>#REF!</v>
      </c>
      <c r="L87" s="331" t="e">
        <f>IF(#REF!=0,"x","")</f>
        <v>#REF!</v>
      </c>
      <c r="M87" s="331" t="e">
        <f>IF(#REF!=0,"x","")</f>
        <v>#REF!</v>
      </c>
      <c r="N87" s="331" t="e">
        <f>IF(#REF!=0,"x","")</f>
        <v>#REF!</v>
      </c>
      <c r="O87" s="331" t="e">
        <f>IF(#REF!=0,"x","")</f>
        <v>#REF!</v>
      </c>
      <c r="P87" s="331" t="e">
        <f>IF(#REF!=0,"x","")</f>
        <v>#REF!</v>
      </c>
      <c r="Q87" s="331" t="e">
        <f>IF(#REF!=0,"x","")</f>
        <v>#REF!</v>
      </c>
      <c r="R87" s="331" t="e">
        <f>IF(#REF!=0,"x","")</f>
        <v>#REF!</v>
      </c>
      <c r="S87" s="331" t="e">
        <f>IF(#REF!=0,"x","")</f>
        <v>#REF!</v>
      </c>
      <c r="T87" s="331" t="e">
        <f>IF(#REF!=0,"x","")</f>
        <v>#REF!</v>
      </c>
      <c r="U87" s="331" t="e">
        <f>IF(#REF!=0,"x","")</f>
        <v>#REF!</v>
      </c>
      <c r="V87" s="331" t="e">
        <f>IF(#REF!=0,"x","")</f>
        <v>#REF!</v>
      </c>
      <c r="W87" s="331" t="e">
        <f>IF(#REF!=0,"x","")</f>
        <v>#REF!</v>
      </c>
      <c r="X87" s="331" t="e">
        <f>IF(#REF!=0,"x","")</f>
        <v>#REF!</v>
      </c>
      <c r="Y87" s="331" t="e">
        <f>IF(#REF!=0,"x","")</f>
        <v>#REF!</v>
      </c>
      <c r="Z87" s="331" t="e">
        <f>IF(#REF!=0,"x","")</f>
        <v>#REF!</v>
      </c>
      <c r="AA87" s="331" t="e">
        <f>IF(#REF!=0,"x","")</f>
        <v>#REF!</v>
      </c>
      <c r="AB87" s="331" t="e">
        <f>IF(#REF!=0,"x","")</f>
        <v>#REF!</v>
      </c>
      <c r="AC87" s="331" t="e">
        <f>IF(#REF!=0,"x","")</f>
        <v>#REF!</v>
      </c>
      <c r="AD87" s="331" t="e">
        <f>IF(#REF!=0,"x","")</f>
        <v>#REF!</v>
      </c>
      <c r="AE87" s="331" t="e">
        <f>IF(#REF!=0,"x","")</f>
        <v>#REF!</v>
      </c>
      <c r="AF87" s="331" t="e">
        <f>IF(#REF!=0,"x","")</f>
        <v>#REF!</v>
      </c>
      <c r="AG87" s="331" t="e">
        <f>IF(#REF!=0,"x","")</f>
        <v>#REF!</v>
      </c>
      <c r="AH87" s="331"/>
      <c r="AI87" s="332">
        <f t="shared" si="3"/>
        <v>0</v>
      </c>
      <c r="AJ87" s="338"/>
    </row>
    <row r="88" spans="1:36">
      <c r="A88" s="234">
        <v>11</v>
      </c>
      <c r="B88" s="504" t="s">
        <v>278</v>
      </c>
      <c r="C88" s="290" t="s">
        <v>274</v>
      </c>
      <c r="D88" s="331" t="e">
        <f>IF(#REF!=0,"x","")</f>
        <v>#REF!</v>
      </c>
      <c r="E88" s="331" t="e">
        <f>IF(#REF!=0,"x","")</f>
        <v>#REF!</v>
      </c>
      <c r="F88" s="331" t="e">
        <f>IF(#REF!=0,"x","")</f>
        <v>#REF!</v>
      </c>
      <c r="G88" s="331" t="e">
        <f>IF(#REF!=0,"x","")</f>
        <v>#REF!</v>
      </c>
      <c r="H88" s="331" t="e">
        <f>IF(#REF!=0,"x","")</f>
        <v>#REF!</v>
      </c>
      <c r="I88" s="331" t="e">
        <f>IF(#REF!=0,"x","")</f>
        <v>#REF!</v>
      </c>
      <c r="J88" s="331" t="e">
        <f>IF(#REF!=0,"x","")</f>
        <v>#REF!</v>
      </c>
      <c r="K88" s="331" t="e">
        <f>IF(#REF!=0,"x","")</f>
        <v>#REF!</v>
      </c>
      <c r="L88" s="331" t="e">
        <f>IF(#REF!=0,"x","")</f>
        <v>#REF!</v>
      </c>
      <c r="M88" s="331" t="e">
        <f>IF(#REF!=0,"x","")</f>
        <v>#REF!</v>
      </c>
      <c r="N88" s="331" t="e">
        <f>IF(#REF!=0,"x","")</f>
        <v>#REF!</v>
      </c>
      <c r="O88" s="331" t="e">
        <f>IF(#REF!=0,"x","")</f>
        <v>#REF!</v>
      </c>
      <c r="P88" s="331" t="e">
        <f>IF(#REF!=0,"x","")</f>
        <v>#REF!</v>
      </c>
      <c r="Q88" s="331" t="e">
        <f>IF(#REF!=0,"x","")</f>
        <v>#REF!</v>
      </c>
      <c r="R88" s="331" t="e">
        <f>IF(#REF!=0,"x","")</f>
        <v>#REF!</v>
      </c>
      <c r="S88" s="331" t="e">
        <f>IF(#REF!=0,"x","")</f>
        <v>#REF!</v>
      </c>
      <c r="T88" s="331" t="e">
        <f>IF(#REF!=0,"x","")</f>
        <v>#REF!</v>
      </c>
      <c r="U88" s="331" t="e">
        <f>IF(#REF!=0,"x","")</f>
        <v>#REF!</v>
      </c>
      <c r="V88" s="331" t="e">
        <f>IF(#REF!=0,"x","")</f>
        <v>#REF!</v>
      </c>
      <c r="W88" s="331" t="e">
        <f>IF(#REF!=0,"x","")</f>
        <v>#REF!</v>
      </c>
      <c r="X88" s="331" t="e">
        <f>IF(#REF!=0,"x","")</f>
        <v>#REF!</v>
      </c>
      <c r="Y88" s="331" t="e">
        <f>IF(#REF!=0,"x","")</f>
        <v>#REF!</v>
      </c>
      <c r="Z88" s="331" t="e">
        <f>IF(#REF!=0,"x","")</f>
        <v>#REF!</v>
      </c>
      <c r="AA88" s="331" t="e">
        <f>IF(#REF!=0,"x","")</f>
        <v>#REF!</v>
      </c>
      <c r="AB88" s="331" t="e">
        <f>IF(#REF!=0,"x","")</f>
        <v>#REF!</v>
      </c>
      <c r="AC88" s="331" t="e">
        <f>IF(#REF!=0,"x","")</f>
        <v>#REF!</v>
      </c>
      <c r="AD88" s="331" t="e">
        <f>IF(#REF!=0,"x","")</f>
        <v>#REF!</v>
      </c>
      <c r="AE88" s="331" t="e">
        <f>IF(#REF!=0,"x","")</f>
        <v>#REF!</v>
      </c>
      <c r="AF88" s="331" t="e">
        <f>IF(#REF!=0,"x","")</f>
        <v>#REF!</v>
      </c>
      <c r="AG88" s="331" t="e">
        <f>IF(#REF!=0,"x","")</f>
        <v>#REF!</v>
      </c>
      <c r="AH88" s="331"/>
      <c r="AI88" s="332">
        <f t="shared" si="3"/>
        <v>0</v>
      </c>
      <c r="AJ88" s="338"/>
    </row>
    <row r="89" spans="1:36">
      <c r="A89" s="234">
        <v>12</v>
      </c>
      <c r="B89" s="504" t="s">
        <v>275</v>
      </c>
      <c r="C89" s="290" t="s">
        <v>274</v>
      </c>
      <c r="D89" s="331" t="e">
        <f>IF(#REF!=0,"x","")</f>
        <v>#REF!</v>
      </c>
      <c r="E89" s="331" t="e">
        <f>IF(#REF!=0,"x","")</f>
        <v>#REF!</v>
      </c>
      <c r="F89" s="331" t="e">
        <f>IF(#REF!=0,"x","")</f>
        <v>#REF!</v>
      </c>
      <c r="G89" s="331" t="e">
        <f>IF(#REF!=0,"x","")</f>
        <v>#REF!</v>
      </c>
      <c r="H89" s="331" t="e">
        <f>IF(#REF!=0,"x","")</f>
        <v>#REF!</v>
      </c>
      <c r="I89" s="331" t="e">
        <f>IF(#REF!=0,"x","")</f>
        <v>#REF!</v>
      </c>
      <c r="J89" s="331" t="e">
        <f>IF(#REF!=0,"x","")</f>
        <v>#REF!</v>
      </c>
      <c r="K89" s="331" t="e">
        <f>IF(#REF!=0,"x","")</f>
        <v>#REF!</v>
      </c>
      <c r="L89" s="331" t="e">
        <f>IF(#REF!=0,"x","")</f>
        <v>#REF!</v>
      </c>
      <c r="M89" s="331" t="e">
        <f>IF(#REF!=0,"x","")</f>
        <v>#REF!</v>
      </c>
      <c r="N89" s="331" t="e">
        <f>IF(#REF!=0,"x","")</f>
        <v>#REF!</v>
      </c>
      <c r="O89" s="331" t="e">
        <f>IF(#REF!=0,"x","")</f>
        <v>#REF!</v>
      </c>
      <c r="P89" s="331" t="e">
        <f>IF(#REF!=0,"x","")</f>
        <v>#REF!</v>
      </c>
      <c r="Q89" s="331" t="e">
        <f>IF(#REF!=0,"x","")</f>
        <v>#REF!</v>
      </c>
      <c r="R89" s="331" t="e">
        <f>IF(#REF!=0,"x","")</f>
        <v>#REF!</v>
      </c>
      <c r="S89" s="331" t="e">
        <f>IF(#REF!=0,"x","")</f>
        <v>#REF!</v>
      </c>
      <c r="T89" s="331" t="e">
        <f>IF(#REF!=0,"x","")</f>
        <v>#REF!</v>
      </c>
      <c r="U89" s="331" t="e">
        <f>IF(#REF!=0,"x","")</f>
        <v>#REF!</v>
      </c>
      <c r="V89" s="331" t="e">
        <f>IF(#REF!=0,"x","")</f>
        <v>#REF!</v>
      </c>
      <c r="W89" s="331" t="e">
        <f>IF(#REF!=0,"x","")</f>
        <v>#REF!</v>
      </c>
      <c r="X89" s="331" t="e">
        <f>IF(#REF!=0,"x","")</f>
        <v>#REF!</v>
      </c>
      <c r="Y89" s="331" t="e">
        <f>IF(#REF!=0,"x","")</f>
        <v>#REF!</v>
      </c>
      <c r="Z89" s="331" t="e">
        <f>IF(#REF!=0,"x","")</f>
        <v>#REF!</v>
      </c>
      <c r="AA89" s="331" t="e">
        <f>IF(#REF!=0,"x","")</f>
        <v>#REF!</v>
      </c>
      <c r="AB89" s="331" t="e">
        <f>IF(#REF!=0,"x","")</f>
        <v>#REF!</v>
      </c>
      <c r="AC89" s="331" t="e">
        <f>IF(#REF!=0,"x","")</f>
        <v>#REF!</v>
      </c>
      <c r="AD89" s="331" t="e">
        <f>IF(#REF!=0,"x","")</f>
        <v>#REF!</v>
      </c>
      <c r="AE89" s="331" t="e">
        <f>IF(#REF!=0,"x","")</f>
        <v>#REF!</v>
      </c>
      <c r="AF89" s="331" t="e">
        <f>IF(#REF!=0,"x","")</f>
        <v>#REF!</v>
      </c>
      <c r="AG89" s="331" t="e">
        <f>IF(#REF!=0,"x","")</f>
        <v>#REF!</v>
      </c>
      <c r="AH89" s="331"/>
      <c r="AI89" s="332">
        <f t="shared" si="3"/>
        <v>0</v>
      </c>
      <c r="AJ89" s="338"/>
    </row>
    <row r="90" spans="1:36">
      <c r="A90" s="234">
        <v>13</v>
      </c>
      <c r="B90" s="509" t="s">
        <v>417</v>
      </c>
      <c r="C90" s="290" t="s">
        <v>274</v>
      </c>
      <c r="D90" s="331" t="e">
        <f>IF(#REF!=0,"x","")</f>
        <v>#REF!</v>
      </c>
      <c r="E90" s="331" t="e">
        <f>IF(#REF!=0,"x","")</f>
        <v>#REF!</v>
      </c>
      <c r="F90" s="331" t="e">
        <f>IF(#REF!=0,"x","")</f>
        <v>#REF!</v>
      </c>
      <c r="G90" s="331" t="e">
        <f>IF(#REF!=0,"x","")</f>
        <v>#REF!</v>
      </c>
      <c r="H90" s="331" t="e">
        <f>IF(#REF!=0,"x","")</f>
        <v>#REF!</v>
      </c>
      <c r="I90" s="331" t="e">
        <f>IF(#REF!=0,"x","")</f>
        <v>#REF!</v>
      </c>
      <c r="J90" s="331" t="e">
        <f>IF(#REF!=0,"x","")</f>
        <v>#REF!</v>
      </c>
      <c r="K90" s="331" t="e">
        <f>IF(#REF!=0,"x","")</f>
        <v>#REF!</v>
      </c>
      <c r="L90" s="331" t="e">
        <f>IF(#REF!=0,"x","")</f>
        <v>#REF!</v>
      </c>
      <c r="M90" s="331" t="e">
        <f>IF(#REF!=0,"x","")</f>
        <v>#REF!</v>
      </c>
      <c r="N90" s="331" t="e">
        <f>IF(#REF!=0,"x","")</f>
        <v>#REF!</v>
      </c>
      <c r="O90" s="331" t="e">
        <f>IF(#REF!=0,"x","")</f>
        <v>#REF!</v>
      </c>
      <c r="P90" s="331" t="e">
        <f>IF(#REF!=0,"x","")</f>
        <v>#REF!</v>
      </c>
      <c r="Q90" s="331" t="e">
        <f>IF(#REF!=0,"x","")</f>
        <v>#REF!</v>
      </c>
      <c r="R90" s="331" t="e">
        <f>IF(#REF!=0,"x","")</f>
        <v>#REF!</v>
      </c>
      <c r="S90" s="331" t="e">
        <f>IF(#REF!=0,"x","")</f>
        <v>#REF!</v>
      </c>
      <c r="T90" s="331" t="e">
        <f>IF(#REF!=0,"x","")</f>
        <v>#REF!</v>
      </c>
      <c r="U90" s="331" t="e">
        <f>IF(#REF!=0,"x","")</f>
        <v>#REF!</v>
      </c>
      <c r="V90" s="331" t="e">
        <f>IF(#REF!=0,"x","")</f>
        <v>#REF!</v>
      </c>
      <c r="W90" s="331" t="e">
        <f>IF(#REF!=0,"x","")</f>
        <v>#REF!</v>
      </c>
      <c r="X90" s="331" t="e">
        <f>IF(#REF!=0,"x","")</f>
        <v>#REF!</v>
      </c>
      <c r="Y90" s="331" t="e">
        <f>IF(#REF!=0,"x","")</f>
        <v>#REF!</v>
      </c>
      <c r="Z90" s="331" t="e">
        <f>IF(#REF!=0,"x","")</f>
        <v>#REF!</v>
      </c>
      <c r="AA90" s="331" t="e">
        <f>IF(#REF!=0,"x","")</f>
        <v>#REF!</v>
      </c>
      <c r="AB90" s="331" t="e">
        <f>IF(#REF!=0,"x","")</f>
        <v>#REF!</v>
      </c>
      <c r="AC90" s="331" t="e">
        <f>IF(#REF!=0,"x","")</f>
        <v>#REF!</v>
      </c>
      <c r="AD90" s="331" t="e">
        <f>IF(#REF!=0,"x","")</f>
        <v>#REF!</v>
      </c>
      <c r="AE90" s="331" t="e">
        <f>IF(#REF!=0,"x","")</f>
        <v>#REF!</v>
      </c>
      <c r="AF90" s="331" t="e">
        <f>IF(#REF!=0,"x","")</f>
        <v>#REF!</v>
      </c>
      <c r="AG90" s="331" t="e">
        <f>IF(#REF!=0,"x","")</f>
        <v>#REF!</v>
      </c>
      <c r="AH90" s="331"/>
      <c r="AI90" s="332">
        <f t="shared" si="3"/>
        <v>0</v>
      </c>
      <c r="AJ90" s="338"/>
    </row>
    <row r="91" spans="1:36">
      <c r="A91" s="234">
        <v>14</v>
      </c>
      <c r="B91" s="504" t="s">
        <v>485</v>
      </c>
      <c r="C91" s="290" t="s">
        <v>285</v>
      </c>
      <c r="D91" s="331" t="e">
        <f>IF(#REF!=0,"x","")</f>
        <v>#REF!</v>
      </c>
      <c r="E91" s="331" t="e">
        <f>IF(#REF!=0,"x","")</f>
        <v>#REF!</v>
      </c>
      <c r="F91" s="331" t="e">
        <f>IF(#REF!=0,"x","")</f>
        <v>#REF!</v>
      </c>
      <c r="G91" s="331" t="e">
        <f>IF(#REF!=0,"x","")</f>
        <v>#REF!</v>
      </c>
      <c r="H91" s="331" t="e">
        <f>IF(#REF!=0,"x","")</f>
        <v>#REF!</v>
      </c>
      <c r="I91" s="331" t="e">
        <f>IF(#REF!=0,"x","")</f>
        <v>#REF!</v>
      </c>
      <c r="J91" s="331" t="e">
        <f>IF(#REF!=0,"x","")</f>
        <v>#REF!</v>
      </c>
      <c r="K91" s="331" t="e">
        <f>IF(#REF!=0,"x","")</f>
        <v>#REF!</v>
      </c>
      <c r="L91" s="331" t="e">
        <f>IF(#REF!=0,"x","")</f>
        <v>#REF!</v>
      </c>
      <c r="M91" s="331" t="e">
        <f>IF(#REF!=0,"x","")</f>
        <v>#REF!</v>
      </c>
      <c r="N91" s="331" t="e">
        <f>IF(#REF!=0,"x","")</f>
        <v>#REF!</v>
      </c>
      <c r="O91" s="331" t="e">
        <f>IF(#REF!=0,"x","")</f>
        <v>#REF!</v>
      </c>
      <c r="P91" s="331" t="e">
        <f>IF(#REF!=0,"x","")</f>
        <v>#REF!</v>
      </c>
      <c r="Q91" s="331" t="e">
        <f>IF(#REF!=0,"x","")</f>
        <v>#REF!</v>
      </c>
      <c r="R91" s="331" t="e">
        <f>IF(#REF!=0,"x","")</f>
        <v>#REF!</v>
      </c>
      <c r="S91" s="331" t="e">
        <f>IF(#REF!=0,"x","")</f>
        <v>#REF!</v>
      </c>
      <c r="T91" s="331" t="e">
        <f>IF(#REF!=0,"x","")</f>
        <v>#REF!</v>
      </c>
      <c r="U91" s="331" t="e">
        <f>IF(#REF!=0,"x","")</f>
        <v>#REF!</v>
      </c>
      <c r="V91" s="331" t="e">
        <f>IF(#REF!=0,"x","")</f>
        <v>#REF!</v>
      </c>
      <c r="W91" s="331" t="e">
        <f>IF(#REF!=0,"x","")</f>
        <v>#REF!</v>
      </c>
      <c r="X91" s="331" t="e">
        <f>IF(#REF!=0,"x","")</f>
        <v>#REF!</v>
      </c>
      <c r="Y91" s="331" t="e">
        <f>IF(#REF!=0,"x","")</f>
        <v>#REF!</v>
      </c>
      <c r="Z91" s="331" t="e">
        <f>IF(#REF!=0,"x","")</f>
        <v>#REF!</v>
      </c>
      <c r="AA91" s="331" t="e">
        <f>IF(#REF!=0,"x","")</f>
        <v>#REF!</v>
      </c>
      <c r="AB91" s="331" t="e">
        <f>IF(#REF!=0,"x","")</f>
        <v>#REF!</v>
      </c>
      <c r="AC91" s="331" t="e">
        <f>IF(#REF!=0,"x","")</f>
        <v>#REF!</v>
      </c>
      <c r="AD91" s="331" t="e">
        <f>IF(#REF!=0,"x","")</f>
        <v>#REF!</v>
      </c>
      <c r="AE91" s="331" t="e">
        <f>IF(#REF!=0,"x","")</f>
        <v>#REF!</v>
      </c>
      <c r="AF91" s="331" t="e">
        <f>IF(#REF!=0,"x","")</f>
        <v>#REF!</v>
      </c>
      <c r="AG91" s="331" t="e">
        <f>IF(#REF!=0,"x","")</f>
        <v>#REF!</v>
      </c>
      <c r="AH91" s="331"/>
      <c r="AI91" s="332">
        <f t="shared" si="3"/>
        <v>0</v>
      </c>
      <c r="AJ91" s="338"/>
    </row>
    <row r="92" spans="1:36">
      <c r="A92" s="234">
        <v>15</v>
      </c>
      <c r="B92" s="504" t="s">
        <v>353</v>
      </c>
      <c r="C92" s="290" t="s">
        <v>285</v>
      </c>
      <c r="D92" s="331" t="e">
        <f>IF(#REF!=0,"x","")</f>
        <v>#REF!</v>
      </c>
      <c r="E92" s="331" t="e">
        <f>IF(#REF!=0,"x","")</f>
        <v>#REF!</v>
      </c>
      <c r="F92" s="331" t="e">
        <f>IF(#REF!=0,"x","")</f>
        <v>#REF!</v>
      </c>
      <c r="G92" s="331" t="e">
        <f>IF(#REF!=0,"x","")</f>
        <v>#REF!</v>
      </c>
      <c r="H92" s="331" t="e">
        <f>IF(#REF!=0,"x","")</f>
        <v>#REF!</v>
      </c>
      <c r="I92" s="331" t="e">
        <f>IF(#REF!=0,"x","")</f>
        <v>#REF!</v>
      </c>
      <c r="J92" s="331" t="e">
        <f>IF(#REF!=0,"x","")</f>
        <v>#REF!</v>
      </c>
      <c r="K92" s="331" t="e">
        <f>IF(#REF!=0,"x","")</f>
        <v>#REF!</v>
      </c>
      <c r="L92" s="331" t="e">
        <f>IF(#REF!=0,"x","")</f>
        <v>#REF!</v>
      </c>
      <c r="M92" s="331" t="e">
        <f>IF(#REF!=0,"x","")</f>
        <v>#REF!</v>
      </c>
      <c r="N92" s="331" t="e">
        <f>IF(#REF!=0,"x","")</f>
        <v>#REF!</v>
      </c>
      <c r="O92" s="331" t="e">
        <f>IF(#REF!=0,"x","")</f>
        <v>#REF!</v>
      </c>
      <c r="P92" s="331" t="e">
        <f>IF(#REF!=0,"x","")</f>
        <v>#REF!</v>
      </c>
      <c r="Q92" s="331" t="e">
        <f>IF(#REF!=0,"x","")</f>
        <v>#REF!</v>
      </c>
      <c r="R92" s="331" t="e">
        <f>IF(#REF!=0,"x","")</f>
        <v>#REF!</v>
      </c>
      <c r="S92" s="331" t="e">
        <f>IF(#REF!=0,"x","")</f>
        <v>#REF!</v>
      </c>
      <c r="T92" s="331" t="e">
        <f>IF(#REF!=0,"x","")</f>
        <v>#REF!</v>
      </c>
      <c r="U92" s="331" t="e">
        <f>IF(#REF!=0,"x","")</f>
        <v>#REF!</v>
      </c>
      <c r="V92" s="331" t="e">
        <f>IF(#REF!=0,"x","")</f>
        <v>#REF!</v>
      </c>
      <c r="W92" s="331" t="e">
        <f>IF(#REF!=0,"x","")</f>
        <v>#REF!</v>
      </c>
      <c r="X92" s="331" t="e">
        <f>IF(#REF!=0,"x","")</f>
        <v>#REF!</v>
      </c>
      <c r="Y92" s="331" t="e">
        <f>IF(#REF!=0,"x","")</f>
        <v>#REF!</v>
      </c>
      <c r="Z92" s="331" t="e">
        <f>IF(#REF!=0,"x","")</f>
        <v>#REF!</v>
      </c>
      <c r="AA92" s="331" t="e">
        <f>IF(#REF!=0,"x","")</f>
        <v>#REF!</v>
      </c>
      <c r="AB92" s="331" t="e">
        <f>IF(#REF!=0,"x","")</f>
        <v>#REF!</v>
      </c>
      <c r="AC92" s="331" t="e">
        <f>IF(#REF!=0,"x","")</f>
        <v>#REF!</v>
      </c>
      <c r="AD92" s="331" t="e">
        <f>IF(#REF!=0,"x","")</f>
        <v>#REF!</v>
      </c>
      <c r="AE92" s="331" t="e">
        <f>IF(#REF!=0,"x","")</f>
        <v>#REF!</v>
      </c>
      <c r="AF92" s="331" t="e">
        <f>IF(#REF!=0,"x","")</f>
        <v>#REF!</v>
      </c>
      <c r="AG92" s="331" t="e">
        <f>IF(#REF!=0,"x","")</f>
        <v>#REF!</v>
      </c>
      <c r="AH92" s="331"/>
      <c r="AI92" s="332">
        <f t="shared" si="3"/>
        <v>0</v>
      </c>
      <c r="AJ92" s="338"/>
    </row>
    <row r="93" spans="1:36">
      <c r="A93" s="235">
        <v>16</v>
      </c>
      <c r="B93" s="505" t="s">
        <v>280</v>
      </c>
      <c r="C93" s="290" t="s">
        <v>243</v>
      </c>
      <c r="D93" s="331" t="e">
        <f>IF(#REF!=0,"x","")</f>
        <v>#REF!</v>
      </c>
      <c r="E93" s="331" t="e">
        <f>IF(#REF!=0,"x","")</f>
        <v>#REF!</v>
      </c>
      <c r="F93" s="331" t="e">
        <f>IF(#REF!=0,"x","")</f>
        <v>#REF!</v>
      </c>
      <c r="G93" s="331" t="e">
        <f>IF(#REF!=0,"x","")</f>
        <v>#REF!</v>
      </c>
      <c r="H93" s="331" t="e">
        <f>IF(#REF!=0,"x","")</f>
        <v>#REF!</v>
      </c>
      <c r="I93" s="331" t="e">
        <f>IF(#REF!=0,"x","")</f>
        <v>#REF!</v>
      </c>
      <c r="J93" s="331" t="e">
        <f>IF(#REF!=0,"x","")</f>
        <v>#REF!</v>
      </c>
      <c r="K93" s="331" t="e">
        <f>IF(#REF!=0,"x","")</f>
        <v>#REF!</v>
      </c>
      <c r="L93" s="331" t="e">
        <f>IF(#REF!=0,"x","")</f>
        <v>#REF!</v>
      </c>
      <c r="M93" s="331" t="e">
        <f>IF(#REF!=0,"x","")</f>
        <v>#REF!</v>
      </c>
      <c r="N93" s="331" t="e">
        <f>IF(#REF!=0,"x","")</f>
        <v>#REF!</v>
      </c>
      <c r="O93" s="331" t="e">
        <f>IF(#REF!=0,"x","")</f>
        <v>#REF!</v>
      </c>
      <c r="P93" s="331" t="e">
        <f>IF(#REF!=0,"x","")</f>
        <v>#REF!</v>
      </c>
      <c r="Q93" s="331" t="e">
        <f>IF(#REF!=0,"x","")</f>
        <v>#REF!</v>
      </c>
      <c r="R93" s="331" t="e">
        <f>IF(#REF!=0,"x","")</f>
        <v>#REF!</v>
      </c>
      <c r="S93" s="331" t="e">
        <f>IF(#REF!=0,"x","")</f>
        <v>#REF!</v>
      </c>
      <c r="T93" s="331" t="e">
        <f>IF(#REF!=0,"x","")</f>
        <v>#REF!</v>
      </c>
      <c r="U93" s="331" t="e">
        <f>IF(#REF!=0,"x","")</f>
        <v>#REF!</v>
      </c>
      <c r="V93" s="331" t="e">
        <f>IF(#REF!=0,"x","")</f>
        <v>#REF!</v>
      </c>
      <c r="W93" s="331" t="e">
        <f>IF(#REF!=0,"x","")</f>
        <v>#REF!</v>
      </c>
      <c r="X93" s="331" t="e">
        <f>IF(#REF!=0,"x","")</f>
        <v>#REF!</v>
      </c>
      <c r="Y93" s="331" t="e">
        <f>IF(#REF!=0,"x","")</f>
        <v>#REF!</v>
      </c>
      <c r="Z93" s="331" t="e">
        <f>IF(#REF!=0,"x","")</f>
        <v>#REF!</v>
      </c>
      <c r="AA93" s="331" t="e">
        <f>IF(#REF!=0,"x","")</f>
        <v>#REF!</v>
      </c>
      <c r="AB93" s="331" t="e">
        <f>IF(#REF!=0,"x","")</f>
        <v>#REF!</v>
      </c>
      <c r="AC93" s="331" t="e">
        <f>IF(#REF!=0,"x","")</f>
        <v>#REF!</v>
      </c>
      <c r="AD93" s="331" t="e">
        <f>IF(#REF!=0,"x","")</f>
        <v>#REF!</v>
      </c>
      <c r="AE93" s="331" t="e">
        <f>IF(#REF!=0,"x","")</f>
        <v>#REF!</v>
      </c>
      <c r="AF93" s="331" t="e">
        <f>IF(#REF!=0,"x","")</f>
        <v>#REF!</v>
      </c>
      <c r="AG93" s="331" t="e">
        <f>IF(#REF!=0,"x","")</f>
        <v>#REF!</v>
      </c>
      <c r="AH93" s="331"/>
      <c r="AI93" s="332">
        <f t="shared" si="3"/>
        <v>0</v>
      </c>
      <c r="AJ93" s="337"/>
    </row>
    <row r="94" spans="1:36">
      <c r="A94" s="4617" t="s">
        <v>436</v>
      </c>
      <c r="B94" s="4617"/>
      <c r="C94" s="4617"/>
      <c r="D94" s="339" t="e">
        <f t="shared" ref="D94:AI94" si="5">D77+D32+D8</f>
        <v>#REF!</v>
      </c>
      <c r="E94" s="339" t="e">
        <f t="shared" si="5"/>
        <v>#REF!</v>
      </c>
      <c r="F94" s="339" t="e">
        <f t="shared" si="5"/>
        <v>#REF!</v>
      </c>
      <c r="G94" s="339" t="e">
        <f t="shared" si="5"/>
        <v>#REF!</v>
      </c>
      <c r="H94" s="339" t="e">
        <f t="shared" si="5"/>
        <v>#REF!</v>
      </c>
      <c r="I94" s="339" t="e">
        <f t="shared" si="5"/>
        <v>#REF!</v>
      </c>
      <c r="J94" s="339" t="e">
        <f t="shared" si="5"/>
        <v>#REF!</v>
      </c>
      <c r="K94" s="339" t="e">
        <f t="shared" si="5"/>
        <v>#REF!</v>
      </c>
      <c r="L94" s="339" t="e">
        <f t="shared" si="5"/>
        <v>#REF!</v>
      </c>
      <c r="M94" s="339" t="e">
        <f t="shared" si="5"/>
        <v>#REF!</v>
      </c>
      <c r="N94" s="339" t="e">
        <f t="shared" si="5"/>
        <v>#REF!</v>
      </c>
      <c r="O94" s="339" t="e">
        <f t="shared" si="5"/>
        <v>#REF!</v>
      </c>
      <c r="P94" s="339" t="e">
        <f t="shared" si="5"/>
        <v>#REF!</v>
      </c>
      <c r="Q94" s="339" t="e">
        <f t="shared" si="5"/>
        <v>#REF!</v>
      </c>
      <c r="R94" s="339" t="e">
        <f t="shared" si="5"/>
        <v>#REF!</v>
      </c>
      <c r="S94" s="339" t="e">
        <f t="shared" si="5"/>
        <v>#REF!</v>
      </c>
      <c r="T94" s="339" t="e">
        <f t="shared" si="5"/>
        <v>#REF!</v>
      </c>
      <c r="U94" s="339" t="e">
        <f t="shared" si="5"/>
        <v>#REF!</v>
      </c>
      <c r="V94" s="339" t="e">
        <f t="shared" si="5"/>
        <v>#REF!</v>
      </c>
      <c r="W94" s="339" t="e">
        <f t="shared" si="5"/>
        <v>#REF!</v>
      </c>
      <c r="X94" s="339" t="e">
        <f t="shared" si="5"/>
        <v>#REF!</v>
      </c>
      <c r="Y94" s="339" t="e">
        <f t="shared" si="5"/>
        <v>#REF!</v>
      </c>
      <c r="Z94" s="339" t="e">
        <f t="shared" si="5"/>
        <v>#REF!</v>
      </c>
      <c r="AA94" s="339" t="e">
        <f t="shared" si="5"/>
        <v>#REF!</v>
      </c>
      <c r="AB94" s="339" t="e">
        <f t="shared" si="5"/>
        <v>#REF!</v>
      </c>
      <c r="AC94" s="339" t="e">
        <f t="shared" si="5"/>
        <v>#REF!</v>
      </c>
      <c r="AD94" s="339" t="e">
        <f t="shared" si="5"/>
        <v>#REF!</v>
      </c>
      <c r="AE94" s="339" t="e">
        <f t="shared" si="5"/>
        <v>#REF!</v>
      </c>
      <c r="AF94" s="339" t="e">
        <f t="shared" si="5"/>
        <v>#REF!</v>
      </c>
      <c r="AG94" s="339" t="e">
        <f t="shared" si="5"/>
        <v>#REF!</v>
      </c>
      <c r="AH94" s="339">
        <f t="shared" si="5"/>
        <v>0</v>
      </c>
      <c r="AI94" s="340">
        <f t="shared" si="5"/>
        <v>0</v>
      </c>
      <c r="AJ94" s="341"/>
    </row>
    <row r="95" spans="1:36">
      <c r="A95" s="342"/>
      <c r="B95" s="342"/>
      <c r="C95" s="343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5"/>
      <c r="AA95" s="345"/>
      <c r="AB95" s="345"/>
      <c r="AC95" s="344"/>
      <c r="AD95" s="344"/>
      <c r="AE95" s="344"/>
      <c r="AF95" s="344"/>
      <c r="AG95" s="345"/>
      <c r="AH95" s="344"/>
      <c r="AI95" s="346"/>
      <c r="AJ95" s="347"/>
    </row>
    <row r="96" spans="1:36">
      <c r="A96" s="348"/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8"/>
      <c r="W96" s="38"/>
      <c r="X96" s="38"/>
      <c r="Y96" s="38"/>
      <c r="Z96" s="299"/>
      <c r="AA96" s="4618" t="s">
        <v>494</v>
      </c>
      <c r="AB96" s="4618"/>
      <c r="AC96" s="4618"/>
      <c r="AD96" s="4618"/>
      <c r="AE96" s="4618"/>
      <c r="AF96" s="4618"/>
      <c r="AG96" s="4618"/>
      <c r="AH96" s="4618"/>
      <c r="AI96" s="4618"/>
      <c r="AJ96" s="4618"/>
    </row>
    <row r="97" spans="1:36">
      <c r="A97" s="4619" t="s">
        <v>159</v>
      </c>
      <c r="B97" s="4619"/>
      <c r="C97" s="4619"/>
      <c r="D97" s="4619"/>
      <c r="E97" s="4619"/>
      <c r="F97" s="349"/>
      <c r="G97" s="4619" t="s">
        <v>368</v>
      </c>
      <c r="H97" s="4619"/>
      <c r="I97" s="4619"/>
      <c r="J97" s="4619"/>
      <c r="K97" s="4619"/>
      <c r="L97" s="4619"/>
      <c r="M97" s="4619"/>
      <c r="N97" s="4619"/>
      <c r="O97" s="4619"/>
      <c r="P97" s="4619"/>
      <c r="Q97" s="4619"/>
      <c r="R97" s="4620" t="s">
        <v>195</v>
      </c>
      <c r="S97" s="4620"/>
      <c r="T97" s="4620"/>
      <c r="U97" s="4620"/>
      <c r="V97" s="4620"/>
      <c r="W97" s="4620"/>
      <c r="X97" s="4620"/>
      <c r="Y97" s="4620"/>
      <c r="Z97" s="4620"/>
      <c r="AA97" s="4620"/>
      <c r="AB97" s="4620" t="s">
        <v>221</v>
      </c>
      <c r="AC97" s="4620"/>
      <c r="AD97" s="4620"/>
      <c r="AE97" s="4620"/>
      <c r="AF97" s="4620"/>
      <c r="AG97" s="4620"/>
      <c r="AH97" s="4620"/>
      <c r="AI97" s="4620"/>
      <c r="AJ97" s="4620"/>
    </row>
    <row r="98" spans="1:36">
      <c r="A98" s="348"/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8"/>
      <c r="W98" s="38"/>
      <c r="X98" s="38"/>
      <c r="Y98" s="38"/>
      <c r="Z98" s="299"/>
      <c r="AA98" s="299"/>
      <c r="AB98" s="299"/>
      <c r="AC98" s="38"/>
      <c r="AD98" s="38"/>
      <c r="AE98" s="38"/>
      <c r="AF98" s="38"/>
      <c r="AG98" s="299"/>
      <c r="AH98" s="348"/>
      <c r="AI98" s="350"/>
      <c r="AJ98" s="348"/>
    </row>
    <row r="99" spans="1:36">
      <c r="A99" s="348"/>
      <c r="B99" s="348"/>
      <c r="C99" s="348"/>
      <c r="D99" s="348"/>
      <c r="E99" s="348"/>
      <c r="F99" s="348"/>
      <c r="G99" s="348"/>
      <c r="H99" s="348"/>
      <c r="I99" s="348"/>
      <c r="J99" s="348"/>
      <c r="K99" s="348"/>
      <c r="L99" s="348"/>
      <c r="M99" s="348"/>
      <c r="N99" s="348"/>
      <c r="O99" s="348"/>
      <c r="P99" s="348"/>
      <c r="Q99" s="348"/>
      <c r="R99" s="348"/>
      <c r="S99" s="348"/>
      <c r="T99" s="348"/>
      <c r="U99" s="348"/>
      <c r="V99" s="38"/>
      <c r="W99" s="38"/>
      <c r="X99" s="38"/>
      <c r="Y99" s="38"/>
      <c r="Z99" s="299"/>
      <c r="AA99" s="299"/>
      <c r="AB99" s="299"/>
      <c r="AC99" s="38"/>
      <c r="AD99" s="38"/>
      <c r="AE99" s="38"/>
      <c r="AF99" s="38"/>
      <c r="AG99" s="299"/>
      <c r="AH99" s="348"/>
      <c r="AI99" s="350"/>
      <c r="AJ99" s="348"/>
    </row>
    <row r="100" spans="1:36">
      <c r="A100" s="348"/>
      <c r="B100" s="348"/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48"/>
      <c r="O100" s="348"/>
      <c r="P100" s="348"/>
      <c r="Q100" s="348"/>
      <c r="R100" s="348"/>
      <c r="S100" s="348"/>
      <c r="T100" s="348"/>
      <c r="U100" s="348"/>
      <c r="V100" s="38"/>
      <c r="W100" s="38"/>
      <c r="X100" s="38"/>
      <c r="Y100" s="38"/>
      <c r="Z100" s="299"/>
      <c r="AA100" s="299"/>
      <c r="AB100" s="299"/>
      <c r="AC100" s="38"/>
      <c r="AD100" s="38"/>
      <c r="AE100" s="38"/>
      <c r="AF100" s="38"/>
      <c r="AG100" s="299"/>
      <c r="AH100" s="348"/>
      <c r="AI100" s="350"/>
      <c r="AJ100" s="348"/>
    </row>
    <row r="101" spans="1:36">
      <c r="A101" s="348"/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48"/>
      <c r="P101" s="348"/>
      <c r="Q101" s="348"/>
      <c r="R101" s="348"/>
      <c r="S101" s="348"/>
      <c r="T101" s="348"/>
      <c r="U101" s="348"/>
      <c r="V101" s="38"/>
      <c r="W101" s="38"/>
      <c r="X101" s="38"/>
      <c r="Y101" s="38"/>
      <c r="Z101" s="299"/>
      <c r="AA101" s="299"/>
      <c r="AB101" s="299"/>
      <c r="AC101" s="38"/>
      <c r="AD101" s="38"/>
      <c r="AE101" s="38"/>
      <c r="AF101" s="38"/>
      <c r="AG101" s="299"/>
      <c r="AH101" s="348"/>
      <c r="AI101" s="350"/>
      <c r="AJ101" s="348"/>
    </row>
    <row r="102" spans="1:36">
      <c r="A102" s="348"/>
      <c r="B102" s="348"/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48"/>
      <c r="P102" s="348"/>
      <c r="Q102" s="348"/>
      <c r="R102" s="348"/>
      <c r="S102" s="348"/>
      <c r="T102" s="348"/>
      <c r="U102" s="348"/>
      <c r="V102" s="38"/>
      <c r="W102" s="38"/>
      <c r="X102" s="38"/>
      <c r="Y102" s="38"/>
      <c r="Z102" s="299"/>
      <c r="AA102" s="299"/>
      <c r="AB102" s="299"/>
      <c r="AC102" s="38"/>
      <c r="AD102" s="38"/>
      <c r="AE102" s="38"/>
      <c r="AF102" s="38"/>
      <c r="AG102" s="299"/>
      <c r="AH102" s="348"/>
      <c r="AI102" s="350"/>
      <c r="AJ102" s="348"/>
    </row>
    <row r="103" spans="1:36">
      <c r="A103" s="348"/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8"/>
      <c r="W103" s="38"/>
      <c r="X103" s="38"/>
      <c r="Y103" s="38"/>
      <c r="Z103" s="299"/>
      <c r="AA103" s="299"/>
      <c r="AB103" s="299"/>
      <c r="AC103" s="38"/>
      <c r="AD103" s="38"/>
      <c r="AE103" s="38"/>
      <c r="AF103" s="38"/>
      <c r="AG103" s="299"/>
      <c r="AH103" s="348"/>
      <c r="AI103" s="350"/>
      <c r="AJ103" s="348"/>
    </row>
    <row r="104" spans="1:36">
      <c r="A104" s="348"/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8"/>
      <c r="W104" s="38"/>
      <c r="X104" s="38"/>
      <c r="Y104" s="38"/>
      <c r="Z104" s="299"/>
      <c r="AA104" s="299"/>
      <c r="AB104" s="299"/>
      <c r="AC104" s="38"/>
      <c r="AD104" s="38"/>
      <c r="AE104" s="38"/>
      <c r="AF104" s="38"/>
      <c r="AG104" s="299"/>
      <c r="AH104" s="348"/>
      <c r="AI104" s="350"/>
      <c r="AJ104" s="348"/>
    </row>
    <row r="105" spans="1:36" ht="15.75">
      <c r="A105" s="351"/>
      <c r="B105" s="351"/>
      <c r="C105" s="351"/>
      <c r="D105" s="351"/>
      <c r="E105" s="351"/>
      <c r="F105" s="351"/>
      <c r="G105" s="4615" t="s">
        <v>418</v>
      </c>
      <c r="H105" s="4615"/>
      <c r="I105" s="4615"/>
      <c r="J105" s="4615"/>
      <c r="K105" s="4615"/>
      <c r="L105" s="4615"/>
      <c r="M105" s="4615"/>
      <c r="N105" s="4615"/>
      <c r="O105" s="4615"/>
      <c r="P105" s="4615"/>
      <c r="Q105" s="4615"/>
      <c r="R105" s="4615" t="s">
        <v>247</v>
      </c>
      <c r="S105" s="4615"/>
      <c r="T105" s="4615"/>
      <c r="U105" s="4615"/>
      <c r="V105" s="4615"/>
      <c r="W105" s="4615"/>
      <c r="X105" s="4615"/>
      <c r="Y105" s="4615"/>
      <c r="Z105" s="4615"/>
      <c r="AA105" s="4615"/>
      <c r="AB105" s="4616" t="s">
        <v>34</v>
      </c>
      <c r="AC105" s="4616"/>
      <c r="AD105" s="4616"/>
      <c r="AE105" s="4616"/>
      <c r="AF105" s="4616"/>
      <c r="AG105" s="4616"/>
      <c r="AH105" s="4616"/>
      <c r="AI105" s="4616"/>
      <c r="AJ105" s="4616"/>
    </row>
  </sheetData>
  <mergeCells count="20">
    <mergeCell ref="G105:Q105"/>
    <mergeCell ref="R105:AA105"/>
    <mergeCell ref="AB105:AJ105"/>
    <mergeCell ref="AJ6:AJ7"/>
    <mergeCell ref="A94:C94"/>
    <mergeCell ref="AA96:AJ96"/>
    <mergeCell ref="A97:E97"/>
    <mergeCell ref="G97:Q97"/>
    <mergeCell ref="R97:AA97"/>
    <mergeCell ref="AB97:AJ97"/>
    <mergeCell ref="A6:A7"/>
    <mergeCell ref="B6:B7"/>
    <mergeCell ref="C6:C7"/>
    <mergeCell ref="D6:AH6"/>
    <mergeCell ref="AI6:AI7"/>
    <mergeCell ref="A1:G1"/>
    <mergeCell ref="V1:AJ1"/>
    <mergeCell ref="A2:G2"/>
    <mergeCell ref="V2:AJ2"/>
    <mergeCell ref="A4:AJ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8"/>
  <sheetViews>
    <sheetView topLeftCell="A25" workbookViewId="0">
      <selection activeCell="D29" sqref="D29:G29"/>
    </sheetView>
  </sheetViews>
  <sheetFormatPr defaultColWidth="9.140625" defaultRowHeight="15"/>
  <cols>
    <col min="1" max="1" width="5.42578125" style="90" customWidth="1"/>
    <col min="2" max="2" width="16.28515625" style="89" customWidth="1"/>
    <col min="3" max="3" width="21.85546875" style="89" customWidth="1"/>
    <col min="4" max="4" width="11" style="89" customWidth="1"/>
    <col min="5" max="5" width="13.5703125" style="89" customWidth="1"/>
    <col min="6" max="6" width="15.5703125" style="89" customWidth="1"/>
    <col min="7" max="7" width="11" style="89" customWidth="1"/>
    <col min="8" max="16384" width="9.140625" style="89"/>
  </cols>
  <sheetData>
    <row r="1" spans="1:28" ht="16.5">
      <c r="A1" s="4627" t="s">
        <v>23</v>
      </c>
      <c r="B1" s="4627"/>
      <c r="C1" s="4627"/>
      <c r="D1" s="4627"/>
      <c r="E1" s="4627"/>
      <c r="F1" s="4627"/>
      <c r="G1" s="4627"/>
    </row>
    <row r="2" spans="1:28" ht="16.5">
      <c r="A2" s="4627" t="s">
        <v>170</v>
      </c>
      <c r="B2" s="4627"/>
      <c r="C2" s="4627"/>
      <c r="D2" s="4627"/>
      <c r="E2" s="4627"/>
      <c r="F2" s="4627"/>
      <c r="G2" s="4627"/>
    </row>
    <row r="3" spans="1:28" ht="20.25" customHeight="1">
      <c r="A3" s="3934" t="s">
        <v>1308</v>
      </c>
      <c r="B3" s="3934"/>
      <c r="C3" s="3934"/>
      <c r="D3" s="3934"/>
      <c r="E3" s="3934"/>
      <c r="F3" s="3934"/>
      <c r="G3" s="3934"/>
      <c r="H3" s="2096"/>
      <c r="I3" s="2096"/>
      <c r="J3" s="2096"/>
      <c r="K3" s="2096"/>
      <c r="L3" s="2096"/>
      <c r="M3" s="2096"/>
      <c r="N3" s="2096"/>
      <c r="O3" s="2096"/>
      <c r="P3" s="2096"/>
      <c r="Q3" s="2096"/>
      <c r="R3" s="2096"/>
      <c r="S3" s="2096"/>
      <c r="T3" s="2096"/>
      <c r="U3" s="2096"/>
      <c r="V3" s="2096"/>
      <c r="W3" s="2096"/>
      <c r="X3" s="2096"/>
      <c r="Y3" s="2096"/>
      <c r="Z3" s="2096"/>
      <c r="AA3" s="2096"/>
      <c r="AB3" s="2096"/>
    </row>
    <row r="4" spans="1:28" ht="16.5">
      <c r="A4" s="4628" t="s">
        <v>922</v>
      </c>
      <c r="B4" s="4628"/>
      <c r="C4" s="4628"/>
      <c r="D4" s="4628"/>
      <c r="E4" s="2098"/>
      <c r="F4" s="2098"/>
      <c r="G4" s="2098"/>
    </row>
    <row r="5" spans="1:28" ht="16.5">
      <c r="A5" s="4629" t="s">
        <v>90</v>
      </c>
      <c r="B5" s="4629"/>
      <c r="C5" s="4629"/>
      <c r="D5" s="4629"/>
      <c r="E5" s="2099"/>
      <c r="F5" s="2099"/>
      <c r="G5" s="2099"/>
    </row>
    <row r="6" spans="1:28" ht="7.5" customHeight="1">
      <c r="A6" s="4631"/>
      <c r="B6" s="4631"/>
      <c r="C6" s="4631"/>
      <c r="D6" s="4631"/>
      <c r="E6" s="4631"/>
      <c r="F6" s="4631"/>
      <c r="G6" s="4631"/>
    </row>
    <row r="7" spans="1:28" ht="44.25" customHeight="1">
      <c r="A7" s="4632" t="s">
        <v>2166</v>
      </c>
      <c r="B7" s="4632"/>
      <c r="C7" s="4632"/>
      <c r="D7" s="4632"/>
      <c r="E7" s="4632"/>
      <c r="F7" s="4632"/>
      <c r="G7" s="4632"/>
    </row>
    <row r="8" spans="1:28" ht="15.6" customHeight="1">
      <c r="A8" s="269"/>
      <c r="B8" s="114"/>
      <c r="C8" s="114"/>
      <c r="D8" s="114"/>
      <c r="E8" s="114"/>
      <c r="F8" s="114"/>
      <c r="G8" s="114"/>
    </row>
    <row r="9" spans="1:28" s="487" customFormat="1" ht="49.5" customHeight="1">
      <c r="A9" s="484" t="s">
        <v>0</v>
      </c>
      <c r="B9" s="485" t="s">
        <v>466</v>
      </c>
      <c r="C9" s="486" t="s">
        <v>171</v>
      </c>
      <c r="D9" s="481" t="s">
        <v>174</v>
      </c>
      <c r="E9" s="483" t="s">
        <v>175</v>
      </c>
      <c r="F9" s="482" t="s">
        <v>172</v>
      </c>
      <c r="G9" s="482" t="s">
        <v>173</v>
      </c>
    </row>
    <row r="10" spans="1:28" s="274" customFormat="1" ht="17.100000000000001" customHeight="1">
      <c r="A10" s="2390">
        <v>1</v>
      </c>
      <c r="B10" s="2391" t="s">
        <v>1965</v>
      </c>
      <c r="C10" s="2392" t="s">
        <v>465</v>
      </c>
      <c r="D10" s="2393"/>
      <c r="E10" s="2394">
        <v>700000</v>
      </c>
      <c r="F10" s="2395"/>
      <c r="G10" s="2396"/>
    </row>
    <row r="11" spans="1:28" s="274" customFormat="1" ht="17.100000000000001" customHeight="1">
      <c r="A11" s="2397">
        <v>2</v>
      </c>
      <c r="B11" s="2398" t="s">
        <v>462</v>
      </c>
      <c r="C11" s="2399" t="s">
        <v>464</v>
      </c>
      <c r="D11" s="2400"/>
      <c r="E11" s="2401">
        <v>700000</v>
      </c>
      <c r="F11" s="2402"/>
      <c r="G11" s="2403"/>
    </row>
    <row r="12" spans="1:28" s="273" customFormat="1" ht="17.100000000000001" customHeight="1">
      <c r="A12" s="2397">
        <v>3</v>
      </c>
      <c r="B12" s="2398" t="s">
        <v>420</v>
      </c>
      <c r="C12" s="2399" t="s">
        <v>463</v>
      </c>
      <c r="D12" s="2400"/>
      <c r="E12" s="2401">
        <v>700000</v>
      </c>
      <c r="F12" s="2402"/>
      <c r="G12" s="2403"/>
    </row>
    <row r="13" spans="1:28" s="273" customFormat="1" ht="17.100000000000001" customHeight="1">
      <c r="A13" s="2397">
        <v>4</v>
      </c>
      <c r="B13" s="2398" t="s">
        <v>1105</v>
      </c>
      <c r="C13" s="2399" t="s">
        <v>1106</v>
      </c>
      <c r="D13" s="2400"/>
      <c r="E13" s="2401">
        <v>700000</v>
      </c>
      <c r="F13" s="2402"/>
      <c r="G13" s="2403"/>
    </row>
    <row r="14" spans="1:28" s="273" customFormat="1" ht="17.100000000000001" customHeight="1">
      <c r="A14" s="2397">
        <v>5</v>
      </c>
      <c r="B14" s="2398" t="s">
        <v>325</v>
      </c>
      <c r="C14" s="2399" t="s">
        <v>367</v>
      </c>
      <c r="D14" s="2400">
        <v>3</v>
      </c>
      <c r="E14" s="2401">
        <v>500000</v>
      </c>
      <c r="F14" s="2402"/>
      <c r="G14" s="2403"/>
    </row>
    <row r="15" spans="1:28" s="273" customFormat="1" ht="17.100000000000001" customHeight="1">
      <c r="A15" s="2397">
        <v>6</v>
      </c>
      <c r="B15" s="2398" t="s">
        <v>324</v>
      </c>
      <c r="C15" s="2399" t="s">
        <v>367</v>
      </c>
      <c r="D15" s="2400">
        <v>6</v>
      </c>
      <c r="E15" s="2401">
        <v>500000</v>
      </c>
      <c r="F15" s="2402"/>
      <c r="G15" s="2403"/>
    </row>
    <row r="16" spans="1:28" s="273" customFormat="1" ht="17.100000000000001" customHeight="1">
      <c r="A16" s="2397">
        <v>7</v>
      </c>
      <c r="B16" s="2398" t="s">
        <v>274</v>
      </c>
      <c r="C16" s="2399" t="s">
        <v>367</v>
      </c>
      <c r="D16" s="2400">
        <v>28</v>
      </c>
      <c r="E16" s="2401">
        <v>500000</v>
      </c>
      <c r="F16" s="2402"/>
      <c r="G16" s="2403"/>
    </row>
    <row r="17" spans="1:9" s="273" customFormat="1" ht="17.100000000000001" customHeight="1">
      <c r="A17" s="2397">
        <v>8</v>
      </c>
      <c r="B17" s="2398" t="s">
        <v>285</v>
      </c>
      <c r="C17" s="2399" t="s">
        <v>367</v>
      </c>
      <c r="D17" s="2400">
        <v>10</v>
      </c>
      <c r="E17" s="2401">
        <v>500000</v>
      </c>
      <c r="F17" s="2402"/>
      <c r="G17" s="2403"/>
    </row>
    <row r="18" spans="1:9" s="273" customFormat="1" ht="17.100000000000001" customHeight="1">
      <c r="A18" s="2397">
        <v>9</v>
      </c>
      <c r="B18" s="2398" t="s">
        <v>326</v>
      </c>
      <c r="C18" s="2399" t="s">
        <v>367</v>
      </c>
      <c r="D18" s="2400">
        <v>6</v>
      </c>
      <c r="E18" s="2401">
        <v>500000</v>
      </c>
      <c r="F18" s="2402"/>
      <c r="G18" s="2403"/>
    </row>
    <row r="19" spans="1:9" s="273" customFormat="1" ht="17.100000000000001" customHeight="1">
      <c r="A19" s="2397">
        <v>10</v>
      </c>
      <c r="B19" s="2398" t="s">
        <v>273</v>
      </c>
      <c r="C19" s="2399" t="s">
        <v>367</v>
      </c>
      <c r="D19" s="2400"/>
      <c r="E19" s="2401">
        <v>500000</v>
      </c>
      <c r="F19" s="2402"/>
      <c r="G19" s="2403"/>
    </row>
    <row r="20" spans="1:9" s="273" customFormat="1" ht="17.100000000000001" customHeight="1">
      <c r="A20" s="2397">
        <v>11</v>
      </c>
      <c r="B20" s="2398" t="s">
        <v>160</v>
      </c>
      <c r="C20" s="2399" t="s">
        <v>367</v>
      </c>
      <c r="D20" s="2400">
        <v>29</v>
      </c>
      <c r="E20" s="2401">
        <v>500000</v>
      </c>
      <c r="F20" s="2402"/>
      <c r="G20" s="2403"/>
    </row>
    <row r="21" spans="1:9" s="273" customFormat="1" ht="17.100000000000001" customHeight="1">
      <c r="A21" s="2397">
        <v>12</v>
      </c>
      <c r="B21" s="2398" t="s">
        <v>323</v>
      </c>
      <c r="C21" s="2399" t="s">
        <v>367</v>
      </c>
      <c r="D21" s="2400">
        <v>24</v>
      </c>
      <c r="E21" s="2401">
        <v>500000</v>
      </c>
      <c r="F21" s="2402"/>
      <c r="G21" s="2403"/>
    </row>
    <row r="22" spans="1:9" s="273" customFormat="1" ht="23.25" customHeight="1">
      <c r="A22" s="2397">
        <v>13</v>
      </c>
      <c r="B22" s="2398" t="s">
        <v>419</v>
      </c>
      <c r="C22" s="2399" t="s">
        <v>367</v>
      </c>
      <c r="D22" s="2400"/>
      <c r="E22" s="2401">
        <v>500000</v>
      </c>
      <c r="F22" s="2402"/>
      <c r="G22" s="2403"/>
    </row>
    <row r="23" spans="1:9" s="273" customFormat="1" ht="17.100000000000001" customHeight="1">
      <c r="A23" s="2397">
        <v>14</v>
      </c>
      <c r="B23" s="2398" t="s">
        <v>997</v>
      </c>
      <c r="C23" s="2399" t="s">
        <v>367</v>
      </c>
      <c r="D23" s="2400"/>
      <c r="E23" s="2401">
        <v>500000</v>
      </c>
      <c r="F23" s="2402"/>
      <c r="G23" s="2403"/>
    </row>
    <row r="24" spans="1:9" s="273" customFormat="1" ht="17.100000000000001" customHeight="1">
      <c r="A24" s="2397">
        <v>15</v>
      </c>
      <c r="B24" s="2398" t="s">
        <v>1088</v>
      </c>
      <c r="C24" s="2399" t="s">
        <v>367</v>
      </c>
      <c r="D24" s="2400">
        <v>3</v>
      </c>
      <c r="E24" s="2401">
        <v>500000</v>
      </c>
      <c r="F24" s="2402"/>
      <c r="G24" s="2403"/>
    </row>
    <row r="25" spans="1:9" s="273" customFormat="1" ht="17.100000000000001" customHeight="1">
      <c r="A25" s="2404">
        <v>16</v>
      </c>
      <c r="B25" s="2405" t="s">
        <v>1158</v>
      </c>
      <c r="C25" s="2406" t="s">
        <v>367</v>
      </c>
      <c r="D25" s="2407"/>
      <c r="E25" s="2408">
        <v>500000</v>
      </c>
      <c r="F25" s="2409"/>
      <c r="G25" s="2410"/>
    </row>
    <row r="26" spans="1:9" s="273" customFormat="1" ht="17.100000000000001" customHeight="1">
      <c r="A26" s="4633" t="s">
        <v>139</v>
      </c>
      <c r="B26" s="4634"/>
      <c r="C26" s="270"/>
      <c r="D26" s="236">
        <f>SUM(D14:D25)</f>
        <v>109</v>
      </c>
      <c r="E26" s="236">
        <f>SUM(E10:E25)</f>
        <v>8800000</v>
      </c>
      <c r="F26" s="276"/>
      <c r="G26" s="275"/>
    </row>
    <row r="27" spans="1:9" ht="18" customHeight="1">
      <c r="A27" s="4630" t="s">
        <v>1569</v>
      </c>
      <c r="B27" s="4630"/>
      <c r="C27" s="4630"/>
      <c r="D27" s="4630"/>
      <c r="E27" s="4630"/>
      <c r="F27" s="4630"/>
      <c r="G27" s="4630"/>
    </row>
    <row r="28" spans="1:9" ht="17.25" customHeight="1">
      <c r="A28" s="272"/>
      <c r="E28" s="4626" t="s">
        <v>2407</v>
      </c>
      <c r="F28" s="4626"/>
      <c r="G28" s="4626"/>
    </row>
    <row r="29" spans="1:9" ht="17.25" customHeight="1">
      <c r="A29" s="272"/>
      <c r="B29" s="4115" t="s">
        <v>513</v>
      </c>
      <c r="C29" s="4115"/>
      <c r="D29" s="4115" t="s">
        <v>21</v>
      </c>
      <c r="E29" s="4115"/>
      <c r="F29" s="4115"/>
      <c r="G29" s="4115"/>
      <c r="I29" s="354"/>
    </row>
    <row r="30" spans="1:9" ht="14.25" customHeight="1">
      <c r="A30" s="272"/>
      <c r="C30" s="116"/>
      <c r="D30" s="116"/>
      <c r="E30" s="116"/>
      <c r="F30" s="91"/>
      <c r="G30" s="91"/>
    </row>
    <row r="31" spans="1:9" ht="14.25" customHeight="1">
      <c r="A31" s="272"/>
      <c r="C31" s="116"/>
      <c r="D31" s="116"/>
      <c r="E31" s="116"/>
      <c r="F31" s="480"/>
      <c r="G31" s="480"/>
    </row>
    <row r="32" spans="1:9" ht="14.25" customHeight="1">
      <c r="A32" s="272"/>
      <c r="C32" s="116"/>
      <c r="D32" s="116"/>
      <c r="E32" s="116"/>
      <c r="F32" s="281"/>
      <c r="G32" s="281"/>
    </row>
    <row r="33" spans="1:7" ht="14.25" customHeight="1">
      <c r="A33" s="272"/>
      <c r="C33" s="116"/>
      <c r="D33" s="116"/>
      <c r="E33" s="116"/>
      <c r="F33" s="91"/>
      <c r="G33" s="91"/>
    </row>
    <row r="34" spans="1:7" ht="14.25" customHeight="1">
      <c r="A34" s="272"/>
      <c r="C34" s="116"/>
      <c r="D34" s="116"/>
      <c r="E34" s="116"/>
      <c r="F34" s="91"/>
      <c r="G34" s="91"/>
    </row>
    <row r="35" spans="1:7" ht="14.25" customHeight="1">
      <c r="A35" s="272"/>
      <c r="C35" s="116"/>
      <c r="D35" s="116"/>
      <c r="E35" s="116"/>
      <c r="F35" s="91"/>
      <c r="G35" s="91"/>
    </row>
    <row r="36" spans="1:7" ht="14.25" customHeight="1">
      <c r="A36" s="272"/>
      <c r="B36" s="92"/>
      <c r="C36" s="92"/>
      <c r="D36" s="92"/>
      <c r="E36" s="4115"/>
      <c r="F36" s="4115"/>
      <c r="G36" s="4115"/>
    </row>
    <row r="37" spans="1:7" ht="17.25" customHeight="1">
      <c r="B37" s="92"/>
      <c r="C37" s="92"/>
      <c r="D37" s="4115"/>
      <c r="E37" s="4115"/>
      <c r="F37" s="4115"/>
      <c r="G37" s="4115"/>
    </row>
    <row r="38" spans="1:7" ht="21" customHeight="1">
      <c r="A38" s="4115" t="s">
        <v>176</v>
      </c>
      <c r="B38" s="4115"/>
      <c r="C38" s="4115"/>
      <c r="D38" s="4115" t="s">
        <v>177</v>
      </c>
      <c r="E38" s="4115"/>
      <c r="F38" s="4115"/>
      <c r="G38" s="4115"/>
    </row>
    <row r="39" spans="1:7">
      <c r="A39" s="271"/>
    </row>
    <row r="40" spans="1:7">
      <c r="A40" s="271"/>
    </row>
    <row r="41" spans="1:7">
      <c r="A41" s="271"/>
    </row>
    <row r="42" spans="1:7">
      <c r="A42" s="271"/>
    </row>
    <row r="43" spans="1:7">
      <c r="A43" s="271"/>
    </row>
    <row r="44" spans="1:7">
      <c r="A44" s="271"/>
    </row>
    <row r="45" spans="1:7">
      <c r="A45" s="4625"/>
      <c r="B45" s="4625"/>
      <c r="C45" s="4625"/>
    </row>
    <row r="46" spans="1:7">
      <c r="A46" s="4625"/>
      <c r="B46" s="4625"/>
      <c r="C46" s="4625"/>
      <c r="D46" s="4115"/>
      <c r="E46" s="4115"/>
      <c r="F46" s="4115"/>
      <c r="G46" s="4115"/>
    </row>
    <row r="47" spans="1:7" ht="15" customHeight="1">
      <c r="A47" s="271"/>
    </row>
    <row r="48" spans="1:7" ht="19.5" customHeight="1"/>
  </sheetData>
  <mergeCells count="19">
    <mergeCell ref="A1:G1"/>
    <mergeCell ref="A2:G2"/>
    <mergeCell ref="A4:D4"/>
    <mergeCell ref="A5:D5"/>
    <mergeCell ref="A27:G27"/>
    <mergeCell ref="A6:G6"/>
    <mergeCell ref="A7:G7"/>
    <mergeCell ref="A26:B26"/>
    <mergeCell ref="A3:G3"/>
    <mergeCell ref="A45:C45"/>
    <mergeCell ref="A46:C46"/>
    <mergeCell ref="D46:G46"/>
    <mergeCell ref="D37:G37"/>
    <mergeCell ref="E28:G28"/>
    <mergeCell ref="E36:G36"/>
    <mergeCell ref="A38:C38"/>
    <mergeCell ref="D38:G38"/>
    <mergeCell ref="B29:C29"/>
    <mergeCell ref="D29:G29"/>
  </mergeCells>
  <phoneticPr fontId="54" type="noConversion"/>
  <printOptions horizontalCentered="1"/>
  <pageMargins left="0.51181102362204722" right="0.35433070866141736" top="0.4" bottom="0.19685039370078741" header="0.19685039370078741" footer="0.19685039370078741"/>
  <pageSetup paperSize="9" orientation="portrait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opLeftCell="A15" workbookViewId="0">
      <selection activeCell="G49" sqref="G49"/>
    </sheetView>
  </sheetViews>
  <sheetFormatPr defaultColWidth="8.85546875" defaultRowHeight="12.75"/>
  <cols>
    <col min="1" max="1" width="8.42578125" style="31" customWidth="1"/>
    <col min="2" max="2" width="6.5703125" style="31" customWidth="1"/>
    <col min="3" max="3" width="14.5703125" style="31" customWidth="1"/>
    <col min="4" max="4" width="4.28515625" style="31" customWidth="1"/>
    <col min="5" max="5" width="8.42578125" style="31" customWidth="1"/>
    <col min="6" max="6" width="6.5703125" style="31" customWidth="1"/>
    <col min="7" max="7" width="14.5703125" style="31" customWidth="1"/>
    <col min="8" max="8" width="4.28515625" style="31" customWidth="1"/>
    <col min="9" max="9" width="8.42578125" style="31" customWidth="1"/>
    <col min="10" max="10" width="6.5703125" style="31" customWidth="1"/>
    <col min="11" max="11" width="14.5703125" style="31" customWidth="1"/>
    <col min="12" max="16" width="8.85546875" style="31" customWidth="1"/>
    <col min="17" max="17" width="13.5703125" style="31" bestFit="1" customWidth="1"/>
    <col min="18" max="16384" width="8.85546875" style="31"/>
  </cols>
  <sheetData>
    <row r="1" spans="1:17" ht="15.6" customHeight="1">
      <c r="A1" s="132"/>
      <c r="B1" s="267" t="s">
        <v>358</v>
      </c>
      <c r="C1" s="268"/>
      <c r="D1" s="166"/>
      <c r="E1" s="132" t="s">
        <v>135</v>
      </c>
      <c r="F1" s="4635" t="s">
        <v>132</v>
      </c>
      <c r="G1" s="4636"/>
      <c r="H1" s="166"/>
      <c r="I1" s="132" t="s">
        <v>338</v>
      </c>
      <c r="J1" s="4635" t="s">
        <v>336</v>
      </c>
      <c r="K1" s="4636"/>
    </row>
    <row r="2" spans="1:17" ht="15.6" customHeight="1">
      <c r="A2" s="171" t="s">
        <v>197</v>
      </c>
      <c r="B2" s="175">
        <v>4</v>
      </c>
      <c r="C2" s="172"/>
      <c r="E2" s="171" t="s">
        <v>197</v>
      </c>
      <c r="F2" s="175">
        <v>4</v>
      </c>
      <c r="G2" s="172"/>
      <c r="I2" s="171" t="s">
        <v>197</v>
      </c>
      <c r="J2" s="175">
        <v>4</v>
      </c>
      <c r="K2" s="172"/>
      <c r="M2" s="31">
        <v>1</v>
      </c>
    </row>
    <row r="3" spans="1:17" ht="15.6" customHeight="1">
      <c r="A3" s="167" t="e">
        <f>#REF!</f>
        <v>#REF!</v>
      </c>
      <c r="B3" s="167"/>
      <c r="C3" s="168">
        <v>3434034</v>
      </c>
      <c r="E3" s="167" t="e">
        <f>#REF!</f>
        <v>#REF!</v>
      </c>
      <c r="F3" s="167"/>
      <c r="G3" s="168" t="e">
        <f>VLOOKUP(E1,'Tong luong NT'!#REF!,17)</f>
        <v>#REF!</v>
      </c>
      <c r="I3" s="167" t="e">
        <f>#REF!</f>
        <v>#REF!</v>
      </c>
      <c r="J3" s="167"/>
      <c r="K3" s="168" t="e">
        <f>VLOOKUP(I1,'Tong luong NT'!#REF!,17)</f>
        <v>#REF!</v>
      </c>
    </row>
    <row r="4" spans="1:17" ht="15.6" customHeight="1">
      <c r="A4" s="167" t="e">
        <f>#REF!</f>
        <v>#REF!</v>
      </c>
      <c r="B4" s="167"/>
      <c r="C4" s="168"/>
      <c r="E4" s="167" t="e">
        <f>#REF!</f>
        <v>#REF!</v>
      </c>
      <c r="F4" s="167"/>
      <c r="G4" s="168"/>
      <c r="I4" s="167" t="e">
        <f>#REF!</f>
        <v>#REF!</v>
      </c>
      <c r="J4" s="167"/>
      <c r="K4" s="168"/>
    </row>
    <row r="5" spans="1:17" ht="15.6" customHeight="1">
      <c r="A5" s="167" t="e">
        <f>#REF!</f>
        <v>#REF!</v>
      </c>
      <c r="B5" s="167"/>
      <c r="C5" s="168">
        <v>150000</v>
      </c>
      <c r="E5" s="167" t="e">
        <f>#REF!</f>
        <v>#REF!</v>
      </c>
      <c r="F5" s="167"/>
      <c r="G5" s="168"/>
      <c r="I5" s="167" t="e">
        <f>#REF!</f>
        <v>#REF!</v>
      </c>
      <c r="J5" s="167"/>
      <c r="K5" s="168">
        <v>100000</v>
      </c>
    </row>
    <row r="6" spans="1:17" ht="15.6" customHeight="1">
      <c r="A6" s="167" t="e">
        <f>#REF!</f>
        <v>#REF!</v>
      </c>
      <c r="B6" s="167"/>
      <c r="C6" s="168">
        <v>524000</v>
      </c>
      <c r="E6" s="167" t="e">
        <f>#REF!</f>
        <v>#REF!</v>
      </c>
      <c r="F6" s="167"/>
      <c r="G6" s="168">
        <v>590000</v>
      </c>
      <c r="I6" s="167" t="e">
        <f>#REF!</f>
        <v>#REF!</v>
      </c>
      <c r="J6" s="167"/>
      <c r="K6" s="168">
        <v>210000</v>
      </c>
      <c r="O6" s="31" t="s">
        <v>62</v>
      </c>
      <c r="Q6" s="34" t="e">
        <f>C12+G12+K12+C25+C38+G25+K25+C51+K38+G51+K51+C64+K64+G64+C77+G38+G77+K77+C90+G90+K90</f>
        <v>#REF!</v>
      </c>
    </row>
    <row r="7" spans="1:17" ht="15.6" customHeight="1">
      <c r="A7" s="167" t="e">
        <f>#REF!</f>
        <v>#REF!</v>
      </c>
      <c r="B7" s="167"/>
      <c r="C7" s="168"/>
      <c r="E7" s="167" t="e">
        <f>#REF!</f>
        <v>#REF!</v>
      </c>
      <c r="F7" s="167"/>
      <c r="G7" s="168"/>
      <c r="I7" s="167" t="e">
        <f>#REF!</f>
        <v>#REF!</v>
      </c>
      <c r="J7" s="167"/>
      <c r="K7" s="168"/>
      <c r="O7" s="31" t="s">
        <v>63</v>
      </c>
      <c r="Q7" s="34" t="e">
        <f>Q6-#REF!</f>
        <v>#REF!</v>
      </c>
    </row>
    <row r="8" spans="1:17" ht="15.6" customHeight="1">
      <c r="A8" s="167" t="e">
        <f>#REF!</f>
        <v>#REF!</v>
      </c>
      <c r="B8" s="167"/>
      <c r="C8" s="168"/>
      <c r="E8" s="167" t="e">
        <f>#REF!</f>
        <v>#REF!</v>
      </c>
      <c r="F8" s="167"/>
      <c r="G8" s="168" t="e">
        <f>VLOOKUP('lương con cb'!F1,#REF!,11,0)</f>
        <v>#REF!</v>
      </c>
      <c r="I8" s="167" t="e">
        <f>#REF!</f>
        <v>#REF!</v>
      </c>
      <c r="J8" s="167"/>
      <c r="K8" s="168"/>
    </row>
    <row r="9" spans="1:17" ht="15.6" customHeight="1">
      <c r="A9" s="167" t="s">
        <v>364</v>
      </c>
      <c r="B9" s="167"/>
      <c r="C9" s="168">
        <v>500000</v>
      </c>
      <c r="E9" s="167" t="s">
        <v>363</v>
      </c>
      <c r="F9" s="167"/>
      <c r="G9" s="168">
        <v>500000</v>
      </c>
      <c r="I9" s="167" t="s">
        <v>363</v>
      </c>
      <c r="J9" s="167"/>
      <c r="K9" s="168"/>
    </row>
    <row r="10" spans="1:17" ht="15.6" customHeight="1">
      <c r="A10" s="167" t="e">
        <f>#REF!</f>
        <v>#REF!</v>
      </c>
      <c r="B10" s="167"/>
      <c r="C10" s="168"/>
      <c r="E10" s="167" t="e">
        <f>#REF!</f>
        <v>#REF!</v>
      </c>
      <c r="F10" s="167"/>
      <c r="G10" s="168"/>
      <c r="I10" s="167" t="e">
        <f>#REF!</f>
        <v>#REF!</v>
      </c>
      <c r="J10" s="167"/>
      <c r="K10" s="168"/>
    </row>
    <row r="11" spans="1:17" ht="15.6" customHeight="1">
      <c r="A11" s="173" t="e">
        <f>#REF!</f>
        <v>#REF!</v>
      </c>
      <c r="B11" s="173"/>
      <c r="C11" s="174"/>
      <c r="E11" s="173" t="e">
        <f>#REF!</f>
        <v>#REF!</v>
      </c>
      <c r="F11" s="173"/>
      <c r="G11" s="168"/>
      <c r="I11" s="173" t="e">
        <f>#REF!</f>
        <v>#REF!</v>
      </c>
      <c r="J11" s="173"/>
      <c r="K11" s="174"/>
    </row>
    <row r="12" spans="1:17" ht="15.6" customHeight="1">
      <c r="A12" s="169" t="s">
        <v>58</v>
      </c>
      <c r="B12" s="169"/>
      <c r="C12" s="170">
        <f>C3-SUM(C4:C11)</f>
        <v>2260034</v>
      </c>
      <c r="D12" s="32"/>
      <c r="E12" s="169" t="s">
        <v>58</v>
      </c>
      <c r="F12" s="169"/>
      <c r="G12" s="170" t="e">
        <f>G3-SUM(G4:G11)</f>
        <v>#REF!</v>
      </c>
      <c r="H12" s="32"/>
      <c r="I12" s="169" t="s">
        <v>58</v>
      </c>
      <c r="J12" s="169"/>
      <c r="K12" s="170" t="e">
        <f>K3-SUM(K4:K11)</f>
        <v>#REF!</v>
      </c>
    </row>
    <row r="13" spans="1:17" ht="15.6" customHeight="1"/>
    <row r="14" spans="1:17" ht="15.6" customHeight="1">
      <c r="A14" s="132"/>
      <c r="B14" s="4635" t="s">
        <v>337</v>
      </c>
      <c r="C14" s="4636"/>
      <c r="D14" s="166"/>
      <c r="E14" s="4637" t="s">
        <v>34</v>
      </c>
      <c r="F14" s="4638"/>
      <c r="G14" s="4639"/>
      <c r="H14" s="166"/>
      <c r="I14" s="4637" t="s">
        <v>35</v>
      </c>
      <c r="J14" s="4638"/>
      <c r="K14" s="4639"/>
    </row>
    <row r="15" spans="1:17" ht="15.6" customHeight="1">
      <c r="A15" s="171" t="s">
        <v>197</v>
      </c>
      <c r="B15" s="175">
        <v>4</v>
      </c>
      <c r="C15" s="172"/>
      <c r="E15" s="171" t="s">
        <v>197</v>
      </c>
      <c r="F15" s="175">
        <v>4</v>
      </c>
      <c r="G15" s="172"/>
      <c r="I15" s="171" t="s">
        <v>197</v>
      </c>
      <c r="J15" s="175">
        <v>4</v>
      </c>
      <c r="K15" s="172"/>
    </row>
    <row r="16" spans="1:17" ht="15.6" customHeight="1">
      <c r="A16" s="167" t="e">
        <f>#REF!</f>
        <v>#REF!</v>
      </c>
      <c r="B16" s="167"/>
      <c r="C16" s="168">
        <v>3167881</v>
      </c>
      <c r="E16" s="167" t="e">
        <f>#REF!</f>
        <v>#REF!</v>
      </c>
      <c r="F16" s="167"/>
      <c r="G16" s="168">
        <v>3022382</v>
      </c>
      <c r="I16" s="167" t="e">
        <f>#REF!</f>
        <v>#REF!</v>
      </c>
      <c r="J16" s="167"/>
      <c r="K16" s="168">
        <v>3045733</v>
      </c>
    </row>
    <row r="17" spans="1:11" ht="15.6" customHeight="1">
      <c r="A17" s="167" t="e">
        <f>#REF!</f>
        <v>#REF!</v>
      </c>
      <c r="B17" s="167"/>
      <c r="C17" s="168"/>
      <c r="E17" s="167" t="e">
        <f>#REF!</f>
        <v>#REF!</v>
      </c>
      <c r="F17" s="167"/>
      <c r="G17" s="168"/>
      <c r="I17" s="167" t="e">
        <f>#REF!</f>
        <v>#REF!</v>
      </c>
      <c r="J17" s="167"/>
      <c r="K17" s="168"/>
    </row>
    <row r="18" spans="1:11" ht="15.6" customHeight="1">
      <c r="A18" s="167" t="e">
        <f>#REF!</f>
        <v>#REF!</v>
      </c>
      <c r="B18" s="167"/>
      <c r="C18" s="168"/>
      <c r="E18" s="167" t="e">
        <f>#REF!</f>
        <v>#REF!</v>
      </c>
      <c r="F18" s="167"/>
      <c r="G18" s="168">
        <v>150000</v>
      </c>
      <c r="I18" s="167" t="e">
        <f>#REF!</f>
        <v>#REF!</v>
      </c>
      <c r="J18" s="167"/>
      <c r="K18" s="168">
        <v>50000</v>
      </c>
    </row>
    <row r="19" spans="1:11" ht="15.6" customHeight="1">
      <c r="A19" s="167" t="e">
        <f>#REF!</f>
        <v>#REF!</v>
      </c>
      <c r="B19" s="167"/>
      <c r="C19" s="168">
        <v>60000</v>
      </c>
      <c r="E19" s="167" t="e">
        <f>#REF!</f>
        <v>#REF!</v>
      </c>
      <c r="F19" s="167"/>
      <c r="G19" s="168">
        <v>560000</v>
      </c>
      <c r="I19" s="167" t="e">
        <f>#REF!</f>
        <v>#REF!</v>
      </c>
      <c r="J19" s="167"/>
      <c r="K19" s="168">
        <v>620000</v>
      </c>
    </row>
    <row r="20" spans="1:11" ht="15.6" customHeight="1">
      <c r="A20" s="167" t="e">
        <f>#REF!</f>
        <v>#REF!</v>
      </c>
      <c r="B20" s="167"/>
      <c r="C20" s="168"/>
      <c r="E20" s="167" t="e">
        <f>#REF!</f>
        <v>#REF!</v>
      </c>
      <c r="F20" s="167"/>
      <c r="G20" s="168"/>
      <c r="I20" s="167" t="e">
        <f>#REF!</f>
        <v>#REF!</v>
      </c>
      <c r="J20" s="167"/>
      <c r="K20" s="168" t="e">
        <f>VLOOKUP('lương con cb'!I14,#REF!,10,0)</f>
        <v>#REF!</v>
      </c>
    </row>
    <row r="21" spans="1:11" ht="15.6" customHeight="1">
      <c r="A21" s="167" t="e">
        <f>#REF!</f>
        <v>#REF!</v>
      </c>
      <c r="B21" s="167"/>
      <c r="C21" s="168"/>
      <c r="E21" s="167" t="e">
        <f>#REF!</f>
        <v>#REF!</v>
      </c>
      <c r="F21" s="167"/>
      <c r="G21" s="168" t="e">
        <f>VLOOKUP('lương con cb'!E14,#REF!,11,0)</f>
        <v>#REF!</v>
      </c>
      <c r="I21" s="167" t="e">
        <f>#REF!</f>
        <v>#REF!</v>
      </c>
      <c r="J21" s="167"/>
      <c r="K21" s="168" t="e">
        <f>VLOOKUP('lương con cb'!I14,#REF!,11,0)</f>
        <v>#REF!</v>
      </c>
    </row>
    <row r="22" spans="1:11" ht="15.6" customHeight="1">
      <c r="A22" s="167" t="s">
        <v>363</v>
      </c>
      <c r="B22" s="167"/>
      <c r="C22" s="168">
        <v>500000</v>
      </c>
      <c r="E22" s="167" t="s">
        <v>363</v>
      </c>
      <c r="F22" s="167"/>
      <c r="G22" s="168">
        <v>500000</v>
      </c>
      <c r="I22" s="167" t="s">
        <v>363</v>
      </c>
      <c r="J22" s="167"/>
      <c r="K22" s="168">
        <v>500000</v>
      </c>
    </row>
    <row r="23" spans="1:11" ht="15.6" customHeight="1">
      <c r="A23" s="167" t="e">
        <f>#REF!</f>
        <v>#REF!</v>
      </c>
      <c r="B23" s="167"/>
      <c r="C23" s="168"/>
      <c r="E23" s="167" t="e">
        <f>#REF!</f>
        <v>#REF!</v>
      </c>
      <c r="F23" s="167"/>
      <c r="G23" s="168" t="e">
        <f>VLOOKUP('lương con cb'!E14,#REF!,13,0)</f>
        <v>#REF!</v>
      </c>
      <c r="I23" s="167" t="e">
        <f>#REF!</f>
        <v>#REF!</v>
      </c>
      <c r="J23" s="167"/>
      <c r="K23" s="168" t="e">
        <f>VLOOKUP('lương con cb'!I14,#REF!,13,0)</f>
        <v>#REF!</v>
      </c>
    </row>
    <row r="24" spans="1:11" ht="15.6" customHeight="1">
      <c r="A24" s="173" t="e">
        <f>#REF!</f>
        <v>#REF!</v>
      </c>
      <c r="B24" s="173"/>
      <c r="C24" s="174"/>
      <c r="E24" s="173" t="e">
        <f>#REF!</f>
        <v>#REF!</v>
      </c>
      <c r="F24" s="173"/>
      <c r="G24" s="168" t="e">
        <f>VLOOKUP('lương con cb'!E14,#REF!,14,0)</f>
        <v>#REF!</v>
      </c>
      <c r="I24" s="173" t="e">
        <f>#REF!</f>
        <v>#REF!</v>
      </c>
      <c r="J24" s="173"/>
      <c r="K24" s="174" t="e">
        <f>VLOOKUP('lương con cb'!I14,#REF!,14,0)</f>
        <v>#REF!</v>
      </c>
    </row>
    <row r="25" spans="1:11" ht="15.6" customHeight="1">
      <c r="A25" s="169" t="s">
        <v>58</v>
      </c>
      <c r="B25" s="169"/>
      <c r="C25" s="170">
        <f>C16-SUM(C17:C24)</f>
        <v>2607881</v>
      </c>
      <c r="D25" s="32"/>
      <c r="E25" s="169" t="s">
        <v>58</v>
      </c>
      <c r="F25" s="169"/>
      <c r="G25" s="170" t="e">
        <f>G16-SUM(G17:G24)</f>
        <v>#REF!</v>
      </c>
      <c r="H25" s="32"/>
      <c r="I25" s="169" t="s">
        <v>58</v>
      </c>
      <c r="J25" s="169"/>
      <c r="K25" s="170" t="e">
        <f>K16-SUM(K17:K24)</f>
        <v>#REF!</v>
      </c>
    </row>
    <row r="26" spans="1:11" ht="15.6" customHeight="1"/>
    <row r="27" spans="1:11" ht="15.6" customHeight="1">
      <c r="A27" s="4637" t="s">
        <v>108</v>
      </c>
      <c r="B27" s="4638"/>
      <c r="C27" s="4639"/>
      <c r="D27" s="166"/>
      <c r="E27" s="4637" t="s">
        <v>59</v>
      </c>
      <c r="F27" s="4638"/>
      <c r="G27" s="4639"/>
      <c r="H27" s="166"/>
      <c r="I27" s="4637" t="s">
        <v>32</v>
      </c>
      <c r="J27" s="4638"/>
      <c r="K27" s="4639"/>
    </row>
    <row r="28" spans="1:11" ht="15.6" customHeight="1">
      <c r="A28" s="171" t="s">
        <v>197</v>
      </c>
      <c r="B28" s="175">
        <v>4</v>
      </c>
      <c r="C28" s="172"/>
      <c r="E28" s="171" t="s">
        <v>197</v>
      </c>
      <c r="F28" s="175">
        <v>4</v>
      </c>
      <c r="G28" s="172"/>
      <c r="I28" s="171" t="s">
        <v>197</v>
      </c>
      <c r="J28" s="175">
        <v>4</v>
      </c>
      <c r="K28" s="172"/>
    </row>
    <row r="29" spans="1:11" ht="15.6" customHeight="1">
      <c r="A29" s="167" t="e">
        <f>#REF!</f>
        <v>#REF!</v>
      </c>
      <c r="B29" s="167"/>
      <c r="C29" s="168">
        <v>2663581</v>
      </c>
      <c r="E29" s="167" t="e">
        <f>#REF!</f>
        <v>#REF!</v>
      </c>
      <c r="F29" s="167"/>
      <c r="G29" s="168">
        <v>3053817</v>
      </c>
      <c r="I29" s="167" t="e">
        <f>#REF!</f>
        <v>#REF!</v>
      </c>
      <c r="J29" s="167"/>
      <c r="K29" s="168">
        <v>2619339</v>
      </c>
    </row>
    <row r="30" spans="1:11" ht="15.6" customHeight="1">
      <c r="A30" s="167" t="e">
        <f>#REF!</f>
        <v>#REF!</v>
      </c>
      <c r="B30" s="167"/>
      <c r="C30" s="168"/>
      <c r="E30" s="167" t="e">
        <f>#REF!</f>
        <v>#REF!</v>
      </c>
      <c r="F30" s="167"/>
      <c r="G30" s="168"/>
      <c r="I30" s="167" t="e">
        <f>#REF!</f>
        <v>#REF!</v>
      </c>
      <c r="J30" s="167"/>
      <c r="K30" s="168" t="e">
        <f>VLOOKUP('lương con cb'!I27,#REF!,7,0)</f>
        <v>#REF!</v>
      </c>
    </row>
    <row r="31" spans="1:11" ht="15.6" customHeight="1">
      <c r="A31" s="167" t="e">
        <f>#REF!</f>
        <v>#REF!</v>
      </c>
      <c r="B31" s="167"/>
      <c r="C31" s="168"/>
      <c r="E31" s="167" t="e">
        <f>#REF!</f>
        <v>#REF!</v>
      </c>
      <c r="F31" s="167"/>
      <c r="G31" s="168"/>
      <c r="I31" s="167" t="e">
        <f>#REF!</f>
        <v>#REF!</v>
      </c>
      <c r="J31" s="167"/>
      <c r="K31" s="168" t="e">
        <f>VLOOKUP('lương con cb'!I27,#REF!,8,0)</f>
        <v>#REF!</v>
      </c>
    </row>
    <row r="32" spans="1:11" ht="15.6" customHeight="1">
      <c r="A32" s="167" t="e">
        <f>#REF!</f>
        <v>#REF!</v>
      </c>
      <c r="B32" s="167"/>
      <c r="C32" s="168" t="e">
        <f>VLOOKUP('lương con cb'!A27,#REF!,9,0)</f>
        <v>#REF!</v>
      </c>
      <c r="E32" s="167" t="e">
        <f>#REF!</f>
        <v>#REF!</v>
      </c>
      <c r="F32" s="167"/>
      <c r="G32" s="168">
        <v>340000</v>
      </c>
      <c r="I32" s="167" t="e">
        <f>#REF!</f>
        <v>#REF!</v>
      </c>
      <c r="J32" s="167"/>
      <c r="K32" s="168" t="e">
        <f>VLOOKUP('lương con cb'!I27,#REF!,9,0)</f>
        <v>#REF!</v>
      </c>
    </row>
    <row r="33" spans="1:11" ht="15.6" customHeight="1">
      <c r="A33" s="167" t="e">
        <f>#REF!</f>
        <v>#REF!</v>
      </c>
      <c r="B33" s="167"/>
      <c r="C33" s="168" t="e">
        <f>VLOOKUP('lương con cb'!A27,#REF!,10,0)</f>
        <v>#REF!</v>
      </c>
      <c r="E33" s="167" t="e">
        <f>#REF!</f>
        <v>#REF!</v>
      </c>
      <c r="F33" s="167"/>
      <c r="G33" s="168" t="e">
        <f>VLOOKUP('lương con cb'!E27,#REF!,10,0)</f>
        <v>#REF!</v>
      </c>
      <c r="I33" s="167" t="e">
        <f>#REF!</f>
        <v>#REF!</v>
      </c>
      <c r="J33" s="167"/>
      <c r="K33" s="168" t="e">
        <f>VLOOKUP('lương con cb'!I27,#REF!,10,0)</f>
        <v>#REF!</v>
      </c>
    </row>
    <row r="34" spans="1:11" ht="15.6" customHeight="1">
      <c r="A34" s="167" t="e">
        <f>#REF!</f>
        <v>#REF!</v>
      </c>
      <c r="B34" s="167"/>
      <c r="C34" s="168" t="e">
        <f>VLOOKUP('lương con cb'!A27,#REF!,11,0)</f>
        <v>#REF!</v>
      </c>
      <c r="E34" s="167" t="e">
        <f>#REF!</f>
        <v>#REF!</v>
      </c>
      <c r="F34" s="167"/>
      <c r="G34" s="168" t="e">
        <f>VLOOKUP('lương con cb'!E27,#REF!,11,0)</f>
        <v>#REF!</v>
      </c>
      <c r="I34" s="167" t="e">
        <f>#REF!</f>
        <v>#REF!</v>
      </c>
      <c r="J34" s="167"/>
      <c r="K34" s="168" t="e">
        <f>VLOOKUP('lương con cb'!I27,#REF!,11,0)</f>
        <v>#REF!</v>
      </c>
    </row>
    <row r="35" spans="1:11" ht="15.6" customHeight="1">
      <c r="A35" s="167" t="s">
        <v>363</v>
      </c>
      <c r="B35" s="167"/>
      <c r="C35" s="168">
        <v>500000</v>
      </c>
      <c r="E35" s="167" t="s">
        <v>363</v>
      </c>
      <c r="F35" s="167"/>
      <c r="G35" s="168">
        <v>500000</v>
      </c>
      <c r="I35" s="167" t="s">
        <v>363</v>
      </c>
      <c r="J35" s="167"/>
      <c r="K35" s="168">
        <v>500000</v>
      </c>
    </row>
    <row r="36" spans="1:11" ht="15.6" customHeight="1">
      <c r="A36" s="167" t="e">
        <f>#REF!</f>
        <v>#REF!</v>
      </c>
      <c r="B36" s="167"/>
      <c r="C36" s="168" t="e">
        <f>VLOOKUP('lương con cb'!A27,#REF!,13,0)</f>
        <v>#REF!</v>
      </c>
      <c r="E36" s="167" t="e">
        <f>#REF!</f>
        <v>#REF!</v>
      </c>
      <c r="F36" s="167"/>
      <c r="G36" s="168" t="e">
        <f>VLOOKUP('lương con cb'!E27,#REF!,13,0)</f>
        <v>#REF!</v>
      </c>
      <c r="I36" s="167" t="e">
        <f>#REF!</f>
        <v>#REF!</v>
      </c>
      <c r="J36" s="167"/>
      <c r="K36" s="168" t="e">
        <f>VLOOKUP('lương con cb'!I27,#REF!,13,0)</f>
        <v>#REF!</v>
      </c>
    </row>
    <row r="37" spans="1:11" ht="15.6" customHeight="1">
      <c r="A37" s="173" t="e">
        <f>#REF!</f>
        <v>#REF!</v>
      </c>
      <c r="B37" s="173"/>
      <c r="C37" s="174" t="e">
        <f>VLOOKUP('lương con cb'!A27,#REF!,14,0)</f>
        <v>#REF!</v>
      </c>
      <c r="E37" s="173" t="e">
        <f>#REF!</f>
        <v>#REF!</v>
      </c>
      <c r="F37" s="173"/>
      <c r="G37" s="168" t="e">
        <f>VLOOKUP('lương con cb'!E27,#REF!,14,0)</f>
        <v>#REF!</v>
      </c>
      <c r="I37" s="173" t="e">
        <f>#REF!</f>
        <v>#REF!</v>
      </c>
      <c r="J37" s="173"/>
      <c r="K37" s="174" t="e">
        <f>VLOOKUP('lương con cb'!I27,#REF!,14,0)</f>
        <v>#REF!</v>
      </c>
    </row>
    <row r="38" spans="1:11" ht="15.6" customHeight="1">
      <c r="A38" s="169" t="s">
        <v>58</v>
      </c>
      <c r="B38" s="169"/>
      <c r="C38" s="170" t="e">
        <f>C29-SUM(C30:C37)</f>
        <v>#REF!</v>
      </c>
      <c r="D38" s="32"/>
      <c r="E38" s="169" t="s">
        <v>58</v>
      </c>
      <c r="F38" s="169"/>
      <c r="G38" s="176" t="e">
        <f>G29-SUM(G30:G37)</f>
        <v>#REF!</v>
      </c>
      <c r="H38" s="32"/>
      <c r="I38" s="169" t="s">
        <v>58</v>
      </c>
      <c r="J38" s="169"/>
      <c r="K38" s="176" t="e">
        <f>K29-SUM(K30:K37)</f>
        <v>#REF!</v>
      </c>
    </row>
    <row r="39" spans="1:11" ht="15.6" customHeight="1"/>
    <row r="40" spans="1:11" ht="15.6" customHeight="1">
      <c r="A40" s="4637" t="s">
        <v>33</v>
      </c>
      <c r="B40" s="4638"/>
      <c r="C40" s="4639"/>
      <c r="D40" s="166"/>
      <c r="E40" s="4637" t="s">
        <v>36</v>
      </c>
      <c r="F40" s="4638"/>
      <c r="G40" s="4639"/>
      <c r="H40" s="166"/>
      <c r="I40" s="4637" t="s">
        <v>37</v>
      </c>
      <c r="J40" s="4638"/>
      <c r="K40" s="4639"/>
    </row>
    <row r="41" spans="1:11" ht="15.6" customHeight="1">
      <c r="A41" s="171" t="s">
        <v>197</v>
      </c>
      <c r="B41" s="175">
        <v>4</v>
      </c>
      <c r="C41" s="172"/>
      <c r="E41" s="171" t="s">
        <v>197</v>
      </c>
      <c r="F41" s="175">
        <v>4</v>
      </c>
      <c r="G41" s="172"/>
      <c r="I41" s="171" t="s">
        <v>197</v>
      </c>
      <c r="J41" s="175">
        <v>4</v>
      </c>
      <c r="K41" s="172"/>
    </row>
    <row r="42" spans="1:11" ht="15.6" customHeight="1">
      <c r="A42" s="167" t="e">
        <f>#REF!</f>
        <v>#REF!</v>
      </c>
      <c r="B42" s="167"/>
      <c r="C42" s="168">
        <v>2462595</v>
      </c>
      <c r="E42" s="167" t="e">
        <f>#REF!</f>
        <v>#REF!</v>
      </c>
      <c r="F42" s="167"/>
      <c r="G42" s="168">
        <v>3066391</v>
      </c>
      <c r="I42" s="167" t="e">
        <f>#REF!</f>
        <v>#REF!</v>
      </c>
      <c r="J42" s="167"/>
      <c r="K42" s="168">
        <v>2522965</v>
      </c>
    </row>
    <row r="43" spans="1:11" ht="15.6" customHeight="1">
      <c r="A43" s="167" t="e">
        <f>#REF!</f>
        <v>#REF!</v>
      </c>
      <c r="B43" s="167"/>
      <c r="C43" s="168" t="e">
        <f>VLOOKUP('lương con cb'!A40,#REF!,7,0)</f>
        <v>#REF!</v>
      </c>
      <c r="E43" s="167" t="e">
        <f>#REF!</f>
        <v>#REF!</v>
      </c>
      <c r="F43" s="167"/>
      <c r="G43" s="168"/>
      <c r="I43" s="167" t="e">
        <f>#REF!</f>
        <v>#REF!</v>
      </c>
      <c r="J43" s="167"/>
      <c r="K43" s="168" t="e">
        <f>VLOOKUP('lương con cb'!I40,#REF!,7,0)</f>
        <v>#REF!</v>
      </c>
    </row>
    <row r="44" spans="1:11" ht="15.6" customHeight="1">
      <c r="A44" s="167" t="e">
        <f>#REF!</f>
        <v>#REF!</v>
      </c>
      <c r="B44" s="167"/>
      <c r="C44" s="168" t="e">
        <f>VLOOKUP('lương con cb'!A40,#REF!,8,0)</f>
        <v>#REF!</v>
      </c>
      <c r="E44" s="167" t="e">
        <f>#REF!</f>
        <v>#REF!</v>
      </c>
      <c r="F44" s="167"/>
      <c r="G44" s="168">
        <v>250000</v>
      </c>
      <c r="I44" s="167" t="e">
        <f>#REF!</f>
        <v>#REF!</v>
      </c>
      <c r="J44" s="167"/>
      <c r="K44" s="168" t="e">
        <f>VLOOKUP('lương con cb'!I40,#REF!,8,0)</f>
        <v>#REF!</v>
      </c>
    </row>
    <row r="45" spans="1:11" ht="15.6" customHeight="1">
      <c r="A45" s="167" t="e">
        <f>#REF!</f>
        <v>#REF!</v>
      </c>
      <c r="B45" s="167"/>
      <c r="C45" s="168" t="e">
        <f>VLOOKUP('lương con cb'!A40,#REF!,9,0)</f>
        <v>#REF!</v>
      </c>
      <c r="E45" s="167" t="e">
        <f>#REF!</f>
        <v>#REF!</v>
      </c>
      <c r="F45" s="167"/>
      <c r="G45" s="168">
        <v>540000</v>
      </c>
      <c r="I45" s="167" t="e">
        <f>#REF!</f>
        <v>#REF!</v>
      </c>
      <c r="J45" s="167"/>
      <c r="K45" s="168">
        <v>24000</v>
      </c>
    </row>
    <row r="46" spans="1:11" ht="15.6" customHeight="1">
      <c r="A46" s="167" t="e">
        <f>#REF!</f>
        <v>#REF!</v>
      </c>
      <c r="B46" s="167"/>
      <c r="C46" s="168" t="e">
        <f>VLOOKUP('lương con cb'!A40,#REF!,10,0)</f>
        <v>#REF!</v>
      </c>
      <c r="E46" s="167" t="e">
        <f>#REF!</f>
        <v>#REF!</v>
      </c>
      <c r="F46" s="167"/>
      <c r="G46" s="168"/>
      <c r="I46" s="167" t="e">
        <f>#REF!</f>
        <v>#REF!</v>
      </c>
      <c r="J46" s="167"/>
      <c r="K46" s="168" t="e">
        <f>VLOOKUP('lương con cb'!I40,#REF!,10,0)</f>
        <v>#REF!</v>
      </c>
    </row>
    <row r="47" spans="1:11" ht="15.6" customHeight="1">
      <c r="A47" s="167" t="e">
        <f>#REF!</f>
        <v>#REF!</v>
      </c>
      <c r="B47" s="167"/>
      <c r="C47" s="168" t="e">
        <f>VLOOKUP('lương con cb'!A40,#REF!,11,0)</f>
        <v>#REF!</v>
      </c>
      <c r="E47" s="167" t="e">
        <f>#REF!</f>
        <v>#REF!</v>
      </c>
      <c r="F47" s="167"/>
      <c r="G47" s="168" t="e">
        <f>VLOOKUP('lương con cb'!E40,#REF!,11,0)</f>
        <v>#REF!</v>
      </c>
      <c r="I47" s="167" t="e">
        <f>#REF!</f>
        <v>#REF!</v>
      </c>
      <c r="J47" s="167"/>
      <c r="K47" s="168" t="e">
        <f>VLOOKUP('lương con cb'!I40,#REF!,11,0)</f>
        <v>#REF!</v>
      </c>
    </row>
    <row r="48" spans="1:11" ht="15.6" customHeight="1">
      <c r="A48" s="167" t="s">
        <v>363</v>
      </c>
      <c r="B48" s="167"/>
      <c r="C48" s="168">
        <v>500000</v>
      </c>
      <c r="E48" s="167" t="s">
        <v>363</v>
      </c>
      <c r="F48" s="167"/>
      <c r="G48" s="168">
        <v>500000</v>
      </c>
      <c r="I48" s="167" t="s">
        <v>363</v>
      </c>
      <c r="J48" s="167"/>
      <c r="K48" s="168">
        <v>500000</v>
      </c>
    </row>
    <row r="49" spans="1:17" ht="15.6" customHeight="1">
      <c r="A49" s="167" t="e">
        <f>#REF!</f>
        <v>#REF!</v>
      </c>
      <c r="B49" s="167"/>
      <c r="C49" s="168" t="e">
        <f>VLOOKUP('lương con cb'!A40,#REF!,13,0)</f>
        <v>#REF!</v>
      </c>
      <c r="E49" s="167" t="e">
        <f>#REF!</f>
        <v>#REF!</v>
      </c>
      <c r="F49" s="167"/>
      <c r="G49" s="168" t="e">
        <f>VLOOKUP('lương con cb'!E40,#REF!,13,0)</f>
        <v>#REF!</v>
      </c>
      <c r="I49" s="167" t="e">
        <f>#REF!</f>
        <v>#REF!</v>
      </c>
      <c r="J49" s="167"/>
      <c r="K49" s="168" t="e">
        <f>VLOOKUP('lương con cb'!I40,#REF!,13,0)</f>
        <v>#REF!</v>
      </c>
      <c r="Q49" s="31">
        <v>79002016</v>
      </c>
    </row>
    <row r="50" spans="1:17" ht="15.6" customHeight="1">
      <c r="A50" s="173" t="e">
        <f>#REF!</f>
        <v>#REF!</v>
      </c>
      <c r="B50" s="173"/>
      <c r="C50" s="174" t="e">
        <f>VLOOKUP('lương con cb'!A40,#REF!,14,0)</f>
        <v>#REF!</v>
      </c>
      <c r="E50" s="173" t="e">
        <f>#REF!</f>
        <v>#REF!</v>
      </c>
      <c r="F50" s="173"/>
      <c r="G50" s="168" t="e">
        <f>VLOOKUP('lương con cb'!E40,#REF!,14,0)</f>
        <v>#REF!</v>
      </c>
      <c r="I50" s="173" t="e">
        <f>#REF!</f>
        <v>#REF!</v>
      </c>
      <c r="J50" s="173"/>
      <c r="K50" s="174" t="e">
        <f>VLOOKUP('lương con cb'!I40,#REF!,14,0)</f>
        <v>#REF!</v>
      </c>
      <c r="P50" s="31" t="s">
        <v>120</v>
      </c>
      <c r="Q50" s="31">
        <v>3900000</v>
      </c>
    </row>
    <row r="51" spans="1:17" ht="15.6" customHeight="1">
      <c r="A51" s="169" t="s">
        <v>58</v>
      </c>
      <c r="B51" s="169"/>
      <c r="C51" s="176" t="e">
        <f>C42-SUM(C43:C50)</f>
        <v>#REF!</v>
      </c>
      <c r="D51" s="32"/>
      <c r="E51" s="169" t="s">
        <v>58</v>
      </c>
      <c r="F51" s="169"/>
      <c r="G51" s="176" t="e">
        <f>G42-SUM(G43:G50)</f>
        <v>#REF!</v>
      </c>
      <c r="H51" s="32"/>
      <c r="I51" s="169" t="s">
        <v>58</v>
      </c>
      <c r="J51" s="169"/>
      <c r="K51" s="176" t="e">
        <f>K42-SUM(K43:K50)</f>
        <v>#REF!</v>
      </c>
      <c r="P51" s="31" t="s">
        <v>57</v>
      </c>
      <c r="Q51" s="31">
        <v>11000000</v>
      </c>
    </row>
    <row r="52" spans="1:17" ht="15.6" customHeight="1">
      <c r="P52" s="31" t="s">
        <v>121</v>
      </c>
      <c r="Q52" s="31">
        <v>3303279</v>
      </c>
    </row>
    <row r="53" spans="1:17" ht="15.6" customHeight="1">
      <c r="A53" s="4637" t="s">
        <v>38</v>
      </c>
      <c r="B53" s="4638"/>
      <c r="C53" s="4639"/>
      <c r="D53" s="166"/>
      <c r="E53" s="4637" t="s">
        <v>40</v>
      </c>
      <c r="F53" s="4638"/>
      <c r="G53" s="4639"/>
      <c r="H53" s="166"/>
      <c r="I53" s="4637" t="s">
        <v>39</v>
      </c>
      <c r="J53" s="4638"/>
      <c r="K53" s="4639"/>
      <c r="P53" s="31" t="s">
        <v>122</v>
      </c>
      <c r="Q53" s="31">
        <v>420000</v>
      </c>
    </row>
    <row r="54" spans="1:17" ht="15.6" customHeight="1">
      <c r="A54" s="171" t="s">
        <v>197</v>
      </c>
      <c r="B54" s="175">
        <v>4</v>
      </c>
      <c r="C54" s="172"/>
      <c r="E54" s="171" t="s">
        <v>197</v>
      </c>
      <c r="F54" s="175">
        <v>4</v>
      </c>
      <c r="G54" s="172"/>
      <c r="I54" s="171" t="s">
        <v>197</v>
      </c>
      <c r="J54" s="175">
        <v>4</v>
      </c>
      <c r="K54" s="172"/>
      <c r="P54" s="31" t="s">
        <v>123</v>
      </c>
      <c r="Q54" s="31">
        <f>64717+32768</f>
        <v>97485</v>
      </c>
    </row>
    <row r="55" spans="1:17" ht="15.6" customHeight="1">
      <c r="A55" s="167" t="e">
        <f>#REF!</f>
        <v>#REF!</v>
      </c>
      <c r="B55" s="167"/>
      <c r="C55" s="168">
        <v>2366211</v>
      </c>
      <c r="E55" s="167" t="e">
        <f>#REF!</f>
        <v>#REF!</v>
      </c>
      <c r="F55" s="167"/>
      <c r="G55" s="168">
        <v>2204726</v>
      </c>
      <c r="I55" s="167" t="e">
        <f>#REF!</f>
        <v>#REF!</v>
      </c>
      <c r="J55" s="167"/>
      <c r="K55" s="168">
        <v>1940854</v>
      </c>
      <c r="P55" s="31" t="s">
        <v>55</v>
      </c>
      <c r="Q55" s="31">
        <v>1300000</v>
      </c>
    </row>
    <row r="56" spans="1:17" ht="15.6" customHeight="1">
      <c r="A56" s="167" t="e">
        <f>#REF!</f>
        <v>#REF!</v>
      </c>
      <c r="B56" s="167"/>
      <c r="C56" s="168" t="e">
        <f>VLOOKUP('lương con cb'!A53,#REF!,7,0)</f>
        <v>#REF!</v>
      </c>
      <c r="E56" s="167" t="e">
        <f>#REF!</f>
        <v>#REF!</v>
      </c>
      <c r="F56" s="167"/>
      <c r="G56" s="168" t="e">
        <f>VLOOKUP('lương con cb'!E53,#REF!,7,0)</f>
        <v>#REF!</v>
      </c>
      <c r="I56" s="167" t="e">
        <f>#REF!</f>
        <v>#REF!</v>
      </c>
      <c r="J56" s="167"/>
      <c r="K56" s="168" t="e">
        <f>VLOOKUP('lương con cb'!I53,#REF!,7,0)</f>
        <v>#REF!</v>
      </c>
      <c r="Q56" s="31">
        <f>Q49-Q50-Q51-Q52-Q53-Q54-Q55</f>
        <v>58981252</v>
      </c>
    </row>
    <row r="57" spans="1:17" ht="15.6" customHeight="1">
      <c r="A57" s="167" t="e">
        <f>#REF!</f>
        <v>#REF!</v>
      </c>
      <c r="B57" s="167"/>
      <c r="C57" s="168" t="e">
        <f>VLOOKUP('lương con cb'!A53,#REF!,8,0)</f>
        <v>#REF!</v>
      </c>
      <c r="E57" s="167" t="e">
        <f>#REF!</f>
        <v>#REF!</v>
      </c>
      <c r="F57" s="167"/>
      <c r="G57" s="168">
        <v>50000</v>
      </c>
      <c r="I57" s="167" t="e">
        <f>#REF!</f>
        <v>#REF!</v>
      </c>
      <c r="J57" s="167"/>
      <c r="K57" s="168" t="e">
        <f>VLOOKUP('lương con cb'!I53,#REF!,8,0)</f>
        <v>#REF!</v>
      </c>
      <c r="P57" s="31" t="s">
        <v>124</v>
      </c>
      <c r="Q57" s="31">
        <v>2000000</v>
      </c>
    </row>
    <row r="58" spans="1:17" ht="15.6" customHeight="1">
      <c r="A58" s="167" t="e">
        <f>#REF!</f>
        <v>#REF!</v>
      </c>
      <c r="B58" s="167"/>
      <c r="C58" s="168">
        <v>240000</v>
      </c>
      <c r="E58" s="167" t="e">
        <f>#REF!</f>
        <v>#REF!</v>
      </c>
      <c r="F58" s="167"/>
      <c r="G58" s="168" t="e">
        <f>VLOOKUP('lương con cb'!E53,#REF!,9,0)</f>
        <v>#REF!</v>
      </c>
      <c r="I58" s="167" t="e">
        <f>#REF!</f>
        <v>#REF!</v>
      </c>
      <c r="J58" s="167"/>
      <c r="K58" s="168">
        <v>16000</v>
      </c>
      <c r="P58" s="31" t="s">
        <v>125</v>
      </c>
      <c r="Q58" s="31">
        <v>5500000</v>
      </c>
    </row>
    <row r="59" spans="1:17" ht="15.6" customHeight="1">
      <c r="A59" s="167" t="e">
        <f>#REF!</f>
        <v>#REF!</v>
      </c>
      <c r="B59" s="167"/>
      <c r="C59" s="168" t="e">
        <f>VLOOKUP('lương con cb'!A53,#REF!,10,0)</f>
        <v>#REF!</v>
      </c>
      <c r="E59" s="167" t="e">
        <f>#REF!</f>
        <v>#REF!</v>
      </c>
      <c r="F59" s="167"/>
      <c r="G59" s="168" t="e">
        <f>VLOOKUP('lương con cb'!E53,#REF!,10,0)</f>
        <v>#REF!</v>
      </c>
      <c r="I59" s="167" t="e">
        <f>#REF!</f>
        <v>#REF!</v>
      </c>
      <c r="J59" s="167"/>
      <c r="K59" s="168" t="e">
        <f>VLOOKUP('lương con cb'!I53,#REF!,10,0)</f>
        <v>#REF!</v>
      </c>
      <c r="Q59" s="31">
        <f>Q56-Q57-Q58</f>
        <v>51481252</v>
      </c>
    </row>
    <row r="60" spans="1:17" ht="15.6" customHeight="1">
      <c r="A60" s="167" t="e">
        <f>#REF!</f>
        <v>#REF!</v>
      </c>
      <c r="B60" s="167"/>
      <c r="C60" s="168" t="e">
        <f>VLOOKUP('lương con cb'!A53,#REF!,11,0)</f>
        <v>#REF!</v>
      </c>
      <c r="E60" s="167" t="e">
        <f>#REF!</f>
        <v>#REF!</v>
      </c>
      <c r="F60" s="167"/>
      <c r="G60" s="168" t="e">
        <f>VLOOKUP('lương con cb'!E53,#REF!,11,0)</f>
        <v>#REF!</v>
      </c>
      <c r="I60" s="167" t="e">
        <f>#REF!</f>
        <v>#REF!</v>
      </c>
      <c r="J60" s="167"/>
      <c r="K60" s="168" t="e">
        <f>VLOOKUP('lương con cb'!I53,#REF!,11,0)</f>
        <v>#REF!</v>
      </c>
    </row>
    <row r="61" spans="1:17" ht="15.6" customHeight="1">
      <c r="A61" s="167" t="s">
        <v>363</v>
      </c>
      <c r="B61" s="167"/>
      <c r="C61" s="168">
        <v>500000</v>
      </c>
      <c r="E61" s="167" t="s">
        <v>363</v>
      </c>
      <c r="F61" s="167"/>
      <c r="G61" s="168">
        <v>500000</v>
      </c>
      <c r="I61" s="167" t="s">
        <v>363</v>
      </c>
      <c r="J61" s="167"/>
      <c r="K61" s="168">
        <v>500000</v>
      </c>
    </row>
    <row r="62" spans="1:17" ht="15.6" customHeight="1">
      <c r="A62" s="167" t="e">
        <f>#REF!</f>
        <v>#REF!</v>
      </c>
      <c r="B62" s="167"/>
      <c r="C62" s="168" t="e">
        <f>VLOOKUP('lương con cb'!A53,#REF!,13,0)</f>
        <v>#REF!</v>
      </c>
      <c r="E62" s="167" t="e">
        <f>#REF!</f>
        <v>#REF!</v>
      </c>
      <c r="F62" s="167"/>
      <c r="G62" s="168" t="e">
        <f>VLOOKUP('lương con cb'!E53,#REF!,13,0)</f>
        <v>#REF!</v>
      </c>
      <c r="I62" s="167" t="e">
        <f>#REF!</f>
        <v>#REF!</v>
      </c>
      <c r="J62" s="167"/>
      <c r="K62" s="168" t="e">
        <f>VLOOKUP('lương con cb'!I53,#REF!,13,0)</f>
        <v>#REF!</v>
      </c>
    </row>
    <row r="63" spans="1:17" ht="15.6" customHeight="1">
      <c r="A63" s="173" t="e">
        <f>#REF!</f>
        <v>#REF!</v>
      </c>
      <c r="B63" s="173"/>
      <c r="C63" s="174" t="e">
        <f>VLOOKUP('lương con cb'!A53,#REF!,14,0)</f>
        <v>#REF!</v>
      </c>
      <c r="E63" s="173" t="e">
        <f>#REF!</f>
        <v>#REF!</v>
      </c>
      <c r="F63" s="173"/>
      <c r="G63" s="168" t="e">
        <f>VLOOKUP('lương con cb'!E53,#REF!,14,0)</f>
        <v>#REF!</v>
      </c>
      <c r="I63" s="173" t="e">
        <f>#REF!</f>
        <v>#REF!</v>
      </c>
      <c r="J63" s="173"/>
      <c r="K63" s="174" t="e">
        <f>VLOOKUP('lương con cb'!I53,#REF!,14,0)</f>
        <v>#REF!</v>
      </c>
    </row>
    <row r="64" spans="1:17" ht="15.6" customHeight="1">
      <c r="A64" s="169" t="s">
        <v>58</v>
      </c>
      <c r="B64" s="169"/>
      <c r="C64" s="176" t="e">
        <f>C55-SUM(C56:C63)</f>
        <v>#REF!</v>
      </c>
      <c r="D64" s="32"/>
      <c r="E64" s="169" t="s">
        <v>58</v>
      </c>
      <c r="F64" s="169"/>
      <c r="G64" s="176" t="e">
        <f>G55-SUM(G56:G63)</f>
        <v>#REF!</v>
      </c>
      <c r="H64" s="32"/>
      <c r="I64" s="169" t="s">
        <v>58</v>
      </c>
      <c r="J64" s="169"/>
      <c r="K64" s="176" t="e">
        <f>K55-SUM(K56:K63)</f>
        <v>#REF!</v>
      </c>
    </row>
    <row r="65" spans="1:11" ht="15.6" customHeight="1"/>
    <row r="66" spans="1:11" ht="15.6" customHeight="1">
      <c r="A66" s="4637" t="s">
        <v>41</v>
      </c>
      <c r="B66" s="4638"/>
      <c r="C66" s="4639"/>
      <c r="D66" s="166"/>
      <c r="E66" s="4637" t="s">
        <v>320</v>
      </c>
      <c r="F66" s="4638"/>
      <c r="G66" s="4639"/>
      <c r="H66" s="166"/>
      <c r="I66" s="4637" t="s">
        <v>318</v>
      </c>
      <c r="J66" s="4638"/>
      <c r="K66" s="4639"/>
    </row>
    <row r="67" spans="1:11" ht="15.6" customHeight="1">
      <c r="A67" s="171" t="s">
        <v>197</v>
      </c>
      <c r="B67" s="175">
        <v>4</v>
      </c>
      <c r="C67" s="172"/>
      <c r="E67" s="171" t="s">
        <v>197</v>
      </c>
      <c r="F67" s="175">
        <v>4</v>
      </c>
      <c r="G67" s="172"/>
      <c r="I67" s="171" t="s">
        <v>197</v>
      </c>
      <c r="J67" s="175">
        <v>4</v>
      </c>
      <c r="K67" s="172"/>
    </row>
    <row r="68" spans="1:11" ht="15.6" customHeight="1">
      <c r="A68" s="167" t="e">
        <f>#REF!</f>
        <v>#REF!</v>
      </c>
      <c r="B68" s="167"/>
      <c r="C68" s="168">
        <v>2175970</v>
      </c>
      <c r="E68" s="167" t="e">
        <f>#REF!</f>
        <v>#REF!</v>
      </c>
      <c r="F68" s="167"/>
      <c r="G68" s="168">
        <v>2870887</v>
      </c>
      <c r="I68" s="167" t="e">
        <f>#REF!</f>
        <v>#REF!</v>
      </c>
      <c r="J68" s="167"/>
      <c r="K68" s="168">
        <v>2400656</v>
      </c>
    </row>
    <row r="69" spans="1:11" ht="15.6" customHeight="1">
      <c r="A69" s="167" t="e">
        <f>#REF!</f>
        <v>#REF!</v>
      </c>
      <c r="B69" s="167"/>
      <c r="C69" s="168"/>
      <c r="E69" s="167" t="e">
        <f>#REF!</f>
        <v>#REF!</v>
      </c>
      <c r="F69" s="167"/>
      <c r="G69" s="168"/>
      <c r="I69" s="167" t="e">
        <f>#REF!</f>
        <v>#REF!</v>
      </c>
      <c r="J69" s="167"/>
      <c r="K69" s="168"/>
    </row>
    <row r="70" spans="1:11" ht="15.6" customHeight="1">
      <c r="A70" s="167" t="e">
        <f>#REF!</f>
        <v>#REF!</v>
      </c>
      <c r="B70" s="167"/>
      <c r="C70" s="168" t="e">
        <f>VLOOKUP('lương con cb'!A66,#REF!,8,0)</f>
        <v>#REF!</v>
      </c>
      <c r="E70" s="167" t="e">
        <f>#REF!</f>
        <v>#REF!</v>
      </c>
      <c r="F70" s="167"/>
      <c r="G70" s="168"/>
      <c r="I70" s="167" t="e">
        <f>#REF!</f>
        <v>#REF!</v>
      </c>
      <c r="J70" s="167"/>
      <c r="K70" s="168"/>
    </row>
    <row r="71" spans="1:11" ht="15.6" customHeight="1">
      <c r="A71" s="167" t="e">
        <f>#REF!</f>
        <v>#REF!</v>
      </c>
      <c r="B71" s="167"/>
      <c r="C71" s="168" t="e">
        <f>VLOOKUP('lương con cb'!A66,#REF!,9,0)</f>
        <v>#REF!</v>
      </c>
      <c r="E71" s="167" t="e">
        <f>#REF!</f>
        <v>#REF!</v>
      </c>
      <c r="F71" s="167"/>
      <c r="G71" s="168">
        <v>388000</v>
      </c>
      <c r="I71" s="167" t="e">
        <f>#REF!</f>
        <v>#REF!</v>
      </c>
      <c r="J71" s="167"/>
      <c r="K71" s="168"/>
    </row>
    <row r="72" spans="1:11" ht="15.6" customHeight="1">
      <c r="A72" s="167" t="e">
        <f>#REF!</f>
        <v>#REF!</v>
      </c>
      <c r="B72" s="167"/>
      <c r="C72" s="168" t="e">
        <f>VLOOKUP('lương con cb'!A66,#REF!,10,0)</f>
        <v>#REF!</v>
      </c>
      <c r="E72" s="167" t="e">
        <f>#REF!</f>
        <v>#REF!</v>
      </c>
      <c r="F72" s="167"/>
      <c r="G72" s="168"/>
      <c r="I72" s="167" t="e">
        <f>#REF!</f>
        <v>#REF!</v>
      </c>
      <c r="J72" s="167"/>
      <c r="K72" s="168"/>
    </row>
    <row r="73" spans="1:11" ht="15.6" customHeight="1">
      <c r="A73" s="167" t="e">
        <f>#REF!</f>
        <v>#REF!</v>
      </c>
      <c r="B73" s="167"/>
      <c r="C73" s="168" t="e">
        <f>VLOOKUP('lương con cb'!A66,#REF!,11,0)</f>
        <v>#REF!</v>
      </c>
      <c r="E73" s="167" t="e">
        <f>#REF!</f>
        <v>#REF!</v>
      </c>
      <c r="F73" s="167"/>
      <c r="G73" s="168"/>
      <c r="I73" s="167" t="e">
        <f>#REF!</f>
        <v>#REF!</v>
      </c>
      <c r="J73" s="167"/>
      <c r="K73" s="168"/>
    </row>
    <row r="74" spans="1:11" ht="15.6" customHeight="1">
      <c r="A74" s="167" t="s">
        <v>365</v>
      </c>
      <c r="B74" s="167"/>
      <c r="C74" s="168">
        <v>500000</v>
      </c>
      <c r="E74" s="167" t="e">
        <f>#REF!</f>
        <v>#REF!</v>
      </c>
      <c r="F74" s="167"/>
      <c r="G74" s="168"/>
      <c r="I74" s="167" t="s">
        <v>363</v>
      </c>
      <c r="J74" s="167"/>
      <c r="K74" s="168">
        <v>500000</v>
      </c>
    </row>
    <row r="75" spans="1:11" ht="15.6" customHeight="1">
      <c r="A75" s="167" t="e">
        <f>#REF!</f>
        <v>#REF!</v>
      </c>
      <c r="B75" s="167"/>
      <c r="C75" s="168" t="e">
        <f>VLOOKUP('lương con cb'!A66,#REF!,13,0)</f>
        <v>#REF!</v>
      </c>
      <c r="E75" s="167" t="e">
        <f>#REF!</f>
        <v>#REF!</v>
      </c>
      <c r="F75" s="167"/>
      <c r="G75" s="168"/>
      <c r="I75" s="167" t="e">
        <f>#REF!</f>
        <v>#REF!</v>
      </c>
      <c r="J75" s="167"/>
      <c r="K75" s="168"/>
    </row>
    <row r="76" spans="1:11" ht="15.6" customHeight="1">
      <c r="A76" s="173" t="e">
        <f>#REF!</f>
        <v>#REF!</v>
      </c>
      <c r="B76" s="173"/>
      <c r="C76" s="174" t="e">
        <f>VLOOKUP('lương con cb'!A66,#REF!,14,0)</f>
        <v>#REF!</v>
      </c>
      <c r="E76" s="173" t="e">
        <f>#REF!</f>
        <v>#REF!</v>
      </c>
      <c r="F76" s="173"/>
      <c r="G76" s="168"/>
      <c r="I76" s="173" t="e">
        <f>#REF!</f>
        <v>#REF!</v>
      </c>
      <c r="J76" s="173"/>
      <c r="K76" s="174"/>
    </row>
    <row r="77" spans="1:11" ht="15.6" customHeight="1">
      <c r="A77" s="169" t="s">
        <v>58</v>
      </c>
      <c r="B77" s="169"/>
      <c r="C77" s="176" t="e">
        <f>C68-SUM(C69:C76)</f>
        <v>#REF!</v>
      </c>
      <c r="D77" s="32"/>
      <c r="E77" s="169" t="s">
        <v>58</v>
      </c>
      <c r="F77" s="169"/>
      <c r="G77" s="176">
        <v>2482887</v>
      </c>
      <c r="H77" s="32"/>
      <c r="I77" s="169" t="s">
        <v>58</v>
      </c>
      <c r="J77" s="169"/>
      <c r="K77" s="176">
        <f>K68</f>
        <v>2400656</v>
      </c>
    </row>
    <row r="78" spans="1:11" ht="15.75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</row>
    <row r="79" spans="1:11" ht="15.75">
      <c r="A79" s="4637" t="s">
        <v>199</v>
      </c>
      <c r="B79" s="4638"/>
      <c r="C79" s="4639"/>
      <c r="D79" s="166"/>
      <c r="E79" s="4637" t="s">
        <v>319</v>
      </c>
      <c r="F79" s="4638"/>
      <c r="G79" s="4639"/>
      <c r="H79" s="166"/>
      <c r="I79" s="4637" t="s">
        <v>359</v>
      </c>
      <c r="J79" s="4638"/>
      <c r="K79" s="4639"/>
    </row>
    <row r="80" spans="1:11" ht="15.75">
      <c r="A80" s="171" t="s">
        <v>197</v>
      </c>
      <c r="B80" s="175">
        <v>4</v>
      </c>
      <c r="C80" s="172"/>
      <c r="E80" s="171" t="s">
        <v>197</v>
      </c>
      <c r="F80" s="175">
        <v>4</v>
      </c>
      <c r="G80" s="172"/>
      <c r="I80" s="171" t="s">
        <v>197</v>
      </c>
      <c r="J80" s="175">
        <v>4</v>
      </c>
      <c r="K80" s="172"/>
    </row>
    <row r="81" spans="1:11">
      <c r="A81" s="167" t="e">
        <f>#REF!</f>
        <v>#REF!</v>
      </c>
      <c r="B81" s="167"/>
      <c r="C81" s="168">
        <v>3437626</v>
      </c>
      <c r="E81" s="167" t="e">
        <f>#REF!</f>
        <v>#REF!</v>
      </c>
      <c r="F81" s="167"/>
      <c r="G81" s="168">
        <v>2400656</v>
      </c>
      <c r="I81" s="167" t="s">
        <v>56</v>
      </c>
      <c r="J81" s="167"/>
      <c r="K81" s="168">
        <v>1633270</v>
      </c>
    </row>
    <row r="82" spans="1:11">
      <c r="A82" s="167" t="e">
        <f>#REF!</f>
        <v>#REF!</v>
      </c>
      <c r="B82" s="167"/>
      <c r="C82" s="168"/>
      <c r="E82" s="167" t="e">
        <f>#REF!</f>
        <v>#REF!</v>
      </c>
      <c r="F82" s="167"/>
      <c r="G82" s="168"/>
      <c r="I82" s="167" t="s">
        <v>335</v>
      </c>
      <c r="J82" s="167"/>
      <c r="K82" s="168"/>
    </row>
    <row r="83" spans="1:11">
      <c r="A83" s="167" t="e">
        <f>#REF!</f>
        <v>#REF!</v>
      </c>
      <c r="B83" s="167"/>
      <c r="C83" s="168">
        <v>400000</v>
      </c>
      <c r="E83" s="167" t="e">
        <f>#REF!</f>
        <v>#REF!</v>
      </c>
      <c r="F83" s="167"/>
      <c r="G83" s="168"/>
      <c r="I83" s="167" t="s">
        <v>360</v>
      </c>
      <c r="J83" s="167"/>
      <c r="K83" s="168"/>
    </row>
    <row r="84" spans="1:11">
      <c r="A84" s="167" t="e">
        <f>#REF!</f>
        <v>#REF!</v>
      </c>
      <c r="B84" s="167"/>
      <c r="C84" s="168">
        <v>540000</v>
      </c>
      <c r="E84" s="167" t="e">
        <f>#REF!</f>
        <v>#REF!</v>
      </c>
      <c r="F84" s="167"/>
      <c r="G84" s="168"/>
      <c r="I84" s="167" t="s">
        <v>361</v>
      </c>
      <c r="J84" s="167"/>
      <c r="K84" s="168"/>
    </row>
    <row r="85" spans="1:11">
      <c r="A85" s="167" t="e">
        <f>#REF!</f>
        <v>#REF!</v>
      </c>
      <c r="B85" s="167"/>
      <c r="C85" s="168">
        <v>1320000</v>
      </c>
      <c r="E85" s="167" t="e">
        <f>#REF!</f>
        <v>#REF!</v>
      </c>
      <c r="F85" s="167"/>
      <c r="G85" s="168"/>
      <c r="I85" s="167" t="s">
        <v>362</v>
      </c>
      <c r="J85" s="167"/>
      <c r="K85" s="168"/>
    </row>
    <row r="86" spans="1:11">
      <c r="A86" s="167" t="e">
        <f>#REF!</f>
        <v>#REF!</v>
      </c>
      <c r="B86" s="167"/>
      <c r="C86" s="168" t="e">
        <f>VLOOKUP('lương con cb'!A79,#REF!,11,0)</f>
        <v>#REF!</v>
      </c>
      <c r="E86" s="167" t="e">
        <f>#REF!</f>
        <v>#REF!</v>
      </c>
      <c r="F86" s="167"/>
      <c r="G86" s="168"/>
      <c r="I86" s="167"/>
      <c r="J86" s="167"/>
      <c r="K86" s="168"/>
    </row>
    <row r="87" spans="1:11">
      <c r="A87" s="167" t="s">
        <v>366</v>
      </c>
      <c r="B87" s="167"/>
      <c r="C87" s="168">
        <v>500000</v>
      </c>
      <c r="E87" s="167" t="s">
        <v>363</v>
      </c>
      <c r="F87" s="167"/>
      <c r="G87" s="168">
        <v>500000</v>
      </c>
      <c r="I87" s="167"/>
      <c r="J87" s="167"/>
      <c r="K87" s="168"/>
    </row>
    <row r="88" spans="1:11">
      <c r="A88" s="167" t="e">
        <f>#REF!</f>
        <v>#REF!</v>
      </c>
      <c r="B88" s="167"/>
      <c r="C88" s="168" t="e">
        <f>VLOOKUP('lương con cb'!A79,#REF!,13,0)</f>
        <v>#REF!</v>
      </c>
      <c r="E88" s="167" t="e">
        <f>#REF!</f>
        <v>#REF!</v>
      </c>
      <c r="F88" s="167"/>
      <c r="G88" s="168"/>
      <c r="I88" s="167"/>
      <c r="J88" s="167"/>
      <c r="K88" s="168"/>
    </row>
    <row r="89" spans="1:11">
      <c r="A89" s="173" t="e">
        <f>#REF!</f>
        <v>#REF!</v>
      </c>
      <c r="B89" s="173"/>
      <c r="C89" s="174" t="e">
        <f>VLOOKUP('lương con cb'!A79,#REF!,14,0)</f>
        <v>#REF!</v>
      </c>
      <c r="E89" s="173" t="e">
        <f>#REF!</f>
        <v>#REF!</v>
      </c>
      <c r="F89" s="173"/>
      <c r="G89" s="168"/>
      <c r="I89" s="173"/>
      <c r="J89" s="173"/>
      <c r="K89" s="174"/>
    </row>
    <row r="90" spans="1:11">
      <c r="A90" s="169" t="s">
        <v>58</v>
      </c>
      <c r="B90" s="169"/>
      <c r="C90" s="176" t="e">
        <f>C81-SUM(C82:C89)</f>
        <v>#REF!</v>
      </c>
      <c r="D90" s="32"/>
      <c r="E90" s="169" t="s">
        <v>58</v>
      </c>
      <c r="F90" s="169"/>
      <c r="G90" s="168">
        <v>1900656</v>
      </c>
      <c r="H90" s="32"/>
      <c r="I90" s="169" t="s">
        <v>58</v>
      </c>
      <c r="J90" s="169"/>
      <c r="K90" s="176">
        <f>K81-SUM(K82:K89)</f>
        <v>1633270</v>
      </c>
    </row>
    <row r="98" spans="1:3" ht="15.75">
      <c r="A98" s="4640"/>
      <c r="B98" s="4640"/>
      <c r="C98" s="4640"/>
    </row>
  </sheetData>
  <mergeCells count="21">
    <mergeCell ref="A98:C98"/>
    <mergeCell ref="I66:K66"/>
    <mergeCell ref="I53:K53"/>
    <mergeCell ref="I40:K40"/>
    <mergeCell ref="A66:C66"/>
    <mergeCell ref="E66:G66"/>
    <mergeCell ref="E53:G53"/>
    <mergeCell ref="A40:C40"/>
    <mergeCell ref="A79:C79"/>
    <mergeCell ref="E79:G79"/>
    <mergeCell ref="I79:K79"/>
    <mergeCell ref="E40:G40"/>
    <mergeCell ref="A53:C53"/>
    <mergeCell ref="F1:G1"/>
    <mergeCell ref="J1:K1"/>
    <mergeCell ref="B14:C14"/>
    <mergeCell ref="I27:K27"/>
    <mergeCell ref="A27:C27"/>
    <mergeCell ref="E27:G27"/>
    <mergeCell ref="I14:K14"/>
    <mergeCell ref="E14:G14"/>
  </mergeCells>
  <phoneticPr fontId="36" type="noConversion"/>
  <pageMargins left="0.45" right="0.2" top="0.5" bottom="0.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opLeftCell="A7" zoomScale="70" zoomScaleNormal="70" workbookViewId="0">
      <selection activeCell="V121" sqref="V121"/>
    </sheetView>
  </sheetViews>
  <sheetFormatPr defaultRowHeight="12.75"/>
  <cols>
    <col min="1" max="1" width="4" customWidth="1"/>
    <col min="2" max="2" width="14.5703125" customWidth="1"/>
    <col min="3" max="3" width="11" style="1090" customWidth="1"/>
    <col min="4" max="4" width="7" hidden="1" customWidth="1"/>
    <col min="5" max="5" width="6" hidden="1" customWidth="1"/>
    <col min="6" max="6" width="0.42578125" hidden="1" customWidth="1"/>
    <col min="7" max="7" width="7.140625" customWidth="1"/>
    <col min="8" max="8" width="7" style="1090" customWidth="1"/>
    <col min="9" max="9" width="7.42578125" customWidth="1"/>
    <col min="10" max="10" width="7.7109375" customWidth="1"/>
    <col min="11" max="12" width="6.42578125" customWidth="1"/>
    <col min="13" max="13" width="7" customWidth="1"/>
    <col min="14" max="14" width="7" style="1090" customWidth="1"/>
    <col min="15" max="15" width="7.42578125" customWidth="1"/>
    <col min="16" max="16" width="4.7109375" style="1090" customWidth="1"/>
    <col min="17" max="17" width="6.85546875" customWidth="1"/>
  </cols>
  <sheetData>
    <row r="1" spans="1:22">
      <c r="A1" s="4643" t="s">
        <v>80</v>
      </c>
      <c r="B1" s="4643"/>
      <c r="C1" s="4643"/>
      <c r="D1" s="4643"/>
      <c r="E1" s="4643" t="s">
        <v>23</v>
      </c>
      <c r="F1" s="4643"/>
      <c r="G1" s="4643"/>
      <c r="H1" s="4643"/>
      <c r="I1" s="4643"/>
      <c r="J1" s="4643"/>
      <c r="K1" s="4643"/>
      <c r="L1" s="4643"/>
      <c r="M1" s="4643"/>
      <c r="N1" s="4643"/>
      <c r="O1" s="4643"/>
      <c r="P1" s="4643"/>
      <c r="Q1" s="4643"/>
    </row>
    <row r="2" spans="1:22">
      <c r="A2" s="4643" t="s">
        <v>894</v>
      </c>
      <c r="B2" s="4643"/>
      <c r="C2" s="4643"/>
      <c r="D2" s="4643"/>
      <c r="E2" s="4643" t="s">
        <v>170</v>
      </c>
      <c r="F2" s="4643"/>
      <c r="G2" s="4643"/>
      <c r="H2" s="4643"/>
      <c r="I2" s="4643"/>
      <c r="J2" s="4643"/>
      <c r="K2" s="4643"/>
      <c r="L2" s="4643"/>
      <c r="M2" s="4643"/>
      <c r="N2" s="4643"/>
      <c r="O2" s="4643"/>
      <c r="P2" s="4643"/>
      <c r="Q2" s="4643"/>
    </row>
    <row r="3" spans="1:22" ht="15.75">
      <c r="A3" s="4644"/>
      <c r="B3" s="4644"/>
      <c r="C3" s="4644"/>
      <c r="D3" s="4644"/>
      <c r="E3" s="4645" t="s">
        <v>895</v>
      </c>
      <c r="F3" s="4645"/>
      <c r="G3" s="4645"/>
      <c r="H3" s="4645"/>
      <c r="I3" s="4645"/>
      <c r="J3" s="4645"/>
      <c r="K3" s="4645"/>
      <c r="L3" s="4645"/>
      <c r="M3" s="4645"/>
      <c r="N3" s="4645"/>
      <c r="O3" s="4645"/>
      <c r="P3" s="4645"/>
      <c r="Q3" s="4645"/>
    </row>
    <row r="4" spans="1:22" ht="18.75">
      <c r="A4" s="4646"/>
      <c r="B4" s="4646"/>
      <c r="C4" s="4646"/>
      <c r="D4" s="4646"/>
      <c r="E4" s="923"/>
      <c r="F4" s="923"/>
      <c r="G4" s="923"/>
      <c r="H4" s="923"/>
      <c r="I4" s="923"/>
      <c r="J4" s="923"/>
      <c r="K4" s="923"/>
      <c r="L4" s="917"/>
      <c r="M4" s="923"/>
      <c r="N4" s="923"/>
      <c r="O4" s="923"/>
      <c r="P4" s="923"/>
      <c r="Q4" s="923"/>
    </row>
    <row r="5" spans="1:22" ht="22.5">
      <c r="A5" s="4530" t="s">
        <v>991</v>
      </c>
      <c r="B5" s="4530"/>
      <c r="C5" s="4530"/>
      <c r="D5" s="4530"/>
      <c r="E5" s="4530"/>
      <c r="F5" s="4530"/>
      <c r="G5" s="4530"/>
      <c r="H5" s="4530"/>
      <c r="I5" s="4530"/>
      <c r="J5" s="4530"/>
      <c r="K5" s="4530"/>
      <c r="L5" s="4530"/>
      <c r="M5" s="4530"/>
      <c r="N5" s="4530"/>
      <c r="O5" s="4530"/>
      <c r="P5" s="4530"/>
      <c r="Q5" s="4530"/>
    </row>
    <row r="6" spans="1:22" ht="18.75">
      <c r="A6" s="166"/>
      <c r="B6" s="166"/>
      <c r="C6" s="926"/>
      <c r="D6" s="926"/>
      <c r="E6" s="926"/>
      <c r="F6" s="926"/>
      <c r="G6" s="926"/>
      <c r="H6" s="926"/>
      <c r="I6" s="926"/>
      <c r="J6" s="926"/>
      <c r="K6" s="926"/>
      <c r="L6" s="927"/>
      <c r="M6" s="926"/>
      <c r="N6" s="926"/>
      <c r="O6" s="926"/>
      <c r="P6" s="926"/>
      <c r="Q6" s="926"/>
    </row>
    <row r="7" spans="1:22" ht="114">
      <c r="A7" s="928" t="s">
        <v>0</v>
      </c>
      <c r="B7" s="928" t="s">
        <v>896</v>
      </c>
      <c r="C7" s="928" t="s">
        <v>163</v>
      </c>
      <c r="D7" s="928" t="s">
        <v>897</v>
      </c>
      <c r="E7" s="928" t="s">
        <v>811</v>
      </c>
      <c r="F7" s="928" t="s">
        <v>898</v>
      </c>
      <c r="G7" s="928" t="s">
        <v>899</v>
      </c>
      <c r="H7" s="928" t="s">
        <v>900</v>
      </c>
      <c r="I7" s="928" t="s">
        <v>901</v>
      </c>
      <c r="J7" s="928" t="s">
        <v>137</v>
      </c>
      <c r="K7" s="928" t="s">
        <v>902</v>
      </c>
      <c r="L7" s="929" t="s">
        <v>903</v>
      </c>
      <c r="M7" s="928" t="s">
        <v>904</v>
      </c>
      <c r="N7" s="930" t="s">
        <v>905</v>
      </c>
      <c r="O7" s="931" t="s">
        <v>906</v>
      </c>
      <c r="P7" s="928" t="s">
        <v>907</v>
      </c>
      <c r="Q7" s="928" t="s">
        <v>908</v>
      </c>
    </row>
    <row r="8" spans="1:22" ht="20.25" customHeight="1">
      <c r="A8" s="802">
        <v>1</v>
      </c>
      <c r="B8" s="802" t="s">
        <v>578</v>
      </c>
      <c r="C8" s="1069" t="s">
        <v>593</v>
      </c>
      <c r="D8" s="1070"/>
      <c r="E8" s="1070"/>
      <c r="F8" s="1070"/>
      <c r="G8" s="1070" t="s">
        <v>451</v>
      </c>
      <c r="H8" s="1071" t="s">
        <v>138</v>
      </c>
      <c r="I8" s="918">
        <v>50</v>
      </c>
      <c r="J8" s="1072">
        <f>VLOOKUP(B8,'[11]Chấm công'!B8:AL109,37,0)</f>
        <v>27</v>
      </c>
      <c r="K8" s="1072"/>
      <c r="L8" s="1072"/>
      <c r="M8" s="1072">
        <f>SUM(J8:L8)</f>
        <v>27</v>
      </c>
      <c r="N8" s="932" t="str">
        <f>IF(M8&lt;20,25,IF(M8&lt;=22,30,IF(M8&gt;=26,"40",35)))</f>
        <v>40</v>
      </c>
      <c r="O8" s="1072">
        <f>+I8+N8</f>
        <v>90</v>
      </c>
      <c r="P8" s="1069" t="str">
        <f>IF(O8&lt;70,"D",IF(O8&lt;=80,"C",IF(O8&gt;=95,"A","B")))</f>
        <v>B</v>
      </c>
      <c r="Q8" s="1070"/>
      <c r="R8" s="1012" t="str">
        <f>IF(M8&lt;20,25,IF(M8&lt;=22,30,IF(M8&gt;=26,"40",35)))</f>
        <v>40</v>
      </c>
      <c r="S8" s="1013">
        <f>IF(H8="A",60,IF(H8="B",50,IF(H8="C",45,IF(H8="d",40))))</f>
        <v>50</v>
      </c>
      <c r="T8" s="1014">
        <f>+R8+S8</f>
        <v>90</v>
      </c>
      <c r="U8" s="1015" t="str">
        <f>IF(T8&lt;70,"D",IF(T8&gt;=95,"A",IF(T8&lt;=80,"C","B")))</f>
        <v>B</v>
      </c>
      <c r="V8" s="1016" t="b">
        <f>EXACT(P8,U8)</f>
        <v>1</v>
      </c>
    </row>
    <row r="9" spans="1:22" ht="20.25" customHeight="1">
      <c r="A9" s="802">
        <v>2</v>
      </c>
      <c r="B9" s="802" t="s">
        <v>300</v>
      </c>
      <c r="C9" s="1069" t="s">
        <v>594</v>
      </c>
      <c r="D9" s="1070"/>
      <c r="E9" s="1070"/>
      <c r="F9" s="1070"/>
      <c r="G9" s="1070" t="s">
        <v>451</v>
      </c>
      <c r="H9" s="1071" t="s">
        <v>141</v>
      </c>
      <c r="I9" s="918" t="str">
        <f t="shared" ref="I9:I72" si="0">IF(H9="A","60",IF(H9="B","50",IF(H9="C","45",IF(H9="D","40",0))))</f>
        <v>60</v>
      </c>
      <c r="J9" s="1072">
        <f>VLOOKUP(B9,'[11]Chấm công'!B9:AL111,37,0)</f>
        <v>25</v>
      </c>
      <c r="K9" s="1070"/>
      <c r="L9" s="1072"/>
      <c r="M9" s="1072">
        <f t="shared" ref="M9:M72" si="1">SUM(J9:L9)</f>
        <v>25</v>
      </c>
      <c r="N9" s="932">
        <f t="shared" ref="N9:N72" si="2">IF(M9&lt;20,25,IF(M9&lt;=22,30,IF(M9&gt;=26,"40",35)))</f>
        <v>35</v>
      </c>
      <c r="O9" s="1072">
        <f t="shared" ref="O9:O72" si="3">+I9+N9</f>
        <v>95</v>
      </c>
      <c r="P9" s="1069" t="str">
        <f t="shared" ref="P9:P72" si="4">IF(O9&lt;70,"D",IF(O9&lt;=80,"C",IF(O9&gt;=95,"A","B")))</f>
        <v>A</v>
      </c>
      <c r="Q9" s="1070"/>
      <c r="R9" s="1012">
        <f t="shared" ref="R9:R72" si="5">IF(M9&lt;20,25,IF(M9&lt;=22,30,IF(M9&gt;=26,"40",35)))</f>
        <v>35</v>
      </c>
      <c r="S9" s="1013">
        <f t="shared" ref="S9:S72" si="6">IF(H9="A",60,IF(H9="B",50,IF(H9="C",45,IF(H9="d",40))))</f>
        <v>60</v>
      </c>
      <c r="T9" s="1014">
        <f t="shared" ref="T9:T72" si="7">+R9+S9</f>
        <v>95</v>
      </c>
      <c r="U9" s="1015" t="str">
        <f t="shared" ref="U9:U72" si="8">IF(T9&lt;70,"D",IF(T9&gt;=95,"A",IF(T9&lt;=80,"C","B")))</f>
        <v>A</v>
      </c>
      <c r="V9" s="1016" t="b">
        <f t="shared" ref="V9:V72" si="9">EXACT(P9,U9)</f>
        <v>1</v>
      </c>
    </row>
    <row r="10" spans="1:22" ht="20.25" customHeight="1">
      <c r="A10" s="802">
        <v>3</v>
      </c>
      <c r="B10" s="1073" t="s">
        <v>304</v>
      </c>
      <c r="C10" s="1069" t="s">
        <v>863</v>
      </c>
      <c r="D10" s="1070"/>
      <c r="E10" s="1070"/>
      <c r="F10" s="1070"/>
      <c r="G10" s="1070" t="s">
        <v>451</v>
      </c>
      <c r="H10" s="1071" t="s">
        <v>141</v>
      </c>
      <c r="I10" s="918" t="str">
        <f t="shared" si="0"/>
        <v>60</v>
      </c>
      <c r="J10" s="1072">
        <f>VLOOKUP(B10,'[11]Chấm công'!B10:AL112,37,0)</f>
        <v>27</v>
      </c>
      <c r="K10" s="1070"/>
      <c r="L10" s="1072"/>
      <c r="M10" s="1072">
        <f t="shared" si="1"/>
        <v>27</v>
      </c>
      <c r="N10" s="932" t="str">
        <f t="shared" si="2"/>
        <v>40</v>
      </c>
      <c r="O10" s="1072">
        <f t="shared" si="3"/>
        <v>100</v>
      </c>
      <c r="P10" s="1069" t="str">
        <f t="shared" si="4"/>
        <v>A</v>
      </c>
      <c r="Q10" s="1070"/>
      <c r="R10" s="1012" t="str">
        <f t="shared" si="5"/>
        <v>40</v>
      </c>
      <c r="S10" s="1013">
        <f t="shared" si="6"/>
        <v>60</v>
      </c>
      <c r="T10" s="1014">
        <f t="shared" si="7"/>
        <v>100</v>
      </c>
      <c r="U10" s="1015" t="str">
        <f t="shared" si="8"/>
        <v>A</v>
      </c>
      <c r="V10" s="1016" t="b">
        <f t="shared" si="9"/>
        <v>1</v>
      </c>
    </row>
    <row r="11" spans="1:22" ht="20.25" customHeight="1">
      <c r="A11" s="802">
        <v>4</v>
      </c>
      <c r="B11" s="802" t="s">
        <v>548</v>
      </c>
      <c r="C11" s="1069" t="s">
        <v>595</v>
      </c>
      <c r="D11" s="1070"/>
      <c r="E11" s="1070"/>
      <c r="F11" s="1070"/>
      <c r="G11" s="1070" t="s">
        <v>451</v>
      </c>
      <c r="H11" s="1071" t="s">
        <v>138</v>
      </c>
      <c r="I11" s="918" t="str">
        <f t="shared" si="0"/>
        <v>50</v>
      </c>
      <c r="J11" s="1072">
        <f>VLOOKUP(B11,'[11]Chấm công'!B11:AL113,37,0)</f>
        <v>27</v>
      </c>
      <c r="K11" s="1070"/>
      <c r="L11" s="1072"/>
      <c r="M11" s="1072">
        <f t="shared" si="1"/>
        <v>27</v>
      </c>
      <c r="N11" s="932" t="str">
        <f t="shared" si="2"/>
        <v>40</v>
      </c>
      <c r="O11" s="1072">
        <f t="shared" si="3"/>
        <v>90</v>
      </c>
      <c r="P11" s="1069" t="str">
        <f t="shared" si="4"/>
        <v>B</v>
      </c>
      <c r="Q11" s="1070"/>
      <c r="R11" s="1012" t="str">
        <f t="shared" si="5"/>
        <v>40</v>
      </c>
      <c r="S11" s="1013">
        <f t="shared" si="6"/>
        <v>50</v>
      </c>
      <c r="T11" s="1014">
        <f t="shared" si="7"/>
        <v>90</v>
      </c>
      <c r="U11" s="1015" t="str">
        <f t="shared" si="8"/>
        <v>B</v>
      </c>
      <c r="V11" s="1016" t="b">
        <f t="shared" si="9"/>
        <v>1</v>
      </c>
    </row>
    <row r="12" spans="1:22" ht="20.25" customHeight="1">
      <c r="A12" s="802">
        <v>5</v>
      </c>
      <c r="B12" s="802" t="s">
        <v>580</v>
      </c>
      <c r="C12" s="1069" t="s">
        <v>579</v>
      </c>
      <c r="D12" s="1070"/>
      <c r="E12" s="1070"/>
      <c r="F12" s="1070"/>
      <c r="G12" s="1070" t="s">
        <v>451</v>
      </c>
      <c r="H12" s="1071" t="s">
        <v>138</v>
      </c>
      <c r="I12" s="918" t="str">
        <f t="shared" si="0"/>
        <v>50</v>
      </c>
      <c r="J12" s="1072">
        <f>VLOOKUP(B12,'[11]Chấm công'!B12:AL115,37,0)</f>
        <v>27</v>
      </c>
      <c r="K12" s="1070"/>
      <c r="L12" s="1072"/>
      <c r="M12" s="1072">
        <f t="shared" si="1"/>
        <v>27</v>
      </c>
      <c r="N12" s="932" t="str">
        <f t="shared" si="2"/>
        <v>40</v>
      </c>
      <c r="O12" s="1072">
        <f t="shared" si="3"/>
        <v>90</v>
      </c>
      <c r="P12" s="1069" t="str">
        <f t="shared" si="4"/>
        <v>B</v>
      </c>
      <c r="Q12" s="1070"/>
      <c r="R12" s="1012" t="str">
        <f t="shared" si="5"/>
        <v>40</v>
      </c>
      <c r="S12" s="1013">
        <f t="shared" si="6"/>
        <v>50</v>
      </c>
      <c r="T12" s="1014">
        <f t="shared" si="7"/>
        <v>90</v>
      </c>
      <c r="U12" s="1015" t="str">
        <f t="shared" si="8"/>
        <v>B</v>
      </c>
      <c r="V12" s="1016" t="b">
        <f t="shared" si="9"/>
        <v>1</v>
      </c>
    </row>
    <row r="13" spans="1:22" ht="20.25" customHeight="1">
      <c r="A13" s="802">
        <v>6</v>
      </c>
      <c r="B13" s="802" t="s">
        <v>549</v>
      </c>
      <c r="C13" s="1069" t="s">
        <v>596</v>
      </c>
      <c r="D13" s="1070"/>
      <c r="E13" s="1070"/>
      <c r="F13" s="1070"/>
      <c r="G13" s="1070" t="s">
        <v>451</v>
      </c>
      <c r="H13" s="1071" t="s">
        <v>141</v>
      </c>
      <c r="I13" s="918" t="str">
        <f t="shared" si="0"/>
        <v>60</v>
      </c>
      <c r="J13" s="1072">
        <f>VLOOKUP(B13,'[11]Chấm công'!B13:AL116,37,0)</f>
        <v>27</v>
      </c>
      <c r="K13" s="1070"/>
      <c r="L13" s="1072"/>
      <c r="M13" s="1072">
        <f t="shared" si="1"/>
        <v>27</v>
      </c>
      <c r="N13" s="932" t="str">
        <f t="shared" si="2"/>
        <v>40</v>
      </c>
      <c r="O13" s="1072">
        <f t="shared" si="3"/>
        <v>100</v>
      </c>
      <c r="P13" s="1069" t="str">
        <f t="shared" si="4"/>
        <v>A</v>
      </c>
      <c r="Q13" s="1070"/>
      <c r="R13" s="1012" t="str">
        <f t="shared" si="5"/>
        <v>40</v>
      </c>
      <c r="S13" s="1013">
        <f t="shared" si="6"/>
        <v>60</v>
      </c>
      <c r="T13" s="1014">
        <f t="shared" si="7"/>
        <v>100</v>
      </c>
      <c r="U13" s="1015" t="str">
        <f t="shared" si="8"/>
        <v>A</v>
      </c>
      <c r="V13" s="1016" t="b">
        <f t="shared" si="9"/>
        <v>1</v>
      </c>
    </row>
    <row r="14" spans="1:22" ht="20.25" customHeight="1">
      <c r="A14" s="802">
        <v>7</v>
      </c>
      <c r="B14" s="802" t="s">
        <v>296</v>
      </c>
      <c r="C14" s="1069" t="s">
        <v>597</v>
      </c>
      <c r="D14" s="1070"/>
      <c r="E14" s="1070"/>
      <c r="F14" s="1070"/>
      <c r="G14" s="1070" t="s">
        <v>451</v>
      </c>
      <c r="H14" s="1071" t="s">
        <v>138</v>
      </c>
      <c r="I14" s="918" t="str">
        <f t="shared" si="0"/>
        <v>50</v>
      </c>
      <c r="J14" s="1072">
        <f>VLOOKUP(B14,'[11]Chấm công'!B14:AL117,37,0)</f>
        <v>27</v>
      </c>
      <c r="K14" s="1070"/>
      <c r="L14" s="1072"/>
      <c r="M14" s="1072">
        <f t="shared" si="1"/>
        <v>27</v>
      </c>
      <c r="N14" s="932" t="str">
        <f t="shared" si="2"/>
        <v>40</v>
      </c>
      <c r="O14" s="1072">
        <f t="shared" si="3"/>
        <v>90</v>
      </c>
      <c r="P14" s="1069" t="str">
        <f t="shared" si="4"/>
        <v>B</v>
      </c>
      <c r="Q14" s="1070"/>
      <c r="R14" s="1012" t="str">
        <f t="shared" si="5"/>
        <v>40</v>
      </c>
      <c r="S14" s="1013">
        <f t="shared" si="6"/>
        <v>50</v>
      </c>
      <c r="T14" s="1014">
        <f t="shared" si="7"/>
        <v>90</v>
      </c>
      <c r="U14" s="1015" t="str">
        <f t="shared" si="8"/>
        <v>B</v>
      </c>
      <c r="V14" s="1016" t="b">
        <f t="shared" si="9"/>
        <v>1</v>
      </c>
    </row>
    <row r="15" spans="1:22" ht="20.25" customHeight="1">
      <c r="A15" s="802">
        <v>8</v>
      </c>
      <c r="B15" s="1073" t="s">
        <v>550</v>
      </c>
      <c r="C15" s="1069" t="s">
        <v>598</v>
      </c>
      <c r="D15" s="1070"/>
      <c r="E15" s="1070"/>
      <c r="F15" s="1070"/>
      <c r="G15" s="1070" t="s">
        <v>451</v>
      </c>
      <c r="H15" s="1071" t="s">
        <v>141</v>
      </c>
      <c r="I15" s="918" t="str">
        <f t="shared" si="0"/>
        <v>60</v>
      </c>
      <c r="J15" s="1072">
        <f>VLOOKUP(B15,'[11]Chấm công'!B15:AL118,37,0)</f>
        <v>27</v>
      </c>
      <c r="K15" s="1070"/>
      <c r="L15" s="1072"/>
      <c r="M15" s="1072">
        <f t="shared" si="1"/>
        <v>27</v>
      </c>
      <c r="N15" s="932" t="str">
        <f t="shared" si="2"/>
        <v>40</v>
      </c>
      <c r="O15" s="1072">
        <f t="shared" si="3"/>
        <v>100</v>
      </c>
      <c r="P15" s="1069" t="str">
        <f t="shared" si="4"/>
        <v>A</v>
      </c>
      <c r="Q15" s="1070"/>
      <c r="R15" s="1012" t="str">
        <f t="shared" si="5"/>
        <v>40</v>
      </c>
      <c r="S15" s="1013">
        <f t="shared" si="6"/>
        <v>60</v>
      </c>
      <c r="T15" s="1014">
        <f t="shared" si="7"/>
        <v>100</v>
      </c>
      <c r="U15" s="1015" t="str">
        <f t="shared" si="8"/>
        <v>A</v>
      </c>
      <c r="V15" s="1016" t="b">
        <f t="shared" si="9"/>
        <v>1</v>
      </c>
    </row>
    <row r="16" spans="1:22" ht="20.25" customHeight="1">
      <c r="A16" s="802">
        <v>9</v>
      </c>
      <c r="B16" s="1073" t="s">
        <v>539</v>
      </c>
      <c r="C16" s="1069" t="s">
        <v>599</v>
      </c>
      <c r="D16" s="1070"/>
      <c r="E16" s="1070"/>
      <c r="F16" s="1070"/>
      <c r="G16" s="1070" t="s">
        <v>451</v>
      </c>
      <c r="H16" s="1071" t="s">
        <v>138</v>
      </c>
      <c r="I16" s="918" t="str">
        <f t="shared" si="0"/>
        <v>50</v>
      </c>
      <c r="J16" s="1072">
        <f>VLOOKUP(B16,'[11]Chấm công'!B16:AL119,37,0)</f>
        <v>27</v>
      </c>
      <c r="K16" s="1070"/>
      <c r="L16" s="1072"/>
      <c r="M16" s="1072">
        <f t="shared" si="1"/>
        <v>27</v>
      </c>
      <c r="N16" s="932" t="str">
        <f t="shared" si="2"/>
        <v>40</v>
      </c>
      <c r="O16" s="1072">
        <f t="shared" si="3"/>
        <v>90</v>
      </c>
      <c r="P16" s="1069" t="str">
        <f t="shared" si="4"/>
        <v>B</v>
      </c>
      <c r="Q16" s="1070"/>
      <c r="R16" s="1012" t="str">
        <f t="shared" si="5"/>
        <v>40</v>
      </c>
      <c r="S16" s="1013">
        <f t="shared" si="6"/>
        <v>50</v>
      </c>
      <c r="T16" s="1014">
        <f t="shared" si="7"/>
        <v>90</v>
      </c>
      <c r="U16" s="1015" t="str">
        <f t="shared" si="8"/>
        <v>B</v>
      </c>
      <c r="V16" s="1016" t="b">
        <f t="shared" si="9"/>
        <v>1</v>
      </c>
    </row>
    <row r="17" spans="1:22" ht="20.25" customHeight="1">
      <c r="A17" s="802">
        <v>10</v>
      </c>
      <c r="B17" s="802" t="s">
        <v>581</v>
      </c>
      <c r="C17" s="1069" t="s">
        <v>600</v>
      </c>
      <c r="D17" s="1070"/>
      <c r="E17" s="1070"/>
      <c r="F17" s="1070"/>
      <c r="G17" s="1070" t="s">
        <v>451</v>
      </c>
      <c r="H17" s="1071" t="s">
        <v>138</v>
      </c>
      <c r="I17" s="918" t="str">
        <f t="shared" si="0"/>
        <v>50</v>
      </c>
      <c r="J17" s="1072">
        <f>VLOOKUP(B17,'[11]Chấm công'!B17:AL120,37,0)</f>
        <v>27</v>
      </c>
      <c r="K17" s="1070"/>
      <c r="L17" s="1072"/>
      <c r="M17" s="1072">
        <f t="shared" si="1"/>
        <v>27</v>
      </c>
      <c r="N17" s="932" t="str">
        <f t="shared" si="2"/>
        <v>40</v>
      </c>
      <c r="O17" s="1072">
        <f t="shared" si="3"/>
        <v>90</v>
      </c>
      <c r="P17" s="1069" t="str">
        <f t="shared" si="4"/>
        <v>B</v>
      </c>
      <c r="Q17" s="1070"/>
      <c r="R17" s="1012" t="str">
        <f t="shared" si="5"/>
        <v>40</v>
      </c>
      <c r="S17" s="1013">
        <f t="shared" si="6"/>
        <v>50</v>
      </c>
      <c r="T17" s="1014">
        <f t="shared" si="7"/>
        <v>90</v>
      </c>
      <c r="U17" s="1015" t="str">
        <f t="shared" si="8"/>
        <v>B</v>
      </c>
      <c r="V17" s="1016" t="b">
        <f t="shared" si="9"/>
        <v>1</v>
      </c>
    </row>
    <row r="18" spans="1:22" ht="20.25" customHeight="1">
      <c r="A18" s="802">
        <v>11</v>
      </c>
      <c r="B18" s="802" t="s">
        <v>836</v>
      </c>
      <c r="C18" s="1069" t="s">
        <v>793</v>
      </c>
      <c r="D18" s="1070"/>
      <c r="E18" s="1070"/>
      <c r="F18" s="1070"/>
      <c r="G18" s="1070" t="s">
        <v>451</v>
      </c>
      <c r="H18" s="1071" t="s">
        <v>141</v>
      </c>
      <c r="I18" s="918" t="str">
        <f t="shared" si="0"/>
        <v>60</v>
      </c>
      <c r="J18" s="1072">
        <f>VLOOKUP(B18,'[11]Chấm công'!B18:AL121,37,0)</f>
        <v>27</v>
      </c>
      <c r="K18" s="1070"/>
      <c r="L18" s="1072"/>
      <c r="M18" s="1072">
        <f t="shared" si="1"/>
        <v>27</v>
      </c>
      <c r="N18" s="932" t="str">
        <f t="shared" si="2"/>
        <v>40</v>
      </c>
      <c r="O18" s="1072">
        <f t="shared" si="3"/>
        <v>100</v>
      </c>
      <c r="P18" s="1069" t="str">
        <f t="shared" si="4"/>
        <v>A</v>
      </c>
      <c r="Q18" s="1070"/>
      <c r="R18" s="1012" t="str">
        <f t="shared" si="5"/>
        <v>40</v>
      </c>
      <c r="S18" s="1013">
        <f t="shared" si="6"/>
        <v>60</v>
      </c>
      <c r="T18" s="1014">
        <f t="shared" si="7"/>
        <v>100</v>
      </c>
      <c r="U18" s="1015" t="str">
        <f t="shared" si="8"/>
        <v>A</v>
      </c>
      <c r="V18" s="1016" t="b">
        <f t="shared" si="9"/>
        <v>1</v>
      </c>
    </row>
    <row r="19" spans="1:22" ht="20.25" customHeight="1">
      <c r="A19" s="802">
        <v>12</v>
      </c>
      <c r="B19" s="802" t="s">
        <v>582</v>
      </c>
      <c r="C19" s="1069" t="s">
        <v>601</v>
      </c>
      <c r="D19" s="1070"/>
      <c r="E19" s="1070"/>
      <c r="F19" s="1070"/>
      <c r="G19" s="1070" t="s">
        <v>451</v>
      </c>
      <c r="H19" s="1071" t="s">
        <v>141</v>
      </c>
      <c r="I19" s="918" t="str">
        <f t="shared" si="0"/>
        <v>60</v>
      </c>
      <c r="J19" s="1072">
        <f>VLOOKUP(B19,'[11]Chấm công'!B19:AL122,37,0)</f>
        <v>27</v>
      </c>
      <c r="K19" s="1070"/>
      <c r="L19" s="1072"/>
      <c r="M19" s="1072">
        <f t="shared" si="1"/>
        <v>27</v>
      </c>
      <c r="N19" s="932" t="str">
        <f t="shared" si="2"/>
        <v>40</v>
      </c>
      <c r="O19" s="1072">
        <f t="shared" si="3"/>
        <v>100</v>
      </c>
      <c r="P19" s="1069" t="str">
        <f t="shared" si="4"/>
        <v>A</v>
      </c>
      <c r="Q19" s="1070"/>
      <c r="R19" s="1012" t="str">
        <f t="shared" si="5"/>
        <v>40</v>
      </c>
      <c r="S19" s="1013">
        <f t="shared" si="6"/>
        <v>60</v>
      </c>
      <c r="T19" s="1014">
        <f t="shared" si="7"/>
        <v>100</v>
      </c>
      <c r="U19" s="1015" t="str">
        <f t="shared" si="8"/>
        <v>A</v>
      </c>
      <c r="V19" s="1016" t="b">
        <f t="shared" si="9"/>
        <v>1</v>
      </c>
    </row>
    <row r="20" spans="1:22" ht="20.25" customHeight="1">
      <c r="A20" s="802">
        <v>13</v>
      </c>
      <c r="B20" s="1074" t="s">
        <v>583</v>
      </c>
      <c r="C20" s="1075" t="s">
        <v>602</v>
      </c>
      <c r="D20" s="1076"/>
      <c r="E20" s="1076"/>
      <c r="F20" s="1076"/>
      <c r="G20" s="1070" t="s">
        <v>451</v>
      </c>
      <c r="H20" s="1071" t="s">
        <v>141</v>
      </c>
      <c r="I20" s="918" t="str">
        <f t="shared" si="0"/>
        <v>60</v>
      </c>
      <c r="J20" s="1072">
        <f>VLOOKUP(B20,'[11]Chấm công'!B20:AL123,37,0)</f>
        <v>27</v>
      </c>
      <c r="K20" s="1070"/>
      <c r="L20" s="1072"/>
      <c r="M20" s="1072">
        <f t="shared" si="1"/>
        <v>27</v>
      </c>
      <c r="N20" s="932" t="str">
        <f t="shared" si="2"/>
        <v>40</v>
      </c>
      <c r="O20" s="1072">
        <f t="shared" si="3"/>
        <v>100</v>
      </c>
      <c r="P20" s="1069" t="str">
        <f t="shared" si="4"/>
        <v>A</v>
      </c>
      <c r="Q20" s="1070"/>
      <c r="R20" s="1012" t="str">
        <f t="shared" si="5"/>
        <v>40</v>
      </c>
      <c r="S20" s="1013">
        <f t="shared" si="6"/>
        <v>60</v>
      </c>
      <c r="T20" s="1014">
        <f t="shared" si="7"/>
        <v>100</v>
      </c>
      <c r="U20" s="1015" t="str">
        <f t="shared" si="8"/>
        <v>A</v>
      </c>
      <c r="V20" s="1016" t="b">
        <f t="shared" si="9"/>
        <v>1</v>
      </c>
    </row>
    <row r="21" spans="1:22" ht="20.25" customHeight="1">
      <c r="A21" s="802">
        <v>14</v>
      </c>
      <c r="B21" s="1073" t="s">
        <v>551</v>
      </c>
      <c r="C21" s="1069" t="s">
        <v>603</v>
      </c>
      <c r="D21" s="1070"/>
      <c r="E21" s="1070"/>
      <c r="F21" s="1070"/>
      <c r="G21" s="1070" t="s">
        <v>451</v>
      </c>
      <c r="H21" s="1071" t="s">
        <v>141</v>
      </c>
      <c r="I21" s="918" t="str">
        <f t="shared" si="0"/>
        <v>60</v>
      </c>
      <c r="J21" s="1072">
        <f>VLOOKUP(B21,'[11]Chấm công'!B21:AL124,37,0)</f>
        <v>27</v>
      </c>
      <c r="K21" s="1070"/>
      <c r="L21" s="1072"/>
      <c r="M21" s="1072">
        <f t="shared" si="1"/>
        <v>27</v>
      </c>
      <c r="N21" s="932" t="str">
        <f t="shared" si="2"/>
        <v>40</v>
      </c>
      <c r="O21" s="1072">
        <f t="shared" si="3"/>
        <v>100</v>
      </c>
      <c r="P21" s="1069" t="str">
        <f t="shared" si="4"/>
        <v>A</v>
      </c>
      <c r="Q21" s="1070"/>
      <c r="R21" s="1012" t="str">
        <f t="shared" si="5"/>
        <v>40</v>
      </c>
      <c r="S21" s="1013">
        <f t="shared" si="6"/>
        <v>60</v>
      </c>
      <c r="T21" s="1014">
        <f t="shared" si="7"/>
        <v>100</v>
      </c>
      <c r="U21" s="1015" t="str">
        <f t="shared" si="8"/>
        <v>A</v>
      </c>
      <c r="V21" s="1016" t="b">
        <f t="shared" si="9"/>
        <v>1</v>
      </c>
    </row>
    <row r="22" spans="1:22" ht="20.25" customHeight="1">
      <c r="A22" s="802">
        <v>15</v>
      </c>
      <c r="B22" s="802" t="s">
        <v>584</v>
      </c>
      <c r="C22" s="1069" t="s">
        <v>604</v>
      </c>
      <c r="D22" s="1070"/>
      <c r="E22" s="1070"/>
      <c r="F22" s="1070"/>
      <c r="G22" s="1070" t="s">
        <v>451</v>
      </c>
      <c r="H22" s="1071" t="s">
        <v>138</v>
      </c>
      <c r="I22" s="918" t="str">
        <f t="shared" si="0"/>
        <v>50</v>
      </c>
      <c r="J22" s="1072">
        <f>VLOOKUP(B22,'[11]Chấm công'!B22:AL125,37,0)</f>
        <v>25</v>
      </c>
      <c r="K22" s="1070"/>
      <c r="L22" s="1072"/>
      <c r="M22" s="1072">
        <f t="shared" si="1"/>
        <v>25</v>
      </c>
      <c r="N22" s="932">
        <f t="shared" si="2"/>
        <v>35</v>
      </c>
      <c r="O22" s="1072">
        <f t="shared" si="3"/>
        <v>85</v>
      </c>
      <c r="P22" s="1069" t="str">
        <f t="shared" si="4"/>
        <v>B</v>
      </c>
      <c r="Q22" s="1070"/>
      <c r="R22" s="1012">
        <f t="shared" si="5"/>
        <v>35</v>
      </c>
      <c r="S22" s="1013">
        <f t="shared" si="6"/>
        <v>50</v>
      </c>
      <c r="T22" s="1014">
        <f t="shared" si="7"/>
        <v>85</v>
      </c>
      <c r="U22" s="1015" t="str">
        <f t="shared" si="8"/>
        <v>B</v>
      </c>
      <c r="V22" s="1016" t="b">
        <f t="shared" si="9"/>
        <v>1</v>
      </c>
    </row>
    <row r="23" spans="1:22" ht="20.25" customHeight="1">
      <c r="A23" s="802">
        <v>16</v>
      </c>
      <c r="B23" s="1073" t="s">
        <v>585</v>
      </c>
      <c r="C23" s="1069" t="s">
        <v>605</v>
      </c>
      <c r="D23" s="1070"/>
      <c r="E23" s="1070"/>
      <c r="F23" s="1070"/>
      <c r="G23" s="1070" t="s">
        <v>451</v>
      </c>
      <c r="H23" s="1071" t="s">
        <v>138</v>
      </c>
      <c r="I23" s="918" t="str">
        <f t="shared" si="0"/>
        <v>50</v>
      </c>
      <c r="J23" s="1072">
        <f>VLOOKUP(B23,'[11]Chấm công'!B23:AL126,37,0)</f>
        <v>27</v>
      </c>
      <c r="K23" s="1070"/>
      <c r="L23" s="1072"/>
      <c r="M23" s="1072">
        <f t="shared" si="1"/>
        <v>27</v>
      </c>
      <c r="N23" s="932" t="str">
        <f t="shared" si="2"/>
        <v>40</v>
      </c>
      <c r="O23" s="1072">
        <f t="shared" si="3"/>
        <v>90</v>
      </c>
      <c r="P23" s="1069" t="str">
        <f t="shared" si="4"/>
        <v>B</v>
      </c>
      <c r="Q23" s="1070"/>
      <c r="R23" s="1012" t="str">
        <f t="shared" si="5"/>
        <v>40</v>
      </c>
      <c r="S23" s="1013">
        <f t="shared" si="6"/>
        <v>50</v>
      </c>
      <c r="T23" s="1014">
        <f t="shared" si="7"/>
        <v>90</v>
      </c>
      <c r="U23" s="1015" t="str">
        <f t="shared" si="8"/>
        <v>B</v>
      </c>
      <c r="V23" s="1016" t="b">
        <f t="shared" si="9"/>
        <v>1</v>
      </c>
    </row>
    <row r="24" spans="1:22" ht="20.25" customHeight="1">
      <c r="A24" s="802">
        <v>17</v>
      </c>
      <c r="B24" s="802" t="s">
        <v>586</v>
      </c>
      <c r="C24" s="1069" t="s">
        <v>606</v>
      </c>
      <c r="D24" s="1070"/>
      <c r="E24" s="1070"/>
      <c r="F24" s="1070"/>
      <c r="G24" s="1070" t="s">
        <v>451</v>
      </c>
      <c r="H24" s="1071" t="s">
        <v>138</v>
      </c>
      <c r="I24" s="918" t="str">
        <f t="shared" si="0"/>
        <v>50</v>
      </c>
      <c r="J24" s="1072">
        <f>VLOOKUP(B24,'[11]Chấm công'!B24:AL127,37,0)</f>
        <v>27</v>
      </c>
      <c r="K24" s="1070"/>
      <c r="L24" s="1072"/>
      <c r="M24" s="1072">
        <f t="shared" si="1"/>
        <v>27</v>
      </c>
      <c r="N24" s="932" t="str">
        <f t="shared" si="2"/>
        <v>40</v>
      </c>
      <c r="O24" s="1072">
        <f t="shared" si="3"/>
        <v>90</v>
      </c>
      <c r="P24" s="1069" t="str">
        <f t="shared" si="4"/>
        <v>B</v>
      </c>
      <c r="Q24" s="1070"/>
      <c r="R24" s="1012" t="str">
        <f t="shared" si="5"/>
        <v>40</v>
      </c>
      <c r="S24" s="1013">
        <f t="shared" si="6"/>
        <v>50</v>
      </c>
      <c r="T24" s="1014">
        <f t="shared" si="7"/>
        <v>90</v>
      </c>
      <c r="U24" s="1015" t="str">
        <f t="shared" si="8"/>
        <v>B</v>
      </c>
      <c r="V24" s="1016" t="b">
        <f t="shared" si="9"/>
        <v>1</v>
      </c>
    </row>
    <row r="25" spans="1:22" ht="20.25" customHeight="1">
      <c r="A25" s="802">
        <v>18</v>
      </c>
      <c r="B25" s="802" t="s">
        <v>837</v>
      </c>
      <c r="C25" s="1069" t="s">
        <v>864</v>
      </c>
      <c r="D25" s="1070"/>
      <c r="E25" s="1070"/>
      <c r="F25" s="1070"/>
      <c r="G25" s="1070" t="s">
        <v>451</v>
      </c>
      <c r="H25" s="1071" t="s">
        <v>141</v>
      </c>
      <c r="I25" s="918" t="str">
        <f t="shared" si="0"/>
        <v>60</v>
      </c>
      <c r="J25" s="1072">
        <f>VLOOKUP(B25,'[11]Chấm công'!B25:AL128,37,0)</f>
        <v>27</v>
      </c>
      <c r="K25" s="1070"/>
      <c r="L25" s="1072"/>
      <c r="M25" s="1072">
        <f t="shared" si="1"/>
        <v>27</v>
      </c>
      <c r="N25" s="932" t="str">
        <f t="shared" si="2"/>
        <v>40</v>
      </c>
      <c r="O25" s="1072">
        <f t="shared" si="3"/>
        <v>100</v>
      </c>
      <c r="P25" s="1069" t="str">
        <f t="shared" si="4"/>
        <v>A</v>
      </c>
      <c r="Q25" s="1070"/>
      <c r="R25" s="1012" t="str">
        <f t="shared" si="5"/>
        <v>40</v>
      </c>
      <c r="S25" s="1013">
        <f t="shared" si="6"/>
        <v>60</v>
      </c>
      <c r="T25" s="1014">
        <f t="shared" si="7"/>
        <v>100</v>
      </c>
      <c r="U25" s="1015" t="str">
        <f t="shared" si="8"/>
        <v>A</v>
      </c>
      <c r="V25" s="1016" t="b">
        <f t="shared" si="9"/>
        <v>1</v>
      </c>
    </row>
    <row r="26" spans="1:22" ht="20.25" customHeight="1">
      <c r="A26" s="802">
        <v>19</v>
      </c>
      <c r="B26" s="802" t="s">
        <v>587</v>
      </c>
      <c r="C26" s="1069" t="s">
        <v>607</v>
      </c>
      <c r="D26" s="1070"/>
      <c r="E26" s="1070"/>
      <c r="F26" s="1070"/>
      <c r="G26" s="1070" t="s">
        <v>451</v>
      </c>
      <c r="H26" s="1071" t="s">
        <v>141</v>
      </c>
      <c r="I26" s="918" t="str">
        <f t="shared" si="0"/>
        <v>60</v>
      </c>
      <c r="J26" s="1072">
        <f>VLOOKUP(B26,'[11]Chấm công'!B26:AL129,37,0)</f>
        <v>27</v>
      </c>
      <c r="K26" s="1070"/>
      <c r="L26" s="1072"/>
      <c r="M26" s="1072">
        <f t="shared" si="1"/>
        <v>27</v>
      </c>
      <c r="N26" s="932" t="str">
        <f t="shared" si="2"/>
        <v>40</v>
      </c>
      <c r="O26" s="1072">
        <f t="shared" si="3"/>
        <v>100</v>
      </c>
      <c r="P26" s="1069" t="str">
        <f t="shared" si="4"/>
        <v>A</v>
      </c>
      <c r="Q26" s="1070"/>
      <c r="R26" s="1012" t="str">
        <f t="shared" si="5"/>
        <v>40</v>
      </c>
      <c r="S26" s="1013">
        <f t="shared" si="6"/>
        <v>60</v>
      </c>
      <c r="T26" s="1014">
        <f t="shared" si="7"/>
        <v>100</v>
      </c>
      <c r="U26" s="1015" t="str">
        <f t="shared" si="8"/>
        <v>A</v>
      </c>
      <c r="V26" s="1016" t="b">
        <f t="shared" si="9"/>
        <v>1</v>
      </c>
    </row>
    <row r="27" spans="1:22" ht="20.25" customHeight="1">
      <c r="A27" s="802">
        <v>20</v>
      </c>
      <c r="B27" s="802" t="s">
        <v>552</v>
      </c>
      <c r="C27" s="1069" t="s">
        <v>608</v>
      </c>
      <c r="D27" s="1070"/>
      <c r="E27" s="1070"/>
      <c r="F27" s="1070"/>
      <c r="G27" s="1070" t="s">
        <v>451</v>
      </c>
      <c r="H27" s="1071" t="s">
        <v>138</v>
      </c>
      <c r="I27" s="918" t="str">
        <f t="shared" si="0"/>
        <v>50</v>
      </c>
      <c r="J27" s="1072">
        <f>VLOOKUP(B27,'[11]Chấm công'!B27:AL130,37,0)</f>
        <v>27</v>
      </c>
      <c r="K27" s="1070"/>
      <c r="L27" s="1072"/>
      <c r="M27" s="1072">
        <f t="shared" si="1"/>
        <v>27</v>
      </c>
      <c r="N27" s="932" t="str">
        <f t="shared" si="2"/>
        <v>40</v>
      </c>
      <c r="O27" s="1072">
        <f t="shared" si="3"/>
        <v>90</v>
      </c>
      <c r="P27" s="1069" t="str">
        <f t="shared" si="4"/>
        <v>B</v>
      </c>
      <c r="Q27" s="1070"/>
      <c r="R27" s="1012" t="str">
        <f t="shared" si="5"/>
        <v>40</v>
      </c>
      <c r="S27" s="1013">
        <f t="shared" si="6"/>
        <v>50</v>
      </c>
      <c r="T27" s="1014">
        <f t="shared" si="7"/>
        <v>90</v>
      </c>
      <c r="U27" s="1015" t="str">
        <f t="shared" si="8"/>
        <v>B</v>
      </c>
      <c r="V27" s="1016" t="b">
        <f t="shared" si="9"/>
        <v>1</v>
      </c>
    </row>
    <row r="28" spans="1:22" ht="20.25" customHeight="1">
      <c r="A28" s="802">
        <v>21</v>
      </c>
      <c r="B28" s="802" t="s">
        <v>588</v>
      </c>
      <c r="C28" s="1069" t="s">
        <v>609</v>
      </c>
      <c r="D28" s="1070"/>
      <c r="E28" s="1070"/>
      <c r="F28" s="1070"/>
      <c r="G28" s="1070" t="s">
        <v>451</v>
      </c>
      <c r="H28" s="1071" t="s">
        <v>168</v>
      </c>
      <c r="I28" s="918" t="str">
        <f t="shared" si="0"/>
        <v>45</v>
      </c>
      <c r="J28" s="1072">
        <f>VLOOKUP(B28,'[11]Chấm công'!B28:AL131,37,0)</f>
        <v>27</v>
      </c>
      <c r="K28" s="1070"/>
      <c r="L28" s="1072"/>
      <c r="M28" s="1072">
        <f t="shared" si="1"/>
        <v>27</v>
      </c>
      <c r="N28" s="932" t="str">
        <f t="shared" si="2"/>
        <v>40</v>
      </c>
      <c r="O28" s="1072">
        <f t="shared" si="3"/>
        <v>85</v>
      </c>
      <c r="P28" s="1069" t="str">
        <f t="shared" si="4"/>
        <v>B</v>
      </c>
      <c r="Q28" s="1070"/>
      <c r="R28" s="1012" t="str">
        <f t="shared" si="5"/>
        <v>40</v>
      </c>
      <c r="S28" s="1013">
        <f t="shared" si="6"/>
        <v>45</v>
      </c>
      <c r="T28" s="1014">
        <f t="shared" si="7"/>
        <v>85</v>
      </c>
      <c r="U28" s="1015" t="str">
        <f t="shared" si="8"/>
        <v>B</v>
      </c>
      <c r="V28" s="1016" t="b">
        <f t="shared" si="9"/>
        <v>1</v>
      </c>
    </row>
    <row r="29" spans="1:22" ht="20.25" customHeight="1">
      <c r="A29" s="802">
        <v>22</v>
      </c>
      <c r="B29" s="802" t="s">
        <v>553</v>
      </c>
      <c r="C29" s="1069" t="s">
        <v>610</v>
      </c>
      <c r="D29" s="1070"/>
      <c r="E29" s="1070"/>
      <c r="F29" s="1070"/>
      <c r="G29" s="1070" t="s">
        <v>451</v>
      </c>
      <c r="H29" s="1071" t="s">
        <v>168</v>
      </c>
      <c r="I29" s="918" t="str">
        <f t="shared" si="0"/>
        <v>45</v>
      </c>
      <c r="J29" s="1072">
        <f>VLOOKUP(B29,'[11]Chấm công'!B29:AL132,37,0)</f>
        <v>27</v>
      </c>
      <c r="K29" s="1070"/>
      <c r="L29" s="1072"/>
      <c r="M29" s="1072">
        <f t="shared" si="1"/>
        <v>27</v>
      </c>
      <c r="N29" s="932" t="str">
        <f t="shared" si="2"/>
        <v>40</v>
      </c>
      <c r="O29" s="1072">
        <f t="shared" si="3"/>
        <v>85</v>
      </c>
      <c r="P29" s="1069" t="str">
        <f t="shared" si="4"/>
        <v>B</v>
      </c>
      <c r="Q29" s="1070"/>
      <c r="R29" s="1012" t="str">
        <f t="shared" si="5"/>
        <v>40</v>
      </c>
      <c r="S29" s="1013">
        <f t="shared" si="6"/>
        <v>45</v>
      </c>
      <c r="T29" s="1014">
        <f t="shared" si="7"/>
        <v>85</v>
      </c>
      <c r="U29" s="1015" t="str">
        <f t="shared" si="8"/>
        <v>B</v>
      </c>
      <c r="V29" s="1016" t="b">
        <f t="shared" si="9"/>
        <v>1</v>
      </c>
    </row>
    <row r="30" spans="1:22" ht="20.25" customHeight="1">
      <c r="A30" s="802">
        <v>23</v>
      </c>
      <c r="B30" s="802" t="s">
        <v>554</v>
      </c>
      <c r="C30" s="1069" t="s">
        <v>611</v>
      </c>
      <c r="D30" s="1070"/>
      <c r="E30" s="1070"/>
      <c r="F30" s="1070"/>
      <c r="G30" s="1070" t="s">
        <v>451</v>
      </c>
      <c r="H30" s="1071" t="s">
        <v>138</v>
      </c>
      <c r="I30" s="918" t="str">
        <f t="shared" si="0"/>
        <v>50</v>
      </c>
      <c r="J30" s="1072">
        <f>VLOOKUP(B30,'[11]Chấm công'!B30:AL133,37,0)</f>
        <v>27</v>
      </c>
      <c r="K30" s="1070"/>
      <c r="L30" s="1072"/>
      <c r="M30" s="1072">
        <f t="shared" si="1"/>
        <v>27</v>
      </c>
      <c r="N30" s="932" t="str">
        <f t="shared" si="2"/>
        <v>40</v>
      </c>
      <c r="O30" s="1072">
        <f t="shared" si="3"/>
        <v>90</v>
      </c>
      <c r="P30" s="1069" t="str">
        <f t="shared" si="4"/>
        <v>B</v>
      </c>
      <c r="Q30" s="1070"/>
      <c r="R30" s="1012" t="str">
        <f t="shared" si="5"/>
        <v>40</v>
      </c>
      <c r="S30" s="1013">
        <f t="shared" si="6"/>
        <v>50</v>
      </c>
      <c r="T30" s="1014">
        <f t="shared" si="7"/>
        <v>90</v>
      </c>
      <c r="U30" s="1015" t="str">
        <f t="shared" si="8"/>
        <v>B</v>
      </c>
      <c r="V30" s="1016" t="b">
        <f t="shared" si="9"/>
        <v>1</v>
      </c>
    </row>
    <row r="31" spans="1:22" ht="20.25" customHeight="1">
      <c r="A31" s="802">
        <v>24</v>
      </c>
      <c r="B31" s="802" t="s">
        <v>288</v>
      </c>
      <c r="C31" s="1069" t="s">
        <v>612</v>
      </c>
      <c r="D31" s="1070"/>
      <c r="E31" s="1070"/>
      <c r="F31" s="1070"/>
      <c r="G31" s="1070" t="s">
        <v>451</v>
      </c>
      <c r="H31" s="1071" t="s">
        <v>138</v>
      </c>
      <c r="I31" s="918" t="str">
        <f t="shared" si="0"/>
        <v>50</v>
      </c>
      <c r="J31" s="1072">
        <f>VLOOKUP(B31,'[11]Chấm công'!B31:AL134,37,0)</f>
        <v>27</v>
      </c>
      <c r="K31" s="1070"/>
      <c r="L31" s="1072"/>
      <c r="M31" s="1072">
        <f t="shared" si="1"/>
        <v>27</v>
      </c>
      <c r="N31" s="932" t="str">
        <f t="shared" si="2"/>
        <v>40</v>
      </c>
      <c r="O31" s="1072">
        <f t="shared" si="3"/>
        <v>90</v>
      </c>
      <c r="P31" s="1069" t="str">
        <f t="shared" si="4"/>
        <v>B</v>
      </c>
      <c r="Q31" s="1070"/>
      <c r="R31" s="1012" t="str">
        <f t="shared" si="5"/>
        <v>40</v>
      </c>
      <c r="S31" s="1013">
        <f t="shared" si="6"/>
        <v>50</v>
      </c>
      <c r="T31" s="1014">
        <f t="shared" si="7"/>
        <v>90</v>
      </c>
      <c r="U31" s="1015" t="str">
        <f t="shared" si="8"/>
        <v>B</v>
      </c>
      <c r="V31" s="1016" t="b">
        <f t="shared" si="9"/>
        <v>1</v>
      </c>
    </row>
    <row r="32" spans="1:22" ht="20.25" customHeight="1">
      <c r="A32" s="802">
        <v>25</v>
      </c>
      <c r="B32" s="802" t="s">
        <v>538</v>
      </c>
      <c r="C32" s="1069" t="s">
        <v>613</v>
      </c>
      <c r="D32" s="1070"/>
      <c r="E32" s="1070"/>
      <c r="F32" s="1070"/>
      <c r="G32" s="1070" t="s">
        <v>451</v>
      </c>
      <c r="H32" s="1071" t="s">
        <v>138</v>
      </c>
      <c r="I32" s="918" t="str">
        <f t="shared" si="0"/>
        <v>50</v>
      </c>
      <c r="J32" s="1072">
        <f>VLOOKUP(B32,'[11]Chấm công'!B32:AL135,37,0)</f>
        <v>27</v>
      </c>
      <c r="K32" s="1070"/>
      <c r="L32" s="1072"/>
      <c r="M32" s="1072">
        <f t="shared" si="1"/>
        <v>27</v>
      </c>
      <c r="N32" s="932" t="str">
        <f t="shared" si="2"/>
        <v>40</v>
      </c>
      <c r="O32" s="1072">
        <f t="shared" si="3"/>
        <v>90</v>
      </c>
      <c r="P32" s="1069" t="str">
        <f t="shared" si="4"/>
        <v>B</v>
      </c>
      <c r="Q32" s="1070"/>
      <c r="R32" s="1012" t="str">
        <f t="shared" si="5"/>
        <v>40</v>
      </c>
      <c r="S32" s="1013">
        <f t="shared" si="6"/>
        <v>50</v>
      </c>
      <c r="T32" s="1014">
        <f t="shared" si="7"/>
        <v>90</v>
      </c>
      <c r="U32" s="1015" t="str">
        <f t="shared" si="8"/>
        <v>B</v>
      </c>
      <c r="V32" s="1016" t="b">
        <f t="shared" si="9"/>
        <v>1</v>
      </c>
    </row>
    <row r="33" spans="1:22" ht="20.25" customHeight="1">
      <c r="A33" s="802">
        <v>26</v>
      </c>
      <c r="B33" s="802" t="s">
        <v>540</v>
      </c>
      <c r="C33" s="1069" t="s">
        <v>614</v>
      </c>
      <c r="D33" s="1070"/>
      <c r="E33" s="1070"/>
      <c r="F33" s="1070"/>
      <c r="G33" s="1070" t="s">
        <v>451</v>
      </c>
      <c r="H33" s="1071" t="s">
        <v>141</v>
      </c>
      <c r="I33" s="918" t="str">
        <f t="shared" si="0"/>
        <v>60</v>
      </c>
      <c r="J33" s="1072">
        <f>VLOOKUP(B33,'[11]Chấm công'!B33:AL136,37,0)</f>
        <v>27</v>
      </c>
      <c r="K33" s="1070"/>
      <c r="L33" s="1072"/>
      <c r="M33" s="1072">
        <f t="shared" si="1"/>
        <v>27</v>
      </c>
      <c r="N33" s="932" t="str">
        <f t="shared" si="2"/>
        <v>40</v>
      </c>
      <c r="O33" s="1072">
        <f t="shared" si="3"/>
        <v>100</v>
      </c>
      <c r="P33" s="1069" t="str">
        <f t="shared" si="4"/>
        <v>A</v>
      </c>
      <c r="Q33" s="1070"/>
      <c r="R33" s="1012" t="str">
        <f t="shared" si="5"/>
        <v>40</v>
      </c>
      <c r="S33" s="1013">
        <f t="shared" si="6"/>
        <v>60</v>
      </c>
      <c r="T33" s="1014">
        <f t="shared" si="7"/>
        <v>100</v>
      </c>
      <c r="U33" s="1015" t="str">
        <f t="shared" si="8"/>
        <v>A</v>
      </c>
      <c r="V33" s="1016" t="b">
        <f t="shared" si="9"/>
        <v>1</v>
      </c>
    </row>
    <row r="34" spans="1:22" ht="20.25" customHeight="1">
      <c r="A34" s="1091">
        <v>27</v>
      </c>
      <c r="B34" s="1074" t="s">
        <v>842</v>
      </c>
      <c r="C34" s="1069" t="s">
        <v>865</v>
      </c>
      <c r="D34" s="1069" t="s">
        <v>168</v>
      </c>
      <c r="E34" s="1070" t="s">
        <v>661</v>
      </c>
      <c r="F34" s="1070">
        <v>98</v>
      </c>
      <c r="G34" s="1070" t="s">
        <v>452</v>
      </c>
      <c r="H34" s="1077" t="s">
        <v>141</v>
      </c>
      <c r="I34" s="918" t="str">
        <f t="shared" si="0"/>
        <v>60</v>
      </c>
      <c r="J34" s="1072">
        <f>VLOOKUP(B34,'[11]Chấm công'!B34:AL137,37,0)</f>
        <v>26</v>
      </c>
      <c r="K34" s="1072"/>
      <c r="L34" s="1072"/>
      <c r="M34" s="1072">
        <f t="shared" si="1"/>
        <v>26</v>
      </c>
      <c r="N34" s="932" t="str">
        <f t="shared" si="2"/>
        <v>40</v>
      </c>
      <c r="O34" s="1072">
        <f t="shared" si="3"/>
        <v>100</v>
      </c>
      <c r="P34" s="1069" t="str">
        <f t="shared" si="4"/>
        <v>A</v>
      </c>
      <c r="Q34" s="1070"/>
      <c r="R34" s="1012" t="str">
        <f t="shared" si="5"/>
        <v>40</v>
      </c>
      <c r="S34" s="1013">
        <f t="shared" si="6"/>
        <v>60</v>
      </c>
      <c r="T34" s="1014">
        <f t="shared" si="7"/>
        <v>100</v>
      </c>
      <c r="U34" s="1015" t="str">
        <f t="shared" si="8"/>
        <v>A</v>
      </c>
      <c r="V34" s="1016" t="b">
        <f t="shared" si="9"/>
        <v>1</v>
      </c>
    </row>
    <row r="35" spans="1:22" ht="20.25" customHeight="1">
      <c r="A35" s="802">
        <v>28</v>
      </c>
      <c r="B35" s="1074" t="s">
        <v>839</v>
      </c>
      <c r="C35" s="1069" t="s">
        <v>866</v>
      </c>
      <c r="D35" s="1069" t="s">
        <v>168</v>
      </c>
      <c r="E35" s="1070" t="s">
        <v>693</v>
      </c>
      <c r="F35" s="1070">
        <v>88</v>
      </c>
      <c r="G35" s="1070" t="s">
        <v>452</v>
      </c>
      <c r="H35" s="1077" t="s">
        <v>141</v>
      </c>
      <c r="I35" s="918" t="str">
        <f t="shared" si="0"/>
        <v>60</v>
      </c>
      <c r="J35" s="1072">
        <f>VLOOKUP(B35,'[11]Chấm công'!B35:AL138,37,0)</f>
        <v>23</v>
      </c>
      <c r="K35" s="1070"/>
      <c r="L35" s="1072"/>
      <c r="M35" s="1072">
        <f t="shared" si="1"/>
        <v>23</v>
      </c>
      <c r="N35" s="932">
        <f t="shared" si="2"/>
        <v>35</v>
      </c>
      <c r="O35" s="1072">
        <f t="shared" si="3"/>
        <v>95</v>
      </c>
      <c r="P35" s="1069" t="str">
        <f t="shared" si="4"/>
        <v>A</v>
      </c>
      <c r="Q35" s="1070"/>
      <c r="R35" s="1012">
        <f t="shared" si="5"/>
        <v>35</v>
      </c>
      <c r="S35" s="1013">
        <f t="shared" si="6"/>
        <v>60</v>
      </c>
      <c r="T35" s="1014">
        <f t="shared" si="7"/>
        <v>95</v>
      </c>
      <c r="U35" s="1015" t="str">
        <f t="shared" si="8"/>
        <v>A</v>
      </c>
      <c r="V35" s="1016" t="b">
        <f t="shared" si="9"/>
        <v>1</v>
      </c>
    </row>
    <row r="36" spans="1:22" ht="20.25" customHeight="1">
      <c r="A36" s="802">
        <v>29</v>
      </c>
      <c r="B36" s="1074" t="s">
        <v>527</v>
      </c>
      <c r="C36" s="1069" t="s">
        <v>639</v>
      </c>
      <c r="D36" s="1069" t="s">
        <v>168</v>
      </c>
      <c r="E36" s="1070" t="s">
        <v>693</v>
      </c>
      <c r="F36" s="1070">
        <v>85</v>
      </c>
      <c r="G36" s="1070" t="s">
        <v>452</v>
      </c>
      <c r="H36" s="1077" t="s">
        <v>141</v>
      </c>
      <c r="I36" s="918" t="str">
        <f t="shared" si="0"/>
        <v>60</v>
      </c>
      <c r="J36" s="1072">
        <f>VLOOKUP(B36,'[11]Chấm công'!B36:AL139,37,0)</f>
        <v>25</v>
      </c>
      <c r="K36" s="1070"/>
      <c r="L36" s="1072"/>
      <c r="M36" s="1072">
        <f t="shared" si="1"/>
        <v>25</v>
      </c>
      <c r="N36" s="932">
        <f t="shared" si="2"/>
        <v>35</v>
      </c>
      <c r="O36" s="1072">
        <f t="shared" si="3"/>
        <v>95</v>
      </c>
      <c r="P36" s="1069" t="str">
        <f t="shared" si="4"/>
        <v>A</v>
      </c>
      <c r="Q36" s="1070"/>
      <c r="R36" s="1012">
        <f t="shared" si="5"/>
        <v>35</v>
      </c>
      <c r="S36" s="1013">
        <f t="shared" si="6"/>
        <v>60</v>
      </c>
      <c r="T36" s="1014">
        <f t="shared" si="7"/>
        <v>95</v>
      </c>
      <c r="U36" s="1015" t="str">
        <f t="shared" si="8"/>
        <v>A</v>
      </c>
      <c r="V36" s="1016" t="b">
        <f t="shared" si="9"/>
        <v>1</v>
      </c>
    </row>
    <row r="37" spans="1:22" ht="20.25" customHeight="1">
      <c r="A37" s="802">
        <v>30</v>
      </c>
      <c r="B37" s="1074" t="s">
        <v>142</v>
      </c>
      <c r="C37" s="1069" t="s">
        <v>867</v>
      </c>
      <c r="D37" s="1069" t="s">
        <v>168</v>
      </c>
      <c r="E37" s="1070" t="s">
        <v>909</v>
      </c>
      <c r="F37" s="1070">
        <v>84</v>
      </c>
      <c r="G37" s="1070" t="s">
        <v>452</v>
      </c>
      <c r="H37" s="1077" t="s">
        <v>138</v>
      </c>
      <c r="I37" s="918" t="str">
        <f t="shared" si="0"/>
        <v>50</v>
      </c>
      <c r="J37" s="1072">
        <f>VLOOKUP(B37,'[11]Chấm công'!B37:AL140,37,0)</f>
        <v>19</v>
      </c>
      <c r="K37" s="1070"/>
      <c r="L37" s="1072"/>
      <c r="M37" s="1072">
        <f t="shared" si="1"/>
        <v>19</v>
      </c>
      <c r="N37" s="932">
        <f t="shared" si="2"/>
        <v>25</v>
      </c>
      <c r="O37" s="1072">
        <f t="shared" si="3"/>
        <v>75</v>
      </c>
      <c r="P37" s="1069" t="str">
        <f t="shared" si="4"/>
        <v>C</v>
      </c>
      <c r="Q37" s="1070"/>
      <c r="R37" s="1012">
        <f t="shared" si="5"/>
        <v>25</v>
      </c>
      <c r="S37" s="1013">
        <f t="shared" si="6"/>
        <v>50</v>
      </c>
      <c r="T37" s="1014">
        <f t="shared" si="7"/>
        <v>75</v>
      </c>
      <c r="U37" s="1015" t="str">
        <f t="shared" si="8"/>
        <v>C</v>
      </c>
      <c r="V37" s="1016" t="b">
        <f t="shared" si="9"/>
        <v>1</v>
      </c>
    </row>
    <row r="38" spans="1:22" ht="20.25" customHeight="1">
      <c r="A38" s="802">
        <v>31</v>
      </c>
      <c r="B38" s="1074" t="s">
        <v>569</v>
      </c>
      <c r="C38" s="1069" t="s">
        <v>641</v>
      </c>
      <c r="D38" s="1069" t="s">
        <v>168</v>
      </c>
      <c r="E38" s="1070" t="s">
        <v>691</v>
      </c>
      <c r="F38" s="1070">
        <v>94</v>
      </c>
      <c r="G38" s="1070" t="s">
        <v>452</v>
      </c>
      <c r="H38" s="1077" t="s">
        <v>138</v>
      </c>
      <c r="I38" s="918" t="str">
        <f t="shared" si="0"/>
        <v>50</v>
      </c>
      <c r="J38" s="1072">
        <f>VLOOKUP(B38,'[11]Chấm công'!B38:AL141,37,0)</f>
        <v>22</v>
      </c>
      <c r="K38" s="1070"/>
      <c r="L38" s="1072"/>
      <c r="M38" s="1072">
        <f t="shared" si="1"/>
        <v>22</v>
      </c>
      <c r="N38" s="932">
        <f t="shared" si="2"/>
        <v>30</v>
      </c>
      <c r="O38" s="1072">
        <f t="shared" si="3"/>
        <v>80</v>
      </c>
      <c r="P38" s="1069" t="str">
        <f t="shared" si="4"/>
        <v>C</v>
      </c>
      <c r="Q38" s="1070"/>
      <c r="R38" s="1012">
        <f t="shared" si="5"/>
        <v>30</v>
      </c>
      <c r="S38" s="1013">
        <f t="shared" si="6"/>
        <v>50</v>
      </c>
      <c r="T38" s="1014">
        <f t="shared" si="7"/>
        <v>80</v>
      </c>
      <c r="U38" s="1015" t="str">
        <f t="shared" si="8"/>
        <v>C</v>
      </c>
      <c r="V38" s="1016" t="b">
        <f t="shared" si="9"/>
        <v>1</v>
      </c>
    </row>
    <row r="39" spans="1:22" ht="20.25" customHeight="1">
      <c r="A39" s="802">
        <v>32</v>
      </c>
      <c r="B39" s="1074" t="s">
        <v>570</v>
      </c>
      <c r="C39" s="1069" t="s">
        <v>868</v>
      </c>
      <c r="D39" s="1069" t="s">
        <v>168</v>
      </c>
      <c r="E39" s="1070" t="s">
        <v>773</v>
      </c>
      <c r="F39" s="1070">
        <v>79</v>
      </c>
      <c r="G39" s="1070" t="s">
        <v>452</v>
      </c>
      <c r="H39" s="1077" t="s">
        <v>138</v>
      </c>
      <c r="I39" s="918" t="str">
        <f t="shared" si="0"/>
        <v>50</v>
      </c>
      <c r="J39" s="1072">
        <f>VLOOKUP(B39,'[11]Chấm công'!B39:AL142,37,0)</f>
        <v>22</v>
      </c>
      <c r="K39" s="1070"/>
      <c r="L39" s="1072"/>
      <c r="M39" s="1072">
        <f t="shared" si="1"/>
        <v>22</v>
      </c>
      <c r="N39" s="932">
        <f t="shared" si="2"/>
        <v>30</v>
      </c>
      <c r="O39" s="1072">
        <f t="shared" si="3"/>
        <v>80</v>
      </c>
      <c r="P39" s="1069" t="str">
        <f t="shared" si="4"/>
        <v>C</v>
      </c>
      <c r="Q39" s="1070"/>
      <c r="R39" s="1012">
        <f t="shared" si="5"/>
        <v>30</v>
      </c>
      <c r="S39" s="1013">
        <f t="shared" si="6"/>
        <v>50</v>
      </c>
      <c r="T39" s="1014">
        <f t="shared" si="7"/>
        <v>80</v>
      </c>
      <c r="U39" s="1015" t="str">
        <f t="shared" si="8"/>
        <v>C</v>
      </c>
      <c r="V39" s="1016" t="b">
        <f t="shared" si="9"/>
        <v>1</v>
      </c>
    </row>
    <row r="40" spans="1:22" ht="20.25" customHeight="1">
      <c r="A40" s="802">
        <v>33</v>
      </c>
      <c r="B40" s="1074" t="s">
        <v>243</v>
      </c>
      <c r="C40" s="1069" t="s">
        <v>869</v>
      </c>
      <c r="D40" s="1069" t="s">
        <v>168</v>
      </c>
      <c r="E40" s="1070" t="s">
        <v>661</v>
      </c>
      <c r="F40" s="1070">
        <v>97</v>
      </c>
      <c r="G40" s="1070" t="s">
        <v>452</v>
      </c>
      <c r="H40" s="1077" t="s">
        <v>141</v>
      </c>
      <c r="I40" s="918" t="str">
        <f t="shared" si="0"/>
        <v>60</v>
      </c>
      <c r="J40" s="1072">
        <f>VLOOKUP(B40,'[11]Chấm công'!B40:AL143,37,0)</f>
        <v>27</v>
      </c>
      <c r="K40" s="1070"/>
      <c r="L40" s="1072"/>
      <c r="M40" s="1072">
        <f t="shared" si="1"/>
        <v>27</v>
      </c>
      <c r="N40" s="932" t="str">
        <f t="shared" si="2"/>
        <v>40</v>
      </c>
      <c r="O40" s="1072">
        <f t="shared" si="3"/>
        <v>100</v>
      </c>
      <c r="P40" s="1069" t="str">
        <f t="shared" si="4"/>
        <v>A</v>
      </c>
      <c r="Q40" s="1070"/>
      <c r="R40" s="1012" t="str">
        <f t="shared" si="5"/>
        <v>40</v>
      </c>
      <c r="S40" s="1013">
        <f t="shared" si="6"/>
        <v>60</v>
      </c>
      <c r="T40" s="1014">
        <f t="shared" si="7"/>
        <v>100</v>
      </c>
      <c r="U40" s="1015" t="str">
        <f t="shared" si="8"/>
        <v>A</v>
      </c>
      <c r="V40" s="1016" t="b">
        <f t="shared" si="9"/>
        <v>1</v>
      </c>
    </row>
    <row r="41" spans="1:22" ht="20.25" customHeight="1">
      <c r="A41" s="802">
        <v>34</v>
      </c>
      <c r="B41" s="1074" t="s">
        <v>236</v>
      </c>
      <c r="C41" s="1069" t="s">
        <v>616</v>
      </c>
      <c r="D41" s="1069" t="s">
        <v>168</v>
      </c>
      <c r="E41" s="1070" t="s">
        <v>692</v>
      </c>
      <c r="F41" s="1070">
        <v>87</v>
      </c>
      <c r="G41" s="1070" t="s">
        <v>452</v>
      </c>
      <c r="H41" s="1077" t="s">
        <v>141</v>
      </c>
      <c r="I41" s="918" t="str">
        <f t="shared" si="0"/>
        <v>60</v>
      </c>
      <c r="J41" s="1072">
        <f>VLOOKUP(B41,'[11]Chấm công'!B41:AL144,37,0)</f>
        <v>26</v>
      </c>
      <c r="K41" s="1070"/>
      <c r="L41" s="1072"/>
      <c r="M41" s="1072">
        <f t="shared" si="1"/>
        <v>26</v>
      </c>
      <c r="N41" s="932" t="str">
        <f t="shared" si="2"/>
        <v>40</v>
      </c>
      <c r="O41" s="1072">
        <f t="shared" si="3"/>
        <v>100</v>
      </c>
      <c r="P41" s="1069" t="str">
        <f t="shared" si="4"/>
        <v>A</v>
      </c>
      <c r="Q41" s="1070"/>
      <c r="R41" s="1012" t="str">
        <f t="shared" si="5"/>
        <v>40</v>
      </c>
      <c r="S41" s="1013">
        <f t="shared" si="6"/>
        <v>60</v>
      </c>
      <c r="T41" s="1014">
        <f t="shared" si="7"/>
        <v>100</v>
      </c>
      <c r="U41" s="1015" t="str">
        <f t="shared" si="8"/>
        <v>A</v>
      </c>
      <c r="V41" s="1016" t="b">
        <f t="shared" si="9"/>
        <v>1</v>
      </c>
    </row>
    <row r="42" spans="1:22" ht="20.25" customHeight="1">
      <c r="A42" s="802">
        <v>35</v>
      </c>
      <c r="B42" s="1074" t="s">
        <v>316</v>
      </c>
      <c r="C42" s="1069" t="s">
        <v>643</v>
      </c>
      <c r="D42" s="1069" t="s">
        <v>168</v>
      </c>
      <c r="E42" s="1070" t="s">
        <v>673</v>
      </c>
      <c r="F42" s="1070">
        <v>81</v>
      </c>
      <c r="G42" s="1070" t="s">
        <v>452</v>
      </c>
      <c r="H42" s="1077" t="s">
        <v>138</v>
      </c>
      <c r="I42" s="918" t="str">
        <f t="shared" si="0"/>
        <v>50</v>
      </c>
      <c r="J42" s="1072">
        <f>VLOOKUP(B42,'[11]Chấm công'!B42:AL145,37,0)</f>
        <v>22</v>
      </c>
      <c r="K42" s="1070"/>
      <c r="L42" s="1072"/>
      <c r="M42" s="1072">
        <f t="shared" si="1"/>
        <v>22</v>
      </c>
      <c r="N42" s="932">
        <f t="shared" si="2"/>
        <v>30</v>
      </c>
      <c r="O42" s="1072">
        <f t="shared" si="3"/>
        <v>80</v>
      </c>
      <c r="P42" s="1069" t="str">
        <f t="shared" si="4"/>
        <v>C</v>
      </c>
      <c r="Q42" s="1070"/>
      <c r="R42" s="1012">
        <f t="shared" si="5"/>
        <v>30</v>
      </c>
      <c r="S42" s="1013">
        <f t="shared" si="6"/>
        <v>50</v>
      </c>
      <c r="T42" s="1014">
        <f t="shared" si="7"/>
        <v>80</v>
      </c>
      <c r="U42" s="1015" t="str">
        <f t="shared" si="8"/>
        <v>C</v>
      </c>
      <c r="V42" s="1016" t="b">
        <f t="shared" si="9"/>
        <v>1</v>
      </c>
    </row>
    <row r="43" spans="1:22" ht="20.25" customHeight="1">
      <c r="A43" s="802">
        <v>36</v>
      </c>
      <c r="B43" s="1074" t="s">
        <v>555</v>
      </c>
      <c r="C43" s="1069" t="s">
        <v>615</v>
      </c>
      <c r="D43" s="1069" t="s">
        <v>168</v>
      </c>
      <c r="E43" s="1070" t="s">
        <v>744</v>
      </c>
      <c r="F43" s="1070">
        <v>67</v>
      </c>
      <c r="G43" s="1070" t="s">
        <v>452</v>
      </c>
      <c r="H43" s="1077" t="s">
        <v>141</v>
      </c>
      <c r="I43" s="918" t="str">
        <f t="shared" si="0"/>
        <v>60</v>
      </c>
      <c r="J43" s="1072">
        <f>VLOOKUP(B43,'[11]Chấm công'!B43:AL146,37,0)</f>
        <v>27</v>
      </c>
      <c r="K43" s="1070"/>
      <c r="L43" s="1072"/>
      <c r="M43" s="1072">
        <f t="shared" si="1"/>
        <v>27</v>
      </c>
      <c r="N43" s="932" t="str">
        <f t="shared" si="2"/>
        <v>40</v>
      </c>
      <c r="O43" s="1072">
        <f t="shared" si="3"/>
        <v>100</v>
      </c>
      <c r="P43" s="1069" t="str">
        <f t="shared" si="4"/>
        <v>A</v>
      </c>
      <c r="Q43" s="1070"/>
      <c r="R43" s="1012" t="str">
        <f t="shared" si="5"/>
        <v>40</v>
      </c>
      <c r="S43" s="1013">
        <f t="shared" si="6"/>
        <v>60</v>
      </c>
      <c r="T43" s="1014">
        <f t="shared" si="7"/>
        <v>100</v>
      </c>
      <c r="U43" s="1015" t="str">
        <f t="shared" si="8"/>
        <v>A</v>
      </c>
      <c r="V43" s="1016" t="b">
        <f t="shared" si="9"/>
        <v>1</v>
      </c>
    </row>
    <row r="44" spans="1:22" ht="20.25" customHeight="1">
      <c r="A44" s="802">
        <v>37</v>
      </c>
      <c r="B44" s="1074" t="s">
        <v>843</v>
      </c>
      <c r="C44" s="1069" t="s">
        <v>870</v>
      </c>
      <c r="D44" s="1069" t="s">
        <v>168</v>
      </c>
      <c r="E44" s="1070" t="s">
        <v>673</v>
      </c>
      <c r="F44" s="1070">
        <v>82</v>
      </c>
      <c r="G44" s="1070" t="s">
        <v>452</v>
      </c>
      <c r="H44" s="1077" t="s">
        <v>141</v>
      </c>
      <c r="I44" s="918" t="str">
        <f t="shared" si="0"/>
        <v>60</v>
      </c>
      <c r="J44" s="1072">
        <f>VLOOKUP(B44,'[11]Chấm công'!B44:AL147,37,0)</f>
        <v>27</v>
      </c>
      <c r="K44" s="1070"/>
      <c r="L44" s="1072"/>
      <c r="M44" s="1072">
        <f t="shared" si="1"/>
        <v>27</v>
      </c>
      <c r="N44" s="932" t="str">
        <f t="shared" si="2"/>
        <v>40</v>
      </c>
      <c r="O44" s="1072">
        <f t="shared" si="3"/>
        <v>100</v>
      </c>
      <c r="P44" s="1069" t="str">
        <f t="shared" si="4"/>
        <v>A</v>
      </c>
      <c r="Q44" s="1070"/>
      <c r="R44" s="1012" t="str">
        <f t="shared" si="5"/>
        <v>40</v>
      </c>
      <c r="S44" s="1013">
        <f t="shared" si="6"/>
        <v>60</v>
      </c>
      <c r="T44" s="1014">
        <f t="shared" si="7"/>
        <v>100</v>
      </c>
      <c r="U44" s="1015" t="str">
        <f t="shared" si="8"/>
        <v>A</v>
      </c>
      <c r="V44" s="1016" t="b">
        <f t="shared" si="9"/>
        <v>1</v>
      </c>
    </row>
    <row r="45" spans="1:22" ht="20.25" customHeight="1">
      <c r="A45" s="802">
        <v>38</v>
      </c>
      <c r="B45" s="1074" t="s">
        <v>161</v>
      </c>
      <c r="C45" s="1069" t="s">
        <v>618</v>
      </c>
      <c r="D45" s="1069" t="s">
        <v>168</v>
      </c>
      <c r="E45" s="1070" t="s">
        <v>692</v>
      </c>
      <c r="F45" s="1070">
        <v>83</v>
      </c>
      <c r="G45" s="1070" t="s">
        <v>452</v>
      </c>
      <c r="H45" s="1077" t="s">
        <v>141</v>
      </c>
      <c r="I45" s="918" t="str">
        <f t="shared" si="0"/>
        <v>60</v>
      </c>
      <c r="J45" s="1072">
        <f>VLOOKUP(B45,'[11]Chấm công'!B45:AL148,37,0)</f>
        <v>26</v>
      </c>
      <c r="K45" s="1070"/>
      <c r="L45" s="1072"/>
      <c r="M45" s="1072">
        <f t="shared" si="1"/>
        <v>26</v>
      </c>
      <c r="N45" s="932" t="str">
        <f t="shared" si="2"/>
        <v>40</v>
      </c>
      <c r="O45" s="1072">
        <f t="shared" si="3"/>
        <v>100</v>
      </c>
      <c r="P45" s="1069" t="str">
        <f t="shared" si="4"/>
        <v>A</v>
      </c>
      <c r="Q45" s="1070"/>
      <c r="R45" s="1012" t="str">
        <f t="shared" si="5"/>
        <v>40</v>
      </c>
      <c r="S45" s="1013">
        <f t="shared" si="6"/>
        <v>60</v>
      </c>
      <c r="T45" s="1014">
        <f t="shared" si="7"/>
        <v>100</v>
      </c>
      <c r="U45" s="1015" t="str">
        <f t="shared" si="8"/>
        <v>A</v>
      </c>
      <c r="V45" s="1016" t="b">
        <f t="shared" si="9"/>
        <v>1</v>
      </c>
    </row>
    <row r="46" spans="1:22" ht="20.25" customHeight="1">
      <c r="A46" s="802">
        <v>39</v>
      </c>
      <c r="B46" s="1074" t="s">
        <v>152</v>
      </c>
      <c r="C46" s="1069" t="s">
        <v>619</v>
      </c>
      <c r="D46" s="1069" t="s">
        <v>168</v>
      </c>
      <c r="E46" s="1070" t="s">
        <v>693</v>
      </c>
      <c r="F46" s="1070">
        <v>86</v>
      </c>
      <c r="G46" s="1070" t="s">
        <v>452</v>
      </c>
      <c r="H46" s="1077" t="s">
        <v>138</v>
      </c>
      <c r="I46" s="918" t="str">
        <f t="shared" si="0"/>
        <v>50</v>
      </c>
      <c r="J46" s="1072">
        <f>VLOOKUP(B46,'[11]Chấm công'!B46:AL149,37,0)</f>
        <v>22</v>
      </c>
      <c r="K46" s="1070"/>
      <c r="L46" s="1072"/>
      <c r="M46" s="1072">
        <f t="shared" si="1"/>
        <v>22</v>
      </c>
      <c r="N46" s="932">
        <f t="shared" si="2"/>
        <v>30</v>
      </c>
      <c r="O46" s="1072">
        <f t="shared" si="3"/>
        <v>80</v>
      </c>
      <c r="P46" s="1069" t="str">
        <f t="shared" si="4"/>
        <v>C</v>
      </c>
      <c r="Q46" s="1070"/>
      <c r="R46" s="1012">
        <f t="shared" si="5"/>
        <v>30</v>
      </c>
      <c r="S46" s="1013">
        <f t="shared" si="6"/>
        <v>50</v>
      </c>
      <c r="T46" s="1014">
        <f t="shared" si="7"/>
        <v>80</v>
      </c>
      <c r="U46" s="1015" t="str">
        <f t="shared" si="8"/>
        <v>C</v>
      </c>
      <c r="V46" s="1016" t="b">
        <f t="shared" si="9"/>
        <v>1</v>
      </c>
    </row>
    <row r="47" spans="1:22" ht="20.25" customHeight="1">
      <c r="A47" s="802">
        <v>40</v>
      </c>
      <c r="B47" s="1074" t="s">
        <v>557</v>
      </c>
      <c r="C47" s="1069" t="s">
        <v>620</v>
      </c>
      <c r="D47" s="1069" t="s">
        <v>168</v>
      </c>
      <c r="E47" s="1070" t="s">
        <v>691</v>
      </c>
      <c r="F47" s="1070">
        <v>92</v>
      </c>
      <c r="G47" s="1070" t="s">
        <v>452</v>
      </c>
      <c r="H47" s="1077" t="s">
        <v>138</v>
      </c>
      <c r="I47" s="918" t="str">
        <f t="shared" si="0"/>
        <v>50</v>
      </c>
      <c r="J47" s="1072">
        <f>VLOOKUP(B47,'[11]Chấm công'!B47:AL150,37,0)</f>
        <v>20</v>
      </c>
      <c r="K47" s="1070"/>
      <c r="L47" s="1072"/>
      <c r="M47" s="1072">
        <f t="shared" si="1"/>
        <v>20</v>
      </c>
      <c r="N47" s="932">
        <f t="shared" si="2"/>
        <v>30</v>
      </c>
      <c r="O47" s="1072">
        <f t="shared" si="3"/>
        <v>80</v>
      </c>
      <c r="P47" s="1069" t="str">
        <f t="shared" si="4"/>
        <v>C</v>
      </c>
      <c r="Q47" s="1070"/>
      <c r="R47" s="1012">
        <f t="shared" si="5"/>
        <v>30</v>
      </c>
      <c r="S47" s="1013">
        <f t="shared" si="6"/>
        <v>50</v>
      </c>
      <c r="T47" s="1014">
        <f t="shared" si="7"/>
        <v>80</v>
      </c>
      <c r="U47" s="1015" t="str">
        <f t="shared" si="8"/>
        <v>C</v>
      </c>
      <c r="V47" s="1016" t="b">
        <f t="shared" si="9"/>
        <v>1</v>
      </c>
    </row>
    <row r="48" spans="1:22" ht="20.25" customHeight="1">
      <c r="A48" s="802">
        <v>41</v>
      </c>
      <c r="B48" s="1074" t="s">
        <v>558</v>
      </c>
      <c r="C48" s="1069" t="s">
        <v>621</v>
      </c>
      <c r="D48" s="1069" t="s">
        <v>168</v>
      </c>
      <c r="E48" s="1070" t="s">
        <v>691</v>
      </c>
      <c r="F48" s="1070">
        <v>93</v>
      </c>
      <c r="G48" s="1070" t="s">
        <v>452</v>
      </c>
      <c r="H48" s="1077" t="s">
        <v>138</v>
      </c>
      <c r="I48" s="918" t="str">
        <f t="shared" si="0"/>
        <v>50</v>
      </c>
      <c r="J48" s="1072">
        <f>VLOOKUP(B48,'[11]Chấm công'!B48:AL151,37,0)</f>
        <v>14</v>
      </c>
      <c r="K48" s="1070"/>
      <c r="L48" s="1072"/>
      <c r="M48" s="1072">
        <f t="shared" si="1"/>
        <v>14</v>
      </c>
      <c r="N48" s="932">
        <f t="shared" si="2"/>
        <v>25</v>
      </c>
      <c r="O48" s="1072">
        <f t="shared" si="3"/>
        <v>75</v>
      </c>
      <c r="P48" s="1069" t="str">
        <f t="shared" si="4"/>
        <v>C</v>
      </c>
      <c r="Q48" s="1070"/>
      <c r="R48" s="1012">
        <f t="shared" si="5"/>
        <v>25</v>
      </c>
      <c r="S48" s="1013">
        <f t="shared" si="6"/>
        <v>50</v>
      </c>
      <c r="T48" s="1014">
        <f t="shared" si="7"/>
        <v>75</v>
      </c>
      <c r="U48" s="1015" t="str">
        <f t="shared" si="8"/>
        <v>C</v>
      </c>
      <c r="V48" s="1016" t="b">
        <f t="shared" si="9"/>
        <v>1</v>
      </c>
    </row>
    <row r="49" spans="1:22" ht="20.25" customHeight="1">
      <c r="A49" s="802">
        <v>42</v>
      </c>
      <c r="B49" s="1074" t="s">
        <v>559</v>
      </c>
      <c r="C49" s="1069" t="s">
        <v>622</v>
      </c>
      <c r="D49" s="1069" t="s">
        <v>168</v>
      </c>
      <c r="E49" s="1070" t="s">
        <v>693</v>
      </c>
      <c r="F49" s="1070">
        <v>90</v>
      </c>
      <c r="G49" s="1070" t="s">
        <v>452</v>
      </c>
      <c r="H49" s="1077" t="s">
        <v>138</v>
      </c>
      <c r="I49" s="918" t="str">
        <f t="shared" si="0"/>
        <v>50</v>
      </c>
      <c r="J49" s="1072">
        <f>VLOOKUP(B49,'[11]Chấm công'!B49:AL152,37,0)</f>
        <v>15</v>
      </c>
      <c r="K49" s="1070"/>
      <c r="L49" s="1072"/>
      <c r="M49" s="1072">
        <f t="shared" si="1"/>
        <v>15</v>
      </c>
      <c r="N49" s="932">
        <f t="shared" si="2"/>
        <v>25</v>
      </c>
      <c r="O49" s="1072">
        <f t="shared" si="3"/>
        <v>75</v>
      </c>
      <c r="P49" s="1069" t="str">
        <f t="shared" si="4"/>
        <v>C</v>
      </c>
      <c r="Q49" s="1070"/>
      <c r="R49" s="1012">
        <f t="shared" si="5"/>
        <v>25</v>
      </c>
      <c r="S49" s="1013">
        <f t="shared" si="6"/>
        <v>50</v>
      </c>
      <c r="T49" s="1014">
        <f t="shared" si="7"/>
        <v>75</v>
      </c>
      <c r="U49" s="1015" t="str">
        <f t="shared" si="8"/>
        <v>C</v>
      </c>
      <c r="V49" s="1016" t="b">
        <f t="shared" si="9"/>
        <v>1</v>
      </c>
    </row>
    <row r="50" spans="1:22" ht="20.25" customHeight="1">
      <c r="A50" s="802">
        <v>43</v>
      </c>
      <c r="B50" s="1074" t="s">
        <v>556</v>
      </c>
      <c r="C50" s="1069" t="s">
        <v>617</v>
      </c>
      <c r="D50" s="1069" t="s">
        <v>168</v>
      </c>
      <c r="E50" s="1070" t="s">
        <v>673</v>
      </c>
      <c r="F50" s="1070">
        <v>80</v>
      </c>
      <c r="G50" s="1070" t="s">
        <v>452</v>
      </c>
      <c r="H50" s="1077" t="s">
        <v>141</v>
      </c>
      <c r="I50" s="918" t="str">
        <f t="shared" si="0"/>
        <v>60</v>
      </c>
      <c r="J50" s="1072">
        <f>VLOOKUP(B50,'[11]Chấm công'!B50:AL153,37,0)</f>
        <v>24</v>
      </c>
      <c r="K50" s="1070"/>
      <c r="L50" s="1072"/>
      <c r="M50" s="1072">
        <f t="shared" si="1"/>
        <v>24</v>
      </c>
      <c r="N50" s="932">
        <f t="shared" si="2"/>
        <v>35</v>
      </c>
      <c r="O50" s="1072">
        <f t="shared" si="3"/>
        <v>95</v>
      </c>
      <c r="P50" s="1069" t="str">
        <f t="shared" si="4"/>
        <v>A</v>
      </c>
      <c r="Q50" s="1070"/>
      <c r="R50" s="1012">
        <f t="shared" si="5"/>
        <v>35</v>
      </c>
      <c r="S50" s="1013">
        <f t="shared" si="6"/>
        <v>60</v>
      </c>
      <c r="T50" s="1014">
        <f t="shared" si="7"/>
        <v>95</v>
      </c>
      <c r="U50" s="1015" t="str">
        <f t="shared" si="8"/>
        <v>A</v>
      </c>
      <c r="V50" s="1016" t="b">
        <f t="shared" si="9"/>
        <v>1</v>
      </c>
    </row>
    <row r="51" spans="1:22" ht="20.25" customHeight="1">
      <c r="A51" s="802">
        <v>44</v>
      </c>
      <c r="B51" s="1074" t="s">
        <v>228</v>
      </c>
      <c r="C51" s="1069" t="s">
        <v>628</v>
      </c>
      <c r="D51" s="1069" t="s">
        <v>168</v>
      </c>
      <c r="E51" s="1070" t="s">
        <v>681</v>
      </c>
      <c r="F51" s="1070">
        <v>76</v>
      </c>
      <c r="G51" s="1070" t="s">
        <v>452</v>
      </c>
      <c r="H51" s="1077" t="s">
        <v>141</v>
      </c>
      <c r="I51" s="918" t="str">
        <f t="shared" si="0"/>
        <v>60</v>
      </c>
      <c r="J51" s="1072">
        <f>VLOOKUP(B51,'[11]Chấm công'!B51:AL154,37,0)</f>
        <v>26</v>
      </c>
      <c r="K51" s="1070"/>
      <c r="L51" s="1072"/>
      <c r="M51" s="1072">
        <f t="shared" si="1"/>
        <v>26</v>
      </c>
      <c r="N51" s="932" t="str">
        <f t="shared" si="2"/>
        <v>40</v>
      </c>
      <c r="O51" s="1072">
        <f t="shared" si="3"/>
        <v>100</v>
      </c>
      <c r="P51" s="1069" t="str">
        <f t="shared" si="4"/>
        <v>A</v>
      </c>
      <c r="Q51" s="1070"/>
      <c r="R51" s="1012" t="str">
        <f t="shared" si="5"/>
        <v>40</v>
      </c>
      <c r="S51" s="1013">
        <f t="shared" si="6"/>
        <v>60</v>
      </c>
      <c r="T51" s="1014">
        <f t="shared" si="7"/>
        <v>100</v>
      </c>
      <c r="U51" s="1015" t="str">
        <f t="shared" si="8"/>
        <v>A</v>
      </c>
      <c r="V51" s="1016" t="b">
        <f t="shared" si="9"/>
        <v>1</v>
      </c>
    </row>
    <row r="52" spans="1:22" ht="20.25" customHeight="1">
      <c r="A52" s="802">
        <v>45</v>
      </c>
      <c r="B52" s="1074" t="s">
        <v>327</v>
      </c>
      <c r="C52" s="1069" t="s">
        <v>629</v>
      </c>
      <c r="D52" s="1069" t="s">
        <v>168</v>
      </c>
      <c r="E52" s="1070" t="s">
        <v>661</v>
      </c>
      <c r="F52" s="1070">
        <v>96</v>
      </c>
      <c r="G52" s="1070" t="s">
        <v>452</v>
      </c>
      <c r="H52" s="1077" t="s">
        <v>141</v>
      </c>
      <c r="I52" s="918" t="str">
        <f t="shared" si="0"/>
        <v>60</v>
      </c>
      <c r="J52" s="1072">
        <f>VLOOKUP(B52,'[11]Chấm công'!B52:AL155,37,0)</f>
        <v>27</v>
      </c>
      <c r="K52" s="1070"/>
      <c r="L52" s="1072"/>
      <c r="M52" s="1072">
        <f t="shared" si="1"/>
        <v>27</v>
      </c>
      <c r="N52" s="932" t="str">
        <f t="shared" si="2"/>
        <v>40</v>
      </c>
      <c r="O52" s="1072">
        <f t="shared" si="3"/>
        <v>100</v>
      </c>
      <c r="P52" s="1069" t="str">
        <f t="shared" si="4"/>
        <v>A</v>
      </c>
      <c r="Q52" s="1070"/>
      <c r="R52" s="1012" t="str">
        <f t="shared" si="5"/>
        <v>40</v>
      </c>
      <c r="S52" s="1013">
        <f t="shared" si="6"/>
        <v>60</v>
      </c>
      <c r="T52" s="1014">
        <f t="shared" si="7"/>
        <v>100</v>
      </c>
      <c r="U52" s="1015" t="str">
        <f t="shared" si="8"/>
        <v>A</v>
      </c>
      <c r="V52" s="1016" t="b">
        <f t="shared" si="9"/>
        <v>1</v>
      </c>
    </row>
    <row r="53" spans="1:22" ht="20.25" customHeight="1">
      <c r="A53" s="802">
        <v>46</v>
      </c>
      <c r="B53" s="1074" t="s">
        <v>564</v>
      </c>
      <c r="C53" s="1069" t="s">
        <v>630</v>
      </c>
      <c r="D53" s="1069" t="s">
        <v>168</v>
      </c>
      <c r="E53" s="1070" t="s">
        <v>744</v>
      </c>
      <c r="F53" s="1070">
        <v>69</v>
      </c>
      <c r="G53" s="1070" t="s">
        <v>452</v>
      </c>
      <c r="H53" s="1077" t="s">
        <v>138</v>
      </c>
      <c r="I53" s="918" t="str">
        <f t="shared" si="0"/>
        <v>50</v>
      </c>
      <c r="J53" s="1072">
        <f>VLOOKUP(B53,'[11]Chấm công'!B53:AL156,37,0)</f>
        <v>20</v>
      </c>
      <c r="K53" s="1070"/>
      <c r="L53" s="1072"/>
      <c r="M53" s="1072">
        <f t="shared" si="1"/>
        <v>20</v>
      </c>
      <c r="N53" s="932">
        <f t="shared" si="2"/>
        <v>30</v>
      </c>
      <c r="O53" s="1072">
        <f t="shared" si="3"/>
        <v>80</v>
      </c>
      <c r="P53" s="1069" t="str">
        <f t="shared" si="4"/>
        <v>C</v>
      </c>
      <c r="Q53" s="1070"/>
      <c r="R53" s="1012">
        <f t="shared" si="5"/>
        <v>30</v>
      </c>
      <c r="S53" s="1013">
        <f t="shared" si="6"/>
        <v>50</v>
      </c>
      <c r="T53" s="1014">
        <f t="shared" si="7"/>
        <v>80</v>
      </c>
      <c r="U53" s="1015" t="str">
        <f t="shared" si="8"/>
        <v>C</v>
      </c>
      <c r="V53" s="1016" t="b">
        <f t="shared" si="9"/>
        <v>1</v>
      </c>
    </row>
    <row r="54" spans="1:22" ht="20.25" customHeight="1">
      <c r="A54" s="802">
        <v>47</v>
      </c>
      <c r="B54" s="1074" t="s">
        <v>565</v>
      </c>
      <c r="C54" s="1069" t="s">
        <v>631</v>
      </c>
      <c r="D54" s="1069" t="s">
        <v>168</v>
      </c>
      <c r="E54" s="1070" t="s">
        <v>773</v>
      </c>
      <c r="F54" s="1070">
        <v>78</v>
      </c>
      <c r="G54" s="1070" t="s">
        <v>452</v>
      </c>
      <c r="H54" s="1077" t="s">
        <v>138</v>
      </c>
      <c r="I54" s="918" t="str">
        <f t="shared" si="0"/>
        <v>50</v>
      </c>
      <c r="J54" s="1072">
        <f>VLOOKUP(B54,'[11]Chấm công'!B54:AL157,37,0)</f>
        <v>23</v>
      </c>
      <c r="K54" s="1070"/>
      <c r="L54" s="1072"/>
      <c r="M54" s="1072">
        <f t="shared" si="1"/>
        <v>23</v>
      </c>
      <c r="N54" s="932">
        <f t="shared" si="2"/>
        <v>35</v>
      </c>
      <c r="O54" s="1072">
        <f t="shared" si="3"/>
        <v>85</v>
      </c>
      <c r="P54" s="1069" t="str">
        <f t="shared" si="4"/>
        <v>B</v>
      </c>
      <c r="Q54" s="1070"/>
      <c r="R54" s="1012">
        <f t="shared" si="5"/>
        <v>35</v>
      </c>
      <c r="S54" s="1013">
        <f t="shared" si="6"/>
        <v>50</v>
      </c>
      <c r="T54" s="1014">
        <f t="shared" si="7"/>
        <v>85</v>
      </c>
      <c r="U54" s="1015" t="str">
        <f t="shared" si="8"/>
        <v>B</v>
      </c>
      <c r="V54" s="1016" t="b">
        <f t="shared" si="9"/>
        <v>1</v>
      </c>
    </row>
    <row r="55" spans="1:22" ht="20.25" customHeight="1">
      <c r="A55" s="802">
        <v>48</v>
      </c>
      <c r="B55" s="1074" t="s">
        <v>332</v>
      </c>
      <c r="C55" s="1069" t="s">
        <v>633</v>
      </c>
      <c r="D55" s="1069" t="s">
        <v>168</v>
      </c>
      <c r="E55" s="1070" t="s">
        <v>681</v>
      </c>
      <c r="F55" s="1070">
        <v>77</v>
      </c>
      <c r="G55" s="1070" t="s">
        <v>452</v>
      </c>
      <c r="H55" s="1077" t="s">
        <v>138</v>
      </c>
      <c r="I55" s="918" t="str">
        <f t="shared" si="0"/>
        <v>50</v>
      </c>
      <c r="J55" s="1072">
        <f>VLOOKUP(B55,'[11]Chấm công'!B55:AL158,37,0)</f>
        <v>20</v>
      </c>
      <c r="K55" s="1070"/>
      <c r="L55" s="1072"/>
      <c r="M55" s="1072">
        <f t="shared" si="1"/>
        <v>20</v>
      </c>
      <c r="N55" s="932">
        <f t="shared" si="2"/>
        <v>30</v>
      </c>
      <c r="O55" s="1072">
        <f t="shared" si="3"/>
        <v>80</v>
      </c>
      <c r="P55" s="1069" t="str">
        <f t="shared" si="4"/>
        <v>C</v>
      </c>
      <c r="Q55" s="1070"/>
      <c r="R55" s="1012">
        <f t="shared" si="5"/>
        <v>30</v>
      </c>
      <c r="S55" s="1013">
        <f t="shared" si="6"/>
        <v>50</v>
      </c>
      <c r="T55" s="1014">
        <f t="shared" si="7"/>
        <v>80</v>
      </c>
      <c r="U55" s="1015" t="str">
        <f t="shared" si="8"/>
        <v>C</v>
      </c>
      <c r="V55" s="1016" t="b">
        <f t="shared" si="9"/>
        <v>1</v>
      </c>
    </row>
    <row r="56" spans="1:22" ht="20.25" customHeight="1">
      <c r="A56" s="802">
        <v>49</v>
      </c>
      <c r="B56" s="1074" t="s">
        <v>169</v>
      </c>
      <c r="C56" s="1069" t="s">
        <v>632</v>
      </c>
      <c r="D56" s="1069" t="s">
        <v>168</v>
      </c>
      <c r="E56" s="1070" t="s">
        <v>744</v>
      </c>
      <c r="F56" s="1070">
        <v>70</v>
      </c>
      <c r="G56" s="1070" t="s">
        <v>452</v>
      </c>
      <c r="H56" s="1077" t="s">
        <v>141</v>
      </c>
      <c r="I56" s="918" t="str">
        <f t="shared" si="0"/>
        <v>60</v>
      </c>
      <c r="J56" s="1072">
        <f>VLOOKUP(B56,'[11]Chấm công'!B56:AL159,37,0)</f>
        <v>26</v>
      </c>
      <c r="K56" s="1070"/>
      <c r="L56" s="1072"/>
      <c r="M56" s="1072">
        <f t="shared" si="1"/>
        <v>26</v>
      </c>
      <c r="N56" s="932" t="str">
        <f t="shared" si="2"/>
        <v>40</v>
      </c>
      <c r="O56" s="1072">
        <f t="shared" si="3"/>
        <v>100</v>
      </c>
      <c r="P56" s="1069" t="str">
        <f t="shared" si="4"/>
        <v>A</v>
      </c>
      <c r="Q56" s="1070"/>
      <c r="R56" s="1012" t="str">
        <f t="shared" si="5"/>
        <v>40</v>
      </c>
      <c r="S56" s="1013">
        <f t="shared" si="6"/>
        <v>60</v>
      </c>
      <c r="T56" s="1014">
        <f t="shared" si="7"/>
        <v>100</v>
      </c>
      <c r="U56" s="1015" t="str">
        <f t="shared" si="8"/>
        <v>A</v>
      </c>
      <c r="V56" s="1016" t="b">
        <f t="shared" si="9"/>
        <v>1</v>
      </c>
    </row>
    <row r="57" spans="1:22" ht="20.25" customHeight="1">
      <c r="A57" s="802">
        <v>50</v>
      </c>
      <c r="B57" s="1074" t="s">
        <v>528</v>
      </c>
      <c r="C57" s="1069" t="s">
        <v>634</v>
      </c>
      <c r="D57" s="1069" t="s">
        <v>168</v>
      </c>
      <c r="E57" s="1070" t="s">
        <v>693</v>
      </c>
      <c r="F57" s="1070">
        <v>89</v>
      </c>
      <c r="G57" s="1070" t="s">
        <v>452</v>
      </c>
      <c r="H57" s="1077" t="s">
        <v>141</v>
      </c>
      <c r="I57" s="918" t="str">
        <f t="shared" si="0"/>
        <v>60</v>
      </c>
      <c r="J57" s="1072">
        <f>VLOOKUP(B57,'[11]Chấm công'!B57:AL160,37,0)</f>
        <v>26</v>
      </c>
      <c r="K57" s="1070"/>
      <c r="L57" s="1072"/>
      <c r="M57" s="1072">
        <f t="shared" si="1"/>
        <v>26</v>
      </c>
      <c r="N57" s="932" t="str">
        <f t="shared" si="2"/>
        <v>40</v>
      </c>
      <c r="O57" s="1072">
        <f t="shared" si="3"/>
        <v>100</v>
      </c>
      <c r="P57" s="1069" t="str">
        <f t="shared" si="4"/>
        <v>A</v>
      </c>
      <c r="Q57" s="1070"/>
      <c r="R57" s="1012" t="str">
        <f t="shared" si="5"/>
        <v>40</v>
      </c>
      <c r="S57" s="1013">
        <f t="shared" si="6"/>
        <v>60</v>
      </c>
      <c r="T57" s="1014">
        <f t="shared" si="7"/>
        <v>100</v>
      </c>
      <c r="U57" s="1015" t="str">
        <f t="shared" si="8"/>
        <v>A</v>
      </c>
      <c r="V57" s="1016" t="b">
        <f t="shared" si="9"/>
        <v>1</v>
      </c>
    </row>
    <row r="58" spans="1:22" ht="20.25" customHeight="1">
      <c r="A58" s="802">
        <v>51</v>
      </c>
      <c r="B58" s="1074" t="s">
        <v>844</v>
      </c>
      <c r="C58" s="1069" t="s">
        <v>871</v>
      </c>
      <c r="D58" s="1069" t="s">
        <v>168</v>
      </c>
      <c r="E58" s="1070" t="s">
        <v>755</v>
      </c>
      <c r="F58" s="1070">
        <v>126</v>
      </c>
      <c r="G58" s="1070" t="s">
        <v>452</v>
      </c>
      <c r="H58" s="1077" t="s">
        <v>141</v>
      </c>
      <c r="I58" s="918" t="str">
        <f t="shared" si="0"/>
        <v>60</v>
      </c>
      <c r="J58" s="1072">
        <f>VLOOKUP(B58,'[11]Chấm công'!B58:AL161,37,0)</f>
        <v>27</v>
      </c>
      <c r="K58" s="1070"/>
      <c r="L58" s="1072"/>
      <c r="M58" s="1072">
        <f t="shared" si="1"/>
        <v>27</v>
      </c>
      <c r="N58" s="932" t="str">
        <f t="shared" si="2"/>
        <v>40</v>
      </c>
      <c r="O58" s="1072">
        <f t="shared" si="3"/>
        <v>100</v>
      </c>
      <c r="P58" s="1069" t="str">
        <f t="shared" si="4"/>
        <v>A</v>
      </c>
      <c r="Q58" s="1070"/>
      <c r="R58" s="1012" t="str">
        <f t="shared" si="5"/>
        <v>40</v>
      </c>
      <c r="S58" s="1013">
        <f t="shared" si="6"/>
        <v>60</v>
      </c>
      <c r="T58" s="1014">
        <f t="shared" si="7"/>
        <v>100</v>
      </c>
      <c r="U58" s="1015" t="str">
        <f t="shared" si="8"/>
        <v>A</v>
      </c>
      <c r="V58" s="1016" t="b">
        <f t="shared" si="9"/>
        <v>1</v>
      </c>
    </row>
    <row r="59" spans="1:22" ht="20.25" customHeight="1">
      <c r="A59" s="802">
        <v>52</v>
      </c>
      <c r="B59" s="1074" t="s">
        <v>567</v>
      </c>
      <c r="C59" s="1069" t="s">
        <v>637</v>
      </c>
      <c r="D59" s="1069" t="s">
        <v>168</v>
      </c>
      <c r="E59" s="1070" t="s">
        <v>744</v>
      </c>
      <c r="F59" s="1070">
        <v>68</v>
      </c>
      <c r="G59" s="1070" t="s">
        <v>452</v>
      </c>
      <c r="H59" s="1077" t="s">
        <v>138</v>
      </c>
      <c r="I59" s="918" t="str">
        <f t="shared" si="0"/>
        <v>50</v>
      </c>
      <c r="J59" s="1072">
        <f>VLOOKUP(B59,'[11]Chấm công'!B59:AL162,37,0)</f>
        <v>25</v>
      </c>
      <c r="K59" s="1070"/>
      <c r="L59" s="1072"/>
      <c r="M59" s="1072">
        <f t="shared" si="1"/>
        <v>25</v>
      </c>
      <c r="N59" s="932">
        <f t="shared" si="2"/>
        <v>35</v>
      </c>
      <c r="O59" s="1072">
        <f t="shared" si="3"/>
        <v>85</v>
      </c>
      <c r="P59" s="1069" t="str">
        <f t="shared" si="4"/>
        <v>B</v>
      </c>
      <c r="Q59" s="1070"/>
      <c r="R59" s="1012">
        <f t="shared" si="5"/>
        <v>35</v>
      </c>
      <c r="S59" s="1013">
        <f t="shared" si="6"/>
        <v>50</v>
      </c>
      <c r="T59" s="1014">
        <f t="shared" si="7"/>
        <v>85</v>
      </c>
      <c r="U59" s="1015" t="str">
        <f t="shared" si="8"/>
        <v>B</v>
      </c>
      <c r="V59" s="1016" t="b">
        <f t="shared" si="9"/>
        <v>1</v>
      </c>
    </row>
    <row r="60" spans="1:22" ht="20.25" customHeight="1">
      <c r="A60" s="802">
        <v>53</v>
      </c>
      <c r="B60" s="1074" t="s">
        <v>566</v>
      </c>
      <c r="C60" s="1069" t="s">
        <v>635</v>
      </c>
      <c r="D60" s="1069" t="s">
        <v>168</v>
      </c>
      <c r="E60" s="1070" t="s">
        <v>687</v>
      </c>
      <c r="F60" s="1070">
        <v>133</v>
      </c>
      <c r="G60" s="1070" t="s">
        <v>452</v>
      </c>
      <c r="H60" s="1077" t="s">
        <v>138</v>
      </c>
      <c r="I60" s="918" t="str">
        <f t="shared" si="0"/>
        <v>50</v>
      </c>
      <c r="J60" s="1072">
        <f>VLOOKUP(B60,'[11]Chấm công'!B60:AL163,37,0)</f>
        <v>22</v>
      </c>
      <c r="K60" s="1070"/>
      <c r="L60" s="1072"/>
      <c r="M60" s="1072">
        <f t="shared" si="1"/>
        <v>22</v>
      </c>
      <c r="N60" s="932">
        <f t="shared" si="2"/>
        <v>30</v>
      </c>
      <c r="O60" s="1072">
        <f t="shared" si="3"/>
        <v>80</v>
      </c>
      <c r="P60" s="1069" t="str">
        <f t="shared" si="4"/>
        <v>C</v>
      </c>
      <c r="Q60" s="1070"/>
      <c r="R60" s="1012">
        <f t="shared" si="5"/>
        <v>30</v>
      </c>
      <c r="S60" s="1013">
        <f t="shared" si="6"/>
        <v>50</v>
      </c>
      <c r="T60" s="1014">
        <f t="shared" si="7"/>
        <v>80</v>
      </c>
      <c r="U60" s="1015" t="str">
        <f t="shared" si="8"/>
        <v>C</v>
      </c>
      <c r="V60" s="1016" t="b">
        <f t="shared" si="9"/>
        <v>1</v>
      </c>
    </row>
    <row r="61" spans="1:22" ht="20.25" customHeight="1">
      <c r="A61" s="802">
        <v>54</v>
      </c>
      <c r="B61" s="1074" t="s">
        <v>590</v>
      </c>
      <c r="C61" s="1069" t="s">
        <v>636</v>
      </c>
      <c r="D61" s="1069" t="s">
        <v>168</v>
      </c>
      <c r="E61" s="1070" t="s">
        <v>661</v>
      </c>
      <c r="F61" s="1070">
        <v>95</v>
      </c>
      <c r="G61" s="1070" t="s">
        <v>452</v>
      </c>
      <c r="H61" s="1077" t="s">
        <v>141</v>
      </c>
      <c r="I61" s="918" t="str">
        <f t="shared" si="0"/>
        <v>60</v>
      </c>
      <c r="J61" s="1072">
        <f>VLOOKUP(B61,'[11]Chấm công'!B61:AL164,37,0)</f>
        <v>26</v>
      </c>
      <c r="K61" s="1070"/>
      <c r="L61" s="1072"/>
      <c r="M61" s="1072">
        <f t="shared" si="1"/>
        <v>26</v>
      </c>
      <c r="N61" s="932" t="str">
        <f t="shared" si="2"/>
        <v>40</v>
      </c>
      <c r="O61" s="1072">
        <f t="shared" si="3"/>
        <v>100</v>
      </c>
      <c r="P61" s="1069" t="str">
        <f t="shared" si="4"/>
        <v>A</v>
      </c>
      <c r="Q61" s="1070"/>
      <c r="R61" s="1012" t="str">
        <f t="shared" si="5"/>
        <v>40</v>
      </c>
      <c r="S61" s="1013">
        <f t="shared" si="6"/>
        <v>60</v>
      </c>
      <c r="T61" s="1014">
        <f t="shared" si="7"/>
        <v>100</v>
      </c>
      <c r="U61" s="1015" t="str">
        <f t="shared" si="8"/>
        <v>A</v>
      </c>
      <c r="V61" s="1016" t="b">
        <f t="shared" si="9"/>
        <v>1</v>
      </c>
    </row>
    <row r="62" spans="1:22" ht="20.25" customHeight="1">
      <c r="A62" s="802">
        <v>55</v>
      </c>
      <c r="B62" s="1074" t="s">
        <v>560</v>
      </c>
      <c r="C62" s="1069" t="s">
        <v>623</v>
      </c>
      <c r="D62" s="1069" t="s">
        <v>168</v>
      </c>
      <c r="E62" s="1070" t="s">
        <v>749</v>
      </c>
      <c r="F62" s="1070">
        <v>72</v>
      </c>
      <c r="G62" s="1070" t="s">
        <v>452</v>
      </c>
      <c r="H62" s="1077" t="s">
        <v>138</v>
      </c>
      <c r="I62" s="918" t="str">
        <f t="shared" si="0"/>
        <v>50</v>
      </c>
      <c r="J62" s="1072">
        <f>VLOOKUP(B62,'[11]Chấm công'!B62:AL165,37,0)</f>
        <v>26</v>
      </c>
      <c r="K62" s="1070"/>
      <c r="L62" s="1072"/>
      <c r="M62" s="1072">
        <f t="shared" si="1"/>
        <v>26</v>
      </c>
      <c r="N62" s="932" t="str">
        <f t="shared" si="2"/>
        <v>40</v>
      </c>
      <c r="O62" s="1072">
        <f t="shared" si="3"/>
        <v>90</v>
      </c>
      <c r="P62" s="1069" t="str">
        <f t="shared" si="4"/>
        <v>B</v>
      </c>
      <c r="Q62" s="1070"/>
      <c r="R62" s="1012" t="str">
        <f t="shared" si="5"/>
        <v>40</v>
      </c>
      <c r="S62" s="1013">
        <f t="shared" si="6"/>
        <v>50</v>
      </c>
      <c r="T62" s="1014">
        <f t="shared" si="7"/>
        <v>90</v>
      </c>
      <c r="U62" s="1015" t="str">
        <f t="shared" si="8"/>
        <v>B</v>
      </c>
      <c r="V62" s="1016" t="b">
        <f t="shared" si="9"/>
        <v>1</v>
      </c>
    </row>
    <row r="63" spans="1:22" ht="20.25" customHeight="1">
      <c r="A63" s="802">
        <v>56</v>
      </c>
      <c r="B63" s="1074" t="s">
        <v>329</v>
      </c>
      <c r="C63" s="1069" t="s">
        <v>624</v>
      </c>
      <c r="D63" s="1069" t="s">
        <v>168</v>
      </c>
      <c r="E63" s="1070" t="s">
        <v>693</v>
      </c>
      <c r="F63" s="1070">
        <v>91</v>
      </c>
      <c r="G63" s="1070" t="s">
        <v>452</v>
      </c>
      <c r="H63" s="1077" t="s">
        <v>138</v>
      </c>
      <c r="I63" s="918" t="str">
        <f t="shared" si="0"/>
        <v>50</v>
      </c>
      <c r="J63" s="1072">
        <f>VLOOKUP(B63,'[11]Chấm công'!B63:AL166,37,0)</f>
        <v>26</v>
      </c>
      <c r="K63" s="1070"/>
      <c r="L63" s="1072"/>
      <c r="M63" s="1072">
        <f t="shared" si="1"/>
        <v>26</v>
      </c>
      <c r="N63" s="932" t="str">
        <f t="shared" si="2"/>
        <v>40</v>
      </c>
      <c r="O63" s="1072">
        <f t="shared" si="3"/>
        <v>90</v>
      </c>
      <c r="P63" s="1069" t="str">
        <f t="shared" si="4"/>
        <v>B</v>
      </c>
      <c r="Q63" s="1070"/>
      <c r="R63" s="1012" t="str">
        <f t="shared" si="5"/>
        <v>40</v>
      </c>
      <c r="S63" s="1013">
        <f t="shared" si="6"/>
        <v>50</v>
      </c>
      <c r="T63" s="1014">
        <f t="shared" si="7"/>
        <v>90</v>
      </c>
      <c r="U63" s="1015" t="str">
        <f t="shared" si="8"/>
        <v>B</v>
      </c>
      <c r="V63" s="1016" t="b">
        <f t="shared" si="9"/>
        <v>1</v>
      </c>
    </row>
    <row r="64" spans="1:22" ht="20.25" customHeight="1">
      <c r="A64" s="802">
        <v>57</v>
      </c>
      <c r="B64" s="1074" t="s">
        <v>568</v>
      </c>
      <c r="C64" s="1069" t="s">
        <v>638</v>
      </c>
      <c r="D64" s="1069" t="s">
        <v>168</v>
      </c>
      <c r="E64" s="1070" t="s">
        <v>681</v>
      </c>
      <c r="F64" s="1070">
        <v>75</v>
      </c>
      <c r="G64" s="1070" t="s">
        <v>452</v>
      </c>
      <c r="H64" s="1077" t="s">
        <v>138</v>
      </c>
      <c r="I64" s="918" t="str">
        <f t="shared" si="0"/>
        <v>50</v>
      </c>
      <c r="J64" s="1072">
        <f>VLOOKUP(B64,'[11]Chấm công'!B64:AL167,37,0)</f>
        <v>26</v>
      </c>
      <c r="K64" s="1070"/>
      <c r="L64" s="1072"/>
      <c r="M64" s="1072">
        <f t="shared" si="1"/>
        <v>26</v>
      </c>
      <c r="N64" s="932" t="str">
        <f t="shared" si="2"/>
        <v>40</v>
      </c>
      <c r="O64" s="1072">
        <f t="shared" si="3"/>
        <v>90</v>
      </c>
      <c r="P64" s="1069" t="str">
        <f t="shared" si="4"/>
        <v>B</v>
      </c>
      <c r="Q64" s="1070"/>
      <c r="R64" s="1012" t="str">
        <f t="shared" si="5"/>
        <v>40</v>
      </c>
      <c r="S64" s="1013">
        <f t="shared" si="6"/>
        <v>50</v>
      </c>
      <c r="T64" s="1014">
        <f t="shared" si="7"/>
        <v>90</v>
      </c>
      <c r="U64" s="1015" t="str">
        <f t="shared" si="8"/>
        <v>B</v>
      </c>
      <c r="V64" s="1016" t="b">
        <f t="shared" si="9"/>
        <v>1</v>
      </c>
    </row>
    <row r="65" spans="1:22" ht="20.25" customHeight="1">
      <c r="A65" s="802">
        <v>58</v>
      </c>
      <c r="B65" s="1074" t="s">
        <v>841</v>
      </c>
      <c r="C65" s="1069" t="s">
        <v>872</v>
      </c>
      <c r="D65" s="1069" t="s">
        <v>168</v>
      </c>
      <c r="E65" s="1070" t="s">
        <v>743</v>
      </c>
      <c r="F65" s="1070">
        <v>71</v>
      </c>
      <c r="G65" s="1070" t="s">
        <v>452</v>
      </c>
      <c r="H65" s="1077" t="s">
        <v>141</v>
      </c>
      <c r="I65" s="918" t="str">
        <f t="shared" si="0"/>
        <v>60</v>
      </c>
      <c r="J65" s="1072">
        <f>VLOOKUP(B65,'[11]Chấm công'!B65:AL168,37,0)</f>
        <v>27</v>
      </c>
      <c r="K65" s="1070"/>
      <c r="L65" s="1072"/>
      <c r="M65" s="1072">
        <f t="shared" si="1"/>
        <v>27</v>
      </c>
      <c r="N65" s="932" t="str">
        <f t="shared" si="2"/>
        <v>40</v>
      </c>
      <c r="O65" s="1072">
        <f t="shared" si="3"/>
        <v>100</v>
      </c>
      <c r="P65" s="1069" t="str">
        <f t="shared" si="4"/>
        <v>A</v>
      </c>
      <c r="Q65" s="1070"/>
      <c r="R65" s="1012" t="str">
        <f t="shared" si="5"/>
        <v>40</v>
      </c>
      <c r="S65" s="1013">
        <f t="shared" si="6"/>
        <v>60</v>
      </c>
      <c r="T65" s="1014">
        <f t="shared" si="7"/>
        <v>100</v>
      </c>
      <c r="U65" s="1015" t="str">
        <f t="shared" si="8"/>
        <v>A</v>
      </c>
      <c r="V65" s="1016" t="b">
        <f t="shared" si="9"/>
        <v>1</v>
      </c>
    </row>
    <row r="66" spans="1:22" ht="20.25" customHeight="1">
      <c r="A66" s="802">
        <v>59</v>
      </c>
      <c r="B66" s="1074" t="s">
        <v>840</v>
      </c>
      <c r="C66" s="1069" t="s">
        <v>873</v>
      </c>
      <c r="D66" s="1069" t="s">
        <v>168</v>
      </c>
      <c r="E66" s="1070" t="s">
        <v>682</v>
      </c>
      <c r="F66" s="1070">
        <v>73</v>
      </c>
      <c r="G66" s="1070" t="s">
        <v>452</v>
      </c>
      <c r="H66" s="1077" t="s">
        <v>141</v>
      </c>
      <c r="I66" s="918" t="str">
        <f t="shared" si="0"/>
        <v>60</v>
      </c>
      <c r="J66" s="1072">
        <f>VLOOKUP(B66,'[11]Chấm công'!B66:AL169,37,0)</f>
        <v>27</v>
      </c>
      <c r="K66" s="1070"/>
      <c r="L66" s="1072"/>
      <c r="M66" s="1072">
        <f t="shared" si="1"/>
        <v>27</v>
      </c>
      <c r="N66" s="932" t="str">
        <f t="shared" si="2"/>
        <v>40</v>
      </c>
      <c r="O66" s="1072">
        <f t="shared" si="3"/>
        <v>100</v>
      </c>
      <c r="P66" s="1069" t="str">
        <f t="shared" si="4"/>
        <v>A</v>
      </c>
      <c r="Q66" s="1070"/>
      <c r="R66" s="1012" t="str">
        <f t="shared" si="5"/>
        <v>40</v>
      </c>
      <c r="S66" s="1013">
        <f t="shared" si="6"/>
        <v>60</v>
      </c>
      <c r="T66" s="1014">
        <f t="shared" si="7"/>
        <v>100</v>
      </c>
      <c r="U66" s="1015" t="str">
        <f t="shared" si="8"/>
        <v>A</v>
      </c>
      <c r="V66" s="1016" t="b">
        <f t="shared" si="9"/>
        <v>1</v>
      </c>
    </row>
    <row r="67" spans="1:22" ht="20.25" customHeight="1">
      <c r="A67" s="802">
        <v>60</v>
      </c>
      <c r="B67" s="1074" t="s">
        <v>486</v>
      </c>
      <c r="C67" s="1069" t="s">
        <v>642</v>
      </c>
      <c r="D67" s="1069" t="s">
        <v>168</v>
      </c>
      <c r="E67" s="1070" t="s">
        <v>682</v>
      </c>
      <c r="F67" s="1070">
        <v>74</v>
      </c>
      <c r="G67" s="1070" t="s">
        <v>452</v>
      </c>
      <c r="H67" s="1077" t="s">
        <v>141</v>
      </c>
      <c r="I67" s="918" t="str">
        <f t="shared" si="0"/>
        <v>60</v>
      </c>
      <c r="J67" s="1072">
        <f>VLOOKUP(B67,'[11]Chấm công'!B67:AL170,37,0)</f>
        <v>27</v>
      </c>
      <c r="K67" s="1070"/>
      <c r="L67" s="1072"/>
      <c r="M67" s="1072">
        <f t="shared" si="1"/>
        <v>27</v>
      </c>
      <c r="N67" s="932" t="str">
        <f t="shared" si="2"/>
        <v>40</v>
      </c>
      <c r="O67" s="1072">
        <f t="shared" si="3"/>
        <v>100</v>
      </c>
      <c r="P67" s="1069" t="str">
        <f t="shared" si="4"/>
        <v>A</v>
      </c>
      <c r="Q67" s="1070"/>
      <c r="R67" s="1012" t="str">
        <f t="shared" si="5"/>
        <v>40</v>
      </c>
      <c r="S67" s="1013">
        <f t="shared" si="6"/>
        <v>60</v>
      </c>
      <c r="T67" s="1014">
        <f t="shared" si="7"/>
        <v>100</v>
      </c>
      <c r="U67" s="1015" t="str">
        <f t="shared" si="8"/>
        <v>A</v>
      </c>
      <c r="V67" s="1016" t="b">
        <f t="shared" si="9"/>
        <v>1</v>
      </c>
    </row>
    <row r="68" spans="1:22" ht="20.25" customHeight="1">
      <c r="A68" s="802">
        <v>61</v>
      </c>
      <c r="B68" s="1074" t="s">
        <v>562</v>
      </c>
      <c r="C68" s="1069" t="s">
        <v>626</v>
      </c>
      <c r="D68" s="1069" t="s">
        <v>168</v>
      </c>
      <c r="E68" s="1070" t="s">
        <v>742</v>
      </c>
      <c r="F68" s="1070">
        <v>130</v>
      </c>
      <c r="G68" s="1070" t="s">
        <v>452</v>
      </c>
      <c r="H68" s="1077" t="s">
        <v>141</v>
      </c>
      <c r="I68" s="918" t="str">
        <f t="shared" si="0"/>
        <v>60</v>
      </c>
      <c r="J68" s="1072">
        <f>VLOOKUP(B68,'[11]Chấm công'!B68:AL171,37,0)</f>
        <v>27</v>
      </c>
      <c r="K68" s="1070"/>
      <c r="L68" s="1072"/>
      <c r="M68" s="1072">
        <f t="shared" si="1"/>
        <v>27</v>
      </c>
      <c r="N68" s="932" t="str">
        <f t="shared" si="2"/>
        <v>40</v>
      </c>
      <c r="O68" s="1072">
        <f t="shared" si="3"/>
        <v>100</v>
      </c>
      <c r="P68" s="1069" t="str">
        <f t="shared" si="4"/>
        <v>A</v>
      </c>
      <c r="Q68" s="1070"/>
      <c r="R68" s="1012" t="str">
        <f t="shared" si="5"/>
        <v>40</v>
      </c>
      <c r="S68" s="1013">
        <f t="shared" si="6"/>
        <v>60</v>
      </c>
      <c r="T68" s="1014">
        <f t="shared" si="7"/>
        <v>100</v>
      </c>
      <c r="U68" s="1015" t="str">
        <f t="shared" si="8"/>
        <v>A</v>
      </c>
      <c r="V68" s="1016" t="b">
        <f t="shared" si="9"/>
        <v>1</v>
      </c>
    </row>
    <row r="69" spans="1:22" ht="20.25" customHeight="1">
      <c r="A69" s="802">
        <v>62</v>
      </c>
      <c r="B69" s="1074" t="s">
        <v>563</v>
      </c>
      <c r="C69" s="1069" t="s">
        <v>627</v>
      </c>
      <c r="D69" s="1069" t="s">
        <v>168</v>
      </c>
      <c r="E69" s="1070" t="s">
        <v>742</v>
      </c>
      <c r="F69" s="1070">
        <v>134</v>
      </c>
      <c r="G69" s="1070" t="s">
        <v>452</v>
      </c>
      <c r="H69" s="1077" t="s">
        <v>141</v>
      </c>
      <c r="I69" s="918" t="str">
        <f t="shared" si="0"/>
        <v>60</v>
      </c>
      <c r="J69" s="1072">
        <f>VLOOKUP(B69,'[11]Chấm công'!B69:AL172,37,0)</f>
        <v>26</v>
      </c>
      <c r="K69" s="1070"/>
      <c r="L69" s="1072"/>
      <c r="M69" s="1072">
        <f t="shared" si="1"/>
        <v>26</v>
      </c>
      <c r="N69" s="932" t="str">
        <f t="shared" si="2"/>
        <v>40</v>
      </c>
      <c r="O69" s="1072">
        <f t="shared" si="3"/>
        <v>100</v>
      </c>
      <c r="P69" s="1069" t="str">
        <f t="shared" si="4"/>
        <v>A</v>
      </c>
      <c r="Q69" s="1070"/>
      <c r="R69" s="1012" t="str">
        <f t="shared" si="5"/>
        <v>40</v>
      </c>
      <c r="S69" s="1013">
        <f t="shared" si="6"/>
        <v>60</v>
      </c>
      <c r="T69" s="1014">
        <f t="shared" si="7"/>
        <v>100</v>
      </c>
      <c r="U69" s="1015" t="str">
        <f t="shared" si="8"/>
        <v>A</v>
      </c>
      <c r="V69" s="1016" t="b">
        <f t="shared" si="9"/>
        <v>1</v>
      </c>
    </row>
    <row r="70" spans="1:22" ht="20.25" customHeight="1">
      <c r="A70" s="802">
        <v>63</v>
      </c>
      <c r="B70" s="1074" t="s">
        <v>561</v>
      </c>
      <c r="C70" s="1069" t="s">
        <v>625</v>
      </c>
      <c r="D70" s="1069" t="s">
        <v>168</v>
      </c>
      <c r="E70" s="1070" t="s">
        <v>730</v>
      </c>
      <c r="F70" s="1070">
        <v>27</v>
      </c>
      <c r="G70" s="1070" t="s">
        <v>452</v>
      </c>
      <c r="H70" s="1077" t="s">
        <v>138</v>
      </c>
      <c r="I70" s="918" t="str">
        <f t="shared" si="0"/>
        <v>50</v>
      </c>
      <c r="J70" s="1072">
        <f>VLOOKUP(B70,'[11]Chấm công'!B70:AL173,37,0)</f>
        <v>26</v>
      </c>
      <c r="K70" s="1070"/>
      <c r="L70" s="1072"/>
      <c r="M70" s="1072">
        <f t="shared" si="1"/>
        <v>26</v>
      </c>
      <c r="N70" s="932" t="str">
        <f t="shared" si="2"/>
        <v>40</v>
      </c>
      <c r="O70" s="1072">
        <f t="shared" si="3"/>
        <v>90</v>
      </c>
      <c r="P70" s="1069" t="str">
        <f t="shared" si="4"/>
        <v>B</v>
      </c>
      <c r="Q70" s="1070"/>
      <c r="R70" s="1012" t="str">
        <f t="shared" si="5"/>
        <v>40</v>
      </c>
      <c r="S70" s="1013">
        <f t="shared" si="6"/>
        <v>50</v>
      </c>
      <c r="T70" s="1014">
        <f t="shared" si="7"/>
        <v>90</v>
      </c>
      <c r="U70" s="1015" t="str">
        <f t="shared" si="8"/>
        <v>B</v>
      </c>
      <c r="V70" s="1016" t="b">
        <f t="shared" si="9"/>
        <v>1</v>
      </c>
    </row>
    <row r="71" spans="1:22" ht="20.25" customHeight="1">
      <c r="A71" s="802">
        <v>64</v>
      </c>
      <c r="B71" s="1074" t="s">
        <v>838</v>
      </c>
      <c r="C71" s="1069" t="s">
        <v>589</v>
      </c>
      <c r="D71" s="1069" t="s">
        <v>168</v>
      </c>
      <c r="E71" s="1070" t="s">
        <v>726</v>
      </c>
      <c r="F71" s="1070">
        <v>24</v>
      </c>
      <c r="G71" s="1070" t="s">
        <v>452</v>
      </c>
      <c r="H71" s="1077" t="s">
        <v>141</v>
      </c>
      <c r="I71" s="918" t="str">
        <f t="shared" si="0"/>
        <v>60</v>
      </c>
      <c r="J71" s="1072">
        <f>VLOOKUP(B71,'[11]Chấm công'!B71:AL174,37,0)</f>
        <v>27</v>
      </c>
      <c r="K71" s="1070"/>
      <c r="L71" s="1072"/>
      <c r="M71" s="1072">
        <f t="shared" si="1"/>
        <v>27</v>
      </c>
      <c r="N71" s="932" t="str">
        <f t="shared" si="2"/>
        <v>40</v>
      </c>
      <c r="O71" s="1072">
        <f t="shared" si="3"/>
        <v>100</v>
      </c>
      <c r="P71" s="1069" t="str">
        <f t="shared" si="4"/>
        <v>A</v>
      </c>
      <c r="Q71" s="1070"/>
      <c r="R71" s="1012" t="str">
        <f t="shared" si="5"/>
        <v>40</v>
      </c>
      <c r="S71" s="1013">
        <f t="shared" si="6"/>
        <v>60</v>
      </c>
      <c r="T71" s="1014">
        <f t="shared" si="7"/>
        <v>100</v>
      </c>
      <c r="U71" s="1015" t="str">
        <f t="shared" si="8"/>
        <v>A</v>
      </c>
      <c r="V71" s="1016" t="b">
        <f t="shared" si="9"/>
        <v>1</v>
      </c>
    </row>
    <row r="72" spans="1:22" ht="20.25" customHeight="1">
      <c r="A72" s="802">
        <v>65</v>
      </c>
      <c r="B72" s="1074" t="s">
        <v>845</v>
      </c>
      <c r="C72" s="1069" t="s">
        <v>874</v>
      </c>
      <c r="D72" s="1069" t="s">
        <v>168</v>
      </c>
      <c r="E72" s="1070" t="s">
        <v>910</v>
      </c>
      <c r="F72" s="1070">
        <v>25</v>
      </c>
      <c r="G72" s="1070" t="s">
        <v>452</v>
      </c>
      <c r="H72" s="1077" t="s">
        <v>141</v>
      </c>
      <c r="I72" s="918" t="str">
        <f t="shared" si="0"/>
        <v>60</v>
      </c>
      <c r="J72" s="1072">
        <f>VLOOKUP(B72,'[11]Chấm công'!B72:AL175,37,0)</f>
        <v>27</v>
      </c>
      <c r="K72" s="1070"/>
      <c r="L72" s="1072"/>
      <c r="M72" s="1072">
        <f t="shared" si="1"/>
        <v>27</v>
      </c>
      <c r="N72" s="932" t="str">
        <f t="shared" si="2"/>
        <v>40</v>
      </c>
      <c r="O72" s="1072">
        <f t="shared" si="3"/>
        <v>100</v>
      </c>
      <c r="P72" s="1069" t="str">
        <f t="shared" si="4"/>
        <v>A</v>
      </c>
      <c r="Q72" s="1070"/>
      <c r="R72" s="1012" t="str">
        <f t="shared" si="5"/>
        <v>40</v>
      </c>
      <c r="S72" s="1013">
        <f t="shared" si="6"/>
        <v>60</v>
      </c>
      <c r="T72" s="1014">
        <f t="shared" si="7"/>
        <v>100</v>
      </c>
      <c r="U72" s="1015" t="str">
        <f t="shared" si="8"/>
        <v>A</v>
      </c>
      <c r="V72" s="1016" t="b">
        <f t="shared" si="9"/>
        <v>1</v>
      </c>
    </row>
    <row r="73" spans="1:22" ht="20.25" customHeight="1">
      <c r="A73" s="802">
        <v>66</v>
      </c>
      <c r="B73" s="802" t="s">
        <v>846</v>
      </c>
      <c r="C73" s="1069" t="s">
        <v>875</v>
      </c>
      <c r="D73" s="1069" t="s">
        <v>168</v>
      </c>
      <c r="E73" s="1070" t="s">
        <v>730</v>
      </c>
      <c r="F73" s="1070">
        <v>28</v>
      </c>
      <c r="G73" s="1070" t="s">
        <v>452</v>
      </c>
      <c r="H73" s="1077" t="s">
        <v>138</v>
      </c>
      <c r="I73" s="918" t="str">
        <f t="shared" ref="I73:I108" si="10">IF(H73="A","60",IF(H73="B","50",IF(H73="C","45",IF(H73="D","40",0))))</f>
        <v>50</v>
      </c>
      <c r="J73" s="1072">
        <f>VLOOKUP(B73,'[11]Chấm công'!B73:AL176,37,0)</f>
        <v>25</v>
      </c>
      <c r="K73" s="1070"/>
      <c r="L73" s="1072"/>
      <c r="M73" s="1072">
        <f t="shared" ref="M73:M108" si="11">SUM(J73:L73)</f>
        <v>25</v>
      </c>
      <c r="N73" s="932">
        <f t="shared" ref="N73:N108" si="12">IF(M73&lt;20,25,IF(M73&lt;=22,30,IF(M73&gt;=26,"40",35)))</f>
        <v>35</v>
      </c>
      <c r="O73" s="1072">
        <f t="shared" ref="O73:O108" si="13">+I73+N73</f>
        <v>85</v>
      </c>
      <c r="P73" s="1069" t="str">
        <f t="shared" ref="P73:P107" si="14">IF(O73&lt;70,"D",IF(O73&lt;=80,"C",IF(O73&gt;=95,"A","B")))</f>
        <v>B</v>
      </c>
      <c r="Q73" s="1070"/>
      <c r="R73" s="1012">
        <f t="shared" ref="R73:R108" si="15">IF(M73&lt;20,25,IF(M73&lt;=22,30,IF(M73&gt;=26,"40",35)))</f>
        <v>35</v>
      </c>
      <c r="S73" s="1013">
        <f t="shared" ref="S73:S108" si="16">IF(H73="A",60,IF(H73="B",50,IF(H73="C",45,IF(H73="d",40))))</f>
        <v>50</v>
      </c>
      <c r="T73" s="1014">
        <f t="shared" ref="T73:T108" si="17">+R73+S73</f>
        <v>85</v>
      </c>
      <c r="U73" s="1015" t="str">
        <f t="shared" ref="U73:U108" si="18">IF(T73&lt;70,"D",IF(T73&gt;=95,"A",IF(T73&lt;=80,"C","B")))</f>
        <v>B</v>
      </c>
      <c r="V73" s="1016" t="b">
        <f t="shared" ref="V73:V108" si="19">EXACT(P73,U73)</f>
        <v>1</v>
      </c>
    </row>
    <row r="74" spans="1:22" ht="20.25" customHeight="1">
      <c r="A74" s="802">
        <v>67</v>
      </c>
      <c r="B74" s="802" t="s">
        <v>281</v>
      </c>
      <c r="C74" s="1069" t="s">
        <v>890</v>
      </c>
      <c r="D74" s="1069"/>
      <c r="E74" s="1070"/>
      <c r="F74" s="1070"/>
      <c r="G74" s="1070" t="s">
        <v>452</v>
      </c>
      <c r="H74" s="1077" t="s">
        <v>138</v>
      </c>
      <c r="I74" s="918" t="str">
        <f t="shared" si="10"/>
        <v>50</v>
      </c>
      <c r="J74" s="1072">
        <f>VLOOKUP(B74,'[11]Chấm công'!B74:AL177,37,0)</f>
        <v>23</v>
      </c>
      <c r="K74" s="1070"/>
      <c r="L74" s="1072"/>
      <c r="M74" s="1072">
        <f t="shared" si="11"/>
        <v>23</v>
      </c>
      <c r="N74" s="932">
        <f t="shared" si="12"/>
        <v>35</v>
      </c>
      <c r="O74" s="1072">
        <f t="shared" si="13"/>
        <v>85</v>
      </c>
      <c r="P74" s="1069" t="str">
        <f t="shared" si="14"/>
        <v>B</v>
      </c>
      <c r="Q74" s="1070"/>
      <c r="R74" s="1012">
        <f t="shared" si="15"/>
        <v>35</v>
      </c>
      <c r="S74" s="1013">
        <f t="shared" si="16"/>
        <v>50</v>
      </c>
      <c r="T74" s="1014">
        <f t="shared" si="17"/>
        <v>85</v>
      </c>
      <c r="U74" s="1015" t="str">
        <f t="shared" si="18"/>
        <v>B</v>
      </c>
      <c r="V74" s="1016" t="b">
        <f t="shared" si="19"/>
        <v>1</v>
      </c>
    </row>
    <row r="75" spans="1:22" s="1082" customFormat="1" ht="20.25" customHeight="1">
      <c r="A75" s="1091">
        <v>68</v>
      </c>
      <c r="B75" s="1073" t="s">
        <v>847</v>
      </c>
      <c r="C75" s="1078" t="s">
        <v>876</v>
      </c>
      <c r="D75" s="1078" t="s">
        <v>168</v>
      </c>
      <c r="E75" s="1079" t="s">
        <v>911</v>
      </c>
      <c r="F75" s="1079">
        <v>23</v>
      </c>
      <c r="G75" s="1079" t="s">
        <v>452</v>
      </c>
      <c r="H75" s="1080" t="s">
        <v>168</v>
      </c>
      <c r="I75" s="918" t="str">
        <f t="shared" si="10"/>
        <v>45</v>
      </c>
      <c r="J75" s="1072">
        <f>VLOOKUP(B75,'[11]Chấm công'!B75:AL178,37,0)</f>
        <v>27</v>
      </c>
      <c r="K75" s="1070"/>
      <c r="L75" s="1072"/>
      <c r="M75" s="1072">
        <f t="shared" si="11"/>
        <v>27</v>
      </c>
      <c r="N75" s="932" t="str">
        <f t="shared" si="12"/>
        <v>40</v>
      </c>
      <c r="O75" s="1072">
        <f t="shared" si="13"/>
        <v>85</v>
      </c>
      <c r="P75" s="1069" t="str">
        <f t="shared" si="14"/>
        <v>B</v>
      </c>
      <c r="Q75" s="1081"/>
      <c r="R75" s="1012" t="str">
        <f t="shared" si="15"/>
        <v>40</v>
      </c>
      <c r="S75" s="1013">
        <f t="shared" si="16"/>
        <v>45</v>
      </c>
      <c r="T75" s="1014">
        <f t="shared" si="17"/>
        <v>85</v>
      </c>
      <c r="U75" s="1015" t="str">
        <f t="shared" si="18"/>
        <v>B</v>
      </c>
      <c r="V75" s="1016" t="b">
        <f t="shared" si="19"/>
        <v>1</v>
      </c>
    </row>
    <row r="76" spans="1:22" s="1082" customFormat="1" ht="20.25" customHeight="1">
      <c r="A76" s="802">
        <v>69</v>
      </c>
      <c r="B76" s="1073" t="s">
        <v>848</v>
      </c>
      <c r="C76" s="1078" t="s">
        <v>877</v>
      </c>
      <c r="D76" s="1078" t="s">
        <v>168</v>
      </c>
      <c r="E76" s="1079" t="s">
        <v>734</v>
      </c>
      <c r="F76" s="1079">
        <v>32</v>
      </c>
      <c r="G76" s="1079" t="s">
        <v>452</v>
      </c>
      <c r="H76" s="1080" t="s">
        <v>141</v>
      </c>
      <c r="I76" s="918" t="str">
        <f t="shared" si="10"/>
        <v>60</v>
      </c>
      <c r="J76" s="1072">
        <f>VLOOKUP(B76,'[11]Chấm công'!B76:AL179,37,0)</f>
        <v>1</v>
      </c>
      <c r="K76" s="1070"/>
      <c r="L76" s="1072"/>
      <c r="M76" s="1072">
        <f t="shared" si="11"/>
        <v>1</v>
      </c>
      <c r="N76" s="932">
        <f t="shared" si="12"/>
        <v>25</v>
      </c>
      <c r="O76" s="1072">
        <f t="shared" si="13"/>
        <v>85</v>
      </c>
      <c r="P76" s="1069" t="str">
        <f t="shared" si="14"/>
        <v>B</v>
      </c>
      <c r="Q76" s="1081"/>
      <c r="R76" s="1012">
        <f t="shared" si="15"/>
        <v>25</v>
      </c>
      <c r="S76" s="1013">
        <f t="shared" si="16"/>
        <v>60</v>
      </c>
      <c r="T76" s="1014">
        <f t="shared" si="17"/>
        <v>85</v>
      </c>
      <c r="U76" s="1015" t="str">
        <f t="shared" si="18"/>
        <v>B</v>
      </c>
      <c r="V76" s="1016" t="b">
        <f t="shared" si="19"/>
        <v>1</v>
      </c>
    </row>
    <row r="77" spans="1:22" s="1082" customFormat="1" ht="20.25" customHeight="1">
      <c r="A77" s="802">
        <v>70</v>
      </c>
      <c r="B77" s="1073" t="s">
        <v>488</v>
      </c>
      <c r="C77" s="1078" t="s">
        <v>640</v>
      </c>
      <c r="D77" s="1078" t="s">
        <v>168</v>
      </c>
      <c r="E77" s="1079" t="s">
        <v>726</v>
      </c>
      <c r="F77" s="1079">
        <v>26</v>
      </c>
      <c r="G77" s="1079" t="s">
        <v>452</v>
      </c>
      <c r="H77" s="1080" t="s">
        <v>141</v>
      </c>
      <c r="I77" s="918" t="str">
        <f t="shared" si="10"/>
        <v>60</v>
      </c>
      <c r="J77" s="1072">
        <f>VLOOKUP(B77,'[11]Chấm công'!B77:AL180,37,0)</f>
        <v>27</v>
      </c>
      <c r="K77" s="1070"/>
      <c r="L77" s="1072"/>
      <c r="M77" s="1072">
        <f t="shared" si="11"/>
        <v>27</v>
      </c>
      <c r="N77" s="932" t="str">
        <f t="shared" si="12"/>
        <v>40</v>
      </c>
      <c r="O77" s="1072">
        <f t="shared" si="13"/>
        <v>100</v>
      </c>
      <c r="P77" s="1069" t="str">
        <f t="shared" si="14"/>
        <v>A</v>
      </c>
      <c r="Q77" s="1081"/>
      <c r="R77" s="1012" t="str">
        <f t="shared" si="15"/>
        <v>40</v>
      </c>
      <c r="S77" s="1013">
        <f t="shared" si="16"/>
        <v>60</v>
      </c>
      <c r="T77" s="1014">
        <f t="shared" si="17"/>
        <v>100</v>
      </c>
      <c r="U77" s="1015" t="str">
        <f t="shared" si="18"/>
        <v>A</v>
      </c>
      <c r="V77" s="1016" t="b">
        <f t="shared" si="19"/>
        <v>1</v>
      </c>
    </row>
    <row r="78" spans="1:22" s="1082" customFormat="1" ht="20.25" customHeight="1">
      <c r="A78" s="802">
        <v>71</v>
      </c>
      <c r="B78" s="1073" t="s">
        <v>849</v>
      </c>
      <c r="C78" s="1078" t="s">
        <v>878</v>
      </c>
      <c r="D78" s="1078" t="s">
        <v>168</v>
      </c>
      <c r="E78" s="1079" t="s">
        <v>722</v>
      </c>
      <c r="F78" s="1079">
        <v>33</v>
      </c>
      <c r="G78" s="1079" t="s">
        <v>452</v>
      </c>
      <c r="H78" s="1080" t="s">
        <v>141</v>
      </c>
      <c r="I78" s="918" t="str">
        <f t="shared" si="10"/>
        <v>60</v>
      </c>
      <c r="J78" s="1072">
        <f>VLOOKUP(B78,'[11]Chấm công'!B78:AL181,37,0)</f>
        <v>27</v>
      </c>
      <c r="K78" s="1070"/>
      <c r="L78" s="1072"/>
      <c r="M78" s="1072">
        <f t="shared" si="11"/>
        <v>27</v>
      </c>
      <c r="N78" s="932" t="str">
        <f t="shared" si="12"/>
        <v>40</v>
      </c>
      <c r="O78" s="1072">
        <f t="shared" si="13"/>
        <v>100</v>
      </c>
      <c r="P78" s="1069" t="str">
        <f t="shared" si="14"/>
        <v>A</v>
      </c>
      <c r="Q78" s="1081"/>
      <c r="R78" s="1012" t="str">
        <f t="shared" si="15"/>
        <v>40</v>
      </c>
      <c r="S78" s="1013">
        <f t="shared" si="16"/>
        <v>60</v>
      </c>
      <c r="T78" s="1014">
        <f t="shared" si="17"/>
        <v>100</v>
      </c>
      <c r="U78" s="1015" t="str">
        <f t="shared" si="18"/>
        <v>A</v>
      </c>
      <c r="V78" s="1016" t="b">
        <f t="shared" si="19"/>
        <v>1</v>
      </c>
    </row>
    <row r="79" spans="1:22" s="1082" customFormat="1" ht="20.25" customHeight="1">
      <c r="A79" s="802">
        <v>72</v>
      </c>
      <c r="B79" s="1073" t="s">
        <v>850</v>
      </c>
      <c r="C79" s="1078" t="s">
        <v>879</v>
      </c>
      <c r="D79" s="1078"/>
      <c r="E79" s="1079"/>
      <c r="F79" s="1079"/>
      <c r="G79" s="1079" t="s">
        <v>452</v>
      </c>
      <c r="H79" s="1080" t="s">
        <v>141</v>
      </c>
      <c r="I79" s="918" t="str">
        <f t="shared" si="10"/>
        <v>60</v>
      </c>
      <c r="J79" s="1072">
        <f>VLOOKUP(B79,'[11]Chấm công'!B79:AL182,37,0)</f>
        <v>27</v>
      </c>
      <c r="K79" s="1070"/>
      <c r="L79" s="1072"/>
      <c r="M79" s="1072">
        <f t="shared" si="11"/>
        <v>27</v>
      </c>
      <c r="N79" s="932" t="str">
        <f t="shared" si="12"/>
        <v>40</v>
      </c>
      <c r="O79" s="1072">
        <f t="shared" si="13"/>
        <v>100</v>
      </c>
      <c r="P79" s="1069" t="str">
        <f t="shared" si="14"/>
        <v>A</v>
      </c>
      <c r="Q79" s="1081"/>
      <c r="R79" s="1012" t="str">
        <f t="shared" si="15"/>
        <v>40</v>
      </c>
      <c r="S79" s="1013">
        <f t="shared" si="16"/>
        <v>60</v>
      </c>
      <c r="T79" s="1014">
        <f t="shared" si="17"/>
        <v>100</v>
      </c>
      <c r="U79" s="1015" t="str">
        <f t="shared" si="18"/>
        <v>A</v>
      </c>
      <c r="V79" s="1016" t="b">
        <f t="shared" si="19"/>
        <v>1</v>
      </c>
    </row>
    <row r="80" spans="1:22" s="1082" customFormat="1" ht="20.25" customHeight="1">
      <c r="A80" s="802">
        <v>73</v>
      </c>
      <c r="B80" s="1073" t="s">
        <v>851</v>
      </c>
      <c r="C80" s="1078" t="s">
        <v>880</v>
      </c>
      <c r="D80" s="1078"/>
      <c r="E80" s="1079"/>
      <c r="F80" s="1079"/>
      <c r="G80" s="1079" t="s">
        <v>452</v>
      </c>
      <c r="H80" s="1080" t="s">
        <v>141</v>
      </c>
      <c r="I80" s="918" t="str">
        <f t="shared" si="10"/>
        <v>60</v>
      </c>
      <c r="J80" s="1072">
        <f>VLOOKUP(B80,'[11]Chấm công'!B80:AL183,37,0)</f>
        <v>27</v>
      </c>
      <c r="K80" s="1070"/>
      <c r="L80" s="1072"/>
      <c r="M80" s="1072">
        <f t="shared" si="11"/>
        <v>27</v>
      </c>
      <c r="N80" s="932" t="str">
        <f t="shared" si="12"/>
        <v>40</v>
      </c>
      <c r="O80" s="1072">
        <f t="shared" si="13"/>
        <v>100</v>
      </c>
      <c r="P80" s="1069" t="str">
        <f t="shared" si="14"/>
        <v>A</v>
      </c>
      <c r="Q80" s="1081"/>
      <c r="R80" s="1012" t="str">
        <f t="shared" si="15"/>
        <v>40</v>
      </c>
      <c r="S80" s="1013">
        <f t="shared" si="16"/>
        <v>60</v>
      </c>
      <c r="T80" s="1014">
        <f t="shared" si="17"/>
        <v>100</v>
      </c>
      <c r="U80" s="1015" t="str">
        <f t="shared" si="18"/>
        <v>A</v>
      </c>
      <c r="V80" s="1016" t="b">
        <f t="shared" si="19"/>
        <v>1</v>
      </c>
    </row>
    <row r="81" spans="1:22" s="1082" customFormat="1" ht="20.25" customHeight="1">
      <c r="A81" s="802">
        <v>74</v>
      </c>
      <c r="B81" s="1073" t="s">
        <v>852</v>
      </c>
      <c r="C81" s="1078" t="s">
        <v>881</v>
      </c>
      <c r="D81" s="1078"/>
      <c r="E81" s="1079"/>
      <c r="F81" s="1079"/>
      <c r="G81" s="1079" t="s">
        <v>452</v>
      </c>
      <c r="H81" s="1080" t="s">
        <v>141</v>
      </c>
      <c r="I81" s="918" t="str">
        <f t="shared" si="10"/>
        <v>60</v>
      </c>
      <c r="J81" s="1072">
        <f>VLOOKUP(B81,'[11]Chấm công'!B81:AL184,37,0)</f>
        <v>27</v>
      </c>
      <c r="K81" s="1070"/>
      <c r="L81" s="1072"/>
      <c r="M81" s="1072">
        <f t="shared" si="11"/>
        <v>27</v>
      </c>
      <c r="N81" s="932" t="str">
        <f t="shared" si="12"/>
        <v>40</v>
      </c>
      <c r="O81" s="1072">
        <f t="shared" si="13"/>
        <v>100</v>
      </c>
      <c r="P81" s="1069" t="str">
        <f t="shared" si="14"/>
        <v>A</v>
      </c>
      <c r="Q81" s="1081"/>
      <c r="R81" s="1012" t="str">
        <f t="shared" si="15"/>
        <v>40</v>
      </c>
      <c r="S81" s="1013">
        <f t="shared" si="16"/>
        <v>60</v>
      </c>
      <c r="T81" s="1014">
        <f t="shared" si="17"/>
        <v>100</v>
      </c>
      <c r="U81" s="1015" t="str">
        <f t="shared" si="18"/>
        <v>A</v>
      </c>
      <c r="V81" s="1016" t="b">
        <f t="shared" si="19"/>
        <v>1</v>
      </c>
    </row>
    <row r="82" spans="1:22" s="1082" customFormat="1" ht="20.25" customHeight="1">
      <c r="A82" s="802">
        <v>75</v>
      </c>
      <c r="B82" s="1073" t="s">
        <v>853</v>
      </c>
      <c r="C82" s="1078" t="s">
        <v>882</v>
      </c>
      <c r="D82" s="1078" t="s">
        <v>168</v>
      </c>
      <c r="E82" s="1079" t="s">
        <v>730</v>
      </c>
      <c r="F82" s="1079">
        <v>30</v>
      </c>
      <c r="G82" s="1079" t="s">
        <v>452</v>
      </c>
      <c r="H82" s="1080" t="s">
        <v>141</v>
      </c>
      <c r="I82" s="918" t="str">
        <f t="shared" si="10"/>
        <v>60</v>
      </c>
      <c r="J82" s="1072">
        <f>VLOOKUP(B82,'[11]Chấm công'!B82:AL185,37,0)</f>
        <v>27</v>
      </c>
      <c r="K82" s="1070"/>
      <c r="L82" s="1072"/>
      <c r="M82" s="1072">
        <f t="shared" si="11"/>
        <v>27</v>
      </c>
      <c r="N82" s="932" t="str">
        <f t="shared" si="12"/>
        <v>40</v>
      </c>
      <c r="O82" s="1072">
        <f t="shared" si="13"/>
        <v>100</v>
      </c>
      <c r="P82" s="1069" t="str">
        <f t="shared" si="14"/>
        <v>A</v>
      </c>
      <c r="Q82" s="1081"/>
      <c r="R82" s="1012" t="str">
        <f t="shared" si="15"/>
        <v>40</v>
      </c>
      <c r="S82" s="1013">
        <f t="shared" si="16"/>
        <v>60</v>
      </c>
      <c r="T82" s="1014">
        <f t="shared" si="17"/>
        <v>100</v>
      </c>
      <c r="U82" s="1015" t="str">
        <f t="shared" si="18"/>
        <v>A</v>
      </c>
      <c r="V82" s="1016" t="b">
        <f t="shared" si="19"/>
        <v>1</v>
      </c>
    </row>
    <row r="83" spans="1:22" s="1082" customFormat="1" ht="20.25" customHeight="1">
      <c r="A83" s="802">
        <v>76</v>
      </c>
      <c r="B83" s="925" t="s">
        <v>926</v>
      </c>
      <c r="C83" s="1078" t="s">
        <v>883</v>
      </c>
      <c r="D83" s="1078"/>
      <c r="E83" s="1079"/>
      <c r="F83" s="1079"/>
      <c r="G83" s="1079" t="s">
        <v>452</v>
      </c>
      <c r="H83" s="1080" t="s">
        <v>141</v>
      </c>
      <c r="I83" s="918" t="str">
        <f t="shared" si="10"/>
        <v>60</v>
      </c>
      <c r="J83" s="1072">
        <f>VLOOKUP(B83,'[11]Chấm công'!B83:AL186,37,0)</f>
        <v>27</v>
      </c>
      <c r="K83" s="1070"/>
      <c r="L83" s="1072"/>
      <c r="M83" s="1072">
        <f t="shared" si="11"/>
        <v>27</v>
      </c>
      <c r="N83" s="932" t="str">
        <f t="shared" si="12"/>
        <v>40</v>
      </c>
      <c r="O83" s="1072">
        <f t="shared" si="13"/>
        <v>100</v>
      </c>
      <c r="P83" s="1069" t="str">
        <f t="shared" si="14"/>
        <v>A</v>
      </c>
      <c r="Q83" s="1081"/>
      <c r="R83" s="1012" t="str">
        <f t="shared" si="15"/>
        <v>40</v>
      </c>
      <c r="S83" s="1013">
        <f t="shared" si="16"/>
        <v>60</v>
      </c>
      <c r="T83" s="1014">
        <f t="shared" si="17"/>
        <v>100</v>
      </c>
      <c r="U83" s="1015" t="str">
        <f t="shared" si="18"/>
        <v>A</v>
      </c>
      <c r="V83" s="1016" t="b">
        <f t="shared" si="19"/>
        <v>1</v>
      </c>
    </row>
    <row r="84" spans="1:22" s="1082" customFormat="1" ht="20.25" customHeight="1">
      <c r="A84" s="802">
        <v>77</v>
      </c>
      <c r="B84" s="1073" t="s">
        <v>854</v>
      </c>
      <c r="C84" s="1078" t="s">
        <v>884</v>
      </c>
      <c r="D84" s="1079"/>
      <c r="E84" s="1079"/>
      <c r="F84" s="1079"/>
      <c r="G84" s="1079" t="s">
        <v>452</v>
      </c>
      <c r="H84" s="1080" t="s">
        <v>168</v>
      </c>
      <c r="I84" s="918" t="str">
        <f t="shared" si="10"/>
        <v>45</v>
      </c>
      <c r="J84" s="1072">
        <f>VLOOKUP(B84,'[11]Chấm công'!B84:AL187,37,0)</f>
        <v>27</v>
      </c>
      <c r="K84" s="1070"/>
      <c r="L84" s="1072"/>
      <c r="M84" s="1072">
        <f t="shared" si="11"/>
        <v>27</v>
      </c>
      <c r="N84" s="932" t="str">
        <f t="shared" si="12"/>
        <v>40</v>
      </c>
      <c r="O84" s="1072">
        <f t="shared" si="13"/>
        <v>85</v>
      </c>
      <c r="P84" s="1069" t="str">
        <f t="shared" si="14"/>
        <v>B</v>
      </c>
      <c r="Q84" s="1081"/>
      <c r="R84" s="1012" t="str">
        <f t="shared" si="15"/>
        <v>40</v>
      </c>
      <c r="S84" s="1013">
        <f t="shared" si="16"/>
        <v>45</v>
      </c>
      <c r="T84" s="1014">
        <f t="shared" si="17"/>
        <v>85</v>
      </c>
      <c r="U84" s="1015" t="str">
        <f t="shared" si="18"/>
        <v>B</v>
      </c>
      <c r="V84" s="1016" t="b">
        <f t="shared" si="19"/>
        <v>1</v>
      </c>
    </row>
    <row r="85" spans="1:22" s="1082" customFormat="1" ht="20.25" customHeight="1">
      <c r="A85" s="802">
        <v>78</v>
      </c>
      <c r="B85" s="1073" t="s">
        <v>855</v>
      </c>
      <c r="C85" s="1078" t="s">
        <v>885</v>
      </c>
      <c r="D85" s="1079"/>
      <c r="E85" s="1079"/>
      <c r="F85" s="1079"/>
      <c r="G85" s="1079" t="s">
        <v>452</v>
      </c>
      <c r="H85" s="1080" t="s">
        <v>168</v>
      </c>
      <c r="I85" s="918" t="str">
        <f t="shared" si="10"/>
        <v>45</v>
      </c>
      <c r="J85" s="1072">
        <f>VLOOKUP(B85,'[11]Chấm công'!B85:AL188,37,0)</f>
        <v>27</v>
      </c>
      <c r="K85" s="1070"/>
      <c r="L85" s="1072"/>
      <c r="M85" s="1072">
        <f t="shared" si="11"/>
        <v>27</v>
      </c>
      <c r="N85" s="932" t="str">
        <f t="shared" si="12"/>
        <v>40</v>
      </c>
      <c r="O85" s="1072">
        <f t="shared" si="13"/>
        <v>85</v>
      </c>
      <c r="P85" s="1069" t="str">
        <f t="shared" si="14"/>
        <v>B</v>
      </c>
      <c r="Q85" s="1081"/>
      <c r="R85" s="1012" t="str">
        <f t="shared" si="15"/>
        <v>40</v>
      </c>
      <c r="S85" s="1013">
        <f t="shared" si="16"/>
        <v>45</v>
      </c>
      <c r="T85" s="1014">
        <f t="shared" si="17"/>
        <v>85</v>
      </c>
      <c r="U85" s="1015" t="str">
        <f t="shared" si="18"/>
        <v>B</v>
      </c>
      <c r="V85" s="1016" t="b">
        <f t="shared" si="19"/>
        <v>1</v>
      </c>
    </row>
    <row r="86" spans="1:22" s="1082" customFormat="1" ht="20.25" customHeight="1">
      <c r="A86" s="802">
        <v>79</v>
      </c>
      <c r="B86" s="1073" t="s">
        <v>856</v>
      </c>
      <c r="C86" s="1078" t="s">
        <v>886</v>
      </c>
      <c r="D86" s="1079"/>
      <c r="E86" s="1079"/>
      <c r="F86" s="1079"/>
      <c r="G86" s="1079" t="s">
        <v>452</v>
      </c>
      <c r="H86" s="1080" t="s">
        <v>141</v>
      </c>
      <c r="I86" s="918" t="str">
        <f t="shared" si="10"/>
        <v>60</v>
      </c>
      <c r="J86" s="1072">
        <f>VLOOKUP(B86,'[11]Chấm công'!B86:AL189,37,0)</f>
        <v>27</v>
      </c>
      <c r="K86" s="1070"/>
      <c r="L86" s="1072"/>
      <c r="M86" s="1072">
        <f t="shared" si="11"/>
        <v>27</v>
      </c>
      <c r="N86" s="932" t="str">
        <f t="shared" si="12"/>
        <v>40</v>
      </c>
      <c r="O86" s="1072">
        <f t="shared" si="13"/>
        <v>100</v>
      </c>
      <c r="P86" s="1069" t="str">
        <f t="shared" si="14"/>
        <v>A</v>
      </c>
      <c r="Q86" s="1081"/>
      <c r="R86" s="1012" t="str">
        <f t="shared" si="15"/>
        <v>40</v>
      </c>
      <c r="S86" s="1013">
        <f t="shared" si="16"/>
        <v>60</v>
      </c>
      <c r="T86" s="1014">
        <f t="shared" si="17"/>
        <v>100</v>
      </c>
      <c r="U86" s="1015" t="str">
        <f t="shared" si="18"/>
        <v>A</v>
      </c>
      <c r="V86" s="1016" t="b">
        <f t="shared" si="19"/>
        <v>1</v>
      </c>
    </row>
    <row r="87" spans="1:22" s="1082" customFormat="1" ht="20.25" customHeight="1">
      <c r="A87" s="802">
        <v>80</v>
      </c>
      <c r="B87" s="1073" t="s">
        <v>857</v>
      </c>
      <c r="C87" s="1078" t="s">
        <v>887</v>
      </c>
      <c r="D87" s="1079"/>
      <c r="E87" s="1079"/>
      <c r="F87" s="1079"/>
      <c r="G87" s="1079" t="s">
        <v>452</v>
      </c>
      <c r="H87" s="1080" t="s">
        <v>138</v>
      </c>
      <c r="I87" s="918" t="str">
        <f t="shared" si="10"/>
        <v>50</v>
      </c>
      <c r="J87" s="1072">
        <f>VLOOKUP(B87,'[11]Chấm công'!B87:AL190,37,0)</f>
        <v>27</v>
      </c>
      <c r="K87" s="1070"/>
      <c r="L87" s="1072"/>
      <c r="M87" s="1072">
        <f t="shared" si="11"/>
        <v>27</v>
      </c>
      <c r="N87" s="932" t="str">
        <f t="shared" si="12"/>
        <v>40</v>
      </c>
      <c r="O87" s="1072">
        <f t="shared" si="13"/>
        <v>90</v>
      </c>
      <c r="P87" s="1069" t="str">
        <f t="shared" si="14"/>
        <v>B</v>
      </c>
      <c r="Q87" s="1081"/>
      <c r="R87" s="1012" t="str">
        <f t="shared" si="15"/>
        <v>40</v>
      </c>
      <c r="S87" s="1013">
        <f t="shared" si="16"/>
        <v>50</v>
      </c>
      <c r="T87" s="1014">
        <f t="shared" si="17"/>
        <v>90</v>
      </c>
      <c r="U87" s="1015" t="str">
        <f t="shared" si="18"/>
        <v>B</v>
      </c>
      <c r="V87" s="1016" t="b">
        <f t="shared" si="19"/>
        <v>1</v>
      </c>
    </row>
    <row r="88" spans="1:22" s="1082" customFormat="1" ht="20.25" customHeight="1">
      <c r="A88" s="802">
        <v>81</v>
      </c>
      <c r="B88" s="933" t="s">
        <v>927</v>
      </c>
      <c r="C88" s="1078" t="s">
        <v>888</v>
      </c>
      <c r="D88" s="1079"/>
      <c r="E88" s="1079"/>
      <c r="F88" s="1079"/>
      <c r="G88" s="1079" t="s">
        <v>452</v>
      </c>
      <c r="H88" s="1080" t="s">
        <v>141</v>
      </c>
      <c r="I88" s="918" t="str">
        <f t="shared" si="10"/>
        <v>60</v>
      </c>
      <c r="J88" s="1072">
        <f>VLOOKUP(B88,'[11]Chấm công'!B88:AL191,37,0)</f>
        <v>27</v>
      </c>
      <c r="K88" s="1070"/>
      <c r="L88" s="1072"/>
      <c r="M88" s="1072">
        <f t="shared" si="11"/>
        <v>27</v>
      </c>
      <c r="N88" s="932" t="str">
        <f t="shared" si="12"/>
        <v>40</v>
      </c>
      <c r="O88" s="1072">
        <f t="shared" si="13"/>
        <v>100</v>
      </c>
      <c r="P88" s="1069" t="str">
        <f t="shared" si="14"/>
        <v>A</v>
      </c>
      <c r="Q88" s="1081"/>
      <c r="R88" s="1012" t="str">
        <f t="shared" si="15"/>
        <v>40</v>
      </c>
      <c r="S88" s="1013">
        <f t="shared" si="16"/>
        <v>60</v>
      </c>
      <c r="T88" s="1014">
        <f t="shared" si="17"/>
        <v>100</v>
      </c>
      <c r="U88" s="1015" t="str">
        <f t="shared" si="18"/>
        <v>A</v>
      </c>
      <c r="V88" s="1016" t="b">
        <f t="shared" si="19"/>
        <v>1</v>
      </c>
    </row>
    <row r="89" spans="1:22" s="1082" customFormat="1" ht="20.25" customHeight="1">
      <c r="A89" s="802">
        <v>82</v>
      </c>
      <c r="B89" s="1073" t="s">
        <v>858</v>
      </c>
      <c r="C89" s="1078" t="s">
        <v>889</v>
      </c>
      <c r="D89" s="1079"/>
      <c r="E89" s="1079"/>
      <c r="F89" s="1079"/>
      <c r="G89" s="1079" t="s">
        <v>452</v>
      </c>
      <c r="H89" s="1083" t="s">
        <v>141</v>
      </c>
      <c r="I89" s="918" t="str">
        <f t="shared" si="10"/>
        <v>60</v>
      </c>
      <c r="J89" s="1072">
        <f>VLOOKUP(B89,'[11]Chấm công'!B89:AL192,37,0)</f>
        <v>27</v>
      </c>
      <c r="K89" s="1070"/>
      <c r="L89" s="1072"/>
      <c r="M89" s="1072">
        <f t="shared" si="11"/>
        <v>27</v>
      </c>
      <c r="N89" s="932" t="str">
        <f t="shared" si="12"/>
        <v>40</v>
      </c>
      <c r="O89" s="1072">
        <f t="shared" si="13"/>
        <v>100</v>
      </c>
      <c r="P89" s="1069" t="str">
        <f t="shared" si="14"/>
        <v>A</v>
      </c>
      <c r="Q89" s="1081"/>
      <c r="R89" s="1012" t="str">
        <f t="shared" si="15"/>
        <v>40</v>
      </c>
      <c r="S89" s="1013">
        <f t="shared" si="16"/>
        <v>60</v>
      </c>
      <c r="T89" s="1014">
        <f t="shared" si="17"/>
        <v>100</v>
      </c>
      <c r="U89" s="1015" t="str">
        <f t="shared" si="18"/>
        <v>A</v>
      </c>
      <c r="V89" s="1016" t="b">
        <f t="shared" si="19"/>
        <v>1</v>
      </c>
    </row>
    <row r="90" spans="1:22" s="1082" customFormat="1" ht="20.25" customHeight="1">
      <c r="A90" s="802">
        <v>83</v>
      </c>
      <c r="B90" s="1073" t="s">
        <v>571</v>
      </c>
      <c r="C90" s="1078" t="s">
        <v>644</v>
      </c>
      <c r="D90" s="1079"/>
      <c r="E90" s="1079"/>
      <c r="F90" s="1079"/>
      <c r="G90" s="1079" t="s">
        <v>453</v>
      </c>
      <c r="H90" s="1084" t="s">
        <v>138</v>
      </c>
      <c r="I90" s="918" t="str">
        <f t="shared" si="10"/>
        <v>50</v>
      </c>
      <c r="J90" s="1072">
        <f>VLOOKUP(B90,'[11]Chấm công'!B90:AL193,37,0)</f>
        <v>24</v>
      </c>
      <c r="K90" s="1070"/>
      <c r="L90" s="1072"/>
      <c r="M90" s="1072">
        <f t="shared" si="11"/>
        <v>24</v>
      </c>
      <c r="N90" s="932">
        <f t="shared" si="12"/>
        <v>35</v>
      </c>
      <c r="O90" s="1072">
        <f t="shared" si="13"/>
        <v>85</v>
      </c>
      <c r="P90" s="1069" t="str">
        <f t="shared" si="14"/>
        <v>B</v>
      </c>
      <c r="Q90" s="1081"/>
      <c r="R90" s="1012">
        <f t="shared" si="15"/>
        <v>35</v>
      </c>
      <c r="S90" s="1013">
        <f t="shared" si="16"/>
        <v>50</v>
      </c>
      <c r="T90" s="1014">
        <f t="shared" si="17"/>
        <v>85</v>
      </c>
      <c r="U90" s="1015" t="str">
        <f t="shared" si="18"/>
        <v>B</v>
      </c>
      <c r="V90" s="1016" t="b">
        <f t="shared" si="19"/>
        <v>1</v>
      </c>
    </row>
    <row r="91" spans="1:22" s="1082" customFormat="1" ht="20.25" customHeight="1">
      <c r="A91" s="802">
        <v>84</v>
      </c>
      <c r="B91" s="1073" t="s">
        <v>591</v>
      </c>
      <c r="C91" s="1078" t="s">
        <v>645</v>
      </c>
      <c r="D91" s="1079"/>
      <c r="E91" s="1079"/>
      <c r="F91" s="1079"/>
      <c r="G91" s="1079" t="s">
        <v>453</v>
      </c>
      <c r="H91" s="1084" t="s">
        <v>138</v>
      </c>
      <c r="I91" s="918" t="str">
        <f t="shared" si="10"/>
        <v>50</v>
      </c>
      <c r="J91" s="1072">
        <f>VLOOKUP(B91,'[11]Chấm công'!B91:AL194,37,0)</f>
        <v>26</v>
      </c>
      <c r="K91" s="1070"/>
      <c r="L91" s="1072"/>
      <c r="M91" s="1072">
        <f t="shared" si="11"/>
        <v>26</v>
      </c>
      <c r="N91" s="932" t="str">
        <f t="shared" si="12"/>
        <v>40</v>
      </c>
      <c r="O91" s="1072">
        <f t="shared" si="13"/>
        <v>90</v>
      </c>
      <c r="P91" s="1069" t="str">
        <f t="shared" si="14"/>
        <v>B</v>
      </c>
      <c r="Q91" s="1081"/>
      <c r="R91" s="1012" t="str">
        <f t="shared" si="15"/>
        <v>40</v>
      </c>
      <c r="S91" s="1013">
        <f t="shared" si="16"/>
        <v>50</v>
      </c>
      <c r="T91" s="1014">
        <f t="shared" si="17"/>
        <v>90</v>
      </c>
      <c r="U91" s="1015" t="str">
        <f t="shared" si="18"/>
        <v>B</v>
      </c>
      <c r="V91" s="1016" t="b">
        <f t="shared" si="19"/>
        <v>1</v>
      </c>
    </row>
    <row r="92" spans="1:22" s="1082" customFormat="1" ht="20.25" customHeight="1">
      <c r="A92" s="802">
        <v>85</v>
      </c>
      <c r="B92" s="1073" t="s">
        <v>334</v>
      </c>
      <c r="C92" s="1078" t="s">
        <v>646</v>
      </c>
      <c r="D92" s="1079"/>
      <c r="E92" s="1079"/>
      <c r="F92" s="1079"/>
      <c r="G92" s="1079" t="s">
        <v>453</v>
      </c>
      <c r="H92" s="1084" t="s">
        <v>138</v>
      </c>
      <c r="I92" s="918" t="str">
        <f t="shared" si="10"/>
        <v>50</v>
      </c>
      <c r="J92" s="1072">
        <f>VLOOKUP(B92,'[11]Chấm công'!B92:AL195,37,0)</f>
        <v>27</v>
      </c>
      <c r="K92" s="1070"/>
      <c r="L92" s="1072"/>
      <c r="M92" s="1072">
        <f t="shared" si="11"/>
        <v>27</v>
      </c>
      <c r="N92" s="932" t="str">
        <f t="shared" si="12"/>
        <v>40</v>
      </c>
      <c r="O92" s="1072">
        <f t="shared" si="13"/>
        <v>90</v>
      </c>
      <c r="P92" s="1069" t="str">
        <f t="shared" si="14"/>
        <v>B</v>
      </c>
      <c r="Q92" s="1081"/>
      <c r="R92" s="1012" t="str">
        <f t="shared" si="15"/>
        <v>40</v>
      </c>
      <c r="S92" s="1013">
        <f t="shared" si="16"/>
        <v>50</v>
      </c>
      <c r="T92" s="1014">
        <f t="shared" si="17"/>
        <v>90</v>
      </c>
      <c r="U92" s="1015" t="str">
        <f t="shared" si="18"/>
        <v>B</v>
      </c>
      <c r="V92" s="1016" t="b">
        <f t="shared" si="19"/>
        <v>1</v>
      </c>
    </row>
    <row r="93" spans="1:22" s="1082" customFormat="1" ht="20.25" customHeight="1">
      <c r="A93" s="802">
        <v>86</v>
      </c>
      <c r="B93" s="1073" t="s">
        <v>592</v>
      </c>
      <c r="C93" s="1078" t="s">
        <v>647</v>
      </c>
      <c r="D93" s="1079"/>
      <c r="E93" s="1079"/>
      <c r="F93" s="1079"/>
      <c r="G93" s="1079" t="s">
        <v>453</v>
      </c>
      <c r="H93" s="1084" t="s">
        <v>141</v>
      </c>
      <c r="I93" s="918" t="str">
        <f t="shared" si="10"/>
        <v>60</v>
      </c>
      <c r="J93" s="1072">
        <f>VLOOKUP(B93,'[11]Chấm công'!B93:AL196,37,0)</f>
        <v>27</v>
      </c>
      <c r="K93" s="1070"/>
      <c r="L93" s="1072"/>
      <c r="M93" s="1072">
        <f t="shared" si="11"/>
        <v>27</v>
      </c>
      <c r="N93" s="932" t="str">
        <f t="shared" si="12"/>
        <v>40</v>
      </c>
      <c r="O93" s="1072">
        <f t="shared" si="13"/>
        <v>100</v>
      </c>
      <c r="P93" s="1069" t="str">
        <f t="shared" si="14"/>
        <v>A</v>
      </c>
      <c r="Q93" s="1081"/>
      <c r="R93" s="1012" t="str">
        <f t="shared" si="15"/>
        <v>40</v>
      </c>
      <c r="S93" s="1013">
        <f t="shared" si="16"/>
        <v>60</v>
      </c>
      <c r="T93" s="1014">
        <f t="shared" si="17"/>
        <v>100</v>
      </c>
      <c r="U93" s="1015" t="str">
        <f t="shared" si="18"/>
        <v>A</v>
      </c>
      <c r="V93" s="1016" t="b">
        <f t="shared" si="19"/>
        <v>1</v>
      </c>
    </row>
    <row r="94" spans="1:22" ht="20.25" customHeight="1">
      <c r="A94" s="802">
        <v>87</v>
      </c>
      <c r="B94" s="802" t="s">
        <v>572</v>
      </c>
      <c r="C94" s="1069" t="s">
        <v>648</v>
      </c>
      <c r="D94" s="1070"/>
      <c r="E94" s="1070"/>
      <c r="F94" s="1070"/>
      <c r="G94" s="1070" t="s">
        <v>453</v>
      </c>
      <c r="H94" s="1077" t="s">
        <v>141</v>
      </c>
      <c r="I94" s="918" t="str">
        <f t="shared" si="10"/>
        <v>60</v>
      </c>
      <c r="J94" s="1072">
        <f>VLOOKUP(B94,'[11]Chấm công'!B94:AL197,37,0)</f>
        <v>25</v>
      </c>
      <c r="K94" s="1070"/>
      <c r="L94" s="1072"/>
      <c r="M94" s="1072">
        <f t="shared" si="11"/>
        <v>25</v>
      </c>
      <c r="N94" s="932">
        <f t="shared" si="12"/>
        <v>35</v>
      </c>
      <c r="O94" s="1072">
        <f t="shared" si="13"/>
        <v>95</v>
      </c>
      <c r="P94" s="1069" t="str">
        <f t="shared" si="14"/>
        <v>A</v>
      </c>
      <c r="Q94" s="1070"/>
      <c r="R94" s="1012">
        <f t="shared" si="15"/>
        <v>35</v>
      </c>
      <c r="S94" s="1013">
        <f t="shared" si="16"/>
        <v>60</v>
      </c>
      <c r="T94" s="1014">
        <f t="shared" si="17"/>
        <v>95</v>
      </c>
      <c r="U94" s="1015" t="str">
        <f t="shared" si="18"/>
        <v>A</v>
      </c>
      <c r="V94" s="1016" t="b">
        <f t="shared" si="19"/>
        <v>1</v>
      </c>
    </row>
    <row r="95" spans="1:22" ht="20.25" customHeight="1">
      <c r="A95" s="802">
        <v>88</v>
      </c>
      <c r="B95" s="802" t="s">
        <v>862</v>
      </c>
      <c r="C95" s="1069" t="s">
        <v>890</v>
      </c>
      <c r="D95" s="1070"/>
      <c r="E95" s="1070"/>
      <c r="F95" s="1070"/>
      <c r="G95" s="1070" t="s">
        <v>453</v>
      </c>
      <c r="H95" s="1077" t="s">
        <v>138</v>
      </c>
      <c r="I95" s="918" t="str">
        <f t="shared" si="10"/>
        <v>50</v>
      </c>
      <c r="J95" s="1072">
        <f>VLOOKUP(B95,'[11]Chấm công'!B95:AL198,37,0)</f>
        <v>24</v>
      </c>
      <c r="K95" s="1070"/>
      <c r="L95" s="1072"/>
      <c r="M95" s="1072">
        <f t="shared" si="11"/>
        <v>24</v>
      </c>
      <c r="N95" s="932">
        <f t="shared" si="12"/>
        <v>35</v>
      </c>
      <c r="O95" s="1072">
        <f t="shared" si="13"/>
        <v>85</v>
      </c>
      <c r="P95" s="1069" t="str">
        <f t="shared" si="14"/>
        <v>B</v>
      </c>
      <c r="Q95" s="1070"/>
      <c r="R95" s="1012">
        <f t="shared" si="15"/>
        <v>35</v>
      </c>
      <c r="S95" s="1013">
        <f t="shared" si="16"/>
        <v>50</v>
      </c>
      <c r="T95" s="1014">
        <f t="shared" si="17"/>
        <v>85</v>
      </c>
      <c r="U95" s="1015" t="str">
        <f t="shared" si="18"/>
        <v>B</v>
      </c>
      <c r="V95" s="1016" t="b">
        <f t="shared" si="19"/>
        <v>1</v>
      </c>
    </row>
    <row r="96" spans="1:22" ht="20.25" customHeight="1">
      <c r="A96" s="802">
        <v>89</v>
      </c>
      <c r="B96" s="802" t="s">
        <v>529</v>
      </c>
      <c r="C96" s="1069" t="s">
        <v>649</v>
      </c>
      <c r="D96" s="1070"/>
      <c r="E96" s="1070"/>
      <c r="F96" s="1070"/>
      <c r="G96" s="1070" t="s">
        <v>453</v>
      </c>
      <c r="H96" s="1077" t="s">
        <v>138</v>
      </c>
      <c r="I96" s="918" t="str">
        <f t="shared" si="10"/>
        <v>50</v>
      </c>
      <c r="J96" s="1072">
        <f>VLOOKUP(B96,'[11]Chấm công'!B96:AL199,37,0)</f>
        <v>23</v>
      </c>
      <c r="K96" s="1070"/>
      <c r="L96" s="1072"/>
      <c r="M96" s="1072">
        <f t="shared" si="11"/>
        <v>23</v>
      </c>
      <c r="N96" s="932">
        <f t="shared" si="12"/>
        <v>35</v>
      </c>
      <c r="O96" s="1072">
        <f t="shared" si="13"/>
        <v>85</v>
      </c>
      <c r="P96" s="1069" t="str">
        <f t="shared" si="14"/>
        <v>B</v>
      </c>
      <c r="Q96" s="1070"/>
      <c r="R96" s="1012">
        <f t="shared" si="15"/>
        <v>35</v>
      </c>
      <c r="S96" s="1013">
        <f t="shared" si="16"/>
        <v>50</v>
      </c>
      <c r="T96" s="1014">
        <f t="shared" si="17"/>
        <v>85</v>
      </c>
      <c r="U96" s="1015" t="str">
        <f t="shared" si="18"/>
        <v>B</v>
      </c>
      <c r="V96" s="1016" t="b">
        <f t="shared" si="19"/>
        <v>1</v>
      </c>
    </row>
    <row r="97" spans="1:22" ht="20.25" customHeight="1">
      <c r="A97" s="802">
        <v>90</v>
      </c>
      <c r="B97" s="802" t="s">
        <v>576</v>
      </c>
      <c r="C97" s="1069" t="s">
        <v>655</v>
      </c>
      <c r="D97" s="1070"/>
      <c r="E97" s="1070"/>
      <c r="F97" s="1070"/>
      <c r="G97" s="1070" t="s">
        <v>453</v>
      </c>
      <c r="H97" s="1077" t="s">
        <v>141</v>
      </c>
      <c r="I97" s="918" t="str">
        <f t="shared" si="10"/>
        <v>60</v>
      </c>
      <c r="J97" s="1072">
        <f>VLOOKUP(B97,'[11]Chấm công'!B97:AL200,37,0)</f>
        <v>26</v>
      </c>
      <c r="K97" s="1070"/>
      <c r="L97" s="1072"/>
      <c r="M97" s="1072">
        <f t="shared" si="11"/>
        <v>26</v>
      </c>
      <c r="N97" s="932" t="str">
        <f t="shared" si="12"/>
        <v>40</v>
      </c>
      <c r="O97" s="1072">
        <f t="shared" si="13"/>
        <v>100</v>
      </c>
      <c r="P97" s="1069" t="str">
        <f t="shared" si="14"/>
        <v>A</v>
      </c>
      <c r="Q97" s="1070"/>
      <c r="R97" s="1012" t="str">
        <f t="shared" si="15"/>
        <v>40</v>
      </c>
      <c r="S97" s="1013">
        <f t="shared" si="16"/>
        <v>60</v>
      </c>
      <c r="T97" s="1014">
        <f t="shared" si="17"/>
        <v>100</v>
      </c>
      <c r="U97" s="1015" t="str">
        <f t="shared" si="18"/>
        <v>A</v>
      </c>
      <c r="V97" s="1016" t="b">
        <f t="shared" si="19"/>
        <v>1</v>
      </c>
    </row>
    <row r="98" spans="1:22" ht="20.25" customHeight="1">
      <c r="A98" s="802">
        <v>91</v>
      </c>
      <c r="B98" s="802" t="s">
        <v>329</v>
      </c>
      <c r="C98" s="1085" t="s">
        <v>925</v>
      </c>
      <c r="D98" s="1070"/>
      <c r="E98" s="1070"/>
      <c r="F98" s="1070"/>
      <c r="G98" s="1070" t="s">
        <v>453</v>
      </c>
      <c r="H98" s="1077" t="s">
        <v>138</v>
      </c>
      <c r="I98" s="918" t="str">
        <f t="shared" si="10"/>
        <v>50</v>
      </c>
      <c r="J98" s="1072">
        <f>VLOOKUP(B98,'[11]Chấm công'!B98:AL201,37,0)</f>
        <v>24</v>
      </c>
      <c r="K98" s="1070"/>
      <c r="L98" s="1072"/>
      <c r="M98" s="1072">
        <f t="shared" si="11"/>
        <v>24</v>
      </c>
      <c r="N98" s="932">
        <f t="shared" si="12"/>
        <v>35</v>
      </c>
      <c r="O98" s="1072">
        <f t="shared" si="13"/>
        <v>85</v>
      </c>
      <c r="P98" s="1069" t="str">
        <f t="shared" si="14"/>
        <v>B</v>
      </c>
      <c r="Q98" s="1070"/>
      <c r="R98" s="1012">
        <f t="shared" si="15"/>
        <v>35</v>
      </c>
      <c r="S98" s="1013">
        <f t="shared" si="16"/>
        <v>50</v>
      </c>
      <c r="T98" s="1014">
        <f t="shared" si="17"/>
        <v>85</v>
      </c>
      <c r="U98" s="1015" t="str">
        <f t="shared" si="18"/>
        <v>B</v>
      </c>
      <c r="V98" s="1016" t="b">
        <f>EXACT(P98,U98)</f>
        <v>1</v>
      </c>
    </row>
    <row r="99" spans="1:22" ht="20.25" customHeight="1">
      <c r="A99" s="802">
        <v>92</v>
      </c>
      <c r="B99" s="802" t="s">
        <v>573</v>
      </c>
      <c r="C99" s="1069" t="s">
        <v>650</v>
      </c>
      <c r="D99" s="1070"/>
      <c r="E99" s="1070"/>
      <c r="F99" s="1070"/>
      <c r="G99" s="1070" t="s">
        <v>453</v>
      </c>
      <c r="H99" s="1077" t="s">
        <v>141</v>
      </c>
      <c r="I99" s="918" t="str">
        <f t="shared" si="10"/>
        <v>60</v>
      </c>
      <c r="J99" s="1072">
        <f>VLOOKUP(B99,'[11]Chấm công'!B99:AL202,37,0)</f>
        <v>27</v>
      </c>
      <c r="K99" s="1070"/>
      <c r="L99" s="1072"/>
      <c r="M99" s="1072">
        <f t="shared" si="11"/>
        <v>27</v>
      </c>
      <c r="N99" s="932" t="str">
        <f t="shared" si="12"/>
        <v>40</v>
      </c>
      <c r="O99" s="1072">
        <f t="shared" si="13"/>
        <v>100</v>
      </c>
      <c r="P99" s="1069" t="str">
        <f t="shared" si="14"/>
        <v>A</v>
      </c>
      <c r="Q99" s="1070"/>
      <c r="R99" s="1012" t="str">
        <f t="shared" si="15"/>
        <v>40</v>
      </c>
      <c r="S99" s="1013">
        <f t="shared" si="16"/>
        <v>60</v>
      </c>
      <c r="T99" s="1014">
        <f t="shared" si="17"/>
        <v>100</v>
      </c>
      <c r="U99" s="1015" t="str">
        <f t="shared" si="18"/>
        <v>A</v>
      </c>
      <c r="V99" s="1016" t="b">
        <f t="shared" si="19"/>
        <v>1</v>
      </c>
    </row>
    <row r="100" spans="1:22" ht="20.25" customHeight="1">
      <c r="A100" s="802">
        <v>93</v>
      </c>
      <c r="B100" s="802" t="s">
        <v>860</v>
      </c>
      <c r="C100" s="1069" t="s">
        <v>891</v>
      </c>
      <c r="D100" s="1070"/>
      <c r="E100" s="1070"/>
      <c r="F100" s="1070"/>
      <c r="G100" s="1070" t="s">
        <v>453</v>
      </c>
      <c r="H100" s="1077" t="s">
        <v>138</v>
      </c>
      <c r="I100" s="918" t="str">
        <f t="shared" si="10"/>
        <v>50</v>
      </c>
      <c r="J100" s="1072">
        <f>VLOOKUP(B100,'[11]Chấm công'!B100:AL203,37,0)</f>
        <v>26</v>
      </c>
      <c r="K100" s="1070"/>
      <c r="L100" s="1072"/>
      <c r="M100" s="1072">
        <f t="shared" si="11"/>
        <v>26</v>
      </c>
      <c r="N100" s="932" t="str">
        <f t="shared" si="12"/>
        <v>40</v>
      </c>
      <c r="O100" s="1072">
        <f t="shared" si="13"/>
        <v>90</v>
      </c>
      <c r="P100" s="1069" t="str">
        <f t="shared" si="14"/>
        <v>B</v>
      </c>
      <c r="Q100" s="1070"/>
      <c r="R100" s="1012" t="str">
        <f t="shared" si="15"/>
        <v>40</v>
      </c>
      <c r="S100" s="1013">
        <f t="shared" si="16"/>
        <v>50</v>
      </c>
      <c r="T100" s="1014">
        <f t="shared" si="17"/>
        <v>90</v>
      </c>
      <c r="U100" s="1015" t="str">
        <f t="shared" si="18"/>
        <v>B</v>
      </c>
      <c r="V100" s="1016" t="b">
        <f t="shared" si="19"/>
        <v>1</v>
      </c>
    </row>
    <row r="101" spans="1:22" ht="20.25" customHeight="1">
      <c r="A101" s="802">
        <v>94</v>
      </c>
      <c r="B101" s="802" t="s">
        <v>574</v>
      </c>
      <c r="C101" s="1069" t="s">
        <v>651</v>
      </c>
      <c r="D101" s="1070"/>
      <c r="E101" s="1070"/>
      <c r="F101" s="1070"/>
      <c r="G101" s="1070" t="s">
        <v>453</v>
      </c>
      <c r="H101" s="1077" t="s">
        <v>141</v>
      </c>
      <c r="I101" s="918" t="str">
        <f t="shared" si="10"/>
        <v>60</v>
      </c>
      <c r="J101" s="1072">
        <f>VLOOKUP(B101,'[11]Chấm công'!B101:AL204,37,0)</f>
        <v>27</v>
      </c>
      <c r="K101" s="1070"/>
      <c r="L101" s="1072"/>
      <c r="M101" s="1072">
        <f t="shared" si="11"/>
        <v>27</v>
      </c>
      <c r="N101" s="932" t="str">
        <f t="shared" si="12"/>
        <v>40</v>
      </c>
      <c r="O101" s="1072">
        <f t="shared" si="13"/>
        <v>100</v>
      </c>
      <c r="P101" s="1069" t="str">
        <f t="shared" si="14"/>
        <v>A</v>
      </c>
      <c r="Q101" s="1070"/>
      <c r="R101" s="1012" t="str">
        <f t="shared" si="15"/>
        <v>40</v>
      </c>
      <c r="S101" s="1013">
        <f t="shared" si="16"/>
        <v>60</v>
      </c>
      <c r="T101" s="1014">
        <f t="shared" si="17"/>
        <v>100</v>
      </c>
      <c r="U101" s="1015" t="str">
        <f t="shared" si="18"/>
        <v>A</v>
      </c>
      <c r="V101" s="1016" t="b">
        <f t="shared" si="19"/>
        <v>1</v>
      </c>
    </row>
    <row r="102" spans="1:22" ht="20.25" customHeight="1">
      <c r="A102" s="802">
        <v>95</v>
      </c>
      <c r="B102" s="802" t="s">
        <v>417</v>
      </c>
      <c r="C102" s="1069" t="s">
        <v>652</v>
      </c>
      <c r="D102" s="1070"/>
      <c r="E102" s="1070"/>
      <c r="F102" s="1070"/>
      <c r="G102" s="1070" t="s">
        <v>453</v>
      </c>
      <c r="H102" s="1077" t="s">
        <v>141</v>
      </c>
      <c r="I102" s="918" t="str">
        <f t="shared" si="10"/>
        <v>60</v>
      </c>
      <c r="J102" s="1072">
        <f>VLOOKUP(B102,'[11]Chấm công'!B102:AL205,37,0)</f>
        <v>27</v>
      </c>
      <c r="K102" s="1070"/>
      <c r="L102" s="1072"/>
      <c r="M102" s="1072">
        <f t="shared" si="11"/>
        <v>27</v>
      </c>
      <c r="N102" s="932" t="str">
        <f t="shared" si="12"/>
        <v>40</v>
      </c>
      <c r="O102" s="1072">
        <f t="shared" si="13"/>
        <v>100</v>
      </c>
      <c r="P102" s="1069" t="str">
        <f t="shared" si="14"/>
        <v>A</v>
      </c>
      <c r="Q102" s="1070"/>
      <c r="R102" s="1012" t="str">
        <f t="shared" si="15"/>
        <v>40</v>
      </c>
      <c r="S102" s="1013">
        <f t="shared" si="16"/>
        <v>60</v>
      </c>
      <c r="T102" s="1014">
        <f t="shared" si="17"/>
        <v>100</v>
      </c>
      <c r="U102" s="1015" t="str">
        <f t="shared" si="18"/>
        <v>A</v>
      </c>
      <c r="V102" s="1016" t="b">
        <f t="shared" si="19"/>
        <v>1</v>
      </c>
    </row>
    <row r="103" spans="1:22" ht="20.25" customHeight="1">
      <c r="A103" s="802">
        <v>96</v>
      </c>
      <c r="B103" s="802" t="s">
        <v>575</v>
      </c>
      <c r="C103" s="1069" t="s">
        <v>653</v>
      </c>
      <c r="D103" s="1070"/>
      <c r="E103" s="1070"/>
      <c r="F103" s="1070"/>
      <c r="G103" s="1070" t="s">
        <v>453</v>
      </c>
      <c r="H103" s="1077" t="s">
        <v>138</v>
      </c>
      <c r="I103" s="918" t="str">
        <f t="shared" si="10"/>
        <v>50</v>
      </c>
      <c r="J103" s="1072">
        <f>VLOOKUP(B103,'[11]Chấm công'!B103:AL206,37,0)</f>
        <v>24</v>
      </c>
      <c r="K103" s="1070"/>
      <c r="L103" s="1072"/>
      <c r="M103" s="1072">
        <f t="shared" si="11"/>
        <v>24</v>
      </c>
      <c r="N103" s="932">
        <f t="shared" si="12"/>
        <v>35</v>
      </c>
      <c r="O103" s="1072">
        <f t="shared" si="13"/>
        <v>85</v>
      </c>
      <c r="P103" s="1069" t="str">
        <f t="shared" si="14"/>
        <v>B</v>
      </c>
      <c r="Q103" s="1070"/>
      <c r="R103" s="1012">
        <f t="shared" si="15"/>
        <v>35</v>
      </c>
      <c r="S103" s="1013">
        <f t="shared" si="16"/>
        <v>50</v>
      </c>
      <c r="T103" s="1014">
        <f t="shared" si="17"/>
        <v>85</v>
      </c>
      <c r="U103" s="1015" t="str">
        <f t="shared" si="18"/>
        <v>B</v>
      </c>
      <c r="V103" s="1016" t="b">
        <f t="shared" si="19"/>
        <v>1</v>
      </c>
    </row>
    <row r="104" spans="1:22" ht="20.25" customHeight="1">
      <c r="A104" s="802">
        <v>97</v>
      </c>
      <c r="B104" s="802" t="s">
        <v>530</v>
      </c>
      <c r="C104" s="1069" t="s">
        <v>654</v>
      </c>
      <c r="D104" s="1070"/>
      <c r="E104" s="1070"/>
      <c r="F104" s="1070"/>
      <c r="G104" s="1070" t="s">
        <v>453</v>
      </c>
      <c r="H104" s="1077" t="s">
        <v>141</v>
      </c>
      <c r="I104" s="918" t="str">
        <f t="shared" si="10"/>
        <v>60</v>
      </c>
      <c r="J104" s="1072">
        <f>VLOOKUP(B104,'[11]Chấm công'!B104:AL207,37,0)</f>
        <v>27</v>
      </c>
      <c r="K104" s="1070"/>
      <c r="L104" s="1072"/>
      <c r="M104" s="1072">
        <f t="shared" si="11"/>
        <v>27</v>
      </c>
      <c r="N104" s="932" t="str">
        <f t="shared" si="12"/>
        <v>40</v>
      </c>
      <c r="O104" s="1072">
        <f t="shared" si="13"/>
        <v>100</v>
      </c>
      <c r="P104" s="1069" t="str">
        <f t="shared" si="14"/>
        <v>A</v>
      </c>
      <c r="Q104" s="1070"/>
      <c r="R104" s="1012" t="str">
        <f t="shared" si="15"/>
        <v>40</v>
      </c>
      <c r="S104" s="1013">
        <f t="shared" si="16"/>
        <v>60</v>
      </c>
      <c r="T104" s="1014">
        <f t="shared" si="17"/>
        <v>100</v>
      </c>
      <c r="U104" s="1015" t="str">
        <f t="shared" si="18"/>
        <v>A</v>
      </c>
      <c r="V104" s="1016" t="b">
        <f t="shared" si="19"/>
        <v>1</v>
      </c>
    </row>
    <row r="105" spans="1:22" ht="20.25" customHeight="1">
      <c r="A105" s="802">
        <v>98</v>
      </c>
      <c r="B105" s="802" t="s">
        <v>561</v>
      </c>
      <c r="C105" s="1085" t="s">
        <v>924</v>
      </c>
      <c r="D105" s="1070"/>
      <c r="E105" s="1070"/>
      <c r="F105" s="1070"/>
      <c r="G105" s="1070" t="s">
        <v>453</v>
      </c>
      <c r="H105" s="1077" t="s">
        <v>141</v>
      </c>
      <c r="I105" s="918" t="str">
        <f t="shared" si="10"/>
        <v>60</v>
      </c>
      <c r="J105" s="1072">
        <f>VLOOKUP(B105,'[11]Chấm công'!B105:AL208,37,0)</f>
        <v>25</v>
      </c>
      <c r="K105" s="1070"/>
      <c r="L105" s="1072"/>
      <c r="M105" s="1072">
        <f t="shared" si="11"/>
        <v>25</v>
      </c>
      <c r="N105" s="932">
        <f t="shared" si="12"/>
        <v>35</v>
      </c>
      <c r="O105" s="1072">
        <f t="shared" si="13"/>
        <v>95</v>
      </c>
      <c r="P105" s="1069" t="str">
        <f t="shared" si="14"/>
        <v>A</v>
      </c>
      <c r="Q105" s="1070"/>
      <c r="R105" s="1012">
        <f t="shared" si="15"/>
        <v>35</v>
      </c>
      <c r="S105" s="1013">
        <f t="shared" si="16"/>
        <v>60</v>
      </c>
      <c r="T105" s="1014">
        <f t="shared" si="17"/>
        <v>95</v>
      </c>
      <c r="U105" s="1015" t="str">
        <f t="shared" si="18"/>
        <v>A</v>
      </c>
      <c r="V105" s="1016" t="b">
        <f t="shared" si="19"/>
        <v>1</v>
      </c>
    </row>
    <row r="106" spans="1:22" ht="20.25" customHeight="1">
      <c r="A106" s="802">
        <v>99</v>
      </c>
      <c r="B106" s="802" t="s">
        <v>859</v>
      </c>
      <c r="C106" s="1069" t="s">
        <v>892</v>
      </c>
      <c r="D106" s="1070"/>
      <c r="E106" s="1070"/>
      <c r="F106" s="1070"/>
      <c r="G106" s="1070" t="s">
        <v>453</v>
      </c>
      <c r="H106" s="1077" t="s">
        <v>141</v>
      </c>
      <c r="I106" s="918" t="str">
        <f t="shared" si="10"/>
        <v>60</v>
      </c>
      <c r="J106" s="1072">
        <f>VLOOKUP(B106,'[11]Chấm công'!B106:AL209,37,0)</f>
        <v>27</v>
      </c>
      <c r="K106" s="1070"/>
      <c r="L106" s="1072"/>
      <c r="M106" s="1072">
        <f t="shared" si="11"/>
        <v>27</v>
      </c>
      <c r="N106" s="932" t="str">
        <f t="shared" si="12"/>
        <v>40</v>
      </c>
      <c r="O106" s="1072">
        <f t="shared" si="13"/>
        <v>100</v>
      </c>
      <c r="P106" s="1069" t="str">
        <f t="shared" si="14"/>
        <v>A</v>
      </c>
      <c r="Q106" s="1070"/>
      <c r="R106" s="1012" t="str">
        <f t="shared" si="15"/>
        <v>40</v>
      </c>
      <c r="S106" s="1013">
        <f t="shared" si="16"/>
        <v>60</v>
      </c>
      <c r="T106" s="1014">
        <f t="shared" si="17"/>
        <v>100</v>
      </c>
      <c r="U106" s="1015" t="str">
        <f t="shared" si="18"/>
        <v>A</v>
      </c>
      <c r="V106" s="1016" t="b">
        <f t="shared" si="19"/>
        <v>1</v>
      </c>
    </row>
    <row r="107" spans="1:22" ht="20.25" customHeight="1">
      <c r="A107" s="802">
        <v>100</v>
      </c>
      <c r="B107" s="802" t="s">
        <v>861</v>
      </c>
      <c r="C107" s="1069" t="s">
        <v>893</v>
      </c>
      <c r="D107" s="1070"/>
      <c r="E107" s="1070"/>
      <c r="F107" s="1070"/>
      <c r="G107" s="1070" t="s">
        <v>453</v>
      </c>
      <c r="H107" s="1077" t="s">
        <v>141</v>
      </c>
      <c r="I107" s="936" t="str">
        <f t="shared" si="10"/>
        <v>60</v>
      </c>
      <c r="J107" s="1072">
        <f>VLOOKUP(B107,'[11]Chấm công'!B107:AL210,37,0)</f>
        <v>27</v>
      </c>
      <c r="K107" s="1070"/>
      <c r="L107" s="1072"/>
      <c r="M107" s="1072">
        <f t="shared" si="11"/>
        <v>27</v>
      </c>
      <c r="N107" s="932" t="str">
        <f t="shared" si="12"/>
        <v>40</v>
      </c>
      <c r="O107" s="1072">
        <f t="shared" si="13"/>
        <v>100</v>
      </c>
      <c r="P107" s="1069" t="str">
        <f t="shared" si="14"/>
        <v>A</v>
      </c>
      <c r="Q107" s="1070"/>
      <c r="R107" s="1012" t="str">
        <f t="shared" si="15"/>
        <v>40</v>
      </c>
      <c r="S107" s="1013">
        <f t="shared" si="16"/>
        <v>60</v>
      </c>
      <c r="T107" s="1014">
        <f t="shared" si="17"/>
        <v>100</v>
      </c>
      <c r="U107" s="1015" t="str">
        <f t="shared" si="18"/>
        <v>A</v>
      </c>
      <c r="V107" s="1016" t="b">
        <f t="shared" si="19"/>
        <v>1</v>
      </c>
    </row>
    <row r="108" spans="1:22" ht="20.25" customHeight="1">
      <c r="A108" s="802">
        <v>101</v>
      </c>
      <c r="B108" s="802" t="s">
        <v>577</v>
      </c>
      <c r="C108" s="1069"/>
      <c r="D108" s="1070"/>
      <c r="E108" s="1070"/>
      <c r="F108" s="1070"/>
      <c r="G108" s="1070" t="s">
        <v>453</v>
      </c>
      <c r="H108" s="1077"/>
      <c r="I108" s="918">
        <f t="shared" si="10"/>
        <v>0</v>
      </c>
      <c r="J108" s="1072">
        <f>VLOOKUP(B108,'[11]Chấm công'!B108:AL211,37,0)</f>
        <v>24</v>
      </c>
      <c r="K108" s="1070"/>
      <c r="L108" s="1072"/>
      <c r="M108" s="1072">
        <f t="shared" si="11"/>
        <v>24</v>
      </c>
      <c r="N108" s="932">
        <f t="shared" si="12"/>
        <v>35</v>
      </c>
      <c r="O108" s="1072">
        <f t="shared" si="13"/>
        <v>35</v>
      </c>
      <c r="P108" s="1069" t="s">
        <v>168</v>
      </c>
      <c r="Q108" s="1070"/>
      <c r="R108" s="1012">
        <f t="shared" si="15"/>
        <v>35</v>
      </c>
      <c r="S108" s="1013" t="b">
        <f t="shared" si="16"/>
        <v>0</v>
      </c>
      <c r="T108" s="1014">
        <f t="shared" si="17"/>
        <v>35</v>
      </c>
      <c r="U108" s="1015" t="str">
        <f t="shared" si="18"/>
        <v>D</v>
      </c>
      <c r="V108" s="1016" t="b">
        <f t="shared" si="19"/>
        <v>0</v>
      </c>
    </row>
    <row r="110" spans="1:22" ht="15.75">
      <c r="B110" s="4641" t="s">
        <v>912</v>
      </c>
      <c r="C110" s="4647"/>
      <c r="D110" s="4642"/>
      <c r="I110" s="4641" t="s">
        <v>913</v>
      </c>
      <c r="J110" s="4647"/>
      <c r="K110" s="4647"/>
      <c r="L110" s="4642"/>
    </row>
    <row r="111" spans="1:22" ht="15.75">
      <c r="B111" s="934" t="s">
        <v>914</v>
      </c>
      <c r="C111" s="934">
        <f>+C112+C113+C114</f>
        <v>100</v>
      </c>
      <c r="D111" s="934" t="s">
        <v>820</v>
      </c>
      <c r="I111" s="4641" t="s">
        <v>914</v>
      </c>
      <c r="J111" s="4642"/>
      <c r="K111" s="935">
        <v>100</v>
      </c>
      <c r="L111" s="935" t="s">
        <v>820</v>
      </c>
    </row>
    <row r="112" spans="1:22" ht="15.75">
      <c r="B112" s="935" t="s">
        <v>915</v>
      </c>
      <c r="C112" s="919">
        <f>COUNTIF(H8:H108,"A")</f>
        <v>54</v>
      </c>
      <c r="D112" s="920">
        <f>C112/$C$29*100</f>
        <v>4.1763341067285378</v>
      </c>
      <c r="I112" s="4641" t="s">
        <v>915</v>
      </c>
      <c r="J112" s="4642"/>
      <c r="K112" s="919">
        <f>COUNTIF(P8:P108,"A")</f>
        <v>53</v>
      </c>
      <c r="L112" s="920">
        <f>K112/$K$111*100</f>
        <v>53</v>
      </c>
    </row>
    <row r="113" spans="1:17" ht="15.75">
      <c r="B113" s="935" t="s">
        <v>916</v>
      </c>
      <c r="C113" s="919">
        <f>COUNTIF(H8:H108,"B")</f>
        <v>41</v>
      </c>
      <c r="D113" s="920">
        <f>C113/$C$29*100</f>
        <v>3.1709203402938901</v>
      </c>
      <c r="I113" s="4641" t="s">
        <v>916</v>
      </c>
      <c r="J113" s="4642"/>
      <c r="K113" s="919">
        <f>COUNTIF(P8:P108,"B")</f>
        <v>36</v>
      </c>
      <c r="L113" s="920">
        <f>K113/$K$111*100</f>
        <v>36</v>
      </c>
    </row>
    <row r="114" spans="1:17" ht="15.75">
      <c r="B114" s="935" t="s">
        <v>917</v>
      </c>
      <c r="C114" s="919">
        <f>COUNTIF(H8:H108,"C")</f>
        <v>5</v>
      </c>
      <c r="D114" s="920">
        <f>C114/$C$29*100</f>
        <v>0.38669760247486468</v>
      </c>
      <c r="I114" s="4641" t="s">
        <v>917</v>
      </c>
      <c r="J114" s="4642"/>
      <c r="K114" s="919">
        <f>COUNTIF(P8:P108,"C")</f>
        <v>12</v>
      </c>
      <c r="L114" s="920">
        <f>K114/$K$111*100</f>
        <v>12</v>
      </c>
    </row>
    <row r="115" spans="1:17" ht="15.75">
      <c r="B115" s="935" t="s">
        <v>918</v>
      </c>
      <c r="C115" s="919">
        <f>COUNTIF(H8:H108,"D")</f>
        <v>0</v>
      </c>
      <c r="D115" s="920">
        <f>C115/$C$29*100</f>
        <v>0</v>
      </c>
      <c r="I115" s="4641" t="s">
        <v>918</v>
      </c>
      <c r="J115" s="4642"/>
      <c r="K115" s="919">
        <v>0</v>
      </c>
      <c r="L115" s="920">
        <f>K115/$K$111*100</f>
        <v>0</v>
      </c>
    </row>
    <row r="116" spans="1:17">
      <c r="K116" s="4648" t="s">
        <v>992</v>
      </c>
      <c r="L116" s="4648"/>
      <c r="M116" s="4648"/>
      <c r="N116" s="4648"/>
      <c r="O116" s="4648"/>
      <c r="P116" s="4648"/>
      <c r="Q116" s="4648"/>
    </row>
    <row r="117" spans="1:17" ht="14.25">
      <c r="A117" s="4649" t="s">
        <v>919</v>
      </c>
      <c r="B117" s="4649"/>
      <c r="C117" s="4649" t="s">
        <v>920</v>
      </c>
      <c r="D117" s="4649"/>
      <c r="E117" s="4649"/>
      <c r="F117" s="4649"/>
      <c r="G117" s="4649"/>
      <c r="H117" s="4649"/>
      <c r="I117" s="4649"/>
      <c r="J117" s="1086"/>
      <c r="K117" s="4649" t="s">
        <v>921</v>
      </c>
      <c r="L117" s="4649"/>
      <c r="M117" s="4649"/>
      <c r="N117" s="4649" t="s">
        <v>21</v>
      </c>
      <c r="O117" s="4649"/>
      <c r="P117" s="4649"/>
      <c r="Q117" s="4649"/>
    </row>
  </sheetData>
  <mergeCells count="20">
    <mergeCell ref="I113:J113"/>
    <mergeCell ref="I114:J114"/>
    <mergeCell ref="I115:J115"/>
    <mergeCell ref="K116:Q116"/>
    <mergeCell ref="A117:B117"/>
    <mergeCell ref="C117:I117"/>
    <mergeCell ref="K117:M117"/>
    <mergeCell ref="N117:Q117"/>
    <mergeCell ref="I112:J112"/>
    <mergeCell ref="A1:D1"/>
    <mergeCell ref="E1:Q1"/>
    <mergeCell ref="A2:D2"/>
    <mergeCell ref="E2:Q2"/>
    <mergeCell ref="A3:D3"/>
    <mergeCell ref="E3:Q3"/>
    <mergeCell ref="A4:D4"/>
    <mergeCell ref="A5:Q5"/>
    <mergeCell ref="B110:D110"/>
    <mergeCell ref="I110:L110"/>
    <mergeCell ref="I111:J11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36"/>
  <sheetViews>
    <sheetView topLeftCell="A10" workbookViewId="0">
      <selection activeCell="R31" sqref="R31"/>
    </sheetView>
  </sheetViews>
  <sheetFormatPr defaultColWidth="9.140625" defaultRowHeight="16.5"/>
  <cols>
    <col min="1" max="1" width="4.85546875" style="1363" customWidth="1"/>
    <col min="2" max="2" width="21.42578125" style="1363" customWidth="1"/>
    <col min="3" max="3" width="14.28515625" style="1363" customWidth="1"/>
    <col min="4" max="15" width="8" style="1363" customWidth="1"/>
    <col min="16" max="16" width="8.85546875" style="1363" customWidth="1"/>
    <col min="17" max="17" width="7.7109375" style="1363" customWidth="1"/>
    <col min="18" max="18" width="11.7109375" style="1363" customWidth="1"/>
    <col min="19" max="19" width="14.85546875" style="1363" customWidth="1"/>
    <col min="20" max="20" width="13.7109375" style="1363" customWidth="1"/>
    <col min="21" max="16384" width="9.140625" style="1363"/>
  </cols>
  <sheetData>
    <row r="1" spans="1:20">
      <c r="A1" s="4521" t="s">
        <v>1111</v>
      </c>
      <c r="B1" s="4521"/>
      <c r="C1" s="4521"/>
      <c r="D1" s="4521"/>
      <c r="E1" s="4521"/>
      <c r="F1" s="4521"/>
      <c r="G1" s="4521"/>
      <c r="H1" s="4521"/>
      <c r="I1" s="4521"/>
      <c r="J1" s="4521"/>
      <c r="K1" s="4521"/>
      <c r="L1" s="4521"/>
      <c r="M1" s="4521"/>
      <c r="N1" s="4521"/>
      <c r="O1" s="4521"/>
      <c r="P1" s="4521"/>
      <c r="Q1" s="4521"/>
      <c r="R1" s="4521"/>
      <c r="S1" s="4521"/>
      <c r="T1" s="4521"/>
    </row>
    <row r="2" spans="1:20">
      <c r="A2" s="4171" t="s">
        <v>1112</v>
      </c>
      <c r="B2" s="4171"/>
      <c r="C2" s="4171"/>
      <c r="D2" s="4171"/>
      <c r="E2" s="4171"/>
      <c r="F2" s="4171"/>
      <c r="G2" s="4171"/>
      <c r="H2" s="4171"/>
      <c r="I2" s="4171"/>
      <c r="J2" s="4171"/>
      <c r="K2" s="4171"/>
      <c r="L2" s="4171"/>
      <c r="M2" s="4171"/>
      <c r="N2" s="4171"/>
      <c r="O2" s="4171"/>
      <c r="P2" s="4171"/>
      <c r="Q2" s="4171"/>
      <c r="R2" s="4171"/>
      <c r="S2" s="4171"/>
      <c r="T2" s="4171"/>
    </row>
    <row r="3" spans="1:20">
      <c r="A3" s="87"/>
      <c r="B3" s="4521" t="s">
        <v>1113</v>
      </c>
      <c r="C3" s="4521"/>
      <c r="D3" s="4521"/>
      <c r="E3" s="4521"/>
      <c r="F3" s="1364"/>
      <c r="G3" s="1364"/>
      <c r="H3" s="1364"/>
      <c r="I3" s="1364"/>
      <c r="J3" s="1364"/>
      <c r="K3" s="1364"/>
      <c r="L3" s="1364"/>
      <c r="M3" s="1364"/>
      <c r="N3" s="1364"/>
      <c r="O3" s="1364"/>
      <c r="P3" s="1364"/>
      <c r="Q3" s="1364"/>
      <c r="R3" s="1364"/>
      <c r="S3" s="1365"/>
      <c r="T3" s="1365"/>
    </row>
    <row r="4" spans="1:20">
      <c r="A4" s="87"/>
      <c r="B4" s="4171" t="s">
        <v>1114</v>
      </c>
      <c r="C4" s="4171"/>
      <c r="D4" s="4171"/>
      <c r="E4" s="4171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87"/>
      <c r="T4" s="1367"/>
    </row>
    <row r="5" spans="1:20">
      <c r="A5" s="87"/>
      <c r="B5" s="87"/>
      <c r="C5" s="87"/>
      <c r="D5" s="136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4651"/>
      <c r="T5" s="4651"/>
    </row>
    <row r="6" spans="1:20" ht="23.25" customHeight="1">
      <c r="A6" s="4650" t="s">
        <v>1115</v>
      </c>
      <c r="B6" s="4650"/>
      <c r="C6" s="4650"/>
      <c r="D6" s="4650"/>
      <c r="E6" s="4650"/>
      <c r="F6" s="4650"/>
      <c r="G6" s="4650"/>
      <c r="H6" s="4650"/>
      <c r="I6" s="4650"/>
      <c r="J6" s="4650"/>
      <c r="K6" s="4650"/>
      <c r="L6" s="4650"/>
      <c r="M6" s="4650"/>
      <c r="N6" s="4650"/>
      <c r="O6" s="4650"/>
      <c r="P6" s="4650"/>
      <c r="Q6" s="4650"/>
      <c r="R6" s="4650"/>
      <c r="S6" s="4650"/>
      <c r="T6" s="4650"/>
    </row>
    <row r="7" spans="1:20">
      <c r="A7" s="4652" t="s">
        <v>1116</v>
      </c>
      <c r="B7" s="4652"/>
      <c r="C7" s="1369">
        <v>11023</v>
      </c>
      <c r="D7" s="1368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4653"/>
      <c r="T7" s="4653"/>
    </row>
    <row r="8" spans="1:20">
      <c r="A8" s="4652" t="s">
        <v>1117</v>
      </c>
      <c r="B8" s="4652"/>
      <c r="C8" s="1370">
        <v>0.51580000000000004</v>
      </c>
      <c r="D8" s="1368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371"/>
      <c r="S8" s="4654"/>
      <c r="T8" s="4654"/>
    </row>
    <row r="9" spans="1:20">
      <c r="A9" s="87"/>
      <c r="B9" s="1372"/>
      <c r="C9" s="1373"/>
      <c r="D9" s="1368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374"/>
      <c r="T9" s="1374"/>
    </row>
    <row r="10" spans="1:20">
      <c r="A10" s="4154" t="s">
        <v>0</v>
      </c>
      <c r="B10" s="1375"/>
      <c r="C10" s="4356" t="s">
        <v>46</v>
      </c>
      <c r="D10" s="4144" t="s">
        <v>1118</v>
      </c>
      <c r="E10" s="4144" t="s">
        <v>1119</v>
      </c>
      <c r="F10" s="4144" t="s">
        <v>1135</v>
      </c>
      <c r="G10" s="4144" t="s">
        <v>1120</v>
      </c>
      <c r="H10" s="4144" t="s">
        <v>1121</v>
      </c>
      <c r="I10" s="4144" t="s">
        <v>1122</v>
      </c>
      <c r="J10" s="4144" t="s">
        <v>1123</v>
      </c>
      <c r="K10" s="4144" t="s">
        <v>1124</v>
      </c>
      <c r="L10" s="4144" t="s">
        <v>1125</v>
      </c>
      <c r="M10" s="4144" t="s">
        <v>1101</v>
      </c>
      <c r="N10" s="4144" t="s">
        <v>1110</v>
      </c>
      <c r="O10" s="4144" t="s">
        <v>1126</v>
      </c>
      <c r="P10" s="4144" t="s">
        <v>1127</v>
      </c>
      <c r="Q10" s="4144" t="s">
        <v>1128</v>
      </c>
      <c r="R10" s="4144" t="s">
        <v>1129</v>
      </c>
      <c r="S10" s="4664" t="s">
        <v>958</v>
      </c>
      <c r="T10" s="4356" t="s">
        <v>1130</v>
      </c>
    </row>
    <row r="11" spans="1:20">
      <c r="A11" s="4154"/>
      <c r="B11" s="1376" t="s">
        <v>1131</v>
      </c>
      <c r="C11" s="4154"/>
      <c r="D11" s="4144"/>
      <c r="E11" s="4144"/>
      <c r="F11" s="4144"/>
      <c r="G11" s="4144"/>
      <c r="H11" s="4144"/>
      <c r="I11" s="4144"/>
      <c r="J11" s="4144"/>
      <c r="K11" s="4144"/>
      <c r="L11" s="4144"/>
      <c r="M11" s="4144"/>
      <c r="N11" s="4144"/>
      <c r="O11" s="4144"/>
      <c r="P11" s="4144"/>
      <c r="Q11" s="4144"/>
      <c r="R11" s="4144"/>
      <c r="S11" s="4665"/>
      <c r="T11" s="4154"/>
    </row>
    <row r="12" spans="1:20">
      <c r="A12" s="4660" t="s">
        <v>1132</v>
      </c>
      <c r="B12" s="4661"/>
      <c r="C12" s="1377"/>
      <c r="D12" s="1430">
        <f>+SUBTOTAL(9,D13:D25)</f>
        <v>3915.5755046068139</v>
      </c>
      <c r="E12" s="1430">
        <f t="shared" ref="E12:O12" si="0">+SUBTOTAL(9,E13:E25)</f>
        <v>4014.9994611930724</v>
      </c>
      <c r="F12" s="1430">
        <f t="shared" si="0"/>
        <v>3964.1389607905644</v>
      </c>
      <c r="G12" s="1430">
        <f t="shared" si="0"/>
        <v>4170</v>
      </c>
      <c r="H12" s="1430">
        <f t="shared" si="0"/>
        <v>4469.2656162642943</v>
      </c>
      <c r="I12" s="1430">
        <f t="shared" si="0"/>
        <v>5646.4930294997448</v>
      </c>
      <c r="J12" s="1430">
        <f t="shared" si="0"/>
        <v>5482.4018051196217</v>
      </c>
      <c r="K12" s="1430">
        <f t="shared" si="0"/>
        <v>5528.0328837936413</v>
      </c>
      <c r="L12" s="1430">
        <f t="shared" si="0"/>
        <v>5560.9353034089781</v>
      </c>
      <c r="M12" s="1430">
        <f t="shared" si="0"/>
        <v>5548.8145623547634</v>
      </c>
      <c r="N12" s="1430">
        <f t="shared" si="0"/>
        <v>5946.9140646587457</v>
      </c>
      <c r="O12" s="1430" t="e">
        <f t="shared" si="0"/>
        <v>#N/A</v>
      </c>
      <c r="P12" s="1430" t="e">
        <f>+SUBTOTAL(9,P13:P25)</f>
        <v>#N/A</v>
      </c>
      <c r="Q12" s="1430">
        <f>+SUBTOTAL(9,Q13:Q25)</f>
        <v>142</v>
      </c>
      <c r="R12" s="1430" t="e">
        <f>+SUBTOTAL(9,R13:R25)</f>
        <v>#N/A</v>
      </c>
      <c r="S12" s="1430" t="e">
        <f>+SUBTOTAL(9,S13:S25)</f>
        <v>#N/A</v>
      </c>
      <c r="T12" s="1378"/>
    </row>
    <row r="13" spans="1:20">
      <c r="A13" s="1379">
        <v>1</v>
      </c>
      <c r="B13" s="1380" t="s">
        <v>132</v>
      </c>
      <c r="C13" s="1380" t="s">
        <v>962</v>
      </c>
      <c r="D13" s="1402">
        <f>+VLOOKUP(B13,'[12]LƯƠNG USD NGƯỜI VIỆT'!$B$16:$G$28,6,0)</f>
        <v>900</v>
      </c>
      <c r="E13" s="1402">
        <f>+VLOOKUP(B13,'[13]LƯƠNG USD NGƯỜI VIỆT'!$B$16:$G$28,6,0)</f>
        <v>900</v>
      </c>
      <c r="F13" s="1402">
        <f>+VLOOKUP(B13,'[14]LƯƠNG USD NGƯỜI VIỆT'!$B$16:$G$27,6,0)</f>
        <v>900</v>
      </c>
      <c r="G13" s="1402">
        <f>+VLOOKUP(B13,'[15]LƯƠNG USD NGƯỜI VIỆT'!$B$16:$G$24,6,0)</f>
        <v>900</v>
      </c>
      <c r="H13" s="1402">
        <f>+VLOOKUP(B13,'[16]LƯƠNG USD NGƯỜI VIỆT'!$B$16:$G$25,6,0)</f>
        <v>900</v>
      </c>
      <c r="I13" s="1402">
        <f>+VLOOKUP(B13,'[17]LƯƠNG USD NGƯỜI VIỆT'!$B$16:$G$27,6,0)</f>
        <v>900</v>
      </c>
      <c r="J13" s="1402">
        <f>+VLOOKUP(B13,'[18]LƯƠNG USD NGƯỜI VIỆT'!$B$16:$G$27,6,0)</f>
        <v>900</v>
      </c>
      <c r="K13" s="1402">
        <f>+VLOOKUP(B13,'[19]LƯƠNG USD NGƯỜI VIỆT'!$B$16:$G$26,6,0)</f>
        <v>900</v>
      </c>
      <c r="L13" s="1402">
        <f>+VLOOKUP(B13,'[20]LƯƠNG USD NGƯỜI VIỆT'!$B$16:$G$27,6,0)</f>
        <v>900</v>
      </c>
      <c r="M13" s="1402">
        <f>+VLOOKUP(B13,'[21]LƯƠNG USD NGƯỜI VIỆT'!$B$16:$G$27,6,0)</f>
        <v>900</v>
      </c>
      <c r="N13" s="1402">
        <f>+VLOOKUP(B13,'[22]LƯƠNG USD NGƯỜI VIỆT'!$B$16:$G$28,6,0)</f>
        <v>900</v>
      </c>
      <c r="O13" s="1402" t="e">
        <f>+VLOOKUP(B13,'LƯƠNG USD NGƯỜI VIỆT'!B17:F27,6,0)</f>
        <v>#N/A</v>
      </c>
      <c r="P13" s="1390" t="e">
        <f>+ROUND(AVERAGE(D13:O13),1)</f>
        <v>#N/A</v>
      </c>
      <c r="Q13" s="1390">
        <f>COUNTA(D13:O13)</f>
        <v>12</v>
      </c>
      <c r="R13" s="1431" t="e">
        <f>(P13*Q13*3/12)</f>
        <v>#N/A</v>
      </c>
      <c r="S13" s="1431" t="e">
        <f>+R13</f>
        <v>#N/A</v>
      </c>
      <c r="T13" s="1416"/>
    </row>
    <row r="14" spans="1:20">
      <c r="A14" s="1381">
        <v>2</v>
      </c>
      <c r="B14" s="1382" t="s">
        <v>968</v>
      </c>
      <c r="C14" s="1383" t="s">
        <v>952</v>
      </c>
      <c r="D14" s="1404">
        <f>+VLOOKUP(B14,'[12]LƯƠNG USD NGƯỜI VIỆT'!$B$16:$G$28,6,0)</f>
        <v>450</v>
      </c>
      <c r="E14" s="1404">
        <f>+VLOOKUP(B14,'[13]LƯƠNG USD NGƯỜI VIỆT'!$B$16:$G$28,6,0)</f>
        <v>550</v>
      </c>
      <c r="F14" s="1404">
        <f>+VLOOKUP(B14,'[14]LƯƠNG USD NGƯỜI VIỆT'!$B$16:$G$27,6,0)</f>
        <v>500</v>
      </c>
      <c r="G14" s="1404">
        <f>+VLOOKUP(B14,'[15]LƯƠNG USD NGƯỜI VIỆT'!$B$16:$G$24,6,0)</f>
        <v>500</v>
      </c>
      <c r="H14" s="1404">
        <f>+VLOOKUP(B14,'[16]LƯƠNG USD NGƯỜI VIỆT'!$B$16:$G$25,6,0)</f>
        <v>500</v>
      </c>
      <c r="I14" s="1404">
        <f>+VLOOKUP(B14,'[17]LƯƠNG USD NGƯỜI VIỆT'!$B$16:$G$27,6,0)</f>
        <v>500</v>
      </c>
      <c r="J14" s="1417">
        <f>+VLOOKUP(B14,'[18]LƯƠNG USD NGƯỜI VIỆT'!$B$16:$G$27,6,0)</f>
        <v>301.06430913022251</v>
      </c>
      <c r="K14" s="1418">
        <f>+VLOOKUP(B14,'[19]LƯƠNG USD NGƯỜI VIỆT'!$B$16:$G$26,6,0)</f>
        <v>217.85158936946326</v>
      </c>
      <c r="L14" s="1418">
        <f>+VLOOKUP(B14,'[20]LƯƠNG USD NGƯỜI VIỆT'!$B$16:$G$27,6,0)</f>
        <v>211.40777766669999</v>
      </c>
      <c r="M14" s="1418">
        <f>+VLOOKUP(B14,'[21]LƯƠNG USD NGƯỜI VIỆT'!$B$16:$G$27,6,0)</f>
        <v>206.83965917893107</v>
      </c>
      <c r="N14" s="1418">
        <f>+VLOOKUP(B14,'[22]LƯƠNG USD NGƯỜI VIỆT'!$B$16:$G$28,6,0)</f>
        <v>196.9140646587455</v>
      </c>
      <c r="O14" s="1404" t="e">
        <f>+VLOOKUP(B14,'LƯƠNG USD NGƯỜI VIỆT'!B19:F29,6,0)</f>
        <v>#N/A</v>
      </c>
      <c r="P14" s="1392" t="e">
        <f t="shared" ref="P14:P25" si="1">+ROUND(AVERAGE(D14:O14),1)</f>
        <v>#N/A</v>
      </c>
      <c r="Q14" s="1392">
        <f t="shared" ref="Q14:Q25" si="2">COUNTA(D14:O14)</f>
        <v>12</v>
      </c>
      <c r="R14" s="1432" t="e">
        <f t="shared" ref="R14:R25" si="3">(P14*Q14*3/12)</f>
        <v>#N/A</v>
      </c>
      <c r="S14" s="1432" t="e">
        <f t="shared" ref="S14:S25" si="4">+R14</f>
        <v>#N/A</v>
      </c>
      <c r="T14" s="1419"/>
    </row>
    <row r="15" spans="1:20">
      <c r="A15" s="1381">
        <v>3</v>
      </c>
      <c r="B15" s="1383" t="s">
        <v>533</v>
      </c>
      <c r="C15" s="1383" t="s">
        <v>535</v>
      </c>
      <c r="D15" s="1404">
        <f>+VLOOKUP(B15,'[12]LƯƠNG USD NGƯỜI VIỆT'!$B$16:$G$28,6,0)</f>
        <v>500</v>
      </c>
      <c r="E15" s="1404">
        <f>+VLOOKUP(B15,'[13]LƯƠNG USD NGƯỜI VIỆT'!$B$16:$G$28,6,0)</f>
        <v>500</v>
      </c>
      <c r="F15" s="1404">
        <f>+VLOOKUP(B15,'[14]LƯƠNG USD NGƯỜI VIỆT'!$B$16:$G$27,6,0)</f>
        <v>500</v>
      </c>
      <c r="G15" s="1404">
        <f>+VLOOKUP(B15,'[15]LƯƠNG USD NGƯỜI VIỆT'!$B$16:$G$24,6,0)</f>
        <v>500</v>
      </c>
      <c r="H15" s="1404">
        <f>+VLOOKUP(B15,'[16]LƯƠNG USD NGƯỜI VIỆT'!$B$16:$G$25,6,0)</f>
        <v>500</v>
      </c>
      <c r="I15" s="1404">
        <f>+VLOOKUP(B15,'[17]LƯƠNG USD NGƯỜI VIỆT'!$B$16:$G$27,6,0)</f>
        <v>500</v>
      </c>
      <c r="J15" s="1404">
        <f>+VLOOKUP(B15,'[18]LƯƠNG USD NGƯỜI VIỆT'!$B$16:$G$27,6,0)</f>
        <v>500</v>
      </c>
      <c r="K15" s="1404">
        <f>+VLOOKUP(B15,'[19]LƯƠNG USD NGƯỜI VIỆT'!$B$16:$G$26,6,0)</f>
        <v>500</v>
      </c>
      <c r="L15" s="1404">
        <f>+VLOOKUP(B15,'[20]LƯƠNG USD NGƯỜI VIỆT'!$B$16:$G$27,6,0)</f>
        <v>500</v>
      </c>
      <c r="M15" s="1404">
        <f>+VLOOKUP(B15,'[21]LƯƠNG USD NGƯỜI VIỆT'!$B$16:$G$27,6,0)</f>
        <v>500</v>
      </c>
      <c r="N15" s="1404">
        <f>+VLOOKUP(B15,'[22]LƯƠNG USD NGƯỜI VIỆT'!$B$16:$G$28,6,0)</f>
        <v>500</v>
      </c>
      <c r="O15" s="1404" t="e">
        <f>+VLOOKUP(B15,'LƯƠNG USD NGƯỜI VIỆT'!B20:F30,6,0)</f>
        <v>#REF!</v>
      </c>
      <c r="P15" s="1392" t="e">
        <f t="shared" si="1"/>
        <v>#REF!</v>
      </c>
      <c r="Q15" s="1392">
        <f t="shared" si="2"/>
        <v>12</v>
      </c>
      <c r="R15" s="1432" t="e">
        <f t="shared" si="3"/>
        <v>#REF!</v>
      </c>
      <c r="S15" s="1432" t="e">
        <f t="shared" si="4"/>
        <v>#REF!</v>
      </c>
      <c r="T15" s="1419"/>
    </row>
    <row r="16" spans="1:20">
      <c r="A16" s="1381">
        <v>4</v>
      </c>
      <c r="B16" s="1383" t="s">
        <v>1013</v>
      </c>
      <c r="C16" s="1383" t="s">
        <v>1014</v>
      </c>
      <c r="D16" s="1418"/>
      <c r="E16" s="1418"/>
      <c r="F16" s="1418"/>
      <c r="G16" s="1418"/>
      <c r="H16" s="1404">
        <f>+VLOOKUP(B16,'[16]LƯƠNG USD NGƯỜI VIỆT'!$B$16:$G$25,6,0)</f>
        <v>500</v>
      </c>
      <c r="I16" s="1404">
        <f>+VLOOKUP(B16,'[17]LƯƠNG USD NGƯỜI VIỆT'!$B$16:$G$27,6,0)</f>
        <v>500</v>
      </c>
      <c r="J16" s="1404">
        <f>+VLOOKUP(B16,'[18]LƯƠNG USD NGƯỜI VIỆT'!$B$16:$G$27,6,0)</f>
        <v>500</v>
      </c>
      <c r="K16" s="1404">
        <f>+VLOOKUP(B16,'[19]LƯƠNG USD NGƯỜI VIỆT'!$B$16:$G$26,6,0)</f>
        <v>500</v>
      </c>
      <c r="L16" s="1404">
        <f>+VLOOKUP(B16,'[20]LƯƠNG USD NGƯỜI VIỆT'!$B$16:$G$27,6,0)</f>
        <v>500</v>
      </c>
      <c r="M16" s="1404">
        <f>+VLOOKUP(B16,'[21]LƯƠNG USD NGƯỜI VIỆT'!$B$16:$G$27,6,0)</f>
        <v>500</v>
      </c>
      <c r="N16" s="1404">
        <f>+VLOOKUP(B16,'[22]LƯƠNG USD NGƯỜI VIỆT'!$B$16:$G$28,6,0)</f>
        <v>500</v>
      </c>
      <c r="O16" s="1404" t="e">
        <f>+VLOOKUP(B16,'LƯƠNG USD NGƯỜI VIỆT'!B21:F31,6,0)</f>
        <v>#REF!</v>
      </c>
      <c r="P16" s="1392" t="e">
        <f t="shared" si="1"/>
        <v>#REF!</v>
      </c>
      <c r="Q16" s="1392">
        <f>COUNTA(D16:O16)</f>
        <v>8</v>
      </c>
      <c r="R16" s="1432" t="e">
        <f t="shared" si="3"/>
        <v>#REF!</v>
      </c>
      <c r="S16" s="1432" t="e">
        <f t="shared" si="4"/>
        <v>#REF!</v>
      </c>
      <c r="T16" s="1419"/>
    </row>
    <row r="17" spans="1:20">
      <c r="A17" s="1381">
        <v>5</v>
      </c>
      <c r="B17" s="1383" t="s">
        <v>541</v>
      </c>
      <c r="C17" s="1383" t="s">
        <v>52</v>
      </c>
      <c r="D17" s="1420">
        <f>+VLOOKUP(B17,'[12]LƯƠNG USD NGƯỜI VIỆT'!$B$16:$G$28,6,0)</f>
        <v>175.57550460681381</v>
      </c>
      <c r="E17" s="1420">
        <f>+VLOOKUP(B17,'[13]LƯƠNG USD NGƯỜI VIỆT'!$B$16:$G$28,6,0)</f>
        <v>174.99946119307248</v>
      </c>
      <c r="F17" s="1417">
        <f>+VLOOKUP(B17,'[14]LƯƠNG USD NGƯỜI VIỆT'!$B$16:$G$27,6,0)</f>
        <v>174.13896079056423</v>
      </c>
      <c r="G17" s="1404">
        <f>+VLOOKUP(B17,'[15]LƯƠNG USD NGƯỜI VIỆT'!$B$16:$G$24,6,0)</f>
        <v>380</v>
      </c>
      <c r="H17" s="1404">
        <f>+VLOOKUP(B17,'[16]LƯƠNG USD NGƯỜI VIỆT'!$B$16:$G$25,6,0)</f>
        <v>380</v>
      </c>
      <c r="I17" s="1404">
        <f>+VLOOKUP(B17,'[17]LƯƠNG USD NGƯỜI VIỆT'!$B$16:$G$27,6,0)</f>
        <v>380</v>
      </c>
      <c r="J17" s="1404">
        <f>+VLOOKUP(B17,'[18]LƯƠNG USD NGƯỜI VIỆT'!$B$16:$G$27,6,0)</f>
        <v>380</v>
      </c>
      <c r="K17" s="1404">
        <f>+VLOOKUP(B17,'[19]LƯƠNG USD NGƯỜI VIỆT'!$B$16:$G$26,6,0)</f>
        <v>380</v>
      </c>
      <c r="L17" s="1404">
        <f>+VLOOKUP(B17,'[20]LƯƠNG USD NGƯỜI VIỆT'!$B$16:$G$27,6,0)</f>
        <v>380</v>
      </c>
      <c r="M17" s="1404">
        <f>+VLOOKUP(B17,'[21]LƯƠNG USD NGƯỜI VIỆT'!$B$16:$G$27,6,0)</f>
        <v>380</v>
      </c>
      <c r="N17" s="1404">
        <f>+VLOOKUP(B17,'[22]LƯƠNG USD NGƯỜI VIỆT'!$B$16:$G$28,6,0)</f>
        <v>380</v>
      </c>
      <c r="O17" s="1404" t="e">
        <f>+VLOOKUP(B17,'LƯƠNG USD NGƯỜI VIỆT'!B23:F31,6,0)</f>
        <v>#REF!</v>
      </c>
      <c r="P17" s="1392" t="e">
        <f t="shared" si="1"/>
        <v>#REF!</v>
      </c>
      <c r="Q17" s="1392">
        <f t="shared" si="2"/>
        <v>12</v>
      </c>
      <c r="R17" s="1432" t="e">
        <f t="shared" si="3"/>
        <v>#REF!</v>
      </c>
      <c r="S17" s="1432" t="e">
        <f t="shared" si="4"/>
        <v>#REF!</v>
      </c>
      <c r="T17" s="1419"/>
    </row>
    <row r="18" spans="1:20">
      <c r="A18" s="1381">
        <v>6</v>
      </c>
      <c r="B18" s="1383" t="s">
        <v>467</v>
      </c>
      <c r="C18" s="1383" t="s">
        <v>469</v>
      </c>
      <c r="D18" s="1404">
        <f>+VLOOKUP(B18,'[12]LƯƠNG USD NGƯỜI VIỆT'!$B$16:$G$28,6,0)</f>
        <v>470</v>
      </c>
      <c r="E18" s="1404">
        <f>+VLOOKUP(B18,'[13]LƯƠNG USD NGƯỜI VIỆT'!$B$16:$G$28,6,0)</f>
        <v>470</v>
      </c>
      <c r="F18" s="1404">
        <f>+VLOOKUP(B18,'[14]LƯƠNG USD NGƯỜI VIỆT'!$B$16:$G$27,6,0)</f>
        <v>470</v>
      </c>
      <c r="G18" s="1404">
        <f>+VLOOKUP(B18,'[15]LƯƠNG USD NGƯỜI VIỆT'!$B$16:$G$24,6,0)</f>
        <v>470</v>
      </c>
      <c r="H18" s="1404">
        <f>+VLOOKUP(B18,'[16]LƯƠNG USD NGƯỜI VIỆT'!$B$16:$G$25,6,0)</f>
        <v>470</v>
      </c>
      <c r="I18" s="1404">
        <f>+VLOOKUP(B18,'[17]LƯƠNG USD NGƯỜI VIỆT'!$B$16:$G$27,6,0)</f>
        <v>470</v>
      </c>
      <c r="J18" s="1404">
        <f>+VLOOKUP(B18,'[18]LƯƠNG USD NGƯỜI VIỆT'!$B$16:$G$27,6,0)</f>
        <v>470</v>
      </c>
      <c r="K18" s="1404">
        <f>+VLOOKUP(B18,'[19]LƯƠNG USD NGƯỜI VIỆT'!$B$16:$G$26,6,0)</f>
        <v>470</v>
      </c>
      <c r="L18" s="1404">
        <f>+VLOOKUP(B18,'[20]LƯƠNG USD NGƯỜI VIỆT'!$B$16:$G$27,6,0)</f>
        <v>470</v>
      </c>
      <c r="M18" s="1404">
        <f>+VLOOKUP(B18,'[21]LƯƠNG USD NGƯỜI VIỆT'!$B$16:$G$27,6,0)</f>
        <v>470</v>
      </c>
      <c r="N18" s="1404">
        <f>+VLOOKUP(B18,'[22]LƯƠNG USD NGƯỜI VIỆT'!$B$16:$G$28,6,0)</f>
        <v>470</v>
      </c>
      <c r="O18" s="1404" t="e">
        <f>+VLOOKUP(B18,'LƯƠNG USD NGƯỜI VIỆT'!B24:F32,6,0)</f>
        <v>#N/A</v>
      </c>
      <c r="P18" s="1392" t="e">
        <f t="shared" si="1"/>
        <v>#N/A</v>
      </c>
      <c r="Q18" s="1392">
        <f t="shared" si="2"/>
        <v>12</v>
      </c>
      <c r="R18" s="1432" t="e">
        <f t="shared" si="3"/>
        <v>#N/A</v>
      </c>
      <c r="S18" s="1432" t="e">
        <f t="shared" si="4"/>
        <v>#N/A</v>
      </c>
      <c r="T18" s="1419"/>
    </row>
    <row r="19" spans="1:20">
      <c r="A19" s="1381">
        <v>7</v>
      </c>
      <c r="B19" s="1383" t="s">
        <v>308</v>
      </c>
      <c r="C19" s="1383" t="s">
        <v>53</v>
      </c>
      <c r="D19" s="1420">
        <f>+VLOOKUP(B19,'[12]LƯƠNG USD NGƯỜI VIỆT'!$B$16:$G$28,6,0)</f>
        <v>350</v>
      </c>
      <c r="E19" s="1420">
        <f>+VLOOKUP(B19,'[13]LƯƠNG USD NGƯỜI VIỆT'!$B$16:$G$28,6,0)</f>
        <v>350</v>
      </c>
      <c r="F19" s="1420">
        <f>+VLOOKUP(B19,'[14]LƯƠNG USD NGƯỜI VIỆT'!$B$16:$G$27,6,0)</f>
        <v>350</v>
      </c>
      <c r="G19" s="1420">
        <f>+VLOOKUP(B19,'[15]LƯƠNG USD NGƯỜI VIỆT'!$B$16:$G$24,6,0)</f>
        <v>350</v>
      </c>
      <c r="H19" s="1420">
        <f>+VLOOKUP(B19,'[16]LƯƠNG USD NGƯỜI VIỆT'!$B$16:$G$25,6,0)</f>
        <v>149.26561626429478</v>
      </c>
      <c r="I19" s="1420">
        <f>+VLOOKUP(B19,'[17]LƯƠNG USD NGƯỜI VIỆT'!$B$16:$G$27,6,0)</f>
        <v>149.56995257666773</v>
      </c>
      <c r="J19" s="1404">
        <f>+VLOOKUP(B19,'[18]LƯƠNG USD NGƯỜI VIỆT'!$B$16:$G$27,6,0)</f>
        <v>142.32682988072818</v>
      </c>
      <c r="K19" s="1404">
        <f>+VLOOKUP(B19,'[19]LƯƠNG USD NGƯỜI VIỆT'!$B$16:$G$26,6,0)</f>
        <v>168.47189577905161</v>
      </c>
      <c r="L19" s="1404">
        <f>+VLOOKUP(B19,'[20]LƯƠNG USD NGƯỜI VIỆT'!$B$16:$G$27,6,0)</f>
        <v>163.48868139558132</v>
      </c>
      <c r="M19" s="1404">
        <f>+VLOOKUP(B19,'[21]LƯƠNG USD NGƯỜI VIỆT'!$B$16:$G$27,6,0)</f>
        <v>159.95600309837337</v>
      </c>
      <c r="N19" s="1404">
        <f>+VLOOKUP(B19,'[22]LƯƠNG USD NGƯỜI VIỆT'!$B$16:$G$28,6,0)</f>
        <v>350</v>
      </c>
      <c r="O19" s="1404" t="e">
        <f>+VLOOKUP(B19,'LƯƠNG USD NGƯỜI VIỆT'!B24:F32,6,0)</f>
        <v>#REF!</v>
      </c>
      <c r="P19" s="1392" t="e">
        <f t="shared" si="1"/>
        <v>#REF!</v>
      </c>
      <c r="Q19" s="1392">
        <f t="shared" si="2"/>
        <v>12</v>
      </c>
      <c r="R19" s="1432" t="e">
        <f t="shared" si="3"/>
        <v>#REF!</v>
      </c>
      <c r="S19" s="1432" t="e">
        <f t="shared" si="4"/>
        <v>#REF!</v>
      </c>
      <c r="T19" s="1419"/>
    </row>
    <row r="20" spans="1:20">
      <c r="A20" s="1381">
        <v>8</v>
      </c>
      <c r="B20" s="1383" t="s">
        <v>32</v>
      </c>
      <c r="C20" s="1383" t="s">
        <v>53</v>
      </c>
      <c r="D20" s="1404">
        <f>+VLOOKUP(B20,'[12]LƯƠNG USD NGƯỜI VIỆT'!$B$16:$G$28,6,0)</f>
        <v>350</v>
      </c>
      <c r="E20" s="1404">
        <f>+VLOOKUP(B20,'[13]LƯƠNG USD NGƯỜI VIỆT'!$B$16:$G$28,6,0)</f>
        <v>350</v>
      </c>
      <c r="F20" s="1404">
        <f>+VLOOKUP(B20,'[14]LƯƠNG USD NGƯỜI VIỆT'!$B$16:$G$27,6,0)</f>
        <v>350</v>
      </c>
      <c r="G20" s="1404">
        <f>+VLOOKUP(B20,'[15]LƯƠNG USD NGƯỜI VIỆT'!$B$16:$G$24,6,0)</f>
        <v>350</v>
      </c>
      <c r="H20" s="1404">
        <f>+VLOOKUP(B20,'[16]LƯƠNG USD NGƯỜI VIỆT'!$B$16:$G$25,6,0)</f>
        <v>350</v>
      </c>
      <c r="I20" s="1404">
        <f>+VLOOKUP(B20,'[17]LƯƠNG USD NGƯỜI VIỆT'!$B$16:$G$27,6,0)</f>
        <v>350</v>
      </c>
      <c r="J20" s="1404">
        <f>+VLOOKUP(B20,'[18]LƯƠNG USD NGƯỜI VIỆT'!$B$16:$G$27,6,0)</f>
        <v>350</v>
      </c>
      <c r="K20" s="1404">
        <f>+VLOOKUP(B20,'[19]LƯƠNG USD NGƯỜI VIỆT'!$B$16:$G$26,6,0)</f>
        <v>350</v>
      </c>
      <c r="L20" s="1404">
        <f>+VLOOKUP(B20,'[20]LƯƠNG USD NGƯỜI VIỆT'!$B$16:$G$27,6,0)</f>
        <v>350</v>
      </c>
      <c r="M20" s="1404">
        <f>+VLOOKUP(B20,'[21]LƯƠNG USD NGƯỜI VIỆT'!$B$16:$G$27,6,0)</f>
        <v>350</v>
      </c>
      <c r="N20" s="1404">
        <f>+VLOOKUP(B20,'[22]LƯƠNG USD NGƯỜI VIỆT'!$B$16:$G$28,6,0)</f>
        <v>350</v>
      </c>
      <c r="O20" s="1404" t="e">
        <f>+VLOOKUP(B20,'LƯƠNG USD NGƯỜI VIỆT'!B25:F34,6,0)</f>
        <v>#REF!</v>
      </c>
      <c r="P20" s="1392" t="e">
        <f t="shared" si="1"/>
        <v>#REF!</v>
      </c>
      <c r="Q20" s="1392">
        <f t="shared" si="2"/>
        <v>12</v>
      </c>
      <c r="R20" s="1432" t="e">
        <f t="shared" si="3"/>
        <v>#REF!</v>
      </c>
      <c r="S20" s="1432" t="e">
        <f t="shared" si="4"/>
        <v>#REF!</v>
      </c>
      <c r="T20" s="1419"/>
    </row>
    <row r="21" spans="1:20">
      <c r="A21" s="1381">
        <v>9</v>
      </c>
      <c r="B21" s="1384" t="s">
        <v>967</v>
      </c>
      <c r="C21" s="1383" t="s">
        <v>52</v>
      </c>
      <c r="D21" s="1404">
        <f>+VLOOKUP(B21,'[12]LƯƠNG USD NGƯỜI VIỆT'!$B$16:$G$28,6,0)</f>
        <v>350</v>
      </c>
      <c r="E21" s="1404">
        <f>+VLOOKUP(B21,'[13]LƯƠNG USD NGƯỜI VIỆT'!$B$16:$G$28,6,0)</f>
        <v>350</v>
      </c>
      <c r="F21" s="1404">
        <f>+VLOOKUP(B21,'[14]LƯƠNG USD NGƯỜI VIỆT'!$B$16:$G$27,6,0)</f>
        <v>350</v>
      </c>
      <c r="G21" s="1404">
        <f>+VLOOKUP(B21,'[15]LƯƠNG USD NGƯỜI VIỆT'!$B$16:$G$24,6,0)</f>
        <v>350</v>
      </c>
      <c r="H21" s="1404">
        <f>+VLOOKUP(B21,'[16]LƯƠNG USD NGƯỜI VIỆT'!$B$16:$G$25,6,0)</f>
        <v>350</v>
      </c>
      <c r="I21" s="1404">
        <f>+VLOOKUP(B21,'[17]LƯƠNG USD NGƯỜI VIỆT'!$B$16:$G$27,6,0)</f>
        <v>400</v>
      </c>
      <c r="J21" s="1404">
        <f>+VLOOKUP(B21,'[18]LƯƠNG USD NGƯỜI VIỆT'!$B$16:$G$27,6,0)</f>
        <v>400</v>
      </c>
      <c r="K21" s="1404">
        <f>+VLOOKUP(B21,'[19]LƯƠNG USD NGƯỜI VIỆT'!$B$16:$G$26,6,0)</f>
        <v>400</v>
      </c>
      <c r="L21" s="1404">
        <f>+VLOOKUP(B21,'[20]LƯƠNG USD NGƯỜI VIỆT'!$B$16:$G$27,6,0)</f>
        <v>400</v>
      </c>
      <c r="M21" s="1404">
        <f>+VLOOKUP(B21,'[21]LƯƠNG USD NGƯỜI VIỆT'!$B$16:$G$27,6,0)</f>
        <v>400</v>
      </c>
      <c r="N21" s="1404">
        <f>+VLOOKUP(B21,'[22]LƯƠNG USD NGƯỜI VIỆT'!$B$16:$G$28,6,0)</f>
        <v>400</v>
      </c>
      <c r="O21" s="1404" t="e">
        <f>+VLOOKUP(B21,'LƯƠNG USD NGƯỜI VIỆT'!B27:F35,6,0)</f>
        <v>#N/A</v>
      </c>
      <c r="P21" s="1392" t="e">
        <f t="shared" si="1"/>
        <v>#N/A</v>
      </c>
      <c r="Q21" s="1392">
        <f t="shared" si="2"/>
        <v>12</v>
      </c>
      <c r="R21" s="1432" t="e">
        <f t="shared" si="3"/>
        <v>#N/A</v>
      </c>
      <c r="S21" s="1432" t="e">
        <f t="shared" si="4"/>
        <v>#N/A</v>
      </c>
      <c r="T21" s="1391"/>
    </row>
    <row r="22" spans="1:20">
      <c r="A22" s="1381">
        <v>10</v>
      </c>
      <c r="B22" s="1384" t="s">
        <v>1091</v>
      </c>
      <c r="C22" s="1383" t="s">
        <v>1096</v>
      </c>
      <c r="D22" s="1418"/>
      <c r="E22" s="1418"/>
      <c r="F22" s="1418"/>
      <c r="G22" s="1418"/>
      <c r="H22" s="1418"/>
      <c r="I22" s="1421">
        <f>+VLOOKUP(B22,'[17]LƯƠNG USD NGƯỜI VIỆT'!$B$16:$G$27,6,0)</f>
        <v>600</v>
      </c>
      <c r="J22" s="1404">
        <f>+VLOOKUP(B22,'[18]LƯƠNG USD NGƯỜI VIỆT'!$B$16:$G$27,6,0)</f>
        <v>600</v>
      </c>
      <c r="K22" s="1404">
        <f>+VLOOKUP(B22,'[19]LƯƠNG USD NGƯỜI VIỆT'!$B$16:$G$26,6,0)</f>
        <v>750</v>
      </c>
      <c r="L22" s="1404">
        <f>+VLOOKUP(B22,'[20]LƯƠNG USD NGƯỜI VIỆT'!$B$16:$G$27,6,0)</f>
        <v>750</v>
      </c>
      <c r="M22" s="1404">
        <f>+VLOOKUP(B22,'[21]LƯƠNG USD NGƯỜI VIỆT'!$B$16:$G$27,6,0)</f>
        <v>750</v>
      </c>
      <c r="N22" s="1404">
        <f>+VLOOKUP(B22,'[22]LƯƠNG USD NGƯỜI VIỆT'!$B$16:$G$28,6,0)</f>
        <v>750</v>
      </c>
      <c r="O22" s="1404" t="e">
        <f>+VLOOKUP(B22,'LƯƠNG USD NGƯỜI VIỆT'!B18:F36,6,0)</f>
        <v>#N/A</v>
      </c>
      <c r="P22" s="1392" t="e">
        <f t="shared" si="1"/>
        <v>#N/A</v>
      </c>
      <c r="Q22" s="1392">
        <f t="shared" si="2"/>
        <v>7</v>
      </c>
      <c r="R22" s="1432" t="e">
        <f t="shared" si="3"/>
        <v>#N/A</v>
      </c>
      <c r="S22" s="1432" t="e">
        <f t="shared" si="4"/>
        <v>#N/A</v>
      </c>
      <c r="T22" s="1391"/>
    </row>
    <row r="23" spans="1:20">
      <c r="A23" s="1381">
        <v>11</v>
      </c>
      <c r="B23" s="1384" t="s">
        <v>1092</v>
      </c>
      <c r="C23" s="1383" t="s">
        <v>60</v>
      </c>
      <c r="D23" s="1418"/>
      <c r="E23" s="1418"/>
      <c r="F23" s="1418"/>
      <c r="G23" s="1418"/>
      <c r="H23" s="1418"/>
      <c r="I23" s="1421">
        <f>+VLOOKUP(B23,'[17]LƯƠNG USD NGƯỜI VIỆT'!$B$16:$G$27,6,0)</f>
        <v>400</v>
      </c>
      <c r="J23" s="1404">
        <f>+VLOOKUP(B23,'[18]LƯƠNG USD NGƯỜI VIỆT'!$B$16:$G$27,6,0)</f>
        <v>400</v>
      </c>
      <c r="K23" s="1404">
        <f>+VLOOKUP(B23,'[19]LƯƠNG USD NGƯỜI VIỆT'!$B$16:$G$26,6,0)</f>
        <v>400</v>
      </c>
      <c r="L23" s="1404">
        <f>+VLOOKUP(B23,'[20]LƯƠNG USD NGƯỜI VIỆT'!$B$16:$G$27,6,0)</f>
        <v>400</v>
      </c>
      <c r="M23" s="1404">
        <f>+VLOOKUP(B23,'[21]LƯƠNG USD NGƯỜI VIỆT'!$B$16:$G$27,6,0)</f>
        <v>400</v>
      </c>
      <c r="N23" s="1404">
        <f>+VLOOKUP(B23,'[22]LƯƠNG USD NGƯỜI VIỆT'!$B$16:$G$28,6,0)</f>
        <v>400</v>
      </c>
      <c r="O23" s="1404" t="e">
        <f>+VLOOKUP(B23,'LƯƠNG USD NGƯỜI VIỆT'!B27:F37,6,0)</f>
        <v>#N/A</v>
      </c>
      <c r="P23" s="1392" t="e">
        <f t="shared" si="1"/>
        <v>#N/A</v>
      </c>
      <c r="Q23" s="1392">
        <f t="shared" si="2"/>
        <v>7</v>
      </c>
      <c r="R23" s="1432" t="e">
        <f t="shared" si="3"/>
        <v>#N/A</v>
      </c>
      <c r="S23" s="1432" t="e">
        <f t="shared" si="4"/>
        <v>#N/A</v>
      </c>
      <c r="T23" s="1391"/>
    </row>
    <row r="24" spans="1:20">
      <c r="A24" s="1381">
        <v>12</v>
      </c>
      <c r="B24" s="1384" t="s">
        <v>1093</v>
      </c>
      <c r="C24" s="1383" t="s">
        <v>356</v>
      </c>
      <c r="D24" s="1418">
        <v>0</v>
      </c>
      <c r="E24" s="1418">
        <v>0</v>
      </c>
      <c r="F24" s="1418">
        <v>0</v>
      </c>
      <c r="G24" s="1418">
        <v>0</v>
      </c>
      <c r="H24" s="1418">
        <v>0</v>
      </c>
      <c r="I24" s="1418">
        <f>+VLOOKUP(B24,'[17]LƯƠNG USD NGƯỜI VIỆT'!$B$16:$G$27,6,0)</f>
        <v>126.92307692307692</v>
      </c>
      <c r="J24" s="1404">
        <f>+VLOOKUP(B24,'[18]LƯƠNG USD NGƯỜI VIỆT'!$B$16:$G$27,6,0)</f>
        <v>300</v>
      </c>
      <c r="K24" s="1404">
        <v>300</v>
      </c>
      <c r="L24" s="1404">
        <f>+VLOOKUP(B24,'[20]LƯƠNG USD NGƯỜI VIỆT'!$B$16:$G$27,6,0)</f>
        <v>350</v>
      </c>
      <c r="M24" s="1404">
        <f>+VLOOKUP(B24,'[21]LƯƠNG USD NGƯỜI VIỆT'!$B$16:$G$27,6,0)</f>
        <v>350</v>
      </c>
      <c r="N24" s="1404">
        <f>+VLOOKUP(B24,'[22]LƯƠNG USD NGƯỜI VIỆT'!$B$16:$G$28,6,0)</f>
        <v>350</v>
      </c>
      <c r="O24" s="1404" t="e">
        <f>+VLOOKUP(B24,'LƯƠNG USD NGƯỜI VIỆT'!B29:F38,6,0)</f>
        <v>#N/A</v>
      </c>
      <c r="P24" s="1392" t="e">
        <f t="shared" si="1"/>
        <v>#N/A</v>
      </c>
      <c r="Q24" s="1392">
        <f>COUNTA(D24:O24)</f>
        <v>12</v>
      </c>
      <c r="R24" s="1432" t="e">
        <f t="shared" si="3"/>
        <v>#N/A</v>
      </c>
      <c r="S24" s="1432" t="e">
        <f t="shared" si="4"/>
        <v>#N/A</v>
      </c>
      <c r="T24" s="1391"/>
    </row>
    <row r="25" spans="1:20">
      <c r="A25" s="1385">
        <v>13</v>
      </c>
      <c r="B25" s="1386" t="s">
        <v>40</v>
      </c>
      <c r="C25" s="1386" t="s">
        <v>356</v>
      </c>
      <c r="D25" s="1422">
        <v>370</v>
      </c>
      <c r="E25" s="1423">
        <v>370</v>
      </c>
      <c r="F25" s="1423">
        <v>370</v>
      </c>
      <c r="G25" s="1407">
        <v>370</v>
      </c>
      <c r="H25" s="1423">
        <v>370</v>
      </c>
      <c r="I25" s="1423">
        <v>370</v>
      </c>
      <c r="J25" s="1424">
        <v>239.01066610866988</v>
      </c>
      <c r="K25" s="1424">
        <v>191.70939864512769</v>
      </c>
      <c r="L25" s="1424">
        <v>186.03884434669601</v>
      </c>
      <c r="M25" s="1408">
        <v>182.01890007745934</v>
      </c>
      <c r="N25" s="1423">
        <f>+VLOOKUP(B25,'[22]LƯƠNG USD NGƯỜI VIỆT'!$B$16:$G$28,6,0)</f>
        <v>400</v>
      </c>
      <c r="O25" s="1423" t="e">
        <f>+VLOOKUP(B25,'LƯƠNG USD NGƯỜI VIỆT'!B29:F39,6,0)</f>
        <v>#N/A</v>
      </c>
      <c r="P25" s="1394" t="e">
        <f t="shared" si="1"/>
        <v>#N/A</v>
      </c>
      <c r="Q25" s="1394">
        <f t="shared" si="2"/>
        <v>12</v>
      </c>
      <c r="R25" s="1433" t="e">
        <f t="shared" si="3"/>
        <v>#N/A</v>
      </c>
      <c r="S25" s="1433" t="e">
        <f t="shared" si="4"/>
        <v>#N/A</v>
      </c>
      <c r="T25" s="1393"/>
    </row>
    <row r="26" spans="1:20">
      <c r="A26" s="4662" t="s">
        <v>1133</v>
      </c>
      <c r="B26" s="4663"/>
      <c r="C26" s="1387"/>
      <c r="D26" s="1430">
        <f>+SUBTOTAL(9,D27:D31)</f>
        <v>1760</v>
      </c>
      <c r="E26" s="1430">
        <f t="shared" ref="E26:O26" si="5">+SUBTOTAL(9,E27:E31)</f>
        <v>1760</v>
      </c>
      <c r="F26" s="1430">
        <f t="shared" si="5"/>
        <v>1760</v>
      </c>
      <c r="G26" s="1430">
        <f t="shared" si="5"/>
        <v>2160</v>
      </c>
      <c r="H26" s="1430">
        <f t="shared" si="5"/>
        <v>2160</v>
      </c>
      <c r="I26" s="1430">
        <f t="shared" si="5"/>
        <v>2210</v>
      </c>
      <c r="J26" s="1430">
        <f t="shared" si="5"/>
        <v>1843.4179540117646</v>
      </c>
      <c r="K26" s="1430">
        <f t="shared" si="5"/>
        <v>1686.1570776446065</v>
      </c>
      <c r="L26" s="1430">
        <f t="shared" si="5"/>
        <v>1675.0307627711686</v>
      </c>
      <c r="M26" s="1430">
        <f t="shared" si="5"/>
        <v>1899.3240541023656</v>
      </c>
      <c r="N26" s="1430">
        <f t="shared" si="5"/>
        <v>1921.4695330201712</v>
      </c>
      <c r="O26" s="1430" t="e">
        <f t="shared" si="5"/>
        <v>#REF!</v>
      </c>
      <c r="P26" s="1430" t="e">
        <f>+SUBTOTAL(9,P27:P31)</f>
        <v>#REF!</v>
      </c>
      <c r="Q26" s="1430">
        <f>+SUBTOTAL(9,Q27:Q31)</f>
        <v>60</v>
      </c>
      <c r="R26" s="1430" t="e">
        <f>+SUBTOTAL(9,R27:R31)</f>
        <v>#REF!</v>
      </c>
      <c r="S26" s="1430" t="e">
        <f>+SUBTOTAL(9,S27:S31)</f>
        <v>#REF!</v>
      </c>
      <c r="T26" s="1378"/>
    </row>
    <row r="27" spans="1:20">
      <c r="A27" s="1389">
        <v>14</v>
      </c>
      <c r="B27" s="1425" t="s">
        <v>36</v>
      </c>
      <c r="C27" s="1389" t="s">
        <v>705</v>
      </c>
      <c r="D27" s="1409">
        <f>+VLOOKUP(B27,'[12]LƯƠNG USD NGƯỜI VIỆT'!$B$30:$G$34,6,0)</f>
        <v>450</v>
      </c>
      <c r="E27" s="1409">
        <f>+VLOOKUP(B27,'[13]LƯƠNG USD NGƯỜI VIỆT'!$B$30:$G$34,6,0)</f>
        <v>450</v>
      </c>
      <c r="F27" s="1409">
        <f>+VLOOKUP(B27,'[14]LƯƠNG USD NGƯỜI VIỆT'!$B$29:$G$33,6,0)</f>
        <v>450</v>
      </c>
      <c r="G27" s="1409">
        <f>+VLOOKUP(B27,'[15]LƯƠNG USD NGƯỜI VIỆT'!$B$26:$G$31,6,0)</f>
        <v>450</v>
      </c>
      <c r="H27" s="1409">
        <f>+VLOOKUP(B27,'[16]LƯƠNG USD NGƯỜI VIỆT'!$B$27:$G$32,6,0)</f>
        <v>450</v>
      </c>
      <c r="I27" s="1409">
        <f>+VLOOKUP(B27,'[17]LƯƠNG USD NGƯỜI VIỆT'!$B$29:$G$35,6,0)</f>
        <v>450</v>
      </c>
      <c r="J27" s="1412">
        <f>+VLOOKUP(B27,'[18]LƯƠNG USD NGƯỜI VIỆT'!$B$29:$G$35,6,0)</f>
        <v>261.6875483015973</v>
      </c>
      <c r="K27" s="1403">
        <f>+VLOOKUP(B27,'[19]LƯƠNG USD NGƯỜI VIỆT'!$B$29:$G$34,6,0)</f>
        <v>178.63830328295987</v>
      </c>
      <c r="L27" s="1405">
        <f>+VLOOKUP(B27,'[20]LƯƠNG USD NGƯỜI VIỆT'!$B$29:$G$34,6,0)</f>
        <v>173.35437768669399</v>
      </c>
      <c r="M27" s="1412">
        <f>+VLOOKUP(B27,'[21]LƯƠNG USD NGƯỜI VIỆT'!$B$29:$G$34,6,0)</f>
        <v>169.60852052672348</v>
      </c>
      <c r="N27" s="1412">
        <f>+VLOOKUP(B27,'[22]LƯƠNG USD NGƯỜI VIỆT'!$B$30:$G$34,6,0)</f>
        <v>161.46953302017133</v>
      </c>
      <c r="O27" s="1412" t="e">
        <f>+VLOOKUP(B27,'LƯƠNG USD NGƯỜI VIỆT'!B30:F32,6,0)</f>
        <v>#REF!</v>
      </c>
      <c r="P27" s="1390" t="e">
        <f>+ROUND(AVERAGE(D27:O27),1)</f>
        <v>#REF!</v>
      </c>
      <c r="Q27" s="1390">
        <f>COUNTA(D27:O27)</f>
        <v>12</v>
      </c>
      <c r="R27" s="1431" t="e">
        <f>(P27*Q27*3/12)</f>
        <v>#REF!</v>
      </c>
      <c r="S27" s="1431" t="e">
        <f t="shared" ref="S27:S33" si="6">+R27</f>
        <v>#REF!</v>
      </c>
      <c r="T27" s="1389"/>
    </row>
    <row r="28" spans="1:20">
      <c r="A28" s="1391">
        <v>15</v>
      </c>
      <c r="B28" s="1426" t="s">
        <v>536</v>
      </c>
      <c r="C28" s="1391" t="s">
        <v>447</v>
      </c>
      <c r="D28" s="1410">
        <f>+VLOOKUP(B28,'[12]LƯƠNG USD NGƯỜI VIỆT'!$B$30:$G$34,6,0)</f>
        <v>410</v>
      </c>
      <c r="E28" s="1410">
        <f>+VLOOKUP(B28,'[13]LƯƠNG USD NGƯỜI VIỆT'!$B$30:$G$34,6,0)</f>
        <v>410</v>
      </c>
      <c r="F28" s="1410">
        <f>+VLOOKUP(B28,'[14]LƯƠNG USD NGƯỜI VIỆT'!$B$29:$G$33,6,0)</f>
        <v>410</v>
      </c>
      <c r="G28" s="1410">
        <f>+VLOOKUP(B28,'[15]LƯƠNG USD NGƯỜI VIỆT'!$B$26:$G$31,6,0)</f>
        <v>410</v>
      </c>
      <c r="H28" s="1410">
        <f>+VLOOKUP(B28,'[16]LƯƠNG USD NGƯỜI VIỆT'!$B$27:$G$32,6,0)</f>
        <v>410</v>
      </c>
      <c r="I28" s="1410">
        <f>+VLOOKUP(B28,'[17]LƯƠNG USD NGƯỜI VIỆT'!$B$29:$G$35,6,0)</f>
        <v>410</v>
      </c>
      <c r="J28" s="1410">
        <f>+VLOOKUP(B28,'[18]LƯƠNG USD NGƯỜI VIỆT'!$B$29:$G$35,6,0)</f>
        <v>410</v>
      </c>
      <c r="K28" s="1420">
        <f>+VLOOKUP(B28,'[19]LƯƠNG USD NGƯỜI VIỆT'!$B$29:$G$34,6,0)</f>
        <v>410</v>
      </c>
      <c r="L28" s="1421">
        <f>+VLOOKUP(B28,'[20]LƯƠNG USD NGƯỜI VIỆT'!$B$29:$G$34,6,0)</f>
        <v>410</v>
      </c>
      <c r="M28" s="1410">
        <f>+VLOOKUP(B28,'[21]LƯƠNG USD NGƯỜI VIỆT'!$B$29:$G$34,6,0)</f>
        <v>410</v>
      </c>
      <c r="N28" s="1410">
        <f>+VLOOKUP(B28,'[22]LƯƠNG USD NGƯỜI VIỆT'!$B$30:$G$34,6,0)</f>
        <v>410</v>
      </c>
      <c r="O28" s="1410" t="e">
        <f>+VLOOKUP(B28,'LƯƠNG USD NGƯỜI VIỆT'!B31:F34,6,0)</f>
        <v>#REF!</v>
      </c>
      <c r="P28" s="1392" t="e">
        <f>+ROUND(AVERAGE(D28:O28),1)</f>
        <v>#REF!</v>
      </c>
      <c r="Q28" s="1392">
        <f>COUNTA(D28:O28)</f>
        <v>12</v>
      </c>
      <c r="R28" s="1431" t="e">
        <f>(P28*Q28*3/12)</f>
        <v>#REF!</v>
      </c>
      <c r="S28" s="1432" t="e">
        <f t="shared" si="6"/>
        <v>#REF!</v>
      </c>
      <c r="T28" s="1391"/>
    </row>
    <row r="29" spans="1:20">
      <c r="A29" s="1391">
        <v>16</v>
      </c>
      <c r="B29" s="1322" t="s">
        <v>831</v>
      </c>
      <c r="C29" s="1391" t="s">
        <v>704</v>
      </c>
      <c r="D29" s="1410">
        <f>+VLOOKUP(B29,'[12]LƯƠNG USD NGƯỜI VIỆT'!$B$30:$G$34,6,0)</f>
        <v>450</v>
      </c>
      <c r="E29" s="1410">
        <f>+VLOOKUP(B29,'[13]LƯƠNG USD NGƯỜI VIỆT'!$B$30:$G$34,6,0)</f>
        <v>450</v>
      </c>
      <c r="F29" s="1410">
        <f>+VLOOKUP(B29,'[14]LƯƠNG USD NGƯỜI VIỆT'!$B$29:$G$33,6,0)</f>
        <v>450</v>
      </c>
      <c r="G29" s="1410">
        <f>+VLOOKUP(B29,'[15]LƯƠNG USD NGƯỜI VIỆT'!$B$26:$G$31,6,0)</f>
        <v>450</v>
      </c>
      <c r="H29" s="1410">
        <f>+VLOOKUP(B29,'[16]LƯƠNG USD NGƯỜI VIỆT'!$B$27:$G$32,6,0)</f>
        <v>450</v>
      </c>
      <c r="I29" s="1410">
        <f>+VLOOKUP(B29,'[17]LƯƠNG USD NGƯỜI VIỆT'!$B$29:$G$35,6,0)</f>
        <v>450</v>
      </c>
      <c r="J29" s="1406">
        <f>+VLOOKUP(B29,'[18]LƯƠNG USD NGƯỜI VIỆT'!$B$29:$G$35,6,0)</f>
        <v>271.73040571016719</v>
      </c>
      <c r="K29" s="1417">
        <f>+VLOOKUP(B29,'[19]LƯƠNG USD NGƯỜI VIỆT'!$B$29:$G$34,6,0)</f>
        <v>197.51877436164671</v>
      </c>
      <c r="L29" s="1418">
        <f>+VLOOKUP(B29,'[20]LƯƠNG USD NGƯỜI VIỆT'!$B$29:$G$34,6,0)</f>
        <v>191.67638508447467</v>
      </c>
      <c r="M29" s="1406">
        <f>+VLOOKUP(B29,'[21]LƯƠNG USD NGƯỜI VIỆT'!$B$29:$G$34,6,0)</f>
        <v>419.71553357564198</v>
      </c>
      <c r="N29" s="1410">
        <f>+VLOOKUP(B29,'[22]LƯƠNG USD NGƯỜI VIỆT'!$B$30:$G$34,6,0)</f>
        <v>450</v>
      </c>
      <c r="O29" s="1410" t="e">
        <f>+VLOOKUP(B29,'LƯƠNG USD NGƯỜI VIỆT'!B32:F35,6,0)</f>
        <v>#N/A</v>
      </c>
      <c r="P29" s="1392" t="e">
        <f>+ROUND(AVERAGE(D29:O29),1)</f>
        <v>#N/A</v>
      </c>
      <c r="Q29" s="1392">
        <f>COUNTA(D29:O29)</f>
        <v>12</v>
      </c>
      <c r="R29" s="1431" t="e">
        <f>(P29*Q29*3/12)</f>
        <v>#N/A</v>
      </c>
      <c r="S29" s="1432" t="e">
        <f t="shared" si="6"/>
        <v>#N/A</v>
      </c>
      <c r="T29" s="1391"/>
    </row>
    <row r="30" spans="1:20">
      <c r="A30" s="1391">
        <v>17</v>
      </c>
      <c r="B30" s="1426" t="s">
        <v>789</v>
      </c>
      <c r="C30" s="1427" t="s">
        <v>704</v>
      </c>
      <c r="D30" s="1410">
        <f>+VLOOKUP(B30,'[12]LƯƠNG USD NGƯỜI VIỆT'!$B$30:$G$34,6,0)</f>
        <v>450</v>
      </c>
      <c r="E30" s="1410">
        <f>+VLOOKUP(B30,'[13]LƯƠNG USD NGƯỜI VIỆT'!$B$30:$G$34,6,0)</f>
        <v>450</v>
      </c>
      <c r="F30" s="1410">
        <f>+VLOOKUP(B30,'[14]LƯƠNG USD NGƯỜI VIỆT'!$B$29:$G$33,6,0)</f>
        <v>450</v>
      </c>
      <c r="G30" s="1410">
        <f>+VLOOKUP(B30,'[15]LƯƠNG USD NGƯỜI VIỆT'!$B$26:$G$31,6,0)</f>
        <v>450</v>
      </c>
      <c r="H30" s="1410">
        <f>+VLOOKUP(B30,'[16]LƯƠNG USD NGƯỜI VIỆT'!$B$27:$G$32,6,0)</f>
        <v>450</v>
      </c>
      <c r="I30" s="1410">
        <f>+VLOOKUP(B30,'[17]LƯƠNG USD NGƯỜI VIỆT'!$B$29:$G$35,6,0)</f>
        <v>450</v>
      </c>
      <c r="J30" s="1410">
        <f>+VLOOKUP(B30,'[18]LƯƠNG USD NGƯỜI VIỆT'!$B$29:$G$35,6,0)</f>
        <v>450</v>
      </c>
      <c r="K30" s="1420">
        <f>+VLOOKUP(B30,'[19]LƯƠNG USD NGƯỜI VIỆT'!$B$29:$G$34,6,0)</f>
        <v>450</v>
      </c>
      <c r="L30" s="1420">
        <f>+VLOOKUP(B30,'[20]LƯƠNG USD NGƯỜI VIỆT'!$B$29:$G$34,6,0)</f>
        <v>450</v>
      </c>
      <c r="M30" s="1410">
        <f>+VLOOKUP(B30,'[21]LƯƠNG USD NGƯỜI VIỆT'!$B$29:$G$34,6,0)</f>
        <v>450</v>
      </c>
      <c r="N30" s="1410">
        <f>+VLOOKUP(B30,'[22]LƯƠNG USD NGƯỜI VIỆT'!$B$30:$G$34,6,0)</f>
        <v>450</v>
      </c>
      <c r="O30" s="1410" t="e">
        <f>+VLOOKUP(B30,'LƯƠNG USD NGƯỜI VIỆT'!B32:F36,6,0)</f>
        <v>#REF!</v>
      </c>
      <c r="P30" s="1392" t="e">
        <f>+ROUND(AVERAGE(D30:O30),1)</f>
        <v>#REF!</v>
      </c>
      <c r="Q30" s="1392">
        <f>COUNTA(D30:O30)</f>
        <v>12</v>
      </c>
      <c r="R30" s="1431" t="e">
        <f>(P30*Q30*3/12)</f>
        <v>#REF!</v>
      </c>
      <c r="S30" s="1432" t="e">
        <f t="shared" si="6"/>
        <v>#REF!</v>
      </c>
      <c r="T30" s="1391"/>
    </row>
    <row r="31" spans="1:20">
      <c r="A31" s="1393">
        <v>18</v>
      </c>
      <c r="B31" s="1428" t="s">
        <v>998</v>
      </c>
      <c r="C31" s="1428" t="s">
        <v>704</v>
      </c>
      <c r="D31" s="1424">
        <v>0</v>
      </c>
      <c r="E31" s="1424">
        <v>0</v>
      </c>
      <c r="F31" s="1424">
        <v>0</v>
      </c>
      <c r="G31" s="1411">
        <f>+VLOOKUP(B31,'[15]LƯƠNG USD NGƯỜI VIỆT'!$B$26:$G$31,6,0)</f>
        <v>400</v>
      </c>
      <c r="H31" s="1411">
        <f>+VLOOKUP(B31,'[16]LƯƠNG USD NGƯỜI VIỆT'!$B$27:$G$32,6,0)</f>
        <v>400</v>
      </c>
      <c r="I31" s="1411">
        <f>+VLOOKUP(B31,'[17]LƯƠNG USD NGƯỜI VIỆT'!$B$29:$G$35,6,0)</f>
        <v>450</v>
      </c>
      <c r="J31" s="1411">
        <f>+VLOOKUP(B31,'[18]LƯƠNG USD NGƯỜI VIỆT'!$B$29:$G$35,6,0)</f>
        <v>450.00000000000006</v>
      </c>
      <c r="K31" s="1429">
        <f>+VLOOKUP(B31,'[19]LƯƠNG USD NGƯỜI VIỆT'!$B$29:$G$34,6,0)</f>
        <v>450</v>
      </c>
      <c r="L31" s="1429">
        <f>+VLOOKUP(B31,'[20]LƯƠNG USD NGƯỜI VIỆT'!$B$29:$G$34,6,0)</f>
        <v>450</v>
      </c>
      <c r="M31" s="1411">
        <f>+VLOOKUP(B31,'[21]LƯƠNG USD NGƯỜI VIỆT'!$B$29:$G$34,6,0)</f>
        <v>450</v>
      </c>
      <c r="N31" s="1411">
        <f>+VLOOKUP(B31,'[22]LƯƠNG USD NGƯỜI VIỆT'!$B$30:$G$34,6,0)</f>
        <v>450</v>
      </c>
      <c r="O31" s="1411" t="e">
        <f>+VLOOKUP(B31,'LƯƠNG USD NGƯỜI VIỆT'!B34:F37,6,0)</f>
        <v>#N/A</v>
      </c>
      <c r="P31" s="1394" t="e">
        <f>+ROUND(AVERAGE(D31:O31),1)</f>
        <v>#N/A</v>
      </c>
      <c r="Q31" s="1394">
        <f>COUNTA(D31:O31)</f>
        <v>12</v>
      </c>
      <c r="R31" s="1433" t="e">
        <f>(P31*Q31*3/12)</f>
        <v>#N/A</v>
      </c>
      <c r="S31" s="1433" t="e">
        <f>+R31</f>
        <v>#N/A</v>
      </c>
      <c r="T31" s="1393"/>
    </row>
    <row r="32" spans="1:20">
      <c r="A32" s="4663" t="s">
        <v>1103</v>
      </c>
      <c r="B32" s="4663"/>
      <c r="C32" s="1395"/>
      <c r="D32" s="1430">
        <f>+SUBTOTAL(9,D33)</f>
        <v>370</v>
      </c>
      <c r="E32" s="1430">
        <f t="shared" ref="E32:O32" si="7">+SUBTOTAL(9,E33)</f>
        <v>370</v>
      </c>
      <c r="F32" s="1430">
        <f t="shared" si="7"/>
        <v>370</v>
      </c>
      <c r="G32" s="1430">
        <f t="shared" si="7"/>
        <v>370</v>
      </c>
      <c r="H32" s="1430">
        <f t="shared" si="7"/>
        <v>370</v>
      </c>
      <c r="I32" s="1430">
        <f t="shared" si="7"/>
        <v>410</v>
      </c>
      <c r="J32" s="1430">
        <f t="shared" si="7"/>
        <v>410</v>
      </c>
      <c r="K32" s="1430">
        <f t="shared" si="7"/>
        <v>410</v>
      </c>
      <c r="L32" s="1430">
        <f t="shared" si="7"/>
        <v>410</v>
      </c>
      <c r="M32" s="1430">
        <f t="shared" si="7"/>
        <v>410</v>
      </c>
      <c r="N32" s="1430">
        <f t="shared" si="7"/>
        <v>500</v>
      </c>
      <c r="O32" s="1430">
        <f t="shared" si="7"/>
        <v>500</v>
      </c>
      <c r="P32" s="1430">
        <f>+SUBTOTAL(9,P33)</f>
        <v>408.3</v>
      </c>
      <c r="Q32" s="1430">
        <f>+SUBTOTAL(9,Q33)</f>
        <v>12</v>
      </c>
      <c r="R32" s="1430">
        <f>+SUBTOTAL(9,R33)</f>
        <v>1224.9000000000001</v>
      </c>
      <c r="S32" s="1430">
        <f>+SUBTOTAL(9,S33)</f>
        <v>1224.9000000000001</v>
      </c>
      <c r="T32" s="1388"/>
    </row>
    <row r="33" spans="1:21" s="1399" customFormat="1" ht="31.5" customHeight="1">
      <c r="A33" s="1396">
        <v>19</v>
      </c>
      <c r="B33" s="1342" t="s">
        <v>37</v>
      </c>
      <c r="C33" s="1343" t="s">
        <v>1134</v>
      </c>
      <c r="D33" s="1434">
        <v>370</v>
      </c>
      <c r="E33" s="1434">
        <v>370</v>
      </c>
      <c r="F33" s="1434">
        <v>370</v>
      </c>
      <c r="G33" s="1434">
        <v>370</v>
      </c>
      <c r="H33" s="1434">
        <v>370</v>
      </c>
      <c r="I33" s="1434">
        <v>410</v>
      </c>
      <c r="J33" s="1434">
        <v>410</v>
      </c>
      <c r="K33" s="1434">
        <v>410</v>
      </c>
      <c r="L33" s="1434">
        <v>410</v>
      </c>
      <c r="M33" s="1434">
        <v>410</v>
      </c>
      <c r="N33" s="1434">
        <v>500</v>
      </c>
      <c r="O33" s="1434">
        <v>500</v>
      </c>
      <c r="P33" s="1394">
        <f>+ROUND(AVERAGE(D33:O33),1)</f>
        <v>408.3</v>
      </c>
      <c r="Q33" s="1394">
        <f>COUNTA(D33:O33)</f>
        <v>12</v>
      </c>
      <c r="R33" s="1431">
        <f>(P33*Q33*3/12)</f>
        <v>1224.9000000000001</v>
      </c>
      <c r="S33" s="1433">
        <f t="shared" si="6"/>
        <v>1224.9000000000001</v>
      </c>
      <c r="T33" s="1397"/>
      <c r="U33" s="1398"/>
    </row>
    <row r="34" spans="1:21" s="1399" customFormat="1" ht="15.75">
      <c r="A34" s="4658" t="s">
        <v>240</v>
      </c>
      <c r="B34" s="4659"/>
      <c r="C34" s="1415"/>
      <c r="D34" s="1413">
        <f>+SUBTOTAL(9,D12:D33)</f>
        <v>6045.5755046068134</v>
      </c>
      <c r="E34" s="1413">
        <f t="shared" ref="E34:O34" si="8">+SUBTOTAL(9,E12:E33)</f>
        <v>6144.9994611930724</v>
      </c>
      <c r="F34" s="1413">
        <f t="shared" si="8"/>
        <v>6094.1389607905639</v>
      </c>
      <c r="G34" s="1413">
        <f t="shared" si="8"/>
        <v>6700</v>
      </c>
      <c r="H34" s="1414">
        <f t="shared" si="8"/>
        <v>6999.2656162642943</v>
      </c>
      <c r="I34" s="1414">
        <f t="shared" si="8"/>
        <v>8266.4930294997448</v>
      </c>
      <c r="J34" s="1414">
        <f t="shared" si="8"/>
        <v>7735.8197591313865</v>
      </c>
      <c r="K34" s="1414">
        <f t="shared" si="8"/>
        <v>7624.1899614382482</v>
      </c>
      <c r="L34" s="1414">
        <f t="shared" si="8"/>
        <v>7645.9660661801463</v>
      </c>
      <c r="M34" s="1414">
        <f t="shared" si="8"/>
        <v>7858.1386164571286</v>
      </c>
      <c r="N34" s="1414">
        <f t="shared" si="8"/>
        <v>8368.383597678916</v>
      </c>
      <c r="O34" s="1414" t="e">
        <f t="shared" si="8"/>
        <v>#N/A</v>
      </c>
      <c r="P34" s="1414" t="e">
        <f>+SUBTOTAL(9,P12:P33)</f>
        <v>#N/A</v>
      </c>
      <c r="Q34" s="1414">
        <f>+SUBTOTAL(9,Q12:Q33)</f>
        <v>214</v>
      </c>
      <c r="R34" s="1414" t="e">
        <f>+SUBTOTAL(9,R12:R33)</f>
        <v>#N/A</v>
      </c>
      <c r="S34" s="1414" t="e">
        <f>+SUBTOTAL(9,S12:S33)</f>
        <v>#N/A</v>
      </c>
      <c r="T34" s="1396"/>
      <c r="U34" s="1398"/>
    </row>
    <row r="35" spans="1:21" s="1399" customFormat="1" ht="15">
      <c r="B35" s="1400"/>
      <c r="C35" s="1400"/>
      <c r="D35" s="1400"/>
      <c r="E35" s="1400"/>
      <c r="F35" s="1400"/>
      <c r="G35" s="1400"/>
      <c r="H35" s="1400"/>
      <c r="I35" s="1400"/>
      <c r="J35" s="1400"/>
      <c r="K35" s="1400"/>
      <c r="L35" s="1400"/>
      <c r="M35" s="1400"/>
      <c r="N35" s="1400"/>
      <c r="O35" s="1400"/>
      <c r="P35" s="1400"/>
      <c r="Q35" s="4655" t="s">
        <v>1136</v>
      </c>
      <c r="R35" s="4655"/>
      <c r="S35" s="4655"/>
      <c r="T35" s="4655"/>
      <c r="U35" s="1398"/>
    </row>
    <row r="36" spans="1:21" s="1039" customFormat="1" ht="15">
      <c r="B36" s="1054" t="s">
        <v>84</v>
      </c>
      <c r="C36" s="1054"/>
      <c r="D36" s="4656" t="s">
        <v>502</v>
      </c>
      <c r="E36" s="4656"/>
      <c r="F36" s="4656"/>
      <c r="G36" s="4656"/>
      <c r="H36" s="4656"/>
      <c r="I36" s="4656" t="s">
        <v>241</v>
      </c>
      <c r="J36" s="4656"/>
      <c r="K36" s="4656"/>
      <c r="L36" s="4656"/>
      <c r="M36" s="4656"/>
      <c r="N36" s="4656" t="s">
        <v>20</v>
      </c>
      <c r="O36" s="4656"/>
      <c r="P36" s="4656"/>
      <c r="Q36" s="4656"/>
      <c r="R36" s="4657" t="s">
        <v>956</v>
      </c>
      <c r="S36" s="4657"/>
      <c r="T36" s="4657"/>
      <c r="U36" s="1401"/>
    </row>
  </sheetData>
  <mergeCells count="38">
    <mergeCell ref="A34:B34"/>
    <mergeCell ref="T10:T11"/>
    <mergeCell ref="A12:B12"/>
    <mergeCell ref="A26:B26"/>
    <mergeCell ref="A32:B3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Q35:T35"/>
    <mergeCell ref="D36:H36"/>
    <mergeCell ref="I36:M36"/>
    <mergeCell ref="N36:Q36"/>
    <mergeCell ref="R36:T36"/>
    <mergeCell ref="M10:M11"/>
    <mergeCell ref="A7:B7"/>
    <mergeCell ref="S7:T7"/>
    <mergeCell ref="A8:B8"/>
    <mergeCell ref="S8:T8"/>
    <mergeCell ref="A10:A11"/>
    <mergeCell ref="C10:C11"/>
    <mergeCell ref="D10:D11"/>
    <mergeCell ref="E10:E11"/>
    <mergeCell ref="F10:F11"/>
    <mergeCell ref="G10:G11"/>
    <mergeCell ref="A6:T6"/>
    <mergeCell ref="A1:T1"/>
    <mergeCell ref="A2:T2"/>
    <mergeCell ref="B3:E3"/>
    <mergeCell ref="B4:E4"/>
    <mergeCell ref="S5:T5"/>
  </mergeCells>
  <pageMargins left="0.28000000000000003" right="0.23" top="0.44" bottom="0.75" header="0.3" footer="0.3"/>
  <pageSetup paperSize="9" scale="75" orientation="landscape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36"/>
  <sheetViews>
    <sheetView topLeftCell="A10" workbookViewId="0">
      <selection activeCell="U17" sqref="U17"/>
    </sheetView>
  </sheetViews>
  <sheetFormatPr defaultColWidth="9.140625" defaultRowHeight="16.5"/>
  <cols>
    <col min="1" max="1" width="4.85546875" style="1363" customWidth="1"/>
    <col min="2" max="2" width="21.85546875" style="1363" customWidth="1"/>
    <col min="3" max="3" width="14" style="1363" customWidth="1"/>
    <col min="4" max="15" width="8.28515625" style="1363" customWidth="1"/>
    <col min="16" max="16" width="8.85546875" style="1363" customWidth="1"/>
    <col min="17" max="17" width="6.7109375" style="1363" customWidth="1"/>
    <col min="18" max="18" width="10.42578125" style="1363" customWidth="1"/>
    <col min="19" max="19" width="14.85546875" style="1363" customWidth="1"/>
    <col min="20" max="20" width="12.140625" style="1363" customWidth="1"/>
    <col min="21" max="22" width="11.85546875" style="1363" bestFit="1" customWidth="1"/>
    <col min="23" max="16384" width="9.140625" style="1363"/>
  </cols>
  <sheetData>
    <row r="1" spans="1:20">
      <c r="A1" s="4521" t="s">
        <v>1111</v>
      </c>
      <c r="B1" s="4521"/>
      <c r="C1" s="4521"/>
      <c r="D1" s="4521"/>
      <c r="E1" s="4521"/>
      <c r="F1" s="4521"/>
      <c r="G1" s="4521"/>
      <c r="H1" s="4521"/>
      <c r="I1" s="4521"/>
      <c r="J1" s="4521"/>
      <c r="K1" s="4521"/>
      <c r="L1" s="4521"/>
      <c r="M1" s="4521"/>
      <c r="N1" s="4521"/>
      <c r="O1" s="4521"/>
      <c r="P1" s="4521"/>
      <c r="Q1" s="4521"/>
      <c r="R1" s="4521"/>
      <c r="S1" s="4521"/>
      <c r="T1" s="4521"/>
    </row>
    <row r="2" spans="1:20">
      <c r="A2" s="4171" t="s">
        <v>1112</v>
      </c>
      <c r="B2" s="4171"/>
      <c r="C2" s="4171"/>
      <c r="D2" s="4171"/>
      <c r="E2" s="4171"/>
      <c r="F2" s="4171"/>
      <c r="G2" s="4171"/>
      <c r="H2" s="4171"/>
      <c r="I2" s="4171"/>
      <c r="J2" s="4171"/>
      <c r="K2" s="4171"/>
      <c r="L2" s="4171"/>
      <c r="M2" s="4171"/>
      <c r="N2" s="4171"/>
      <c r="O2" s="4171"/>
      <c r="P2" s="4171"/>
      <c r="Q2" s="4171"/>
      <c r="R2" s="4171"/>
      <c r="S2" s="4171"/>
      <c r="T2" s="4171"/>
    </row>
    <row r="3" spans="1:20">
      <c r="A3" s="87"/>
      <c r="B3" s="4521" t="s">
        <v>1113</v>
      </c>
      <c r="C3" s="4521"/>
      <c r="D3" s="4521"/>
      <c r="E3" s="4521"/>
      <c r="F3" s="1364"/>
      <c r="G3" s="1364"/>
      <c r="H3" s="1364"/>
      <c r="I3" s="1364"/>
      <c r="J3" s="1364"/>
      <c r="K3" s="1364"/>
      <c r="L3" s="1364"/>
      <c r="M3" s="1364"/>
      <c r="N3" s="1364"/>
      <c r="O3" s="1364"/>
      <c r="P3" s="1364"/>
      <c r="Q3" s="1364"/>
      <c r="R3" s="1364"/>
      <c r="S3" s="1365"/>
      <c r="T3" s="1365"/>
    </row>
    <row r="4" spans="1:20">
      <c r="A4" s="87"/>
      <c r="B4" s="4171" t="s">
        <v>1114</v>
      </c>
      <c r="C4" s="4171"/>
      <c r="D4" s="4171"/>
      <c r="E4" s="4171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87"/>
      <c r="T4" s="1367"/>
    </row>
    <row r="5" spans="1:20">
      <c r="A5" s="87"/>
      <c r="B5" s="87"/>
      <c r="C5" s="87"/>
      <c r="D5" s="136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4651"/>
      <c r="T5" s="4651"/>
    </row>
    <row r="6" spans="1:20">
      <c r="A6" s="4650" t="s">
        <v>1115</v>
      </c>
      <c r="B6" s="4650"/>
      <c r="C6" s="4650"/>
      <c r="D6" s="4650"/>
      <c r="E6" s="4650"/>
      <c r="F6" s="4650"/>
      <c r="G6" s="4650"/>
      <c r="H6" s="4650"/>
      <c r="I6" s="4650"/>
      <c r="J6" s="4650"/>
      <c r="K6" s="4650"/>
      <c r="L6" s="4650"/>
      <c r="M6" s="4650"/>
      <c r="N6" s="4650"/>
      <c r="O6" s="4650"/>
      <c r="P6" s="4650"/>
      <c r="Q6" s="4650"/>
      <c r="R6" s="4650"/>
      <c r="S6" s="4650"/>
      <c r="T6" s="4650"/>
    </row>
    <row r="7" spans="1:20">
      <c r="A7" s="4652" t="s">
        <v>1116</v>
      </c>
      <c r="B7" s="4652"/>
      <c r="C7" s="1369">
        <v>11023</v>
      </c>
      <c r="D7" s="1368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4653"/>
      <c r="T7" s="4653"/>
    </row>
    <row r="8" spans="1:20">
      <c r="A8" s="4652" t="s">
        <v>1117</v>
      </c>
      <c r="B8" s="4652"/>
      <c r="C8" s="1370">
        <v>0.51580000000000004</v>
      </c>
      <c r="D8" s="1368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371"/>
      <c r="S8" s="4654"/>
      <c r="T8" s="4654"/>
    </row>
    <row r="9" spans="1:20">
      <c r="A9" s="87"/>
      <c r="B9" s="1372"/>
      <c r="C9" s="1373"/>
      <c r="D9" s="1368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374"/>
      <c r="T9" s="1374"/>
    </row>
    <row r="10" spans="1:20">
      <c r="A10" s="4154" t="s">
        <v>0</v>
      </c>
      <c r="B10" s="1375"/>
      <c r="C10" s="4356" t="s">
        <v>46</v>
      </c>
      <c r="D10" s="4144" t="s">
        <v>1118</v>
      </c>
      <c r="E10" s="4144" t="s">
        <v>1119</v>
      </c>
      <c r="F10" s="4144" t="s">
        <v>1135</v>
      </c>
      <c r="G10" s="4144" t="s">
        <v>1120</v>
      </c>
      <c r="H10" s="4144" t="s">
        <v>1121</v>
      </c>
      <c r="I10" s="4144" t="s">
        <v>1122</v>
      </c>
      <c r="J10" s="4144" t="s">
        <v>1123</v>
      </c>
      <c r="K10" s="4144" t="s">
        <v>1124</v>
      </c>
      <c r="L10" s="4144" t="s">
        <v>1125</v>
      </c>
      <c r="M10" s="4144" t="s">
        <v>1101</v>
      </c>
      <c r="N10" s="4144" t="s">
        <v>1110</v>
      </c>
      <c r="O10" s="4144" t="s">
        <v>1126</v>
      </c>
      <c r="P10" s="4144" t="s">
        <v>1127</v>
      </c>
      <c r="Q10" s="4144" t="s">
        <v>1128</v>
      </c>
      <c r="R10" s="4144" t="s">
        <v>1129</v>
      </c>
      <c r="S10" s="4664" t="s">
        <v>958</v>
      </c>
      <c r="T10" s="4356" t="s">
        <v>1130</v>
      </c>
    </row>
    <row r="11" spans="1:20">
      <c r="A11" s="4154"/>
      <c r="B11" s="1376" t="s">
        <v>1131</v>
      </c>
      <c r="C11" s="4154"/>
      <c r="D11" s="4144"/>
      <c r="E11" s="4144"/>
      <c r="F11" s="4144"/>
      <c r="G11" s="4144"/>
      <c r="H11" s="4144"/>
      <c r="I11" s="4144"/>
      <c r="J11" s="4144"/>
      <c r="K11" s="4144"/>
      <c r="L11" s="4144"/>
      <c r="M11" s="4144"/>
      <c r="N11" s="4144"/>
      <c r="O11" s="4144"/>
      <c r="P11" s="4144"/>
      <c r="Q11" s="4144"/>
      <c r="R11" s="4144"/>
      <c r="S11" s="4665"/>
      <c r="T11" s="4154"/>
    </row>
    <row r="12" spans="1:20">
      <c r="A12" s="4660" t="s">
        <v>1132</v>
      </c>
      <c r="B12" s="4661"/>
      <c r="C12" s="1377"/>
      <c r="D12" s="1430">
        <f>+SUBTOTAL(9,D13:D25)</f>
        <v>3915.5755046068139</v>
      </c>
      <c r="E12" s="1430">
        <f t="shared" ref="E12:R12" si="0">+SUBTOTAL(9,E13:E25)</f>
        <v>4014.9994611930724</v>
      </c>
      <c r="F12" s="1430">
        <f t="shared" si="0"/>
        <v>3964.1389607905644</v>
      </c>
      <c r="G12" s="1430">
        <f t="shared" si="0"/>
        <v>4170</v>
      </c>
      <c r="H12" s="1430">
        <f t="shared" si="0"/>
        <v>4469.2656162642943</v>
      </c>
      <c r="I12" s="1430">
        <f t="shared" si="0"/>
        <v>5646.4930294997448</v>
      </c>
      <c r="J12" s="1430">
        <f t="shared" si="0"/>
        <v>5482.4018051196217</v>
      </c>
      <c r="K12" s="1430">
        <f t="shared" si="0"/>
        <v>5528.0328837936413</v>
      </c>
      <c r="L12" s="1430">
        <f t="shared" si="0"/>
        <v>5560.9353034089781</v>
      </c>
      <c r="M12" s="1430">
        <f t="shared" si="0"/>
        <v>5548.8145623547634</v>
      </c>
      <c r="N12" s="1430">
        <f t="shared" si="0"/>
        <v>5946.9140646587457</v>
      </c>
      <c r="O12" s="1430" t="e">
        <f t="shared" si="0"/>
        <v>#N/A</v>
      </c>
      <c r="P12" s="1430" t="e">
        <f t="shared" si="0"/>
        <v>#N/A</v>
      </c>
      <c r="Q12" s="1430">
        <f t="shared" si="0"/>
        <v>156</v>
      </c>
      <c r="R12" s="1430" t="e">
        <f t="shared" si="0"/>
        <v>#N/A</v>
      </c>
      <c r="S12" s="1430" t="e">
        <f>+SUBTOTAL(9,S13:S25)</f>
        <v>#N/A</v>
      </c>
      <c r="T12" s="1378"/>
    </row>
    <row r="13" spans="1:20">
      <c r="A13" s="1379">
        <v>1</v>
      </c>
      <c r="B13" s="1380" t="s">
        <v>132</v>
      </c>
      <c r="C13" s="1380" t="s">
        <v>962</v>
      </c>
      <c r="D13" s="1402">
        <f>+VLOOKUP(B13,'[12]LƯƠNG USD NGƯỜI VIỆT'!$B$16:$G$28,6,0)</f>
        <v>900</v>
      </c>
      <c r="E13" s="1402">
        <f>+VLOOKUP(B13,'[13]LƯƠNG USD NGƯỜI VIỆT'!$B$16:$G$28,6,0)</f>
        <v>900</v>
      </c>
      <c r="F13" s="1402">
        <f>+VLOOKUP(B13,'[14]LƯƠNG USD NGƯỜI VIỆT'!$B$16:$G$27,6,0)</f>
        <v>900</v>
      </c>
      <c r="G13" s="1402">
        <f>+VLOOKUP(B13,'[15]LƯƠNG USD NGƯỜI VIỆT'!$B$16:$G$24,6,0)</f>
        <v>900</v>
      </c>
      <c r="H13" s="1402">
        <f>+VLOOKUP(B13,'[16]LƯƠNG USD NGƯỜI VIỆT'!$B$16:$G$25,6,0)</f>
        <v>900</v>
      </c>
      <c r="I13" s="1402">
        <f>+VLOOKUP(B13,'[17]LƯƠNG USD NGƯỜI VIỆT'!$B$16:$G$27,6,0)</f>
        <v>900</v>
      </c>
      <c r="J13" s="1402">
        <f>+VLOOKUP(B13,'[18]LƯƠNG USD NGƯỜI VIỆT'!$B$16:$G$27,6,0)</f>
        <v>900</v>
      </c>
      <c r="K13" s="1402">
        <f>+VLOOKUP(B13,'[19]LƯƠNG USD NGƯỜI VIỆT'!$B$16:$G$26,6,0)</f>
        <v>900</v>
      </c>
      <c r="L13" s="1402">
        <f>+VLOOKUP(B13,'[20]LƯƠNG USD NGƯỜI VIỆT'!$B$16:$G$27,6,0)</f>
        <v>900</v>
      </c>
      <c r="M13" s="1402">
        <f>+VLOOKUP(B13,'[21]LƯƠNG USD NGƯỜI VIỆT'!$B$16:$G$27,6,0)</f>
        <v>900</v>
      </c>
      <c r="N13" s="1402">
        <f>+VLOOKUP(B13,'[22]LƯƠNG USD NGƯỜI VIỆT'!$B$16:$G$28,6,0)</f>
        <v>900</v>
      </c>
      <c r="O13" s="1402" t="e">
        <f>+VLOOKUP(B13,'LƯƠNG USD NGƯỜI VIỆT'!B17:F27,6,0)</f>
        <v>#N/A</v>
      </c>
      <c r="P13" s="1390" t="e">
        <f>+ROUND(AVERAGE(D13:O13),1)</f>
        <v>#N/A</v>
      </c>
      <c r="Q13" s="1390">
        <f>COUNTA(D13:O13)</f>
        <v>12</v>
      </c>
      <c r="R13" s="1431" t="e">
        <f>(P13*Q13*1/12)</f>
        <v>#N/A</v>
      </c>
      <c r="S13" s="1431" t="e">
        <f>+R13</f>
        <v>#N/A</v>
      </c>
      <c r="T13" s="1416"/>
    </row>
    <row r="14" spans="1:20">
      <c r="A14" s="1381">
        <v>2</v>
      </c>
      <c r="B14" s="1382" t="s">
        <v>968</v>
      </c>
      <c r="C14" s="1383" t="s">
        <v>952</v>
      </c>
      <c r="D14" s="1404">
        <f>+VLOOKUP(B14,'[12]LƯƠNG USD NGƯỜI VIỆT'!$B$16:$G$28,6,0)</f>
        <v>450</v>
      </c>
      <c r="E14" s="1404">
        <f>+VLOOKUP(B14,'[13]LƯƠNG USD NGƯỜI VIỆT'!$B$16:$G$28,6,0)</f>
        <v>550</v>
      </c>
      <c r="F14" s="1404">
        <f>+VLOOKUP(B14,'[14]LƯƠNG USD NGƯỜI VIỆT'!$B$16:$G$27,6,0)</f>
        <v>500</v>
      </c>
      <c r="G14" s="1404">
        <f>+VLOOKUP(B14,'[15]LƯƠNG USD NGƯỜI VIỆT'!$B$16:$G$24,6,0)</f>
        <v>500</v>
      </c>
      <c r="H14" s="1404">
        <f>+VLOOKUP(B14,'[16]LƯƠNG USD NGƯỜI VIỆT'!$B$16:$G$25,6,0)</f>
        <v>500</v>
      </c>
      <c r="I14" s="1404">
        <f>+VLOOKUP(B14,'[17]LƯƠNG USD NGƯỜI VIỆT'!$B$16:$G$27,6,0)</f>
        <v>500</v>
      </c>
      <c r="J14" s="1417">
        <f>+VLOOKUP(B14,'[18]LƯƠNG USD NGƯỜI VIỆT'!$B$16:$G$27,6,0)</f>
        <v>301.06430913022251</v>
      </c>
      <c r="K14" s="1418">
        <f>+VLOOKUP(B14,'[19]LƯƠNG USD NGƯỜI VIỆT'!$B$16:$G$26,6,0)</f>
        <v>217.85158936946326</v>
      </c>
      <c r="L14" s="1418">
        <f>+VLOOKUP(B14,'[20]LƯƠNG USD NGƯỜI VIỆT'!$B$16:$G$27,6,0)</f>
        <v>211.40777766669999</v>
      </c>
      <c r="M14" s="1418">
        <f>+VLOOKUP(B14,'[21]LƯƠNG USD NGƯỜI VIỆT'!$B$16:$G$27,6,0)</f>
        <v>206.83965917893107</v>
      </c>
      <c r="N14" s="1418">
        <f>+VLOOKUP(B14,'[22]LƯƠNG USD NGƯỜI VIỆT'!$B$16:$G$28,6,0)</f>
        <v>196.9140646587455</v>
      </c>
      <c r="O14" s="1404" t="e">
        <f>+VLOOKUP(B14,'LƯƠNG USD NGƯỜI VIỆT'!B19:F29,6,0)</f>
        <v>#N/A</v>
      </c>
      <c r="P14" s="1392" t="e">
        <f t="shared" ref="P14:P25" si="1">+ROUND(AVERAGE(D14:O14),1)</f>
        <v>#N/A</v>
      </c>
      <c r="Q14" s="1392">
        <f t="shared" ref="Q14:Q25" si="2">COUNTA(D14:O14)</f>
        <v>12</v>
      </c>
      <c r="R14" s="1432" t="e">
        <f t="shared" ref="R14:R25" si="3">(P14*Q14*1/12)</f>
        <v>#N/A</v>
      </c>
      <c r="S14" s="1432" t="e">
        <f t="shared" ref="S14:S25" si="4">+R14</f>
        <v>#N/A</v>
      </c>
      <c r="T14" s="1419"/>
    </row>
    <row r="15" spans="1:20">
      <c r="A15" s="1381">
        <v>3</v>
      </c>
      <c r="B15" s="1383" t="s">
        <v>533</v>
      </c>
      <c r="C15" s="1383" t="s">
        <v>535</v>
      </c>
      <c r="D15" s="1404">
        <f>+VLOOKUP(B15,'[12]LƯƠNG USD NGƯỜI VIỆT'!$B$16:$G$28,6,0)</f>
        <v>500</v>
      </c>
      <c r="E15" s="1404">
        <f>+VLOOKUP(B15,'[13]LƯƠNG USD NGƯỜI VIỆT'!$B$16:$G$28,6,0)</f>
        <v>500</v>
      </c>
      <c r="F15" s="1404">
        <f>+VLOOKUP(B15,'[14]LƯƠNG USD NGƯỜI VIỆT'!$B$16:$G$27,6,0)</f>
        <v>500</v>
      </c>
      <c r="G15" s="1404">
        <f>+VLOOKUP(B15,'[15]LƯƠNG USD NGƯỜI VIỆT'!$B$16:$G$24,6,0)</f>
        <v>500</v>
      </c>
      <c r="H15" s="1404">
        <f>+VLOOKUP(B15,'[16]LƯƠNG USD NGƯỜI VIỆT'!$B$16:$G$25,6,0)</f>
        <v>500</v>
      </c>
      <c r="I15" s="1404">
        <f>+VLOOKUP(B15,'[17]LƯƠNG USD NGƯỜI VIỆT'!$B$16:$G$27,6,0)</f>
        <v>500</v>
      </c>
      <c r="J15" s="1404">
        <f>+VLOOKUP(B15,'[18]LƯƠNG USD NGƯỜI VIỆT'!$B$16:$G$27,6,0)</f>
        <v>500</v>
      </c>
      <c r="K15" s="1404">
        <f>+VLOOKUP(B15,'[19]LƯƠNG USD NGƯỜI VIỆT'!$B$16:$G$26,6,0)</f>
        <v>500</v>
      </c>
      <c r="L15" s="1404">
        <f>+VLOOKUP(B15,'[20]LƯƠNG USD NGƯỜI VIỆT'!$B$16:$G$27,6,0)</f>
        <v>500</v>
      </c>
      <c r="M15" s="1404">
        <f>+VLOOKUP(B15,'[21]LƯƠNG USD NGƯỜI VIỆT'!$B$16:$G$27,6,0)</f>
        <v>500</v>
      </c>
      <c r="N15" s="1404">
        <f>+VLOOKUP(B15,'[22]LƯƠNG USD NGƯỜI VIỆT'!$B$16:$G$28,6,0)</f>
        <v>500</v>
      </c>
      <c r="O15" s="1404" t="e">
        <f>+VLOOKUP(B15,'LƯƠNG USD NGƯỜI VIỆT'!B20:F30,6,0)</f>
        <v>#REF!</v>
      </c>
      <c r="P15" s="1392" t="e">
        <f t="shared" si="1"/>
        <v>#REF!</v>
      </c>
      <c r="Q15" s="1392">
        <f t="shared" si="2"/>
        <v>12</v>
      </c>
      <c r="R15" s="1432" t="e">
        <f t="shared" si="3"/>
        <v>#REF!</v>
      </c>
      <c r="S15" s="1432" t="e">
        <f t="shared" si="4"/>
        <v>#REF!</v>
      </c>
      <c r="T15" s="1419"/>
    </row>
    <row r="16" spans="1:20">
      <c r="A16" s="1381">
        <v>4</v>
      </c>
      <c r="B16" s="1383" t="s">
        <v>1013</v>
      </c>
      <c r="C16" s="1383" t="s">
        <v>1014</v>
      </c>
      <c r="D16" s="1418">
        <f>+'Thuong 3 T '!D16</f>
        <v>0</v>
      </c>
      <c r="E16" s="1418">
        <f>+'Thuong 3 T '!E16</f>
        <v>0</v>
      </c>
      <c r="F16" s="1418">
        <f>+'Thuong 3 T '!F16</f>
        <v>0</v>
      </c>
      <c r="G16" s="1418">
        <f>+'Thuong 3 T '!G16</f>
        <v>0</v>
      </c>
      <c r="H16" s="1404">
        <f>+VLOOKUP(B16,'[16]LƯƠNG USD NGƯỜI VIỆT'!$B$16:$G$25,6,0)</f>
        <v>500</v>
      </c>
      <c r="I16" s="1404">
        <f>+VLOOKUP(B16,'[17]LƯƠNG USD NGƯỜI VIỆT'!$B$16:$G$27,6,0)</f>
        <v>500</v>
      </c>
      <c r="J16" s="1404">
        <f>+VLOOKUP(B16,'[18]LƯƠNG USD NGƯỜI VIỆT'!$B$16:$G$27,6,0)</f>
        <v>500</v>
      </c>
      <c r="K16" s="1404">
        <f>+VLOOKUP(B16,'[19]LƯƠNG USD NGƯỜI VIỆT'!$B$16:$G$26,6,0)</f>
        <v>500</v>
      </c>
      <c r="L16" s="1404">
        <f>+VLOOKUP(B16,'[20]LƯƠNG USD NGƯỜI VIỆT'!$B$16:$G$27,6,0)</f>
        <v>500</v>
      </c>
      <c r="M16" s="1404">
        <f>+VLOOKUP(B16,'[21]LƯƠNG USD NGƯỜI VIỆT'!$B$16:$G$27,6,0)</f>
        <v>500</v>
      </c>
      <c r="N16" s="1404">
        <f>+VLOOKUP(B16,'[22]LƯƠNG USD NGƯỜI VIỆT'!$B$16:$G$28,6,0)</f>
        <v>500</v>
      </c>
      <c r="O16" s="1404" t="e">
        <f>+VLOOKUP(B16,'LƯƠNG USD NGƯỜI VIỆT'!B21:F31,6,0)</f>
        <v>#REF!</v>
      </c>
      <c r="P16" s="1392" t="e">
        <f t="shared" si="1"/>
        <v>#REF!</v>
      </c>
      <c r="Q16" s="1392">
        <f>COUNTA(D16:O16)</f>
        <v>12</v>
      </c>
      <c r="R16" s="1432" t="e">
        <f t="shared" si="3"/>
        <v>#REF!</v>
      </c>
      <c r="S16" s="1432" t="e">
        <f t="shared" si="4"/>
        <v>#REF!</v>
      </c>
      <c r="T16" s="1419"/>
    </row>
    <row r="17" spans="1:22">
      <c r="A17" s="1381">
        <v>5</v>
      </c>
      <c r="B17" s="1383" t="s">
        <v>541</v>
      </c>
      <c r="C17" s="1383" t="s">
        <v>52</v>
      </c>
      <c r="D17" s="1420">
        <f>+VLOOKUP(B17,'[12]LƯƠNG USD NGƯỜI VIỆT'!$B$16:$G$28,6,0)</f>
        <v>175.57550460681381</v>
      </c>
      <c r="E17" s="1420">
        <f>+VLOOKUP(B17,'[13]LƯƠNG USD NGƯỜI VIỆT'!$B$16:$G$28,6,0)</f>
        <v>174.99946119307248</v>
      </c>
      <c r="F17" s="1417">
        <f>+VLOOKUP(B17,'[14]LƯƠNG USD NGƯỜI VIỆT'!$B$16:$G$27,6,0)</f>
        <v>174.13896079056423</v>
      </c>
      <c r="G17" s="1404">
        <f>+VLOOKUP(B17,'[15]LƯƠNG USD NGƯỜI VIỆT'!$B$16:$G$24,6,0)</f>
        <v>380</v>
      </c>
      <c r="H17" s="1404">
        <f>+VLOOKUP(B17,'[16]LƯƠNG USD NGƯỜI VIỆT'!$B$16:$G$25,6,0)</f>
        <v>380</v>
      </c>
      <c r="I17" s="1404">
        <f>+VLOOKUP(B17,'[17]LƯƠNG USD NGƯỜI VIỆT'!$B$16:$G$27,6,0)</f>
        <v>380</v>
      </c>
      <c r="J17" s="1404">
        <f>+VLOOKUP(B17,'[18]LƯƠNG USD NGƯỜI VIỆT'!$B$16:$G$27,6,0)</f>
        <v>380</v>
      </c>
      <c r="K17" s="1404">
        <f>+VLOOKUP(B17,'[19]LƯƠNG USD NGƯỜI VIỆT'!$B$16:$G$26,6,0)</f>
        <v>380</v>
      </c>
      <c r="L17" s="1404">
        <f>+VLOOKUP(B17,'[20]LƯƠNG USD NGƯỜI VIỆT'!$B$16:$G$27,6,0)</f>
        <v>380</v>
      </c>
      <c r="M17" s="1404">
        <f>+VLOOKUP(B17,'[21]LƯƠNG USD NGƯỜI VIỆT'!$B$16:$G$27,6,0)</f>
        <v>380</v>
      </c>
      <c r="N17" s="1404">
        <f>+VLOOKUP(B17,'[22]LƯƠNG USD NGƯỜI VIỆT'!$B$16:$G$28,6,0)</f>
        <v>380</v>
      </c>
      <c r="O17" s="1404" t="e">
        <f>+VLOOKUP(B17,'LƯƠNG USD NGƯỜI VIỆT'!B23:F31,6,0)</f>
        <v>#REF!</v>
      </c>
      <c r="P17" s="1392" t="e">
        <f t="shared" si="1"/>
        <v>#REF!</v>
      </c>
      <c r="Q17" s="1392">
        <f t="shared" si="2"/>
        <v>12</v>
      </c>
      <c r="R17" s="1432" t="e">
        <f t="shared" si="3"/>
        <v>#REF!</v>
      </c>
      <c r="S17" s="1432" t="e">
        <f t="shared" si="4"/>
        <v>#REF!</v>
      </c>
      <c r="T17" s="1419"/>
      <c r="U17" s="1435"/>
    </row>
    <row r="18" spans="1:22">
      <c r="A18" s="1381">
        <v>6</v>
      </c>
      <c r="B18" s="1383" t="s">
        <v>467</v>
      </c>
      <c r="C18" s="1383" t="s">
        <v>469</v>
      </c>
      <c r="D18" s="1404">
        <f>+VLOOKUP(B18,'[12]LƯƠNG USD NGƯỜI VIỆT'!$B$16:$G$28,6,0)</f>
        <v>470</v>
      </c>
      <c r="E18" s="1404">
        <f>+VLOOKUP(B18,'[13]LƯƠNG USD NGƯỜI VIỆT'!$B$16:$G$28,6,0)</f>
        <v>470</v>
      </c>
      <c r="F18" s="1404">
        <f>+VLOOKUP(B18,'[14]LƯƠNG USD NGƯỜI VIỆT'!$B$16:$G$27,6,0)</f>
        <v>470</v>
      </c>
      <c r="G18" s="1404">
        <f>+VLOOKUP(B18,'[15]LƯƠNG USD NGƯỜI VIỆT'!$B$16:$G$24,6,0)</f>
        <v>470</v>
      </c>
      <c r="H18" s="1404">
        <f>+VLOOKUP(B18,'[16]LƯƠNG USD NGƯỜI VIỆT'!$B$16:$G$25,6,0)</f>
        <v>470</v>
      </c>
      <c r="I18" s="1404">
        <f>+VLOOKUP(B18,'[17]LƯƠNG USD NGƯỜI VIỆT'!$B$16:$G$27,6,0)</f>
        <v>470</v>
      </c>
      <c r="J18" s="1404">
        <f>+VLOOKUP(B18,'[18]LƯƠNG USD NGƯỜI VIỆT'!$B$16:$G$27,6,0)</f>
        <v>470</v>
      </c>
      <c r="K18" s="1404">
        <f>+VLOOKUP(B18,'[19]LƯƠNG USD NGƯỜI VIỆT'!$B$16:$G$26,6,0)</f>
        <v>470</v>
      </c>
      <c r="L18" s="1404">
        <f>+VLOOKUP(B18,'[20]LƯƠNG USD NGƯỜI VIỆT'!$B$16:$G$27,6,0)</f>
        <v>470</v>
      </c>
      <c r="M18" s="1404">
        <f>+VLOOKUP(B18,'[21]LƯƠNG USD NGƯỜI VIỆT'!$B$16:$G$27,6,0)</f>
        <v>470</v>
      </c>
      <c r="N18" s="1404">
        <f>+VLOOKUP(B18,'[22]LƯƠNG USD NGƯỜI VIỆT'!$B$16:$G$28,6,0)</f>
        <v>470</v>
      </c>
      <c r="O18" s="1404" t="e">
        <f>+VLOOKUP(B18,'LƯƠNG USD NGƯỜI VIỆT'!B24:F32,6,0)</f>
        <v>#N/A</v>
      </c>
      <c r="P18" s="1392" t="e">
        <f t="shared" si="1"/>
        <v>#N/A</v>
      </c>
      <c r="Q18" s="1392">
        <f t="shared" si="2"/>
        <v>12</v>
      </c>
      <c r="R18" s="1432" t="e">
        <f t="shared" si="3"/>
        <v>#N/A</v>
      </c>
      <c r="S18" s="1432" t="e">
        <f t="shared" si="4"/>
        <v>#N/A</v>
      </c>
      <c r="T18" s="1419"/>
    </row>
    <row r="19" spans="1:22">
      <c r="A19" s="1381">
        <v>7</v>
      </c>
      <c r="B19" s="1383" t="s">
        <v>308</v>
      </c>
      <c r="C19" s="1383" t="s">
        <v>53</v>
      </c>
      <c r="D19" s="1420">
        <f>+VLOOKUP(B19,'[12]LƯƠNG USD NGƯỜI VIỆT'!$B$16:$G$28,6,0)</f>
        <v>350</v>
      </c>
      <c r="E19" s="1420">
        <f>+VLOOKUP(B19,'[13]LƯƠNG USD NGƯỜI VIỆT'!$B$16:$G$28,6,0)</f>
        <v>350</v>
      </c>
      <c r="F19" s="1420">
        <f>+VLOOKUP(B19,'[14]LƯƠNG USD NGƯỜI VIỆT'!$B$16:$G$27,6,0)</f>
        <v>350</v>
      </c>
      <c r="G19" s="1420">
        <f>+VLOOKUP(B19,'[15]LƯƠNG USD NGƯỜI VIỆT'!$B$16:$G$24,6,0)</f>
        <v>350</v>
      </c>
      <c r="H19" s="1420">
        <f>+VLOOKUP(B19,'[16]LƯƠNG USD NGƯỜI VIỆT'!$B$16:$G$25,6,0)</f>
        <v>149.26561626429478</v>
      </c>
      <c r="I19" s="1420">
        <f>+VLOOKUP(B19,'[17]LƯƠNG USD NGƯỜI VIỆT'!$B$16:$G$27,6,0)</f>
        <v>149.56995257666773</v>
      </c>
      <c r="J19" s="1404">
        <f>+VLOOKUP(B19,'[18]LƯƠNG USD NGƯỜI VIỆT'!$B$16:$G$27,6,0)</f>
        <v>142.32682988072818</v>
      </c>
      <c r="K19" s="1404">
        <f>+VLOOKUP(B19,'[19]LƯƠNG USD NGƯỜI VIỆT'!$B$16:$G$26,6,0)</f>
        <v>168.47189577905161</v>
      </c>
      <c r="L19" s="1404">
        <f>+VLOOKUP(B19,'[20]LƯƠNG USD NGƯỜI VIỆT'!$B$16:$G$27,6,0)</f>
        <v>163.48868139558132</v>
      </c>
      <c r="M19" s="1404">
        <f>+VLOOKUP(B19,'[21]LƯƠNG USD NGƯỜI VIỆT'!$B$16:$G$27,6,0)</f>
        <v>159.95600309837337</v>
      </c>
      <c r="N19" s="1404">
        <f>+VLOOKUP(B19,'[22]LƯƠNG USD NGƯỜI VIỆT'!$B$16:$G$28,6,0)</f>
        <v>350</v>
      </c>
      <c r="O19" s="1404" t="e">
        <f>+VLOOKUP(B19,'LƯƠNG USD NGƯỜI VIỆT'!B24:F32,6,0)</f>
        <v>#REF!</v>
      </c>
      <c r="P19" s="1392" t="e">
        <f t="shared" si="1"/>
        <v>#REF!</v>
      </c>
      <c r="Q19" s="1392">
        <f t="shared" si="2"/>
        <v>12</v>
      </c>
      <c r="R19" s="1432" t="e">
        <f t="shared" si="3"/>
        <v>#REF!</v>
      </c>
      <c r="S19" s="1432" t="e">
        <f t="shared" si="4"/>
        <v>#REF!</v>
      </c>
      <c r="T19" s="1419"/>
    </row>
    <row r="20" spans="1:22">
      <c r="A20" s="1381">
        <v>8</v>
      </c>
      <c r="B20" s="1383" t="s">
        <v>32</v>
      </c>
      <c r="C20" s="1383" t="s">
        <v>53</v>
      </c>
      <c r="D20" s="1404">
        <f>+VLOOKUP(B20,'[12]LƯƠNG USD NGƯỜI VIỆT'!$B$16:$G$28,6,0)</f>
        <v>350</v>
      </c>
      <c r="E20" s="1404">
        <f>+VLOOKUP(B20,'[13]LƯƠNG USD NGƯỜI VIỆT'!$B$16:$G$28,6,0)</f>
        <v>350</v>
      </c>
      <c r="F20" s="1404">
        <f>+VLOOKUP(B20,'[14]LƯƠNG USD NGƯỜI VIỆT'!$B$16:$G$27,6,0)</f>
        <v>350</v>
      </c>
      <c r="G20" s="1404">
        <f>+VLOOKUP(B20,'[15]LƯƠNG USD NGƯỜI VIỆT'!$B$16:$G$24,6,0)</f>
        <v>350</v>
      </c>
      <c r="H20" s="1404">
        <f>+VLOOKUP(B20,'[16]LƯƠNG USD NGƯỜI VIỆT'!$B$16:$G$25,6,0)</f>
        <v>350</v>
      </c>
      <c r="I20" s="1404">
        <f>+VLOOKUP(B20,'[17]LƯƠNG USD NGƯỜI VIỆT'!$B$16:$G$27,6,0)</f>
        <v>350</v>
      </c>
      <c r="J20" s="1404">
        <f>+VLOOKUP(B20,'[18]LƯƠNG USD NGƯỜI VIỆT'!$B$16:$G$27,6,0)</f>
        <v>350</v>
      </c>
      <c r="K20" s="1404">
        <f>+VLOOKUP(B20,'[19]LƯƠNG USD NGƯỜI VIỆT'!$B$16:$G$26,6,0)</f>
        <v>350</v>
      </c>
      <c r="L20" s="1404">
        <f>+VLOOKUP(B20,'[20]LƯƠNG USD NGƯỜI VIỆT'!$B$16:$G$27,6,0)</f>
        <v>350</v>
      </c>
      <c r="M20" s="1404">
        <f>+VLOOKUP(B20,'[21]LƯƠNG USD NGƯỜI VIỆT'!$B$16:$G$27,6,0)</f>
        <v>350</v>
      </c>
      <c r="N20" s="1404">
        <f>+VLOOKUP(B20,'[22]LƯƠNG USD NGƯỜI VIỆT'!$B$16:$G$28,6,0)</f>
        <v>350</v>
      </c>
      <c r="O20" s="1404" t="e">
        <f>+VLOOKUP(B20,'LƯƠNG USD NGƯỜI VIỆT'!B25:F34,6,0)</f>
        <v>#REF!</v>
      </c>
      <c r="P20" s="1392" t="e">
        <f t="shared" si="1"/>
        <v>#REF!</v>
      </c>
      <c r="Q20" s="1392">
        <f t="shared" si="2"/>
        <v>12</v>
      </c>
      <c r="R20" s="1432" t="e">
        <f t="shared" si="3"/>
        <v>#REF!</v>
      </c>
      <c r="S20" s="1432" t="e">
        <f t="shared" si="4"/>
        <v>#REF!</v>
      </c>
      <c r="T20" s="1419"/>
    </row>
    <row r="21" spans="1:22">
      <c r="A21" s="1381">
        <v>9</v>
      </c>
      <c r="B21" s="1384" t="s">
        <v>967</v>
      </c>
      <c r="C21" s="1383" t="s">
        <v>52</v>
      </c>
      <c r="D21" s="1404">
        <f>+VLOOKUP(B21,'[12]LƯƠNG USD NGƯỜI VIỆT'!$B$16:$G$28,6,0)</f>
        <v>350</v>
      </c>
      <c r="E21" s="1404">
        <f>+VLOOKUP(B21,'[13]LƯƠNG USD NGƯỜI VIỆT'!$B$16:$G$28,6,0)</f>
        <v>350</v>
      </c>
      <c r="F21" s="1404">
        <f>+VLOOKUP(B21,'[14]LƯƠNG USD NGƯỜI VIỆT'!$B$16:$G$27,6,0)</f>
        <v>350</v>
      </c>
      <c r="G21" s="1404">
        <f>+VLOOKUP(B21,'[15]LƯƠNG USD NGƯỜI VIỆT'!$B$16:$G$24,6,0)</f>
        <v>350</v>
      </c>
      <c r="H21" s="1404">
        <f>+VLOOKUP(B21,'[16]LƯƠNG USD NGƯỜI VIỆT'!$B$16:$G$25,6,0)</f>
        <v>350</v>
      </c>
      <c r="I21" s="1404">
        <f>+VLOOKUP(B21,'[17]LƯƠNG USD NGƯỜI VIỆT'!$B$16:$G$27,6,0)</f>
        <v>400</v>
      </c>
      <c r="J21" s="1404">
        <f>+VLOOKUP(B21,'[18]LƯƠNG USD NGƯỜI VIỆT'!$B$16:$G$27,6,0)</f>
        <v>400</v>
      </c>
      <c r="K21" s="1404">
        <f>+VLOOKUP(B21,'[19]LƯƠNG USD NGƯỜI VIỆT'!$B$16:$G$26,6,0)</f>
        <v>400</v>
      </c>
      <c r="L21" s="1404">
        <f>+VLOOKUP(B21,'[20]LƯƠNG USD NGƯỜI VIỆT'!$B$16:$G$27,6,0)</f>
        <v>400</v>
      </c>
      <c r="M21" s="1404">
        <f>+VLOOKUP(B21,'[21]LƯƠNG USD NGƯỜI VIỆT'!$B$16:$G$27,6,0)</f>
        <v>400</v>
      </c>
      <c r="N21" s="1404">
        <f>+VLOOKUP(B21,'[22]LƯƠNG USD NGƯỜI VIỆT'!$B$16:$G$28,6,0)</f>
        <v>400</v>
      </c>
      <c r="O21" s="1404" t="e">
        <f>+VLOOKUP(B21,'LƯƠNG USD NGƯỜI VIỆT'!B27:F35,6,0)</f>
        <v>#N/A</v>
      </c>
      <c r="P21" s="1392" t="e">
        <f t="shared" si="1"/>
        <v>#N/A</v>
      </c>
      <c r="Q21" s="1392">
        <f t="shared" si="2"/>
        <v>12</v>
      </c>
      <c r="R21" s="1432" t="e">
        <f t="shared" si="3"/>
        <v>#N/A</v>
      </c>
      <c r="S21" s="1432" t="e">
        <f t="shared" si="4"/>
        <v>#N/A</v>
      </c>
      <c r="T21" s="1391"/>
    </row>
    <row r="22" spans="1:22">
      <c r="A22" s="1381">
        <v>10</v>
      </c>
      <c r="B22" s="1384" t="s">
        <v>1091</v>
      </c>
      <c r="C22" s="1383" t="s">
        <v>1096</v>
      </c>
      <c r="D22" s="1418">
        <f>+'Thuong 3 T '!D22</f>
        <v>0</v>
      </c>
      <c r="E22" s="1418">
        <f>+'Thuong 3 T '!E22</f>
        <v>0</v>
      </c>
      <c r="F22" s="1418">
        <f>+'Thuong 3 T '!F22</f>
        <v>0</v>
      </c>
      <c r="G22" s="1418">
        <f>+'Thuong 3 T '!G22</f>
        <v>0</v>
      </c>
      <c r="H22" s="1418">
        <f>+'Thuong 3 T '!H22</f>
        <v>0</v>
      </c>
      <c r="I22" s="1421">
        <f>+VLOOKUP(B22,'[17]LƯƠNG USD NGƯỜI VIỆT'!$B$16:$G$27,6,0)</f>
        <v>600</v>
      </c>
      <c r="J22" s="1404">
        <f>+VLOOKUP(B22,'[18]LƯƠNG USD NGƯỜI VIỆT'!$B$16:$G$27,6,0)</f>
        <v>600</v>
      </c>
      <c r="K22" s="1404">
        <f>+VLOOKUP(B22,'[19]LƯƠNG USD NGƯỜI VIỆT'!$B$16:$G$26,6,0)</f>
        <v>750</v>
      </c>
      <c r="L22" s="1404">
        <f>+VLOOKUP(B22,'[20]LƯƠNG USD NGƯỜI VIỆT'!$B$16:$G$27,6,0)</f>
        <v>750</v>
      </c>
      <c r="M22" s="1404">
        <f>+VLOOKUP(B22,'[21]LƯƠNG USD NGƯỜI VIỆT'!$B$16:$G$27,6,0)</f>
        <v>750</v>
      </c>
      <c r="N22" s="1404">
        <f>+VLOOKUP(B22,'[22]LƯƠNG USD NGƯỜI VIỆT'!$B$16:$G$28,6,0)</f>
        <v>750</v>
      </c>
      <c r="O22" s="1404" t="e">
        <f>+VLOOKUP(B22,'LƯƠNG USD NGƯỜI VIỆT'!B18:F36,6,0)</f>
        <v>#N/A</v>
      </c>
      <c r="P22" s="1392" t="e">
        <f t="shared" si="1"/>
        <v>#N/A</v>
      </c>
      <c r="Q22" s="1392">
        <f t="shared" si="2"/>
        <v>12</v>
      </c>
      <c r="R22" s="1432" t="e">
        <f t="shared" si="3"/>
        <v>#N/A</v>
      </c>
      <c r="S22" s="1432" t="e">
        <f t="shared" si="4"/>
        <v>#N/A</v>
      </c>
      <c r="T22" s="1391"/>
    </row>
    <row r="23" spans="1:22">
      <c r="A23" s="1381">
        <v>11</v>
      </c>
      <c r="B23" s="1384" t="s">
        <v>1092</v>
      </c>
      <c r="C23" s="1383" t="s">
        <v>60</v>
      </c>
      <c r="D23" s="1418">
        <f>+'Thuong 3 T '!D23</f>
        <v>0</v>
      </c>
      <c r="E23" s="1418">
        <f>+'Thuong 3 T '!E23</f>
        <v>0</v>
      </c>
      <c r="F23" s="1418">
        <f>+'Thuong 3 T '!F23</f>
        <v>0</v>
      </c>
      <c r="G23" s="1418">
        <f>+'Thuong 3 T '!G23</f>
        <v>0</v>
      </c>
      <c r="H23" s="1418">
        <f>+'Thuong 3 T '!H23</f>
        <v>0</v>
      </c>
      <c r="I23" s="1421">
        <f>+VLOOKUP(B23,'[17]LƯƠNG USD NGƯỜI VIỆT'!$B$16:$G$27,6,0)</f>
        <v>400</v>
      </c>
      <c r="J23" s="1404">
        <f>+VLOOKUP(B23,'[18]LƯƠNG USD NGƯỜI VIỆT'!$B$16:$G$27,6,0)</f>
        <v>400</v>
      </c>
      <c r="K23" s="1404">
        <f>+VLOOKUP(B23,'[19]LƯƠNG USD NGƯỜI VIỆT'!$B$16:$G$26,6,0)</f>
        <v>400</v>
      </c>
      <c r="L23" s="1404">
        <f>+VLOOKUP(B23,'[20]LƯƠNG USD NGƯỜI VIỆT'!$B$16:$G$27,6,0)</f>
        <v>400</v>
      </c>
      <c r="M23" s="1404">
        <f>+VLOOKUP(B23,'[21]LƯƠNG USD NGƯỜI VIỆT'!$B$16:$G$27,6,0)</f>
        <v>400</v>
      </c>
      <c r="N23" s="1404">
        <f>+VLOOKUP(B23,'[22]LƯƠNG USD NGƯỜI VIỆT'!$B$16:$G$28,6,0)</f>
        <v>400</v>
      </c>
      <c r="O23" s="1404" t="e">
        <f>+VLOOKUP(B23,'LƯƠNG USD NGƯỜI VIỆT'!B27:F37,6,0)</f>
        <v>#N/A</v>
      </c>
      <c r="P23" s="1392" t="e">
        <f t="shared" si="1"/>
        <v>#N/A</v>
      </c>
      <c r="Q23" s="1392">
        <f t="shared" si="2"/>
        <v>12</v>
      </c>
      <c r="R23" s="1432" t="e">
        <f t="shared" si="3"/>
        <v>#N/A</v>
      </c>
      <c r="S23" s="1432" t="e">
        <f t="shared" si="4"/>
        <v>#N/A</v>
      </c>
      <c r="T23" s="1391"/>
    </row>
    <row r="24" spans="1:22">
      <c r="A24" s="1381">
        <v>12</v>
      </c>
      <c r="B24" s="1384" t="s">
        <v>1093</v>
      </c>
      <c r="C24" s="1383" t="s">
        <v>356</v>
      </c>
      <c r="D24" s="1418">
        <v>0</v>
      </c>
      <c r="E24" s="1418">
        <v>0</v>
      </c>
      <c r="F24" s="1418">
        <v>0</v>
      </c>
      <c r="G24" s="1418">
        <v>0</v>
      </c>
      <c r="H24" s="1418">
        <v>0</v>
      </c>
      <c r="I24" s="1421">
        <f>+VLOOKUP(B24,'[17]LƯƠNG USD NGƯỜI VIỆT'!$B$16:$G$27,6,0)</f>
        <v>126.92307692307692</v>
      </c>
      <c r="J24" s="1404">
        <f>+VLOOKUP(B24,'[18]LƯƠNG USD NGƯỜI VIỆT'!$B$16:$G$27,6,0)</f>
        <v>300</v>
      </c>
      <c r="K24" s="1404">
        <v>300</v>
      </c>
      <c r="L24" s="1404">
        <f>+VLOOKUP(B24,'[20]LƯƠNG USD NGƯỜI VIỆT'!$B$16:$G$27,6,0)</f>
        <v>350</v>
      </c>
      <c r="M24" s="1404">
        <f>+VLOOKUP(B24,'[21]LƯƠNG USD NGƯỜI VIỆT'!$B$16:$G$27,6,0)</f>
        <v>350</v>
      </c>
      <c r="N24" s="1404">
        <f>+VLOOKUP(B24,'[22]LƯƠNG USD NGƯỜI VIỆT'!$B$16:$G$28,6,0)</f>
        <v>350</v>
      </c>
      <c r="O24" s="1404" t="e">
        <f>+VLOOKUP(B24,'LƯƠNG USD NGƯỜI VIỆT'!B29:F38,6,0)</f>
        <v>#N/A</v>
      </c>
      <c r="P24" s="1392" t="e">
        <f t="shared" si="1"/>
        <v>#N/A</v>
      </c>
      <c r="Q24" s="1392">
        <f t="shared" si="2"/>
        <v>12</v>
      </c>
      <c r="R24" s="1432" t="e">
        <f t="shared" si="3"/>
        <v>#N/A</v>
      </c>
      <c r="S24" s="1432" t="e">
        <f t="shared" si="4"/>
        <v>#N/A</v>
      </c>
      <c r="T24" s="1391"/>
    </row>
    <row r="25" spans="1:22">
      <c r="A25" s="1385">
        <v>13</v>
      </c>
      <c r="B25" s="1386" t="s">
        <v>40</v>
      </c>
      <c r="C25" s="1386" t="s">
        <v>356</v>
      </c>
      <c r="D25" s="1422">
        <v>370</v>
      </c>
      <c r="E25" s="1423">
        <v>370</v>
      </c>
      <c r="F25" s="1423">
        <v>370</v>
      </c>
      <c r="G25" s="1407">
        <v>370</v>
      </c>
      <c r="H25" s="1423">
        <v>370</v>
      </c>
      <c r="I25" s="1423">
        <v>370</v>
      </c>
      <c r="J25" s="1424">
        <v>239.01066610866988</v>
      </c>
      <c r="K25" s="1424">
        <v>191.70939864512769</v>
      </c>
      <c r="L25" s="1424">
        <v>186.03884434669601</v>
      </c>
      <c r="M25" s="1408">
        <v>182.01890007745934</v>
      </c>
      <c r="N25" s="1423">
        <f>+VLOOKUP(B25,'[22]LƯƠNG USD NGƯỜI VIỆT'!$B$16:$G$28,6,0)</f>
        <v>400</v>
      </c>
      <c r="O25" s="1423" t="e">
        <f>+VLOOKUP(B25,'LƯƠNG USD NGƯỜI VIỆT'!B29:F39,6,0)</f>
        <v>#N/A</v>
      </c>
      <c r="P25" s="1394" t="e">
        <f t="shared" si="1"/>
        <v>#N/A</v>
      </c>
      <c r="Q25" s="1394">
        <f t="shared" si="2"/>
        <v>12</v>
      </c>
      <c r="R25" s="1433" t="e">
        <f t="shared" si="3"/>
        <v>#N/A</v>
      </c>
      <c r="S25" s="1433" t="e">
        <f t="shared" si="4"/>
        <v>#N/A</v>
      </c>
      <c r="T25" s="1393"/>
    </row>
    <row r="26" spans="1:22">
      <c r="A26" s="4662" t="s">
        <v>1133</v>
      </c>
      <c r="B26" s="4663"/>
      <c r="C26" s="1387"/>
      <c r="D26" s="1430">
        <f>+SUBTOTAL(9,D27:D31)</f>
        <v>1760</v>
      </c>
      <c r="E26" s="1430">
        <f t="shared" ref="E26:S26" si="5">+SUBTOTAL(9,E27:E31)</f>
        <v>1760</v>
      </c>
      <c r="F26" s="1430">
        <f t="shared" si="5"/>
        <v>1760</v>
      </c>
      <c r="G26" s="1430">
        <f t="shared" si="5"/>
        <v>2160</v>
      </c>
      <c r="H26" s="1430">
        <f t="shared" si="5"/>
        <v>2160</v>
      </c>
      <c r="I26" s="1430">
        <f t="shared" si="5"/>
        <v>2210</v>
      </c>
      <c r="J26" s="1430">
        <f t="shared" si="5"/>
        <v>1843.4179540117646</v>
      </c>
      <c r="K26" s="1430">
        <f t="shared" si="5"/>
        <v>1686.1570776446065</v>
      </c>
      <c r="L26" s="1430">
        <f t="shared" si="5"/>
        <v>1675.0307627711686</v>
      </c>
      <c r="M26" s="1430">
        <f t="shared" si="5"/>
        <v>1899.3240541023656</v>
      </c>
      <c r="N26" s="1430">
        <f t="shared" si="5"/>
        <v>1921.4695330201712</v>
      </c>
      <c r="O26" s="1430" t="e">
        <f t="shared" si="5"/>
        <v>#REF!</v>
      </c>
      <c r="P26" s="1430" t="e">
        <f t="shared" si="5"/>
        <v>#REF!</v>
      </c>
      <c r="Q26" s="1430">
        <f t="shared" si="5"/>
        <v>60</v>
      </c>
      <c r="R26" s="1430" t="e">
        <f t="shared" si="5"/>
        <v>#REF!</v>
      </c>
      <c r="S26" s="1430" t="e">
        <f t="shared" si="5"/>
        <v>#REF!</v>
      </c>
      <c r="T26" s="1378"/>
    </row>
    <row r="27" spans="1:22">
      <c r="A27" s="1389">
        <v>14</v>
      </c>
      <c r="B27" s="1425" t="s">
        <v>36</v>
      </c>
      <c r="C27" s="1389" t="s">
        <v>705</v>
      </c>
      <c r="D27" s="1409">
        <f>+VLOOKUP(B27,'[12]LƯƠNG USD NGƯỜI VIỆT'!$B$30:$G$34,6,0)</f>
        <v>450</v>
      </c>
      <c r="E27" s="1409">
        <f>+VLOOKUP(B27,'[13]LƯƠNG USD NGƯỜI VIỆT'!$B$30:$G$34,6,0)</f>
        <v>450</v>
      </c>
      <c r="F27" s="1409">
        <f>+VLOOKUP(B27,'[14]LƯƠNG USD NGƯỜI VIỆT'!$B$29:$G$33,6,0)</f>
        <v>450</v>
      </c>
      <c r="G27" s="1409">
        <f>+VLOOKUP(B27,'[15]LƯƠNG USD NGƯỜI VIỆT'!$B$26:$G$31,6,0)</f>
        <v>450</v>
      </c>
      <c r="H27" s="1409">
        <f>+VLOOKUP(B27,'[16]LƯƠNG USD NGƯỜI VIỆT'!$B$27:$G$32,6,0)</f>
        <v>450</v>
      </c>
      <c r="I27" s="1409">
        <f>+VLOOKUP(B27,'[17]LƯƠNG USD NGƯỜI VIỆT'!$B$29:$G$35,6,0)</f>
        <v>450</v>
      </c>
      <c r="J27" s="1412">
        <f>+VLOOKUP(B27,'[18]LƯƠNG USD NGƯỜI VIỆT'!$B$29:$G$35,6,0)</f>
        <v>261.6875483015973</v>
      </c>
      <c r="K27" s="1403">
        <f>+VLOOKUP(B27,'[19]LƯƠNG USD NGƯỜI VIỆT'!$B$29:$G$34,6,0)</f>
        <v>178.63830328295987</v>
      </c>
      <c r="L27" s="1405">
        <f>+VLOOKUP(B27,'[20]LƯƠNG USD NGƯỜI VIỆT'!$B$29:$G$34,6,0)</f>
        <v>173.35437768669399</v>
      </c>
      <c r="M27" s="1412">
        <f>+VLOOKUP(B27,'[21]LƯƠNG USD NGƯỜI VIỆT'!$B$29:$G$34,6,0)</f>
        <v>169.60852052672348</v>
      </c>
      <c r="N27" s="1412">
        <f>+VLOOKUP(B27,'[22]LƯƠNG USD NGƯỜI VIỆT'!$B$30:$G$34,6,0)</f>
        <v>161.46953302017133</v>
      </c>
      <c r="O27" s="1412" t="e">
        <f>+VLOOKUP(B27,'LƯƠNG USD NGƯỜI VIỆT'!B30:F32,6,0)</f>
        <v>#REF!</v>
      </c>
      <c r="P27" s="1390" t="e">
        <f>+ROUND(AVERAGE(D27:O27),1)</f>
        <v>#REF!</v>
      </c>
      <c r="Q27" s="1390">
        <f>COUNTA(D27:O27)</f>
        <v>12</v>
      </c>
      <c r="R27" s="1431" t="e">
        <f>(P27*Q27*1/12)</f>
        <v>#REF!</v>
      </c>
      <c r="S27" s="1431" t="e">
        <f t="shared" ref="S27:S33" si="6">+R27</f>
        <v>#REF!</v>
      </c>
      <c r="T27" s="1389"/>
    </row>
    <row r="28" spans="1:22">
      <c r="A28" s="1391">
        <v>15</v>
      </c>
      <c r="B28" s="1426" t="s">
        <v>536</v>
      </c>
      <c r="C28" s="1391" t="s">
        <v>447</v>
      </c>
      <c r="D28" s="1410">
        <f>+VLOOKUP(B28,'[12]LƯƠNG USD NGƯỜI VIỆT'!$B$30:$G$34,6,0)</f>
        <v>410</v>
      </c>
      <c r="E28" s="1410">
        <f>+VLOOKUP(B28,'[13]LƯƠNG USD NGƯỜI VIỆT'!$B$30:$G$34,6,0)</f>
        <v>410</v>
      </c>
      <c r="F28" s="1410">
        <f>+VLOOKUP(B28,'[14]LƯƠNG USD NGƯỜI VIỆT'!$B$29:$G$33,6,0)</f>
        <v>410</v>
      </c>
      <c r="G28" s="1410">
        <f>+VLOOKUP(B28,'[15]LƯƠNG USD NGƯỜI VIỆT'!$B$26:$G$31,6,0)</f>
        <v>410</v>
      </c>
      <c r="H28" s="1410">
        <f>+VLOOKUP(B28,'[16]LƯƠNG USD NGƯỜI VIỆT'!$B$27:$G$32,6,0)</f>
        <v>410</v>
      </c>
      <c r="I28" s="1410">
        <f>+VLOOKUP(B28,'[17]LƯƠNG USD NGƯỜI VIỆT'!$B$29:$G$35,6,0)</f>
        <v>410</v>
      </c>
      <c r="J28" s="1410">
        <f>+VLOOKUP(B28,'[18]LƯƠNG USD NGƯỜI VIỆT'!$B$29:$G$35,6,0)</f>
        <v>410</v>
      </c>
      <c r="K28" s="1420">
        <f>+VLOOKUP(B28,'[19]LƯƠNG USD NGƯỜI VIỆT'!$B$29:$G$34,6,0)</f>
        <v>410</v>
      </c>
      <c r="L28" s="1421">
        <f>+VLOOKUP(B28,'[20]LƯƠNG USD NGƯỜI VIỆT'!$B$29:$G$34,6,0)</f>
        <v>410</v>
      </c>
      <c r="M28" s="1410">
        <f>+VLOOKUP(B28,'[21]LƯƠNG USD NGƯỜI VIỆT'!$B$29:$G$34,6,0)</f>
        <v>410</v>
      </c>
      <c r="N28" s="1410">
        <f>+VLOOKUP(B28,'[22]LƯƠNG USD NGƯỜI VIỆT'!$B$30:$G$34,6,0)</f>
        <v>410</v>
      </c>
      <c r="O28" s="1410" t="e">
        <f>+VLOOKUP(B28,'LƯƠNG USD NGƯỜI VIỆT'!B31:F34,6,0)</f>
        <v>#REF!</v>
      </c>
      <c r="P28" s="1392" t="e">
        <f>+ROUND(AVERAGE(D28:O28),1)</f>
        <v>#REF!</v>
      </c>
      <c r="Q28" s="1392">
        <f>COUNTA(D28:O28)</f>
        <v>12</v>
      </c>
      <c r="R28" s="1432" t="e">
        <f>(P28*Q28*1/12)</f>
        <v>#REF!</v>
      </c>
      <c r="S28" s="1432" t="e">
        <f t="shared" si="6"/>
        <v>#REF!</v>
      </c>
      <c r="T28" s="1391"/>
    </row>
    <row r="29" spans="1:22">
      <c r="A29" s="1391">
        <v>16</v>
      </c>
      <c r="B29" s="1322" t="s">
        <v>831</v>
      </c>
      <c r="C29" s="1391" t="s">
        <v>704</v>
      </c>
      <c r="D29" s="1410">
        <f>+VLOOKUP(B29,'[12]LƯƠNG USD NGƯỜI VIỆT'!$B$30:$G$34,6,0)</f>
        <v>450</v>
      </c>
      <c r="E29" s="1410">
        <f>+VLOOKUP(B29,'[13]LƯƠNG USD NGƯỜI VIỆT'!$B$30:$G$34,6,0)</f>
        <v>450</v>
      </c>
      <c r="F29" s="1410">
        <f>+VLOOKUP(B29,'[14]LƯƠNG USD NGƯỜI VIỆT'!$B$29:$G$33,6,0)</f>
        <v>450</v>
      </c>
      <c r="G29" s="1410">
        <f>+VLOOKUP(B29,'[15]LƯƠNG USD NGƯỜI VIỆT'!$B$26:$G$31,6,0)</f>
        <v>450</v>
      </c>
      <c r="H29" s="1410">
        <f>+VLOOKUP(B29,'[16]LƯƠNG USD NGƯỜI VIỆT'!$B$27:$G$32,6,0)</f>
        <v>450</v>
      </c>
      <c r="I29" s="1410">
        <f>+VLOOKUP(B29,'[17]LƯƠNG USD NGƯỜI VIỆT'!$B$29:$G$35,6,0)</f>
        <v>450</v>
      </c>
      <c r="J29" s="1406">
        <f>+VLOOKUP(B29,'[18]LƯƠNG USD NGƯỜI VIỆT'!$B$29:$G$35,6,0)</f>
        <v>271.73040571016719</v>
      </c>
      <c r="K29" s="1417">
        <f>+VLOOKUP(B29,'[19]LƯƠNG USD NGƯỜI VIỆT'!$B$29:$G$34,6,0)</f>
        <v>197.51877436164671</v>
      </c>
      <c r="L29" s="1418">
        <f>+VLOOKUP(B29,'[20]LƯƠNG USD NGƯỜI VIỆT'!$B$29:$G$34,6,0)</f>
        <v>191.67638508447467</v>
      </c>
      <c r="M29" s="1406">
        <f>+VLOOKUP(B29,'[21]LƯƠNG USD NGƯỜI VIỆT'!$B$29:$G$34,6,0)</f>
        <v>419.71553357564198</v>
      </c>
      <c r="N29" s="1410">
        <f>+VLOOKUP(B29,'[22]LƯƠNG USD NGƯỜI VIỆT'!$B$30:$G$34,6,0)</f>
        <v>450</v>
      </c>
      <c r="O29" s="1410" t="e">
        <f>+VLOOKUP(B29,'LƯƠNG USD NGƯỜI VIỆT'!B32:F35,6,0)</f>
        <v>#N/A</v>
      </c>
      <c r="P29" s="1392" t="e">
        <f>+ROUND(AVERAGE(D29:O29),1)</f>
        <v>#N/A</v>
      </c>
      <c r="Q29" s="1392">
        <f>COUNTA(D29:O29)</f>
        <v>12</v>
      </c>
      <c r="R29" s="1432" t="e">
        <f>(P29*Q29*1/12)</f>
        <v>#N/A</v>
      </c>
      <c r="S29" s="1432" t="e">
        <f t="shared" si="6"/>
        <v>#N/A</v>
      </c>
      <c r="T29" s="1391"/>
    </row>
    <row r="30" spans="1:22">
      <c r="A30" s="1391">
        <v>17</v>
      </c>
      <c r="B30" s="1426" t="s">
        <v>789</v>
      </c>
      <c r="C30" s="1427" t="s">
        <v>704</v>
      </c>
      <c r="D30" s="1410">
        <f>+VLOOKUP(B30,'[12]LƯƠNG USD NGƯỜI VIỆT'!$B$30:$G$34,6,0)</f>
        <v>450</v>
      </c>
      <c r="E30" s="1410">
        <f>+VLOOKUP(B30,'[13]LƯƠNG USD NGƯỜI VIỆT'!$B$30:$G$34,6,0)</f>
        <v>450</v>
      </c>
      <c r="F30" s="1410">
        <f>+VLOOKUP(B30,'[14]LƯƠNG USD NGƯỜI VIỆT'!$B$29:$G$33,6,0)</f>
        <v>450</v>
      </c>
      <c r="G30" s="1410">
        <f>+VLOOKUP(B30,'[15]LƯƠNG USD NGƯỜI VIỆT'!$B$26:$G$31,6,0)</f>
        <v>450</v>
      </c>
      <c r="H30" s="1410">
        <f>+VLOOKUP(B30,'[16]LƯƠNG USD NGƯỜI VIỆT'!$B$27:$G$32,6,0)</f>
        <v>450</v>
      </c>
      <c r="I30" s="1410">
        <f>+VLOOKUP(B30,'[17]LƯƠNG USD NGƯỜI VIỆT'!$B$29:$G$35,6,0)</f>
        <v>450</v>
      </c>
      <c r="J30" s="1410">
        <f>+VLOOKUP(B30,'[18]LƯƠNG USD NGƯỜI VIỆT'!$B$29:$G$35,6,0)</f>
        <v>450</v>
      </c>
      <c r="K30" s="1420">
        <f>+VLOOKUP(B30,'[19]LƯƠNG USD NGƯỜI VIỆT'!$B$29:$G$34,6,0)</f>
        <v>450</v>
      </c>
      <c r="L30" s="1420">
        <f>+VLOOKUP(B30,'[20]LƯƠNG USD NGƯỜI VIỆT'!$B$29:$G$34,6,0)</f>
        <v>450</v>
      </c>
      <c r="M30" s="1410">
        <f>+VLOOKUP(B30,'[21]LƯƠNG USD NGƯỜI VIỆT'!$B$29:$G$34,6,0)</f>
        <v>450</v>
      </c>
      <c r="N30" s="1410">
        <f>+VLOOKUP(B30,'[22]LƯƠNG USD NGƯỜI VIỆT'!$B$30:$G$34,6,0)</f>
        <v>450</v>
      </c>
      <c r="O30" s="1410" t="e">
        <f>+VLOOKUP(B30,'LƯƠNG USD NGƯỜI VIỆT'!B32:F36,6,0)</f>
        <v>#REF!</v>
      </c>
      <c r="P30" s="1392" t="e">
        <f>+ROUND(AVERAGE(D30:O30),1)</f>
        <v>#REF!</v>
      </c>
      <c r="Q30" s="1392">
        <f>COUNTA(D30:O30)</f>
        <v>12</v>
      </c>
      <c r="R30" s="1432" t="e">
        <f>(P30*Q30*1/12)</f>
        <v>#REF!</v>
      </c>
      <c r="S30" s="1432" t="e">
        <f t="shared" si="6"/>
        <v>#REF!</v>
      </c>
      <c r="T30" s="1391"/>
    </row>
    <row r="31" spans="1:22">
      <c r="A31" s="1393">
        <v>18</v>
      </c>
      <c r="B31" s="1428" t="s">
        <v>998</v>
      </c>
      <c r="C31" s="1428" t="s">
        <v>704</v>
      </c>
      <c r="D31" s="1424">
        <v>0</v>
      </c>
      <c r="E31" s="1424">
        <v>0</v>
      </c>
      <c r="F31" s="1424">
        <v>0</v>
      </c>
      <c r="G31" s="1411">
        <f>+VLOOKUP(B31,'[15]LƯƠNG USD NGƯỜI VIỆT'!$B$26:$G$31,6,0)</f>
        <v>400</v>
      </c>
      <c r="H31" s="1411">
        <f>+VLOOKUP(B31,'[16]LƯƠNG USD NGƯỜI VIỆT'!$B$27:$G$32,6,0)</f>
        <v>400</v>
      </c>
      <c r="I31" s="1411">
        <f>+VLOOKUP(B31,'[17]LƯƠNG USD NGƯỜI VIỆT'!$B$29:$G$35,6,0)</f>
        <v>450</v>
      </c>
      <c r="J31" s="1411">
        <f>+VLOOKUP(B31,'[18]LƯƠNG USD NGƯỜI VIỆT'!$B$29:$G$35,6,0)</f>
        <v>450.00000000000006</v>
      </c>
      <c r="K31" s="1429">
        <f>+VLOOKUP(B31,'[19]LƯƠNG USD NGƯỜI VIỆT'!$B$29:$G$34,6,0)</f>
        <v>450</v>
      </c>
      <c r="L31" s="1429">
        <f>+VLOOKUP(B31,'[20]LƯƠNG USD NGƯỜI VIỆT'!$B$29:$G$34,6,0)</f>
        <v>450</v>
      </c>
      <c r="M31" s="1411">
        <f>+VLOOKUP(B31,'[21]LƯƠNG USD NGƯỜI VIỆT'!$B$29:$G$34,6,0)</f>
        <v>450</v>
      </c>
      <c r="N31" s="1411">
        <f>+VLOOKUP(B31,'[22]LƯƠNG USD NGƯỜI VIỆT'!$B$30:$G$34,6,0)</f>
        <v>450</v>
      </c>
      <c r="O31" s="1411" t="e">
        <f>+VLOOKUP(B31,'LƯƠNG USD NGƯỜI VIỆT'!B34:F37,6,0)</f>
        <v>#N/A</v>
      </c>
      <c r="P31" s="1394" t="e">
        <f>+ROUND(AVERAGE(D31:O31),1)</f>
        <v>#N/A</v>
      </c>
      <c r="Q31" s="1394">
        <f>COUNTA(D31:O31)</f>
        <v>12</v>
      </c>
      <c r="R31" s="1433" t="e">
        <f>(P31*Q31*1/12)</f>
        <v>#N/A</v>
      </c>
      <c r="S31" s="1433" t="e">
        <f>+R31</f>
        <v>#N/A</v>
      </c>
      <c r="T31" s="1393"/>
      <c r="V31" s="1435"/>
    </row>
    <row r="32" spans="1:22">
      <c r="A32" s="4663" t="s">
        <v>1103</v>
      </c>
      <c r="B32" s="4663"/>
      <c r="C32" s="1395"/>
      <c r="D32" s="1430">
        <f>+SUBTOTAL(9,D33)</f>
        <v>370</v>
      </c>
      <c r="E32" s="1430">
        <f t="shared" ref="E32:S32" si="7">+SUBTOTAL(9,E33)</f>
        <v>370</v>
      </c>
      <c r="F32" s="1430">
        <f t="shared" si="7"/>
        <v>370</v>
      </c>
      <c r="G32" s="1430">
        <f t="shared" si="7"/>
        <v>370</v>
      </c>
      <c r="H32" s="1430">
        <f t="shared" si="7"/>
        <v>370</v>
      </c>
      <c r="I32" s="1430">
        <f t="shared" si="7"/>
        <v>410</v>
      </c>
      <c r="J32" s="1430">
        <f t="shared" si="7"/>
        <v>410</v>
      </c>
      <c r="K32" s="1430">
        <f t="shared" si="7"/>
        <v>410</v>
      </c>
      <c r="L32" s="1430">
        <f t="shared" si="7"/>
        <v>410</v>
      </c>
      <c r="M32" s="1430">
        <f t="shared" si="7"/>
        <v>410</v>
      </c>
      <c r="N32" s="1430">
        <f t="shared" si="7"/>
        <v>500</v>
      </c>
      <c r="O32" s="1430">
        <f t="shared" si="7"/>
        <v>500</v>
      </c>
      <c r="P32" s="1430">
        <f t="shared" si="7"/>
        <v>408.3</v>
      </c>
      <c r="Q32" s="1430">
        <f t="shared" si="7"/>
        <v>12</v>
      </c>
      <c r="R32" s="1430">
        <f t="shared" si="7"/>
        <v>408.3</v>
      </c>
      <c r="S32" s="1430">
        <f t="shared" si="7"/>
        <v>408.3</v>
      </c>
      <c r="T32" s="1388"/>
    </row>
    <row r="33" spans="1:21" s="1399" customFormat="1" ht="30.75" customHeight="1">
      <c r="A33" s="1396">
        <v>19</v>
      </c>
      <c r="B33" s="1342" t="s">
        <v>37</v>
      </c>
      <c r="C33" s="1343" t="s">
        <v>1134</v>
      </c>
      <c r="D33" s="1434">
        <v>370</v>
      </c>
      <c r="E33" s="1434">
        <v>370</v>
      </c>
      <c r="F33" s="1434">
        <v>370</v>
      </c>
      <c r="G33" s="1434">
        <v>370</v>
      </c>
      <c r="H33" s="1434">
        <v>370</v>
      </c>
      <c r="I33" s="1434">
        <v>410</v>
      </c>
      <c r="J33" s="1434">
        <v>410</v>
      </c>
      <c r="K33" s="1434">
        <v>410</v>
      </c>
      <c r="L33" s="1434">
        <v>410</v>
      </c>
      <c r="M33" s="1434">
        <v>410</v>
      </c>
      <c r="N33" s="1434">
        <v>500</v>
      </c>
      <c r="O33" s="1434">
        <v>500</v>
      </c>
      <c r="P33" s="1394">
        <f>+ROUND(AVERAGE(D33:O33),1)</f>
        <v>408.3</v>
      </c>
      <c r="Q33" s="1394">
        <f>COUNTA(D33:O33)</f>
        <v>12</v>
      </c>
      <c r="R33" s="1431">
        <f>(P33*Q33*1/12)</f>
        <v>408.3</v>
      </c>
      <c r="S33" s="1433">
        <f t="shared" si="6"/>
        <v>408.3</v>
      </c>
      <c r="T33" s="1397"/>
      <c r="U33" s="1398"/>
    </row>
    <row r="34" spans="1:21" s="1399" customFormat="1" ht="15.75">
      <c r="A34" s="4658" t="s">
        <v>240</v>
      </c>
      <c r="B34" s="4659"/>
      <c r="C34" s="1415"/>
      <c r="D34" s="1413">
        <f>+SUBTOTAL(9,D12:D33)</f>
        <v>6045.5755046068134</v>
      </c>
      <c r="E34" s="1413">
        <f t="shared" ref="E34:R34" si="8">+SUBTOTAL(9,E12:E33)</f>
        <v>6144.9994611930724</v>
      </c>
      <c r="F34" s="1413">
        <f t="shared" si="8"/>
        <v>6094.1389607905639</v>
      </c>
      <c r="G34" s="1413">
        <f t="shared" si="8"/>
        <v>6700</v>
      </c>
      <c r="H34" s="1414">
        <f t="shared" si="8"/>
        <v>6999.2656162642943</v>
      </c>
      <c r="I34" s="1414">
        <f t="shared" si="8"/>
        <v>8266.4930294997448</v>
      </c>
      <c r="J34" s="1414">
        <f t="shared" si="8"/>
        <v>7735.8197591313865</v>
      </c>
      <c r="K34" s="1414">
        <f t="shared" si="8"/>
        <v>7624.1899614382482</v>
      </c>
      <c r="L34" s="1414">
        <f t="shared" si="8"/>
        <v>7645.9660661801463</v>
      </c>
      <c r="M34" s="1414">
        <f t="shared" si="8"/>
        <v>7858.1386164571286</v>
      </c>
      <c r="N34" s="1414">
        <f t="shared" si="8"/>
        <v>8368.383597678916</v>
      </c>
      <c r="O34" s="1414" t="e">
        <f t="shared" si="8"/>
        <v>#N/A</v>
      </c>
      <c r="P34" s="1414" t="e">
        <f t="shared" si="8"/>
        <v>#N/A</v>
      </c>
      <c r="Q34" s="1414">
        <f t="shared" si="8"/>
        <v>228</v>
      </c>
      <c r="R34" s="1414" t="e">
        <f t="shared" si="8"/>
        <v>#N/A</v>
      </c>
      <c r="S34" s="1414" t="e">
        <f>+SUBTOTAL(9,S12:S33)</f>
        <v>#N/A</v>
      </c>
      <c r="T34" s="1396"/>
      <c r="U34" s="1398"/>
    </row>
    <row r="35" spans="1:21" s="1399" customFormat="1" ht="15">
      <c r="B35" s="1400"/>
      <c r="C35" s="1400"/>
      <c r="D35" s="1400"/>
      <c r="E35" s="1400"/>
      <c r="F35" s="1400"/>
      <c r="G35" s="1400"/>
      <c r="H35" s="1400"/>
      <c r="I35" s="1400"/>
      <c r="J35" s="1400"/>
      <c r="K35" s="1400"/>
      <c r="L35" s="1400"/>
      <c r="M35" s="1400"/>
      <c r="N35" s="1400"/>
      <c r="O35" s="1400"/>
      <c r="P35" s="1400"/>
      <c r="Q35" s="4655" t="s">
        <v>1136</v>
      </c>
      <c r="R35" s="4655"/>
      <c r="S35" s="4655"/>
      <c r="T35" s="4655"/>
      <c r="U35" s="1398"/>
    </row>
    <row r="36" spans="1:21" s="1039" customFormat="1" ht="15">
      <c r="B36" s="1054" t="s">
        <v>84</v>
      </c>
      <c r="C36" s="1054"/>
      <c r="D36" s="4656" t="s">
        <v>502</v>
      </c>
      <c r="E36" s="4656"/>
      <c r="F36" s="4656"/>
      <c r="G36" s="4656"/>
      <c r="H36" s="4656"/>
      <c r="I36" s="4656" t="s">
        <v>241</v>
      </c>
      <c r="J36" s="4656"/>
      <c r="K36" s="4656"/>
      <c r="L36" s="4656"/>
      <c r="M36" s="4656"/>
      <c r="N36" s="4656" t="s">
        <v>20</v>
      </c>
      <c r="O36" s="4656"/>
      <c r="P36" s="4656"/>
      <c r="Q36" s="4656"/>
      <c r="R36" s="4657" t="s">
        <v>956</v>
      </c>
      <c r="S36" s="4657"/>
      <c r="T36" s="4657"/>
      <c r="U36" s="1401"/>
    </row>
  </sheetData>
  <mergeCells count="38">
    <mergeCell ref="D36:H36"/>
    <mergeCell ref="I36:M36"/>
    <mergeCell ref="N36:Q36"/>
    <mergeCell ref="R36:T36"/>
    <mergeCell ref="T10:T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A12:B12"/>
    <mergeCell ref="A26:B26"/>
    <mergeCell ref="A32:B32"/>
    <mergeCell ref="A34:B34"/>
    <mergeCell ref="Q35:T35"/>
    <mergeCell ref="M10:M11"/>
    <mergeCell ref="A7:B7"/>
    <mergeCell ref="S7:T7"/>
    <mergeCell ref="A8:B8"/>
    <mergeCell ref="S8:T8"/>
    <mergeCell ref="A10:A11"/>
    <mergeCell ref="C10:C11"/>
    <mergeCell ref="D10:D11"/>
    <mergeCell ref="E10:E11"/>
    <mergeCell ref="F10:F11"/>
    <mergeCell ref="G10:G11"/>
    <mergeCell ref="A6:T6"/>
    <mergeCell ref="A1:T1"/>
    <mergeCell ref="A2:T2"/>
    <mergeCell ref="B3:E3"/>
    <mergeCell ref="B4:E4"/>
    <mergeCell ref="S5:T5"/>
  </mergeCells>
  <pageMargins left="0.27" right="0.2" top="0.42" bottom="0.42" header="0.3" footer="0.3"/>
  <pageSetup paperSize="9" scale="75" orientation="landscape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14" workbookViewId="0">
      <selection activeCell="B29" sqref="A29:G41"/>
    </sheetView>
  </sheetViews>
  <sheetFormatPr defaultRowHeight="12.75"/>
  <cols>
    <col min="1" max="1" width="6.140625" style="953" customWidth="1"/>
    <col min="2" max="2" width="22.5703125" style="953" customWidth="1"/>
    <col min="3" max="3" width="17.7109375" style="953" customWidth="1"/>
    <col min="4" max="4" width="14.5703125" style="953" customWidth="1"/>
    <col min="5" max="5" width="15.42578125" style="953" customWidth="1"/>
    <col min="6" max="6" width="11.85546875" style="953" customWidth="1"/>
    <col min="7" max="7" width="11.140625" style="953" customWidth="1"/>
    <col min="8" max="8" width="18.85546875" style="953" bestFit="1" customWidth="1"/>
    <col min="9" max="9" width="11.5703125" style="953" bestFit="1" customWidth="1"/>
    <col min="10" max="246" width="9.140625" style="953"/>
    <col min="247" max="247" width="4.5703125" style="953" customWidth="1"/>
    <col min="248" max="248" width="22.42578125" style="953" bestFit="1" customWidth="1"/>
    <col min="249" max="249" width="16.42578125" style="953" customWidth="1"/>
    <col min="250" max="250" width="10.7109375" style="953" customWidth="1"/>
    <col min="251" max="251" width="11.5703125" style="953" customWidth="1"/>
    <col min="252" max="252" width="7.140625" style="953" customWidth="1"/>
    <col min="253" max="253" width="14.5703125" style="953" customWidth="1"/>
    <col min="254" max="254" width="15.5703125" style="953" bestFit="1" customWidth="1"/>
    <col min="255" max="255" width="0" style="953" hidden="1" customWidth="1"/>
    <col min="256" max="256" width="15" style="953" bestFit="1" customWidth="1"/>
    <col min="257" max="257" width="12.5703125" style="953" bestFit="1" customWidth="1"/>
    <col min="258" max="258" width="0" style="953" hidden="1" customWidth="1"/>
    <col min="259" max="259" width="16.7109375" style="953" customWidth="1"/>
    <col min="260" max="260" width="14.85546875" style="953" customWidth="1"/>
    <col min="261" max="261" width="17.42578125" style="953" customWidth="1"/>
    <col min="262" max="262" width="15.42578125" style="953" customWidth="1"/>
    <col min="263" max="263" width="9.140625" style="953"/>
    <col min="264" max="264" width="18.85546875" style="953" bestFit="1" customWidth="1"/>
    <col min="265" max="502" width="9.140625" style="953"/>
    <col min="503" max="503" width="4.5703125" style="953" customWidth="1"/>
    <col min="504" max="504" width="22.42578125" style="953" bestFit="1" customWidth="1"/>
    <col min="505" max="505" width="16.42578125" style="953" customWidth="1"/>
    <col min="506" max="506" width="10.7109375" style="953" customWidth="1"/>
    <col min="507" max="507" width="11.5703125" style="953" customWidth="1"/>
    <col min="508" max="508" width="7.140625" style="953" customWidth="1"/>
    <col min="509" max="509" width="14.5703125" style="953" customWidth="1"/>
    <col min="510" max="510" width="15.5703125" style="953" bestFit="1" customWidth="1"/>
    <col min="511" max="511" width="0" style="953" hidden="1" customWidth="1"/>
    <col min="512" max="512" width="15" style="953" bestFit="1" customWidth="1"/>
    <col min="513" max="513" width="12.5703125" style="953" bestFit="1" customWidth="1"/>
    <col min="514" max="514" width="0" style="953" hidden="1" customWidth="1"/>
    <col min="515" max="515" width="16.7109375" style="953" customWidth="1"/>
    <col min="516" max="516" width="14.85546875" style="953" customWidth="1"/>
    <col min="517" max="517" width="17.42578125" style="953" customWidth="1"/>
    <col min="518" max="518" width="15.42578125" style="953" customWidth="1"/>
    <col min="519" max="519" width="9.140625" style="953"/>
    <col min="520" max="520" width="18.85546875" style="953" bestFit="1" customWidth="1"/>
    <col min="521" max="758" width="9.140625" style="953"/>
    <col min="759" max="759" width="4.5703125" style="953" customWidth="1"/>
    <col min="760" max="760" width="22.42578125" style="953" bestFit="1" customWidth="1"/>
    <col min="761" max="761" width="16.42578125" style="953" customWidth="1"/>
    <col min="762" max="762" width="10.7109375" style="953" customWidth="1"/>
    <col min="763" max="763" width="11.5703125" style="953" customWidth="1"/>
    <col min="764" max="764" width="7.140625" style="953" customWidth="1"/>
    <col min="765" max="765" width="14.5703125" style="953" customWidth="1"/>
    <col min="766" max="766" width="15.5703125" style="953" bestFit="1" customWidth="1"/>
    <col min="767" max="767" width="0" style="953" hidden="1" customWidth="1"/>
    <col min="768" max="768" width="15" style="953" bestFit="1" customWidth="1"/>
    <col min="769" max="769" width="12.5703125" style="953" bestFit="1" customWidth="1"/>
    <col min="770" max="770" width="0" style="953" hidden="1" customWidth="1"/>
    <col min="771" max="771" width="16.7109375" style="953" customWidth="1"/>
    <col min="772" max="772" width="14.85546875" style="953" customWidth="1"/>
    <col min="773" max="773" width="17.42578125" style="953" customWidth="1"/>
    <col min="774" max="774" width="15.42578125" style="953" customWidth="1"/>
    <col min="775" max="775" width="9.140625" style="953"/>
    <col min="776" max="776" width="18.85546875" style="953" bestFit="1" customWidth="1"/>
    <col min="777" max="1014" width="9.140625" style="953"/>
    <col min="1015" max="1015" width="4.5703125" style="953" customWidth="1"/>
    <col min="1016" max="1016" width="22.42578125" style="953" bestFit="1" customWidth="1"/>
    <col min="1017" max="1017" width="16.42578125" style="953" customWidth="1"/>
    <col min="1018" max="1018" width="10.7109375" style="953" customWidth="1"/>
    <col min="1019" max="1019" width="11.5703125" style="953" customWidth="1"/>
    <col min="1020" max="1020" width="7.140625" style="953" customWidth="1"/>
    <col min="1021" max="1021" width="14.5703125" style="953" customWidth="1"/>
    <col min="1022" max="1022" width="15.5703125" style="953" bestFit="1" customWidth="1"/>
    <col min="1023" max="1023" width="0" style="953" hidden="1" customWidth="1"/>
    <col min="1024" max="1024" width="15" style="953" bestFit="1" customWidth="1"/>
    <col min="1025" max="1025" width="12.5703125" style="953" bestFit="1" customWidth="1"/>
    <col min="1026" max="1026" width="0" style="953" hidden="1" customWidth="1"/>
    <col min="1027" max="1027" width="16.7109375" style="953" customWidth="1"/>
    <col min="1028" max="1028" width="14.85546875" style="953" customWidth="1"/>
    <col min="1029" max="1029" width="17.42578125" style="953" customWidth="1"/>
    <col min="1030" max="1030" width="15.42578125" style="953" customWidth="1"/>
    <col min="1031" max="1031" width="9.140625" style="953"/>
    <col min="1032" max="1032" width="18.85546875" style="953" bestFit="1" customWidth="1"/>
    <col min="1033" max="1270" width="9.140625" style="953"/>
    <col min="1271" max="1271" width="4.5703125" style="953" customWidth="1"/>
    <col min="1272" max="1272" width="22.42578125" style="953" bestFit="1" customWidth="1"/>
    <col min="1273" max="1273" width="16.42578125" style="953" customWidth="1"/>
    <col min="1274" max="1274" width="10.7109375" style="953" customWidth="1"/>
    <col min="1275" max="1275" width="11.5703125" style="953" customWidth="1"/>
    <col min="1276" max="1276" width="7.140625" style="953" customWidth="1"/>
    <col min="1277" max="1277" width="14.5703125" style="953" customWidth="1"/>
    <col min="1278" max="1278" width="15.5703125" style="953" bestFit="1" customWidth="1"/>
    <col min="1279" max="1279" width="0" style="953" hidden="1" customWidth="1"/>
    <col min="1280" max="1280" width="15" style="953" bestFit="1" customWidth="1"/>
    <col min="1281" max="1281" width="12.5703125" style="953" bestFit="1" customWidth="1"/>
    <col min="1282" max="1282" width="0" style="953" hidden="1" customWidth="1"/>
    <col min="1283" max="1283" width="16.7109375" style="953" customWidth="1"/>
    <col min="1284" max="1284" width="14.85546875" style="953" customWidth="1"/>
    <col min="1285" max="1285" width="17.42578125" style="953" customWidth="1"/>
    <col min="1286" max="1286" width="15.42578125" style="953" customWidth="1"/>
    <col min="1287" max="1287" width="9.140625" style="953"/>
    <col min="1288" max="1288" width="18.85546875" style="953" bestFit="1" customWidth="1"/>
    <col min="1289" max="1526" width="9.140625" style="953"/>
    <col min="1527" max="1527" width="4.5703125" style="953" customWidth="1"/>
    <col min="1528" max="1528" width="22.42578125" style="953" bestFit="1" customWidth="1"/>
    <col min="1529" max="1529" width="16.42578125" style="953" customWidth="1"/>
    <col min="1530" max="1530" width="10.7109375" style="953" customWidth="1"/>
    <col min="1531" max="1531" width="11.5703125" style="953" customWidth="1"/>
    <col min="1532" max="1532" width="7.140625" style="953" customWidth="1"/>
    <col min="1533" max="1533" width="14.5703125" style="953" customWidth="1"/>
    <col min="1534" max="1534" width="15.5703125" style="953" bestFit="1" customWidth="1"/>
    <col min="1535" max="1535" width="0" style="953" hidden="1" customWidth="1"/>
    <col min="1536" max="1536" width="15" style="953" bestFit="1" customWidth="1"/>
    <col min="1537" max="1537" width="12.5703125" style="953" bestFit="1" customWidth="1"/>
    <col min="1538" max="1538" width="0" style="953" hidden="1" customWidth="1"/>
    <col min="1539" max="1539" width="16.7109375" style="953" customWidth="1"/>
    <col min="1540" max="1540" width="14.85546875" style="953" customWidth="1"/>
    <col min="1541" max="1541" width="17.42578125" style="953" customWidth="1"/>
    <col min="1542" max="1542" width="15.42578125" style="953" customWidth="1"/>
    <col min="1543" max="1543" width="9.140625" style="953"/>
    <col min="1544" max="1544" width="18.85546875" style="953" bestFit="1" customWidth="1"/>
    <col min="1545" max="1782" width="9.140625" style="953"/>
    <col min="1783" max="1783" width="4.5703125" style="953" customWidth="1"/>
    <col min="1784" max="1784" width="22.42578125" style="953" bestFit="1" customWidth="1"/>
    <col min="1785" max="1785" width="16.42578125" style="953" customWidth="1"/>
    <col min="1786" max="1786" width="10.7109375" style="953" customWidth="1"/>
    <col min="1787" max="1787" width="11.5703125" style="953" customWidth="1"/>
    <col min="1788" max="1788" width="7.140625" style="953" customWidth="1"/>
    <col min="1789" max="1789" width="14.5703125" style="953" customWidth="1"/>
    <col min="1790" max="1790" width="15.5703125" style="953" bestFit="1" customWidth="1"/>
    <col min="1791" max="1791" width="0" style="953" hidden="1" customWidth="1"/>
    <col min="1792" max="1792" width="15" style="953" bestFit="1" customWidth="1"/>
    <col min="1793" max="1793" width="12.5703125" style="953" bestFit="1" customWidth="1"/>
    <col min="1794" max="1794" width="0" style="953" hidden="1" customWidth="1"/>
    <col min="1795" max="1795" width="16.7109375" style="953" customWidth="1"/>
    <col min="1796" max="1796" width="14.85546875" style="953" customWidth="1"/>
    <col min="1797" max="1797" width="17.42578125" style="953" customWidth="1"/>
    <col min="1798" max="1798" width="15.42578125" style="953" customWidth="1"/>
    <col min="1799" max="1799" width="9.140625" style="953"/>
    <col min="1800" max="1800" width="18.85546875" style="953" bestFit="1" customWidth="1"/>
    <col min="1801" max="2038" width="9.140625" style="953"/>
    <col min="2039" max="2039" width="4.5703125" style="953" customWidth="1"/>
    <col min="2040" max="2040" width="22.42578125" style="953" bestFit="1" customWidth="1"/>
    <col min="2041" max="2041" width="16.42578125" style="953" customWidth="1"/>
    <col min="2042" max="2042" width="10.7109375" style="953" customWidth="1"/>
    <col min="2043" max="2043" width="11.5703125" style="953" customWidth="1"/>
    <col min="2044" max="2044" width="7.140625" style="953" customWidth="1"/>
    <col min="2045" max="2045" width="14.5703125" style="953" customWidth="1"/>
    <col min="2046" max="2046" width="15.5703125" style="953" bestFit="1" customWidth="1"/>
    <col min="2047" max="2047" width="0" style="953" hidden="1" customWidth="1"/>
    <col min="2048" max="2048" width="15" style="953" bestFit="1" customWidth="1"/>
    <col min="2049" max="2049" width="12.5703125" style="953" bestFit="1" customWidth="1"/>
    <col min="2050" max="2050" width="0" style="953" hidden="1" customWidth="1"/>
    <col min="2051" max="2051" width="16.7109375" style="953" customWidth="1"/>
    <col min="2052" max="2052" width="14.85546875" style="953" customWidth="1"/>
    <col min="2053" max="2053" width="17.42578125" style="953" customWidth="1"/>
    <col min="2054" max="2054" width="15.42578125" style="953" customWidth="1"/>
    <col min="2055" max="2055" width="9.140625" style="953"/>
    <col min="2056" max="2056" width="18.85546875" style="953" bestFit="1" customWidth="1"/>
    <col min="2057" max="2294" width="9.140625" style="953"/>
    <col min="2295" max="2295" width="4.5703125" style="953" customWidth="1"/>
    <col min="2296" max="2296" width="22.42578125" style="953" bestFit="1" customWidth="1"/>
    <col min="2297" max="2297" width="16.42578125" style="953" customWidth="1"/>
    <col min="2298" max="2298" width="10.7109375" style="953" customWidth="1"/>
    <col min="2299" max="2299" width="11.5703125" style="953" customWidth="1"/>
    <col min="2300" max="2300" width="7.140625" style="953" customWidth="1"/>
    <col min="2301" max="2301" width="14.5703125" style="953" customWidth="1"/>
    <col min="2302" max="2302" width="15.5703125" style="953" bestFit="1" customWidth="1"/>
    <col min="2303" max="2303" width="0" style="953" hidden="1" customWidth="1"/>
    <col min="2304" max="2304" width="15" style="953" bestFit="1" customWidth="1"/>
    <col min="2305" max="2305" width="12.5703125" style="953" bestFit="1" customWidth="1"/>
    <col min="2306" max="2306" width="0" style="953" hidden="1" customWidth="1"/>
    <col min="2307" max="2307" width="16.7109375" style="953" customWidth="1"/>
    <col min="2308" max="2308" width="14.85546875" style="953" customWidth="1"/>
    <col min="2309" max="2309" width="17.42578125" style="953" customWidth="1"/>
    <col min="2310" max="2310" width="15.42578125" style="953" customWidth="1"/>
    <col min="2311" max="2311" width="9.140625" style="953"/>
    <col min="2312" max="2312" width="18.85546875" style="953" bestFit="1" customWidth="1"/>
    <col min="2313" max="2550" width="9.140625" style="953"/>
    <col min="2551" max="2551" width="4.5703125" style="953" customWidth="1"/>
    <col min="2552" max="2552" width="22.42578125" style="953" bestFit="1" customWidth="1"/>
    <col min="2553" max="2553" width="16.42578125" style="953" customWidth="1"/>
    <col min="2554" max="2554" width="10.7109375" style="953" customWidth="1"/>
    <col min="2555" max="2555" width="11.5703125" style="953" customWidth="1"/>
    <col min="2556" max="2556" width="7.140625" style="953" customWidth="1"/>
    <col min="2557" max="2557" width="14.5703125" style="953" customWidth="1"/>
    <col min="2558" max="2558" width="15.5703125" style="953" bestFit="1" customWidth="1"/>
    <col min="2559" max="2559" width="0" style="953" hidden="1" customWidth="1"/>
    <col min="2560" max="2560" width="15" style="953" bestFit="1" customWidth="1"/>
    <col min="2561" max="2561" width="12.5703125" style="953" bestFit="1" customWidth="1"/>
    <col min="2562" max="2562" width="0" style="953" hidden="1" customWidth="1"/>
    <col min="2563" max="2563" width="16.7109375" style="953" customWidth="1"/>
    <col min="2564" max="2564" width="14.85546875" style="953" customWidth="1"/>
    <col min="2565" max="2565" width="17.42578125" style="953" customWidth="1"/>
    <col min="2566" max="2566" width="15.42578125" style="953" customWidth="1"/>
    <col min="2567" max="2567" width="9.140625" style="953"/>
    <col min="2568" max="2568" width="18.85546875" style="953" bestFit="1" customWidth="1"/>
    <col min="2569" max="2806" width="9.140625" style="953"/>
    <col min="2807" max="2807" width="4.5703125" style="953" customWidth="1"/>
    <col min="2808" max="2808" width="22.42578125" style="953" bestFit="1" customWidth="1"/>
    <col min="2809" max="2809" width="16.42578125" style="953" customWidth="1"/>
    <col min="2810" max="2810" width="10.7109375" style="953" customWidth="1"/>
    <col min="2811" max="2811" width="11.5703125" style="953" customWidth="1"/>
    <col min="2812" max="2812" width="7.140625" style="953" customWidth="1"/>
    <col min="2813" max="2813" width="14.5703125" style="953" customWidth="1"/>
    <col min="2814" max="2814" width="15.5703125" style="953" bestFit="1" customWidth="1"/>
    <col min="2815" max="2815" width="0" style="953" hidden="1" customWidth="1"/>
    <col min="2816" max="2816" width="15" style="953" bestFit="1" customWidth="1"/>
    <col min="2817" max="2817" width="12.5703125" style="953" bestFit="1" customWidth="1"/>
    <col min="2818" max="2818" width="0" style="953" hidden="1" customWidth="1"/>
    <col min="2819" max="2819" width="16.7109375" style="953" customWidth="1"/>
    <col min="2820" max="2820" width="14.85546875" style="953" customWidth="1"/>
    <col min="2821" max="2821" width="17.42578125" style="953" customWidth="1"/>
    <col min="2822" max="2822" width="15.42578125" style="953" customWidth="1"/>
    <col min="2823" max="2823" width="9.140625" style="953"/>
    <col min="2824" max="2824" width="18.85546875" style="953" bestFit="1" customWidth="1"/>
    <col min="2825" max="3062" width="9.140625" style="953"/>
    <col min="3063" max="3063" width="4.5703125" style="953" customWidth="1"/>
    <col min="3064" max="3064" width="22.42578125" style="953" bestFit="1" customWidth="1"/>
    <col min="3065" max="3065" width="16.42578125" style="953" customWidth="1"/>
    <col min="3066" max="3066" width="10.7109375" style="953" customWidth="1"/>
    <col min="3067" max="3067" width="11.5703125" style="953" customWidth="1"/>
    <col min="3068" max="3068" width="7.140625" style="953" customWidth="1"/>
    <col min="3069" max="3069" width="14.5703125" style="953" customWidth="1"/>
    <col min="3070" max="3070" width="15.5703125" style="953" bestFit="1" customWidth="1"/>
    <col min="3071" max="3071" width="0" style="953" hidden="1" customWidth="1"/>
    <col min="3072" max="3072" width="15" style="953" bestFit="1" customWidth="1"/>
    <col min="3073" max="3073" width="12.5703125" style="953" bestFit="1" customWidth="1"/>
    <col min="3074" max="3074" width="0" style="953" hidden="1" customWidth="1"/>
    <col min="3075" max="3075" width="16.7109375" style="953" customWidth="1"/>
    <col min="3076" max="3076" width="14.85546875" style="953" customWidth="1"/>
    <col min="3077" max="3077" width="17.42578125" style="953" customWidth="1"/>
    <col min="3078" max="3078" width="15.42578125" style="953" customWidth="1"/>
    <col min="3079" max="3079" width="9.140625" style="953"/>
    <col min="3080" max="3080" width="18.85546875" style="953" bestFit="1" customWidth="1"/>
    <col min="3081" max="3318" width="9.140625" style="953"/>
    <col min="3319" max="3319" width="4.5703125" style="953" customWidth="1"/>
    <col min="3320" max="3320" width="22.42578125" style="953" bestFit="1" customWidth="1"/>
    <col min="3321" max="3321" width="16.42578125" style="953" customWidth="1"/>
    <col min="3322" max="3322" width="10.7109375" style="953" customWidth="1"/>
    <col min="3323" max="3323" width="11.5703125" style="953" customWidth="1"/>
    <col min="3324" max="3324" width="7.140625" style="953" customWidth="1"/>
    <col min="3325" max="3325" width="14.5703125" style="953" customWidth="1"/>
    <col min="3326" max="3326" width="15.5703125" style="953" bestFit="1" customWidth="1"/>
    <col min="3327" max="3327" width="0" style="953" hidden="1" customWidth="1"/>
    <col min="3328" max="3328" width="15" style="953" bestFit="1" customWidth="1"/>
    <col min="3329" max="3329" width="12.5703125" style="953" bestFit="1" customWidth="1"/>
    <col min="3330" max="3330" width="0" style="953" hidden="1" customWidth="1"/>
    <col min="3331" max="3331" width="16.7109375" style="953" customWidth="1"/>
    <col min="3332" max="3332" width="14.85546875" style="953" customWidth="1"/>
    <col min="3333" max="3333" width="17.42578125" style="953" customWidth="1"/>
    <col min="3334" max="3334" width="15.42578125" style="953" customWidth="1"/>
    <col min="3335" max="3335" width="9.140625" style="953"/>
    <col min="3336" max="3336" width="18.85546875" style="953" bestFit="1" customWidth="1"/>
    <col min="3337" max="3574" width="9.140625" style="953"/>
    <col min="3575" max="3575" width="4.5703125" style="953" customWidth="1"/>
    <col min="3576" max="3576" width="22.42578125" style="953" bestFit="1" customWidth="1"/>
    <col min="3577" max="3577" width="16.42578125" style="953" customWidth="1"/>
    <col min="3578" max="3578" width="10.7109375" style="953" customWidth="1"/>
    <col min="3579" max="3579" width="11.5703125" style="953" customWidth="1"/>
    <col min="3580" max="3580" width="7.140625" style="953" customWidth="1"/>
    <col min="3581" max="3581" width="14.5703125" style="953" customWidth="1"/>
    <col min="3582" max="3582" width="15.5703125" style="953" bestFit="1" customWidth="1"/>
    <col min="3583" max="3583" width="0" style="953" hidden="1" customWidth="1"/>
    <col min="3584" max="3584" width="15" style="953" bestFit="1" customWidth="1"/>
    <col min="3585" max="3585" width="12.5703125" style="953" bestFit="1" customWidth="1"/>
    <col min="3586" max="3586" width="0" style="953" hidden="1" customWidth="1"/>
    <col min="3587" max="3587" width="16.7109375" style="953" customWidth="1"/>
    <col min="3588" max="3588" width="14.85546875" style="953" customWidth="1"/>
    <col min="3589" max="3589" width="17.42578125" style="953" customWidth="1"/>
    <col min="3590" max="3590" width="15.42578125" style="953" customWidth="1"/>
    <col min="3591" max="3591" width="9.140625" style="953"/>
    <col min="3592" max="3592" width="18.85546875" style="953" bestFit="1" customWidth="1"/>
    <col min="3593" max="3830" width="9.140625" style="953"/>
    <col min="3831" max="3831" width="4.5703125" style="953" customWidth="1"/>
    <col min="3832" max="3832" width="22.42578125" style="953" bestFit="1" customWidth="1"/>
    <col min="3833" max="3833" width="16.42578125" style="953" customWidth="1"/>
    <col min="3834" max="3834" width="10.7109375" style="953" customWidth="1"/>
    <col min="3835" max="3835" width="11.5703125" style="953" customWidth="1"/>
    <col min="3836" max="3836" width="7.140625" style="953" customWidth="1"/>
    <col min="3837" max="3837" width="14.5703125" style="953" customWidth="1"/>
    <col min="3838" max="3838" width="15.5703125" style="953" bestFit="1" customWidth="1"/>
    <col min="3839" max="3839" width="0" style="953" hidden="1" customWidth="1"/>
    <col min="3840" max="3840" width="15" style="953" bestFit="1" customWidth="1"/>
    <col min="3841" max="3841" width="12.5703125" style="953" bestFit="1" customWidth="1"/>
    <col min="3842" max="3842" width="0" style="953" hidden="1" customWidth="1"/>
    <col min="3843" max="3843" width="16.7109375" style="953" customWidth="1"/>
    <col min="3844" max="3844" width="14.85546875" style="953" customWidth="1"/>
    <col min="3845" max="3845" width="17.42578125" style="953" customWidth="1"/>
    <col min="3846" max="3846" width="15.42578125" style="953" customWidth="1"/>
    <col min="3847" max="3847" width="9.140625" style="953"/>
    <col min="3848" max="3848" width="18.85546875" style="953" bestFit="1" customWidth="1"/>
    <col min="3849" max="4086" width="9.140625" style="953"/>
    <col min="4087" max="4087" width="4.5703125" style="953" customWidth="1"/>
    <col min="4088" max="4088" width="22.42578125" style="953" bestFit="1" customWidth="1"/>
    <col min="4089" max="4089" width="16.42578125" style="953" customWidth="1"/>
    <col min="4090" max="4090" width="10.7109375" style="953" customWidth="1"/>
    <col min="4091" max="4091" width="11.5703125" style="953" customWidth="1"/>
    <col min="4092" max="4092" width="7.140625" style="953" customWidth="1"/>
    <col min="4093" max="4093" width="14.5703125" style="953" customWidth="1"/>
    <col min="4094" max="4094" width="15.5703125" style="953" bestFit="1" customWidth="1"/>
    <col min="4095" max="4095" width="0" style="953" hidden="1" customWidth="1"/>
    <col min="4096" max="4096" width="15" style="953" bestFit="1" customWidth="1"/>
    <col min="4097" max="4097" width="12.5703125" style="953" bestFit="1" customWidth="1"/>
    <col min="4098" max="4098" width="0" style="953" hidden="1" customWidth="1"/>
    <col min="4099" max="4099" width="16.7109375" style="953" customWidth="1"/>
    <col min="4100" max="4100" width="14.85546875" style="953" customWidth="1"/>
    <col min="4101" max="4101" width="17.42578125" style="953" customWidth="1"/>
    <col min="4102" max="4102" width="15.42578125" style="953" customWidth="1"/>
    <col min="4103" max="4103" width="9.140625" style="953"/>
    <col min="4104" max="4104" width="18.85546875" style="953" bestFit="1" customWidth="1"/>
    <col min="4105" max="4342" width="9.140625" style="953"/>
    <col min="4343" max="4343" width="4.5703125" style="953" customWidth="1"/>
    <col min="4344" max="4344" width="22.42578125" style="953" bestFit="1" customWidth="1"/>
    <col min="4345" max="4345" width="16.42578125" style="953" customWidth="1"/>
    <col min="4346" max="4346" width="10.7109375" style="953" customWidth="1"/>
    <col min="4347" max="4347" width="11.5703125" style="953" customWidth="1"/>
    <col min="4348" max="4348" width="7.140625" style="953" customWidth="1"/>
    <col min="4349" max="4349" width="14.5703125" style="953" customWidth="1"/>
    <col min="4350" max="4350" width="15.5703125" style="953" bestFit="1" customWidth="1"/>
    <col min="4351" max="4351" width="0" style="953" hidden="1" customWidth="1"/>
    <col min="4352" max="4352" width="15" style="953" bestFit="1" customWidth="1"/>
    <col min="4353" max="4353" width="12.5703125" style="953" bestFit="1" customWidth="1"/>
    <col min="4354" max="4354" width="0" style="953" hidden="1" customWidth="1"/>
    <col min="4355" max="4355" width="16.7109375" style="953" customWidth="1"/>
    <col min="4356" max="4356" width="14.85546875" style="953" customWidth="1"/>
    <col min="4357" max="4357" width="17.42578125" style="953" customWidth="1"/>
    <col min="4358" max="4358" width="15.42578125" style="953" customWidth="1"/>
    <col min="4359" max="4359" width="9.140625" style="953"/>
    <col min="4360" max="4360" width="18.85546875" style="953" bestFit="1" customWidth="1"/>
    <col min="4361" max="4598" width="9.140625" style="953"/>
    <col min="4599" max="4599" width="4.5703125" style="953" customWidth="1"/>
    <col min="4600" max="4600" width="22.42578125" style="953" bestFit="1" customWidth="1"/>
    <col min="4601" max="4601" width="16.42578125" style="953" customWidth="1"/>
    <col min="4602" max="4602" width="10.7109375" style="953" customWidth="1"/>
    <col min="4603" max="4603" width="11.5703125" style="953" customWidth="1"/>
    <col min="4604" max="4604" width="7.140625" style="953" customWidth="1"/>
    <col min="4605" max="4605" width="14.5703125" style="953" customWidth="1"/>
    <col min="4606" max="4606" width="15.5703125" style="953" bestFit="1" customWidth="1"/>
    <col min="4607" max="4607" width="0" style="953" hidden="1" customWidth="1"/>
    <col min="4608" max="4608" width="15" style="953" bestFit="1" customWidth="1"/>
    <col min="4609" max="4609" width="12.5703125" style="953" bestFit="1" customWidth="1"/>
    <col min="4610" max="4610" width="0" style="953" hidden="1" customWidth="1"/>
    <col min="4611" max="4611" width="16.7109375" style="953" customWidth="1"/>
    <col min="4612" max="4612" width="14.85546875" style="953" customWidth="1"/>
    <col min="4613" max="4613" width="17.42578125" style="953" customWidth="1"/>
    <col min="4614" max="4614" width="15.42578125" style="953" customWidth="1"/>
    <col min="4615" max="4615" width="9.140625" style="953"/>
    <col min="4616" max="4616" width="18.85546875" style="953" bestFit="1" customWidth="1"/>
    <col min="4617" max="4854" width="9.140625" style="953"/>
    <col min="4855" max="4855" width="4.5703125" style="953" customWidth="1"/>
    <col min="4856" max="4856" width="22.42578125" style="953" bestFit="1" customWidth="1"/>
    <col min="4857" max="4857" width="16.42578125" style="953" customWidth="1"/>
    <col min="4858" max="4858" width="10.7109375" style="953" customWidth="1"/>
    <col min="4859" max="4859" width="11.5703125" style="953" customWidth="1"/>
    <col min="4860" max="4860" width="7.140625" style="953" customWidth="1"/>
    <col min="4861" max="4861" width="14.5703125" style="953" customWidth="1"/>
    <col min="4862" max="4862" width="15.5703125" style="953" bestFit="1" customWidth="1"/>
    <col min="4863" max="4863" width="0" style="953" hidden="1" customWidth="1"/>
    <col min="4864" max="4864" width="15" style="953" bestFit="1" customWidth="1"/>
    <col min="4865" max="4865" width="12.5703125" style="953" bestFit="1" customWidth="1"/>
    <col min="4866" max="4866" width="0" style="953" hidden="1" customWidth="1"/>
    <col min="4867" max="4867" width="16.7109375" style="953" customWidth="1"/>
    <col min="4868" max="4868" width="14.85546875" style="953" customWidth="1"/>
    <col min="4869" max="4869" width="17.42578125" style="953" customWidth="1"/>
    <col min="4870" max="4870" width="15.42578125" style="953" customWidth="1"/>
    <col min="4871" max="4871" width="9.140625" style="953"/>
    <col min="4872" max="4872" width="18.85546875" style="953" bestFit="1" customWidth="1"/>
    <col min="4873" max="5110" width="9.140625" style="953"/>
    <col min="5111" max="5111" width="4.5703125" style="953" customWidth="1"/>
    <col min="5112" max="5112" width="22.42578125" style="953" bestFit="1" customWidth="1"/>
    <col min="5113" max="5113" width="16.42578125" style="953" customWidth="1"/>
    <col min="5114" max="5114" width="10.7109375" style="953" customWidth="1"/>
    <col min="5115" max="5115" width="11.5703125" style="953" customWidth="1"/>
    <col min="5116" max="5116" width="7.140625" style="953" customWidth="1"/>
    <col min="5117" max="5117" width="14.5703125" style="953" customWidth="1"/>
    <col min="5118" max="5118" width="15.5703125" style="953" bestFit="1" customWidth="1"/>
    <col min="5119" max="5119" width="0" style="953" hidden="1" customWidth="1"/>
    <col min="5120" max="5120" width="15" style="953" bestFit="1" customWidth="1"/>
    <col min="5121" max="5121" width="12.5703125" style="953" bestFit="1" customWidth="1"/>
    <col min="5122" max="5122" width="0" style="953" hidden="1" customWidth="1"/>
    <col min="5123" max="5123" width="16.7109375" style="953" customWidth="1"/>
    <col min="5124" max="5124" width="14.85546875" style="953" customWidth="1"/>
    <col min="5125" max="5125" width="17.42578125" style="953" customWidth="1"/>
    <col min="5126" max="5126" width="15.42578125" style="953" customWidth="1"/>
    <col min="5127" max="5127" width="9.140625" style="953"/>
    <col min="5128" max="5128" width="18.85546875" style="953" bestFit="1" customWidth="1"/>
    <col min="5129" max="5366" width="9.140625" style="953"/>
    <col min="5367" max="5367" width="4.5703125" style="953" customWidth="1"/>
    <col min="5368" max="5368" width="22.42578125" style="953" bestFit="1" customWidth="1"/>
    <col min="5369" max="5369" width="16.42578125" style="953" customWidth="1"/>
    <col min="5370" max="5370" width="10.7109375" style="953" customWidth="1"/>
    <col min="5371" max="5371" width="11.5703125" style="953" customWidth="1"/>
    <col min="5372" max="5372" width="7.140625" style="953" customWidth="1"/>
    <col min="5373" max="5373" width="14.5703125" style="953" customWidth="1"/>
    <col min="5374" max="5374" width="15.5703125" style="953" bestFit="1" customWidth="1"/>
    <col min="5375" max="5375" width="0" style="953" hidden="1" customWidth="1"/>
    <col min="5376" max="5376" width="15" style="953" bestFit="1" customWidth="1"/>
    <col min="5377" max="5377" width="12.5703125" style="953" bestFit="1" customWidth="1"/>
    <col min="5378" max="5378" width="0" style="953" hidden="1" customWidth="1"/>
    <col min="5379" max="5379" width="16.7109375" style="953" customWidth="1"/>
    <col min="5380" max="5380" width="14.85546875" style="953" customWidth="1"/>
    <col min="5381" max="5381" width="17.42578125" style="953" customWidth="1"/>
    <col min="5382" max="5382" width="15.42578125" style="953" customWidth="1"/>
    <col min="5383" max="5383" width="9.140625" style="953"/>
    <col min="5384" max="5384" width="18.85546875" style="953" bestFit="1" customWidth="1"/>
    <col min="5385" max="5622" width="9.140625" style="953"/>
    <col min="5623" max="5623" width="4.5703125" style="953" customWidth="1"/>
    <col min="5624" max="5624" width="22.42578125" style="953" bestFit="1" customWidth="1"/>
    <col min="5625" max="5625" width="16.42578125" style="953" customWidth="1"/>
    <col min="5626" max="5626" width="10.7109375" style="953" customWidth="1"/>
    <col min="5627" max="5627" width="11.5703125" style="953" customWidth="1"/>
    <col min="5628" max="5628" width="7.140625" style="953" customWidth="1"/>
    <col min="5629" max="5629" width="14.5703125" style="953" customWidth="1"/>
    <col min="5630" max="5630" width="15.5703125" style="953" bestFit="1" customWidth="1"/>
    <col min="5631" max="5631" width="0" style="953" hidden="1" customWidth="1"/>
    <col min="5632" max="5632" width="15" style="953" bestFit="1" customWidth="1"/>
    <col min="5633" max="5633" width="12.5703125" style="953" bestFit="1" customWidth="1"/>
    <col min="5634" max="5634" width="0" style="953" hidden="1" customWidth="1"/>
    <col min="5635" max="5635" width="16.7109375" style="953" customWidth="1"/>
    <col min="5636" max="5636" width="14.85546875" style="953" customWidth="1"/>
    <col min="5637" max="5637" width="17.42578125" style="953" customWidth="1"/>
    <col min="5638" max="5638" width="15.42578125" style="953" customWidth="1"/>
    <col min="5639" max="5639" width="9.140625" style="953"/>
    <col min="5640" max="5640" width="18.85546875" style="953" bestFit="1" customWidth="1"/>
    <col min="5641" max="5878" width="9.140625" style="953"/>
    <col min="5879" max="5879" width="4.5703125" style="953" customWidth="1"/>
    <col min="5880" max="5880" width="22.42578125" style="953" bestFit="1" customWidth="1"/>
    <col min="5881" max="5881" width="16.42578125" style="953" customWidth="1"/>
    <col min="5882" max="5882" width="10.7109375" style="953" customWidth="1"/>
    <col min="5883" max="5883" width="11.5703125" style="953" customWidth="1"/>
    <col min="5884" max="5884" width="7.140625" style="953" customWidth="1"/>
    <col min="5885" max="5885" width="14.5703125" style="953" customWidth="1"/>
    <col min="5886" max="5886" width="15.5703125" style="953" bestFit="1" customWidth="1"/>
    <col min="5887" max="5887" width="0" style="953" hidden="1" customWidth="1"/>
    <col min="5888" max="5888" width="15" style="953" bestFit="1" customWidth="1"/>
    <col min="5889" max="5889" width="12.5703125" style="953" bestFit="1" customWidth="1"/>
    <col min="5890" max="5890" width="0" style="953" hidden="1" customWidth="1"/>
    <col min="5891" max="5891" width="16.7109375" style="953" customWidth="1"/>
    <col min="5892" max="5892" width="14.85546875" style="953" customWidth="1"/>
    <col min="5893" max="5893" width="17.42578125" style="953" customWidth="1"/>
    <col min="5894" max="5894" width="15.42578125" style="953" customWidth="1"/>
    <col min="5895" max="5895" width="9.140625" style="953"/>
    <col min="5896" max="5896" width="18.85546875" style="953" bestFit="1" customWidth="1"/>
    <col min="5897" max="6134" width="9.140625" style="953"/>
    <col min="6135" max="6135" width="4.5703125" style="953" customWidth="1"/>
    <col min="6136" max="6136" width="22.42578125" style="953" bestFit="1" customWidth="1"/>
    <col min="6137" max="6137" width="16.42578125" style="953" customWidth="1"/>
    <col min="6138" max="6138" width="10.7109375" style="953" customWidth="1"/>
    <col min="6139" max="6139" width="11.5703125" style="953" customWidth="1"/>
    <col min="6140" max="6140" width="7.140625" style="953" customWidth="1"/>
    <col min="6141" max="6141" width="14.5703125" style="953" customWidth="1"/>
    <col min="6142" max="6142" width="15.5703125" style="953" bestFit="1" customWidth="1"/>
    <col min="6143" max="6143" width="0" style="953" hidden="1" customWidth="1"/>
    <col min="6144" max="6144" width="15" style="953" bestFit="1" customWidth="1"/>
    <col min="6145" max="6145" width="12.5703125" style="953" bestFit="1" customWidth="1"/>
    <col min="6146" max="6146" width="0" style="953" hidden="1" customWidth="1"/>
    <col min="6147" max="6147" width="16.7109375" style="953" customWidth="1"/>
    <col min="6148" max="6148" width="14.85546875" style="953" customWidth="1"/>
    <col min="6149" max="6149" width="17.42578125" style="953" customWidth="1"/>
    <col min="6150" max="6150" width="15.42578125" style="953" customWidth="1"/>
    <col min="6151" max="6151" width="9.140625" style="953"/>
    <col min="6152" max="6152" width="18.85546875" style="953" bestFit="1" customWidth="1"/>
    <col min="6153" max="6390" width="9.140625" style="953"/>
    <col min="6391" max="6391" width="4.5703125" style="953" customWidth="1"/>
    <col min="6392" max="6392" width="22.42578125" style="953" bestFit="1" customWidth="1"/>
    <col min="6393" max="6393" width="16.42578125" style="953" customWidth="1"/>
    <col min="6394" max="6394" width="10.7109375" style="953" customWidth="1"/>
    <col min="6395" max="6395" width="11.5703125" style="953" customWidth="1"/>
    <col min="6396" max="6396" width="7.140625" style="953" customWidth="1"/>
    <col min="6397" max="6397" width="14.5703125" style="953" customWidth="1"/>
    <col min="6398" max="6398" width="15.5703125" style="953" bestFit="1" customWidth="1"/>
    <col min="6399" max="6399" width="0" style="953" hidden="1" customWidth="1"/>
    <col min="6400" max="6400" width="15" style="953" bestFit="1" customWidth="1"/>
    <col min="6401" max="6401" width="12.5703125" style="953" bestFit="1" customWidth="1"/>
    <col min="6402" max="6402" width="0" style="953" hidden="1" customWidth="1"/>
    <col min="6403" max="6403" width="16.7109375" style="953" customWidth="1"/>
    <col min="6404" max="6404" width="14.85546875" style="953" customWidth="1"/>
    <col min="6405" max="6405" width="17.42578125" style="953" customWidth="1"/>
    <col min="6406" max="6406" width="15.42578125" style="953" customWidth="1"/>
    <col min="6407" max="6407" width="9.140625" style="953"/>
    <col min="6408" max="6408" width="18.85546875" style="953" bestFit="1" customWidth="1"/>
    <col min="6409" max="6646" width="9.140625" style="953"/>
    <col min="6647" max="6647" width="4.5703125" style="953" customWidth="1"/>
    <col min="6648" max="6648" width="22.42578125" style="953" bestFit="1" customWidth="1"/>
    <col min="6649" max="6649" width="16.42578125" style="953" customWidth="1"/>
    <col min="6650" max="6650" width="10.7109375" style="953" customWidth="1"/>
    <col min="6651" max="6651" width="11.5703125" style="953" customWidth="1"/>
    <col min="6652" max="6652" width="7.140625" style="953" customWidth="1"/>
    <col min="6653" max="6653" width="14.5703125" style="953" customWidth="1"/>
    <col min="6654" max="6654" width="15.5703125" style="953" bestFit="1" customWidth="1"/>
    <col min="6655" max="6655" width="0" style="953" hidden="1" customWidth="1"/>
    <col min="6656" max="6656" width="15" style="953" bestFit="1" customWidth="1"/>
    <col min="6657" max="6657" width="12.5703125" style="953" bestFit="1" customWidth="1"/>
    <col min="6658" max="6658" width="0" style="953" hidden="1" customWidth="1"/>
    <col min="6659" max="6659" width="16.7109375" style="953" customWidth="1"/>
    <col min="6660" max="6660" width="14.85546875" style="953" customWidth="1"/>
    <col min="6661" max="6661" width="17.42578125" style="953" customWidth="1"/>
    <col min="6662" max="6662" width="15.42578125" style="953" customWidth="1"/>
    <col min="6663" max="6663" width="9.140625" style="953"/>
    <col min="6664" max="6664" width="18.85546875" style="953" bestFit="1" customWidth="1"/>
    <col min="6665" max="6902" width="9.140625" style="953"/>
    <col min="6903" max="6903" width="4.5703125" style="953" customWidth="1"/>
    <col min="6904" max="6904" width="22.42578125" style="953" bestFit="1" customWidth="1"/>
    <col min="6905" max="6905" width="16.42578125" style="953" customWidth="1"/>
    <col min="6906" max="6906" width="10.7109375" style="953" customWidth="1"/>
    <col min="6907" max="6907" width="11.5703125" style="953" customWidth="1"/>
    <col min="6908" max="6908" width="7.140625" style="953" customWidth="1"/>
    <col min="6909" max="6909" width="14.5703125" style="953" customWidth="1"/>
    <col min="6910" max="6910" width="15.5703125" style="953" bestFit="1" customWidth="1"/>
    <col min="6911" max="6911" width="0" style="953" hidden="1" customWidth="1"/>
    <col min="6912" max="6912" width="15" style="953" bestFit="1" customWidth="1"/>
    <col min="6913" max="6913" width="12.5703125" style="953" bestFit="1" customWidth="1"/>
    <col min="6914" max="6914" width="0" style="953" hidden="1" customWidth="1"/>
    <col min="6915" max="6915" width="16.7109375" style="953" customWidth="1"/>
    <col min="6916" max="6916" width="14.85546875" style="953" customWidth="1"/>
    <col min="6917" max="6917" width="17.42578125" style="953" customWidth="1"/>
    <col min="6918" max="6918" width="15.42578125" style="953" customWidth="1"/>
    <col min="6919" max="6919" width="9.140625" style="953"/>
    <col min="6920" max="6920" width="18.85546875" style="953" bestFit="1" customWidth="1"/>
    <col min="6921" max="7158" width="9.140625" style="953"/>
    <col min="7159" max="7159" width="4.5703125" style="953" customWidth="1"/>
    <col min="7160" max="7160" width="22.42578125" style="953" bestFit="1" customWidth="1"/>
    <col min="7161" max="7161" width="16.42578125" style="953" customWidth="1"/>
    <col min="7162" max="7162" width="10.7109375" style="953" customWidth="1"/>
    <col min="7163" max="7163" width="11.5703125" style="953" customWidth="1"/>
    <col min="7164" max="7164" width="7.140625" style="953" customWidth="1"/>
    <col min="7165" max="7165" width="14.5703125" style="953" customWidth="1"/>
    <col min="7166" max="7166" width="15.5703125" style="953" bestFit="1" customWidth="1"/>
    <col min="7167" max="7167" width="0" style="953" hidden="1" customWidth="1"/>
    <col min="7168" max="7168" width="15" style="953" bestFit="1" customWidth="1"/>
    <col min="7169" max="7169" width="12.5703125" style="953" bestFit="1" customWidth="1"/>
    <col min="7170" max="7170" width="0" style="953" hidden="1" customWidth="1"/>
    <col min="7171" max="7171" width="16.7109375" style="953" customWidth="1"/>
    <col min="7172" max="7172" width="14.85546875" style="953" customWidth="1"/>
    <col min="7173" max="7173" width="17.42578125" style="953" customWidth="1"/>
    <col min="7174" max="7174" width="15.42578125" style="953" customWidth="1"/>
    <col min="7175" max="7175" width="9.140625" style="953"/>
    <col min="7176" max="7176" width="18.85546875" style="953" bestFit="1" customWidth="1"/>
    <col min="7177" max="7414" width="9.140625" style="953"/>
    <col min="7415" max="7415" width="4.5703125" style="953" customWidth="1"/>
    <col min="7416" max="7416" width="22.42578125" style="953" bestFit="1" customWidth="1"/>
    <col min="7417" max="7417" width="16.42578125" style="953" customWidth="1"/>
    <col min="7418" max="7418" width="10.7109375" style="953" customWidth="1"/>
    <col min="7419" max="7419" width="11.5703125" style="953" customWidth="1"/>
    <col min="7420" max="7420" width="7.140625" style="953" customWidth="1"/>
    <col min="7421" max="7421" width="14.5703125" style="953" customWidth="1"/>
    <col min="7422" max="7422" width="15.5703125" style="953" bestFit="1" customWidth="1"/>
    <col min="7423" max="7423" width="0" style="953" hidden="1" customWidth="1"/>
    <col min="7424" max="7424" width="15" style="953" bestFit="1" customWidth="1"/>
    <col min="7425" max="7425" width="12.5703125" style="953" bestFit="1" customWidth="1"/>
    <col min="7426" max="7426" width="0" style="953" hidden="1" customWidth="1"/>
    <col min="7427" max="7427" width="16.7109375" style="953" customWidth="1"/>
    <col min="7428" max="7428" width="14.85546875" style="953" customWidth="1"/>
    <col min="7429" max="7429" width="17.42578125" style="953" customWidth="1"/>
    <col min="7430" max="7430" width="15.42578125" style="953" customWidth="1"/>
    <col min="7431" max="7431" width="9.140625" style="953"/>
    <col min="7432" max="7432" width="18.85546875" style="953" bestFit="1" customWidth="1"/>
    <col min="7433" max="7670" width="9.140625" style="953"/>
    <col min="7671" max="7671" width="4.5703125" style="953" customWidth="1"/>
    <col min="7672" max="7672" width="22.42578125" style="953" bestFit="1" customWidth="1"/>
    <col min="7673" max="7673" width="16.42578125" style="953" customWidth="1"/>
    <col min="7674" max="7674" width="10.7109375" style="953" customWidth="1"/>
    <col min="7675" max="7675" width="11.5703125" style="953" customWidth="1"/>
    <col min="7676" max="7676" width="7.140625" style="953" customWidth="1"/>
    <col min="7677" max="7677" width="14.5703125" style="953" customWidth="1"/>
    <col min="7678" max="7678" width="15.5703125" style="953" bestFit="1" customWidth="1"/>
    <col min="7679" max="7679" width="0" style="953" hidden="1" customWidth="1"/>
    <col min="7680" max="7680" width="15" style="953" bestFit="1" customWidth="1"/>
    <col min="7681" max="7681" width="12.5703125" style="953" bestFit="1" customWidth="1"/>
    <col min="7682" max="7682" width="0" style="953" hidden="1" customWidth="1"/>
    <col min="7683" max="7683" width="16.7109375" style="953" customWidth="1"/>
    <col min="7684" max="7684" width="14.85546875" style="953" customWidth="1"/>
    <col min="7685" max="7685" width="17.42578125" style="953" customWidth="1"/>
    <col min="7686" max="7686" width="15.42578125" style="953" customWidth="1"/>
    <col min="7687" max="7687" width="9.140625" style="953"/>
    <col min="7688" max="7688" width="18.85546875" style="953" bestFit="1" customWidth="1"/>
    <col min="7689" max="7926" width="9.140625" style="953"/>
    <col min="7927" max="7927" width="4.5703125" style="953" customWidth="1"/>
    <col min="7928" max="7928" width="22.42578125" style="953" bestFit="1" customWidth="1"/>
    <col min="7929" max="7929" width="16.42578125" style="953" customWidth="1"/>
    <col min="7930" max="7930" width="10.7109375" style="953" customWidth="1"/>
    <col min="7931" max="7931" width="11.5703125" style="953" customWidth="1"/>
    <col min="7932" max="7932" width="7.140625" style="953" customWidth="1"/>
    <col min="7933" max="7933" width="14.5703125" style="953" customWidth="1"/>
    <col min="7934" max="7934" width="15.5703125" style="953" bestFit="1" customWidth="1"/>
    <col min="7935" max="7935" width="0" style="953" hidden="1" customWidth="1"/>
    <col min="7936" max="7936" width="15" style="953" bestFit="1" customWidth="1"/>
    <col min="7937" max="7937" width="12.5703125" style="953" bestFit="1" customWidth="1"/>
    <col min="7938" max="7938" width="0" style="953" hidden="1" customWidth="1"/>
    <col min="7939" max="7939" width="16.7109375" style="953" customWidth="1"/>
    <col min="7940" max="7940" width="14.85546875" style="953" customWidth="1"/>
    <col min="7941" max="7941" width="17.42578125" style="953" customWidth="1"/>
    <col min="7942" max="7942" width="15.42578125" style="953" customWidth="1"/>
    <col min="7943" max="7943" width="9.140625" style="953"/>
    <col min="7944" max="7944" width="18.85546875" style="953" bestFit="1" customWidth="1"/>
    <col min="7945" max="8182" width="9.140625" style="953"/>
    <col min="8183" max="8183" width="4.5703125" style="953" customWidth="1"/>
    <col min="8184" max="8184" width="22.42578125" style="953" bestFit="1" customWidth="1"/>
    <col min="8185" max="8185" width="16.42578125" style="953" customWidth="1"/>
    <col min="8186" max="8186" width="10.7109375" style="953" customWidth="1"/>
    <col min="8187" max="8187" width="11.5703125" style="953" customWidth="1"/>
    <col min="8188" max="8188" width="7.140625" style="953" customWidth="1"/>
    <col min="8189" max="8189" width="14.5703125" style="953" customWidth="1"/>
    <col min="8190" max="8190" width="15.5703125" style="953" bestFit="1" customWidth="1"/>
    <col min="8191" max="8191" width="0" style="953" hidden="1" customWidth="1"/>
    <col min="8192" max="8192" width="15" style="953" bestFit="1" customWidth="1"/>
    <col min="8193" max="8193" width="12.5703125" style="953" bestFit="1" customWidth="1"/>
    <col min="8194" max="8194" width="0" style="953" hidden="1" customWidth="1"/>
    <col min="8195" max="8195" width="16.7109375" style="953" customWidth="1"/>
    <col min="8196" max="8196" width="14.85546875" style="953" customWidth="1"/>
    <col min="8197" max="8197" width="17.42578125" style="953" customWidth="1"/>
    <col min="8198" max="8198" width="15.42578125" style="953" customWidth="1"/>
    <col min="8199" max="8199" width="9.140625" style="953"/>
    <col min="8200" max="8200" width="18.85546875" style="953" bestFit="1" customWidth="1"/>
    <col min="8201" max="8438" width="9.140625" style="953"/>
    <col min="8439" max="8439" width="4.5703125" style="953" customWidth="1"/>
    <col min="8440" max="8440" width="22.42578125" style="953" bestFit="1" customWidth="1"/>
    <col min="8441" max="8441" width="16.42578125" style="953" customWidth="1"/>
    <col min="8442" max="8442" width="10.7109375" style="953" customWidth="1"/>
    <col min="8443" max="8443" width="11.5703125" style="953" customWidth="1"/>
    <col min="8444" max="8444" width="7.140625" style="953" customWidth="1"/>
    <col min="8445" max="8445" width="14.5703125" style="953" customWidth="1"/>
    <col min="8446" max="8446" width="15.5703125" style="953" bestFit="1" customWidth="1"/>
    <col min="8447" max="8447" width="0" style="953" hidden="1" customWidth="1"/>
    <col min="8448" max="8448" width="15" style="953" bestFit="1" customWidth="1"/>
    <col min="8449" max="8449" width="12.5703125" style="953" bestFit="1" customWidth="1"/>
    <col min="8450" max="8450" width="0" style="953" hidden="1" customWidth="1"/>
    <col min="8451" max="8451" width="16.7109375" style="953" customWidth="1"/>
    <col min="8452" max="8452" width="14.85546875" style="953" customWidth="1"/>
    <col min="8453" max="8453" width="17.42578125" style="953" customWidth="1"/>
    <col min="8454" max="8454" width="15.42578125" style="953" customWidth="1"/>
    <col min="8455" max="8455" width="9.140625" style="953"/>
    <col min="8456" max="8456" width="18.85546875" style="953" bestFit="1" customWidth="1"/>
    <col min="8457" max="8694" width="9.140625" style="953"/>
    <col min="8695" max="8695" width="4.5703125" style="953" customWidth="1"/>
    <col min="8696" max="8696" width="22.42578125" style="953" bestFit="1" customWidth="1"/>
    <col min="8697" max="8697" width="16.42578125" style="953" customWidth="1"/>
    <col min="8698" max="8698" width="10.7109375" style="953" customWidth="1"/>
    <col min="8699" max="8699" width="11.5703125" style="953" customWidth="1"/>
    <col min="8700" max="8700" width="7.140625" style="953" customWidth="1"/>
    <col min="8701" max="8701" width="14.5703125" style="953" customWidth="1"/>
    <col min="8702" max="8702" width="15.5703125" style="953" bestFit="1" customWidth="1"/>
    <col min="8703" max="8703" width="0" style="953" hidden="1" customWidth="1"/>
    <col min="8704" max="8704" width="15" style="953" bestFit="1" customWidth="1"/>
    <col min="8705" max="8705" width="12.5703125" style="953" bestFit="1" customWidth="1"/>
    <col min="8706" max="8706" width="0" style="953" hidden="1" customWidth="1"/>
    <col min="8707" max="8707" width="16.7109375" style="953" customWidth="1"/>
    <col min="8708" max="8708" width="14.85546875" style="953" customWidth="1"/>
    <col min="8709" max="8709" width="17.42578125" style="953" customWidth="1"/>
    <col min="8710" max="8710" width="15.42578125" style="953" customWidth="1"/>
    <col min="8711" max="8711" width="9.140625" style="953"/>
    <col min="8712" max="8712" width="18.85546875" style="953" bestFit="1" customWidth="1"/>
    <col min="8713" max="8950" width="9.140625" style="953"/>
    <col min="8951" max="8951" width="4.5703125" style="953" customWidth="1"/>
    <col min="8952" max="8952" width="22.42578125" style="953" bestFit="1" customWidth="1"/>
    <col min="8953" max="8953" width="16.42578125" style="953" customWidth="1"/>
    <col min="8954" max="8954" width="10.7109375" style="953" customWidth="1"/>
    <col min="8955" max="8955" width="11.5703125" style="953" customWidth="1"/>
    <col min="8956" max="8956" width="7.140625" style="953" customWidth="1"/>
    <col min="8957" max="8957" width="14.5703125" style="953" customWidth="1"/>
    <col min="8958" max="8958" width="15.5703125" style="953" bestFit="1" customWidth="1"/>
    <col min="8959" max="8959" width="0" style="953" hidden="1" customWidth="1"/>
    <col min="8960" max="8960" width="15" style="953" bestFit="1" customWidth="1"/>
    <col min="8961" max="8961" width="12.5703125" style="953" bestFit="1" customWidth="1"/>
    <col min="8962" max="8962" width="0" style="953" hidden="1" customWidth="1"/>
    <col min="8963" max="8963" width="16.7109375" style="953" customWidth="1"/>
    <col min="8964" max="8964" width="14.85546875" style="953" customWidth="1"/>
    <col min="8965" max="8965" width="17.42578125" style="953" customWidth="1"/>
    <col min="8966" max="8966" width="15.42578125" style="953" customWidth="1"/>
    <col min="8967" max="8967" width="9.140625" style="953"/>
    <col min="8968" max="8968" width="18.85546875" style="953" bestFit="1" customWidth="1"/>
    <col min="8969" max="9206" width="9.140625" style="953"/>
    <col min="9207" max="9207" width="4.5703125" style="953" customWidth="1"/>
    <col min="9208" max="9208" width="22.42578125" style="953" bestFit="1" customWidth="1"/>
    <col min="9209" max="9209" width="16.42578125" style="953" customWidth="1"/>
    <col min="9210" max="9210" width="10.7109375" style="953" customWidth="1"/>
    <col min="9211" max="9211" width="11.5703125" style="953" customWidth="1"/>
    <col min="9212" max="9212" width="7.140625" style="953" customWidth="1"/>
    <col min="9213" max="9213" width="14.5703125" style="953" customWidth="1"/>
    <col min="9214" max="9214" width="15.5703125" style="953" bestFit="1" customWidth="1"/>
    <col min="9215" max="9215" width="0" style="953" hidden="1" customWidth="1"/>
    <col min="9216" max="9216" width="15" style="953" bestFit="1" customWidth="1"/>
    <col min="9217" max="9217" width="12.5703125" style="953" bestFit="1" customWidth="1"/>
    <col min="9218" max="9218" width="0" style="953" hidden="1" customWidth="1"/>
    <col min="9219" max="9219" width="16.7109375" style="953" customWidth="1"/>
    <col min="9220" max="9220" width="14.85546875" style="953" customWidth="1"/>
    <col min="9221" max="9221" width="17.42578125" style="953" customWidth="1"/>
    <col min="9222" max="9222" width="15.42578125" style="953" customWidth="1"/>
    <col min="9223" max="9223" width="9.140625" style="953"/>
    <col min="9224" max="9224" width="18.85546875" style="953" bestFit="1" customWidth="1"/>
    <col min="9225" max="9462" width="9.140625" style="953"/>
    <col min="9463" max="9463" width="4.5703125" style="953" customWidth="1"/>
    <col min="9464" max="9464" width="22.42578125" style="953" bestFit="1" customWidth="1"/>
    <col min="9465" max="9465" width="16.42578125" style="953" customWidth="1"/>
    <col min="9466" max="9466" width="10.7109375" style="953" customWidth="1"/>
    <col min="9467" max="9467" width="11.5703125" style="953" customWidth="1"/>
    <col min="9468" max="9468" width="7.140625" style="953" customWidth="1"/>
    <col min="9469" max="9469" width="14.5703125" style="953" customWidth="1"/>
    <col min="9470" max="9470" width="15.5703125" style="953" bestFit="1" customWidth="1"/>
    <col min="9471" max="9471" width="0" style="953" hidden="1" customWidth="1"/>
    <col min="9472" max="9472" width="15" style="953" bestFit="1" customWidth="1"/>
    <col min="9473" max="9473" width="12.5703125" style="953" bestFit="1" customWidth="1"/>
    <col min="9474" max="9474" width="0" style="953" hidden="1" customWidth="1"/>
    <col min="9475" max="9475" width="16.7109375" style="953" customWidth="1"/>
    <col min="9476" max="9476" width="14.85546875" style="953" customWidth="1"/>
    <col min="9477" max="9477" width="17.42578125" style="953" customWidth="1"/>
    <col min="9478" max="9478" width="15.42578125" style="953" customWidth="1"/>
    <col min="9479" max="9479" width="9.140625" style="953"/>
    <col min="9480" max="9480" width="18.85546875" style="953" bestFit="1" customWidth="1"/>
    <col min="9481" max="9718" width="9.140625" style="953"/>
    <col min="9719" max="9719" width="4.5703125" style="953" customWidth="1"/>
    <col min="9720" max="9720" width="22.42578125" style="953" bestFit="1" customWidth="1"/>
    <col min="9721" max="9721" width="16.42578125" style="953" customWidth="1"/>
    <col min="9722" max="9722" width="10.7109375" style="953" customWidth="1"/>
    <col min="9723" max="9723" width="11.5703125" style="953" customWidth="1"/>
    <col min="9724" max="9724" width="7.140625" style="953" customWidth="1"/>
    <col min="9725" max="9725" width="14.5703125" style="953" customWidth="1"/>
    <col min="9726" max="9726" width="15.5703125" style="953" bestFit="1" customWidth="1"/>
    <col min="9727" max="9727" width="0" style="953" hidden="1" customWidth="1"/>
    <col min="9728" max="9728" width="15" style="953" bestFit="1" customWidth="1"/>
    <col min="9729" max="9729" width="12.5703125" style="953" bestFit="1" customWidth="1"/>
    <col min="9730" max="9730" width="0" style="953" hidden="1" customWidth="1"/>
    <col min="9731" max="9731" width="16.7109375" style="953" customWidth="1"/>
    <col min="9732" max="9732" width="14.85546875" style="953" customWidth="1"/>
    <col min="9733" max="9733" width="17.42578125" style="953" customWidth="1"/>
    <col min="9734" max="9734" width="15.42578125" style="953" customWidth="1"/>
    <col min="9735" max="9735" width="9.140625" style="953"/>
    <col min="9736" max="9736" width="18.85546875" style="953" bestFit="1" customWidth="1"/>
    <col min="9737" max="9974" width="9.140625" style="953"/>
    <col min="9975" max="9975" width="4.5703125" style="953" customWidth="1"/>
    <col min="9976" max="9976" width="22.42578125" style="953" bestFit="1" customWidth="1"/>
    <col min="9977" max="9977" width="16.42578125" style="953" customWidth="1"/>
    <col min="9978" max="9978" width="10.7109375" style="953" customWidth="1"/>
    <col min="9979" max="9979" width="11.5703125" style="953" customWidth="1"/>
    <col min="9980" max="9980" width="7.140625" style="953" customWidth="1"/>
    <col min="9981" max="9981" width="14.5703125" style="953" customWidth="1"/>
    <col min="9982" max="9982" width="15.5703125" style="953" bestFit="1" customWidth="1"/>
    <col min="9983" max="9983" width="0" style="953" hidden="1" customWidth="1"/>
    <col min="9984" max="9984" width="15" style="953" bestFit="1" customWidth="1"/>
    <col min="9985" max="9985" width="12.5703125" style="953" bestFit="1" customWidth="1"/>
    <col min="9986" max="9986" width="0" style="953" hidden="1" customWidth="1"/>
    <col min="9987" max="9987" width="16.7109375" style="953" customWidth="1"/>
    <col min="9988" max="9988" width="14.85546875" style="953" customWidth="1"/>
    <col min="9989" max="9989" width="17.42578125" style="953" customWidth="1"/>
    <col min="9990" max="9990" width="15.42578125" style="953" customWidth="1"/>
    <col min="9991" max="9991" width="9.140625" style="953"/>
    <col min="9992" max="9992" width="18.85546875" style="953" bestFit="1" customWidth="1"/>
    <col min="9993" max="10230" width="9.140625" style="953"/>
    <col min="10231" max="10231" width="4.5703125" style="953" customWidth="1"/>
    <col min="10232" max="10232" width="22.42578125" style="953" bestFit="1" customWidth="1"/>
    <col min="10233" max="10233" width="16.42578125" style="953" customWidth="1"/>
    <col min="10234" max="10234" width="10.7109375" style="953" customWidth="1"/>
    <col min="10235" max="10235" width="11.5703125" style="953" customWidth="1"/>
    <col min="10236" max="10236" width="7.140625" style="953" customWidth="1"/>
    <col min="10237" max="10237" width="14.5703125" style="953" customWidth="1"/>
    <col min="10238" max="10238" width="15.5703125" style="953" bestFit="1" customWidth="1"/>
    <col min="10239" max="10239" width="0" style="953" hidden="1" customWidth="1"/>
    <col min="10240" max="10240" width="15" style="953" bestFit="1" customWidth="1"/>
    <col min="10241" max="10241" width="12.5703125" style="953" bestFit="1" customWidth="1"/>
    <col min="10242" max="10242" width="0" style="953" hidden="1" customWidth="1"/>
    <col min="10243" max="10243" width="16.7109375" style="953" customWidth="1"/>
    <col min="10244" max="10244" width="14.85546875" style="953" customWidth="1"/>
    <col min="10245" max="10245" width="17.42578125" style="953" customWidth="1"/>
    <col min="10246" max="10246" width="15.42578125" style="953" customWidth="1"/>
    <col min="10247" max="10247" width="9.140625" style="953"/>
    <col min="10248" max="10248" width="18.85546875" style="953" bestFit="1" customWidth="1"/>
    <col min="10249" max="10486" width="9.140625" style="953"/>
    <col min="10487" max="10487" width="4.5703125" style="953" customWidth="1"/>
    <col min="10488" max="10488" width="22.42578125" style="953" bestFit="1" customWidth="1"/>
    <col min="10489" max="10489" width="16.42578125" style="953" customWidth="1"/>
    <col min="10490" max="10490" width="10.7109375" style="953" customWidth="1"/>
    <col min="10491" max="10491" width="11.5703125" style="953" customWidth="1"/>
    <col min="10492" max="10492" width="7.140625" style="953" customWidth="1"/>
    <col min="10493" max="10493" width="14.5703125" style="953" customWidth="1"/>
    <col min="10494" max="10494" width="15.5703125" style="953" bestFit="1" customWidth="1"/>
    <col min="10495" max="10495" width="0" style="953" hidden="1" customWidth="1"/>
    <col min="10496" max="10496" width="15" style="953" bestFit="1" customWidth="1"/>
    <col min="10497" max="10497" width="12.5703125" style="953" bestFit="1" customWidth="1"/>
    <col min="10498" max="10498" width="0" style="953" hidden="1" customWidth="1"/>
    <col min="10499" max="10499" width="16.7109375" style="953" customWidth="1"/>
    <col min="10500" max="10500" width="14.85546875" style="953" customWidth="1"/>
    <col min="10501" max="10501" width="17.42578125" style="953" customWidth="1"/>
    <col min="10502" max="10502" width="15.42578125" style="953" customWidth="1"/>
    <col min="10503" max="10503" width="9.140625" style="953"/>
    <col min="10504" max="10504" width="18.85546875" style="953" bestFit="1" customWidth="1"/>
    <col min="10505" max="10742" width="9.140625" style="953"/>
    <col min="10743" max="10743" width="4.5703125" style="953" customWidth="1"/>
    <col min="10744" max="10744" width="22.42578125" style="953" bestFit="1" customWidth="1"/>
    <col min="10745" max="10745" width="16.42578125" style="953" customWidth="1"/>
    <col min="10746" max="10746" width="10.7109375" style="953" customWidth="1"/>
    <col min="10747" max="10747" width="11.5703125" style="953" customWidth="1"/>
    <col min="10748" max="10748" width="7.140625" style="953" customWidth="1"/>
    <col min="10749" max="10749" width="14.5703125" style="953" customWidth="1"/>
    <col min="10750" max="10750" width="15.5703125" style="953" bestFit="1" customWidth="1"/>
    <col min="10751" max="10751" width="0" style="953" hidden="1" customWidth="1"/>
    <col min="10752" max="10752" width="15" style="953" bestFit="1" customWidth="1"/>
    <col min="10753" max="10753" width="12.5703125" style="953" bestFit="1" customWidth="1"/>
    <col min="10754" max="10754" width="0" style="953" hidden="1" customWidth="1"/>
    <col min="10755" max="10755" width="16.7109375" style="953" customWidth="1"/>
    <col min="10756" max="10756" width="14.85546875" style="953" customWidth="1"/>
    <col min="10757" max="10757" width="17.42578125" style="953" customWidth="1"/>
    <col min="10758" max="10758" width="15.42578125" style="953" customWidth="1"/>
    <col min="10759" max="10759" width="9.140625" style="953"/>
    <col min="10760" max="10760" width="18.85546875" style="953" bestFit="1" customWidth="1"/>
    <col min="10761" max="10998" width="9.140625" style="953"/>
    <col min="10999" max="10999" width="4.5703125" style="953" customWidth="1"/>
    <col min="11000" max="11000" width="22.42578125" style="953" bestFit="1" customWidth="1"/>
    <col min="11001" max="11001" width="16.42578125" style="953" customWidth="1"/>
    <col min="11002" max="11002" width="10.7109375" style="953" customWidth="1"/>
    <col min="11003" max="11003" width="11.5703125" style="953" customWidth="1"/>
    <col min="11004" max="11004" width="7.140625" style="953" customWidth="1"/>
    <col min="11005" max="11005" width="14.5703125" style="953" customWidth="1"/>
    <col min="11006" max="11006" width="15.5703125" style="953" bestFit="1" customWidth="1"/>
    <col min="11007" max="11007" width="0" style="953" hidden="1" customWidth="1"/>
    <col min="11008" max="11008" width="15" style="953" bestFit="1" customWidth="1"/>
    <col min="11009" max="11009" width="12.5703125" style="953" bestFit="1" customWidth="1"/>
    <col min="11010" max="11010" width="0" style="953" hidden="1" customWidth="1"/>
    <col min="11011" max="11011" width="16.7109375" style="953" customWidth="1"/>
    <col min="11012" max="11012" width="14.85546875" style="953" customWidth="1"/>
    <col min="11013" max="11013" width="17.42578125" style="953" customWidth="1"/>
    <col min="11014" max="11014" width="15.42578125" style="953" customWidth="1"/>
    <col min="11015" max="11015" width="9.140625" style="953"/>
    <col min="11016" max="11016" width="18.85546875" style="953" bestFit="1" customWidth="1"/>
    <col min="11017" max="11254" width="9.140625" style="953"/>
    <col min="11255" max="11255" width="4.5703125" style="953" customWidth="1"/>
    <col min="11256" max="11256" width="22.42578125" style="953" bestFit="1" customWidth="1"/>
    <col min="11257" max="11257" width="16.42578125" style="953" customWidth="1"/>
    <col min="11258" max="11258" width="10.7109375" style="953" customWidth="1"/>
    <col min="11259" max="11259" width="11.5703125" style="953" customWidth="1"/>
    <col min="11260" max="11260" width="7.140625" style="953" customWidth="1"/>
    <col min="11261" max="11261" width="14.5703125" style="953" customWidth="1"/>
    <col min="11262" max="11262" width="15.5703125" style="953" bestFit="1" customWidth="1"/>
    <col min="11263" max="11263" width="0" style="953" hidden="1" customWidth="1"/>
    <col min="11264" max="11264" width="15" style="953" bestFit="1" customWidth="1"/>
    <col min="11265" max="11265" width="12.5703125" style="953" bestFit="1" customWidth="1"/>
    <col min="11266" max="11266" width="0" style="953" hidden="1" customWidth="1"/>
    <col min="11267" max="11267" width="16.7109375" style="953" customWidth="1"/>
    <col min="11268" max="11268" width="14.85546875" style="953" customWidth="1"/>
    <col min="11269" max="11269" width="17.42578125" style="953" customWidth="1"/>
    <col min="11270" max="11270" width="15.42578125" style="953" customWidth="1"/>
    <col min="11271" max="11271" width="9.140625" style="953"/>
    <col min="11272" max="11272" width="18.85546875" style="953" bestFit="1" customWidth="1"/>
    <col min="11273" max="11510" width="9.140625" style="953"/>
    <col min="11511" max="11511" width="4.5703125" style="953" customWidth="1"/>
    <col min="11512" max="11512" width="22.42578125" style="953" bestFit="1" customWidth="1"/>
    <col min="11513" max="11513" width="16.42578125" style="953" customWidth="1"/>
    <col min="11514" max="11514" width="10.7109375" style="953" customWidth="1"/>
    <col min="11515" max="11515" width="11.5703125" style="953" customWidth="1"/>
    <col min="11516" max="11516" width="7.140625" style="953" customWidth="1"/>
    <col min="11517" max="11517" width="14.5703125" style="953" customWidth="1"/>
    <col min="11518" max="11518" width="15.5703125" style="953" bestFit="1" customWidth="1"/>
    <col min="11519" max="11519" width="0" style="953" hidden="1" customWidth="1"/>
    <col min="11520" max="11520" width="15" style="953" bestFit="1" customWidth="1"/>
    <col min="11521" max="11521" width="12.5703125" style="953" bestFit="1" customWidth="1"/>
    <col min="11522" max="11522" width="0" style="953" hidden="1" customWidth="1"/>
    <col min="11523" max="11523" width="16.7109375" style="953" customWidth="1"/>
    <col min="11524" max="11524" width="14.85546875" style="953" customWidth="1"/>
    <col min="11525" max="11525" width="17.42578125" style="953" customWidth="1"/>
    <col min="11526" max="11526" width="15.42578125" style="953" customWidth="1"/>
    <col min="11527" max="11527" width="9.140625" style="953"/>
    <col min="11528" max="11528" width="18.85546875" style="953" bestFit="1" customWidth="1"/>
    <col min="11529" max="11766" width="9.140625" style="953"/>
    <col min="11767" max="11767" width="4.5703125" style="953" customWidth="1"/>
    <col min="11768" max="11768" width="22.42578125" style="953" bestFit="1" customWidth="1"/>
    <col min="11769" max="11769" width="16.42578125" style="953" customWidth="1"/>
    <col min="11770" max="11770" width="10.7109375" style="953" customWidth="1"/>
    <col min="11771" max="11771" width="11.5703125" style="953" customWidth="1"/>
    <col min="11772" max="11772" width="7.140625" style="953" customWidth="1"/>
    <col min="11773" max="11773" width="14.5703125" style="953" customWidth="1"/>
    <col min="11774" max="11774" width="15.5703125" style="953" bestFit="1" customWidth="1"/>
    <col min="11775" max="11775" width="0" style="953" hidden="1" customWidth="1"/>
    <col min="11776" max="11776" width="15" style="953" bestFit="1" customWidth="1"/>
    <col min="11777" max="11777" width="12.5703125" style="953" bestFit="1" customWidth="1"/>
    <col min="11778" max="11778" width="0" style="953" hidden="1" customWidth="1"/>
    <col min="11779" max="11779" width="16.7109375" style="953" customWidth="1"/>
    <col min="11780" max="11780" width="14.85546875" style="953" customWidth="1"/>
    <col min="11781" max="11781" width="17.42578125" style="953" customWidth="1"/>
    <col min="11782" max="11782" width="15.42578125" style="953" customWidth="1"/>
    <col min="11783" max="11783" width="9.140625" style="953"/>
    <col min="11784" max="11784" width="18.85546875" style="953" bestFit="1" customWidth="1"/>
    <col min="11785" max="12022" width="9.140625" style="953"/>
    <col min="12023" max="12023" width="4.5703125" style="953" customWidth="1"/>
    <col min="12024" max="12024" width="22.42578125" style="953" bestFit="1" customWidth="1"/>
    <col min="12025" max="12025" width="16.42578125" style="953" customWidth="1"/>
    <col min="12026" max="12026" width="10.7109375" style="953" customWidth="1"/>
    <col min="12027" max="12027" width="11.5703125" style="953" customWidth="1"/>
    <col min="12028" max="12028" width="7.140625" style="953" customWidth="1"/>
    <col min="12029" max="12029" width="14.5703125" style="953" customWidth="1"/>
    <col min="12030" max="12030" width="15.5703125" style="953" bestFit="1" customWidth="1"/>
    <col min="12031" max="12031" width="0" style="953" hidden="1" customWidth="1"/>
    <col min="12032" max="12032" width="15" style="953" bestFit="1" customWidth="1"/>
    <col min="12033" max="12033" width="12.5703125" style="953" bestFit="1" customWidth="1"/>
    <col min="12034" max="12034" width="0" style="953" hidden="1" customWidth="1"/>
    <col min="12035" max="12035" width="16.7109375" style="953" customWidth="1"/>
    <col min="12036" max="12036" width="14.85546875" style="953" customWidth="1"/>
    <col min="12037" max="12037" width="17.42578125" style="953" customWidth="1"/>
    <col min="12038" max="12038" width="15.42578125" style="953" customWidth="1"/>
    <col min="12039" max="12039" width="9.140625" style="953"/>
    <col min="12040" max="12040" width="18.85546875" style="953" bestFit="1" customWidth="1"/>
    <col min="12041" max="12278" width="9.140625" style="953"/>
    <col min="12279" max="12279" width="4.5703125" style="953" customWidth="1"/>
    <col min="12280" max="12280" width="22.42578125" style="953" bestFit="1" customWidth="1"/>
    <col min="12281" max="12281" width="16.42578125" style="953" customWidth="1"/>
    <col min="12282" max="12282" width="10.7109375" style="953" customWidth="1"/>
    <col min="12283" max="12283" width="11.5703125" style="953" customWidth="1"/>
    <col min="12284" max="12284" width="7.140625" style="953" customWidth="1"/>
    <col min="12285" max="12285" width="14.5703125" style="953" customWidth="1"/>
    <col min="12286" max="12286" width="15.5703125" style="953" bestFit="1" customWidth="1"/>
    <col min="12287" max="12287" width="0" style="953" hidden="1" customWidth="1"/>
    <col min="12288" max="12288" width="15" style="953" bestFit="1" customWidth="1"/>
    <col min="12289" max="12289" width="12.5703125" style="953" bestFit="1" customWidth="1"/>
    <col min="12290" max="12290" width="0" style="953" hidden="1" customWidth="1"/>
    <col min="12291" max="12291" width="16.7109375" style="953" customWidth="1"/>
    <col min="12292" max="12292" width="14.85546875" style="953" customWidth="1"/>
    <col min="12293" max="12293" width="17.42578125" style="953" customWidth="1"/>
    <col min="12294" max="12294" width="15.42578125" style="953" customWidth="1"/>
    <col min="12295" max="12295" width="9.140625" style="953"/>
    <col min="12296" max="12296" width="18.85546875" style="953" bestFit="1" customWidth="1"/>
    <col min="12297" max="12534" width="9.140625" style="953"/>
    <col min="12535" max="12535" width="4.5703125" style="953" customWidth="1"/>
    <col min="12536" max="12536" width="22.42578125" style="953" bestFit="1" customWidth="1"/>
    <col min="12537" max="12537" width="16.42578125" style="953" customWidth="1"/>
    <col min="12538" max="12538" width="10.7109375" style="953" customWidth="1"/>
    <col min="12539" max="12539" width="11.5703125" style="953" customWidth="1"/>
    <col min="12540" max="12540" width="7.140625" style="953" customWidth="1"/>
    <col min="12541" max="12541" width="14.5703125" style="953" customWidth="1"/>
    <col min="12542" max="12542" width="15.5703125" style="953" bestFit="1" customWidth="1"/>
    <col min="12543" max="12543" width="0" style="953" hidden="1" customWidth="1"/>
    <col min="12544" max="12544" width="15" style="953" bestFit="1" customWidth="1"/>
    <col min="12545" max="12545" width="12.5703125" style="953" bestFit="1" customWidth="1"/>
    <col min="12546" max="12546" width="0" style="953" hidden="1" customWidth="1"/>
    <col min="12547" max="12547" width="16.7109375" style="953" customWidth="1"/>
    <col min="12548" max="12548" width="14.85546875" style="953" customWidth="1"/>
    <col min="12549" max="12549" width="17.42578125" style="953" customWidth="1"/>
    <col min="12550" max="12550" width="15.42578125" style="953" customWidth="1"/>
    <col min="12551" max="12551" width="9.140625" style="953"/>
    <col min="12552" max="12552" width="18.85546875" style="953" bestFit="1" customWidth="1"/>
    <col min="12553" max="12790" width="9.140625" style="953"/>
    <col min="12791" max="12791" width="4.5703125" style="953" customWidth="1"/>
    <col min="12792" max="12792" width="22.42578125" style="953" bestFit="1" customWidth="1"/>
    <col min="12793" max="12793" width="16.42578125" style="953" customWidth="1"/>
    <col min="12794" max="12794" width="10.7109375" style="953" customWidth="1"/>
    <col min="12795" max="12795" width="11.5703125" style="953" customWidth="1"/>
    <col min="12796" max="12796" width="7.140625" style="953" customWidth="1"/>
    <col min="12797" max="12797" width="14.5703125" style="953" customWidth="1"/>
    <col min="12798" max="12798" width="15.5703125" style="953" bestFit="1" customWidth="1"/>
    <col min="12799" max="12799" width="0" style="953" hidden="1" customWidth="1"/>
    <col min="12800" max="12800" width="15" style="953" bestFit="1" customWidth="1"/>
    <col min="12801" max="12801" width="12.5703125" style="953" bestFit="1" customWidth="1"/>
    <col min="12802" max="12802" width="0" style="953" hidden="1" customWidth="1"/>
    <col min="12803" max="12803" width="16.7109375" style="953" customWidth="1"/>
    <col min="12804" max="12804" width="14.85546875" style="953" customWidth="1"/>
    <col min="12805" max="12805" width="17.42578125" style="953" customWidth="1"/>
    <col min="12806" max="12806" width="15.42578125" style="953" customWidth="1"/>
    <col min="12807" max="12807" width="9.140625" style="953"/>
    <col min="12808" max="12808" width="18.85546875" style="953" bestFit="1" customWidth="1"/>
    <col min="12809" max="13046" width="9.140625" style="953"/>
    <col min="13047" max="13047" width="4.5703125" style="953" customWidth="1"/>
    <col min="13048" max="13048" width="22.42578125" style="953" bestFit="1" customWidth="1"/>
    <col min="13049" max="13049" width="16.42578125" style="953" customWidth="1"/>
    <col min="13050" max="13050" width="10.7109375" style="953" customWidth="1"/>
    <col min="13051" max="13051" width="11.5703125" style="953" customWidth="1"/>
    <col min="13052" max="13052" width="7.140625" style="953" customWidth="1"/>
    <col min="13053" max="13053" width="14.5703125" style="953" customWidth="1"/>
    <col min="13054" max="13054" width="15.5703125" style="953" bestFit="1" customWidth="1"/>
    <col min="13055" max="13055" width="0" style="953" hidden="1" customWidth="1"/>
    <col min="13056" max="13056" width="15" style="953" bestFit="1" customWidth="1"/>
    <col min="13057" max="13057" width="12.5703125" style="953" bestFit="1" customWidth="1"/>
    <col min="13058" max="13058" width="0" style="953" hidden="1" customWidth="1"/>
    <col min="13059" max="13059" width="16.7109375" style="953" customWidth="1"/>
    <col min="13060" max="13060" width="14.85546875" style="953" customWidth="1"/>
    <col min="13061" max="13061" width="17.42578125" style="953" customWidth="1"/>
    <col min="13062" max="13062" width="15.42578125" style="953" customWidth="1"/>
    <col min="13063" max="13063" width="9.140625" style="953"/>
    <col min="13064" max="13064" width="18.85546875" style="953" bestFit="1" customWidth="1"/>
    <col min="13065" max="13302" width="9.140625" style="953"/>
    <col min="13303" max="13303" width="4.5703125" style="953" customWidth="1"/>
    <col min="13304" max="13304" width="22.42578125" style="953" bestFit="1" customWidth="1"/>
    <col min="13305" max="13305" width="16.42578125" style="953" customWidth="1"/>
    <col min="13306" max="13306" width="10.7109375" style="953" customWidth="1"/>
    <col min="13307" max="13307" width="11.5703125" style="953" customWidth="1"/>
    <col min="13308" max="13308" width="7.140625" style="953" customWidth="1"/>
    <col min="13309" max="13309" width="14.5703125" style="953" customWidth="1"/>
    <col min="13310" max="13310" width="15.5703125" style="953" bestFit="1" customWidth="1"/>
    <col min="13311" max="13311" width="0" style="953" hidden="1" customWidth="1"/>
    <col min="13312" max="13312" width="15" style="953" bestFit="1" customWidth="1"/>
    <col min="13313" max="13313" width="12.5703125" style="953" bestFit="1" customWidth="1"/>
    <col min="13314" max="13314" width="0" style="953" hidden="1" customWidth="1"/>
    <col min="13315" max="13315" width="16.7109375" style="953" customWidth="1"/>
    <col min="13316" max="13316" width="14.85546875" style="953" customWidth="1"/>
    <col min="13317" max="13317" width="17.42578125" style="953" customWidth="1"/>
    <col min="13318" max="13318" width="15.42578125" style="953" customWidth="1"/>
    <col min="13319" max="13319" width="9.140625" style="953"/>
    <col min="13320" max="13320" width="18.85546875" style="953" bestFit="1" customWidth="1"/>
    <col min="13321" max="13558" width="9.140625" style="953"/>
    <col min="13559" max="13559" width="4.5703125" style="953" customWidth="1"/>
    <col min="13560" max="13560" width="22.42578125" style="953" bestFit="1" customWidth="1"/>
    <col min="13561" max="13561" width="16.42578125" style="953" customWidth="1"/>
    <col min="13562" max="13562" width="10.7109375" style="953" customWidth="1"/>
    <col min="13563" max="13563" width="11.5703125" style="953" customWidth="1"/>
    <col min="13564" max="13564" width="7.140625" style="953" customWidth="1"/>
    <col min="13565" max="13565" width="14.5703125" style="953" customWidth="1"/>
    <col min="13566" max="13566" width="15.5703125" style="953" bestFit="1" customWidth="1"/>
    <col min="13567" max="13567" width="0" style="953" hidden="1" customWidth="1"/>
    <col min="13568" max="13568" width="15" style="953" bestFit="1" customWidth="1"/>
    <col min="13569" max="13569" width="12.5703125" style="953" bestFit="1" customWidth="1"/>
    <col min="13570" max="13570" width="0" style="953" hidden="1" customWidth="1"/>
    <col min="13571" max="13571" width="16.7109375" style="953" customWidth="1"/>
    <col min="13572" max="13572" width="14.85546875" style="953" customWidth="1"/>
    <col min="13573" max="13573" width="17.42578125" style="953" customWidth="1"/>
    <col min="13574" max="13574" width="15.42578125" style="953" customWidth="1"/>
    <col min="13575" max="13575" width="9.140625" style="953"/>
    <col min="13576" max="13576" width="18.85546875" style="953" bestFit="1" customWidth="1"/>
    <col min="13577" max="13814" width="9.140625" style="953"/>
    <col min="13815" max="13815" width="4.5703125" style="953" customWidth="1"/>
    <col min="13816" max="13816" width="22.42578125" style="953" bestFit="1" customWidth="1"/>
    <col min="13817" max="13817" width="16.42578125" style="953" customWidth="1"/>
    <col min="13818" max="13818" width="10.7109375" style="953" customWidth="1"/>
    <col min="13819" max="13819" width="11.5703125" style="953" customWidth="1"/>
    <col min="13820" max="13820" width="7.140625" style="953" customWidth="1"/>
    <col min="13821" max="13821" width="14.5703125" style="953" customWidth="1"/>
    <col min="13822" max="13822" width="15.5703125" style="953" bestFit="1" customWidth="1"/>
    <col min="13823" max="13823" width="0" style="953" hidden="1" customWidth="1"/>
    <col min="13824" max="13824" width="15" style="953" bestFit="1" customWidth="1"/>
    <col min="13825" max="13825" width="12.5703125" style="953" bestFit="1" customWidth="1"/>
    <col min="13826" max="13826" width="0" style="953" hidden="1" customWidth="1"/>
    <col min="13827" max="13827" width="16.7109375" style="953" customWidth="1"/>
    <col min="13828" max="13828" width="14.85546875" style="953" customWidth="1"/>
    <col min="13829" max="13829" width="17.42578125" style="953" customWidth="1"/>
    <col min="13830" max="13830" width="15.42578125" style="953" customWidth="1"/>
    <col min="13831" max="13831" width="9.140625" style="953"/>
    <col min="13832" max="13832" width="18.85546875" style="953" bestFit="1" customWidth="1"/>
    <col min="13833" max="14070" width="9.140625" style="953"/>
    <col min="14071" max="14071" width="4.5703125" style="953" customWidth="1"/>
    <col min="14072" max="14072" width="22.42578125" style="953" bestFit="1" customWidth="1"/>
    <col min="14073" max="14073" width="16.42578125" style="953" customWidth="1"/>
    <col min="14074" max="14074" width="10.7109375" style="953" customWidth="1"/>
    <col min="14075" max="14075" width="11.5703125" style="953" customWidth="1"/>
    <col min="14076" max="14076" width="7.140625" style="953" customWidth="1"/>
    <col min="14077" max="14077" width="14.5703125" style="953" customWidth="1"/>
    <col min="14078" max="14078" width="15.5703125" style="953" bestFit="1" customWidth="1"/>
    <col min="14079" max="14079" width="0" style="953" hidden="1" customWidth="1"/>
    <col min="14080" max="14080" width="15" style="953" bestFit="1" customWidth="1"/>
    <col min="14081" max="14081" width="12.5703125" style="953" bestFit="1" customWidth="1"/>
    <col min="14082" max="14082" width="0" style="953" hidden="1" customWidth="1"/>
    <col min="14083" max="14083" width="16.7109375" style="953" customWidth="1"/>
    <col min="14084" max="14084" width="14.85546875" style="953" customWidth="1"/>
    <col min="14085" max="14085" width="17.42578125" style="953" customWidth="1"/>
    <col min="14086" max="14086" width="15.42578125" style="953" customWidth="1"/>
    <col min="14087" max="14087" width="9.140625" style="953"/>
    <col min="14088" max="14088" width="18.85546875" style="953" bestFit="1" customWidth="1"/>
    <col min="14089" max="14326" width="9.140625" style="953"/>
    <col min="14327" max="14327" width="4.5703125" style="953" customWidth="1"/>
    <col min="14328" max="14328" width="22.42578125" style="953" bestFit="1" customWidth="1"/>
    <col min="14329" max="14329" width="16.42578125" style="953" customWidth="1"/>
    <col min="14330" max="14330" width="10.7109375" style="953" customWidth="1"/>
    <col min="14331" max="14331" width="11.5703125" style="953" customWidth="1"/>
    <col min="14332" max="14332" width="7.140625" style="953" customWidth="1"/>
    <col min="14333" max="14333" width="14.5703125" style="953" customWidth="1"/>
    <col min="14334" max="14334" width="15.5703125" style="953" bestFit="1" customWidth="1"/>
    <col min="14335" max="14335" width="0" style="953" hidden="1" customWidth="1"/>
    <col min="14336" max="14336" width="15" style="953" bestFit="1" customWidth="1"/>
    <col min="14337" max="14337" width="12.5703125" style="953" bestFit="1" customWidth="1"/>
    <col min="14338" max="14338" width="0" style="953" hidden="1" customWidth="1"/>
    <col min="14339" max="14339" width="16.7109375" style="953" customWidth="1"/>
    <col min="14340" max="14340" width="14.85546875" style="953" customWidth="1"/>
    <col min="14341" max="14341" width="17.42578125" style="953" customWidth="1"/>
    <col min="14342" max="14342" width="15.42578125" style="953" customWidth="1"/>
    <col min="14343" max="14343" width="9.140625" style="953"/>
    <col min="14344" max="14344" width="18.85546875" style="953" bestFit="1" customWidth="1"/>
    <col min="14345" max="14582" width="9.140625" style="953"/>
    <col min="14583" max="14583" width="4.5703125" style="953" customWidth="1"/>
    <col min="14584" max="14584" width="22.42578125" style="953" bestFit="1" customWidth="1"/>
    <col min="14585" max="14585" width="16.42578125" style="953" customWidth="1"/>
    <col min="14586" max="14586" width="10.7109375" style="953" customWidth="1"/>
    <col min="14587" max="14587" width="11.5703125" style="953" customWidth="1"/>
    <col min="14588" max="14588" width="7.140625" style="953" customWidth="1"/>
    <col min="14589" max="14589" width="14.5703125" style="953" customWidth="1"/>
    <col min="14590" max="14590" width="15.5703125" style="953" bestFit="1" customWidth="1"/>
    <col min="14591" max="14591" width="0" style="953" hidden="1" customWidth="1"/>
    <col min="14592" max="14592" width="15" style="953" bestFit="1" customWidth="1"/>
    <col min="14593" max="14593" width="12.5703125" style="953" bestFit="1" customWidth="1"/>
    <col min="14594" max="14594" width="0" style="953" hidden="1" customWidth="1"/>
    <col min="14595" max="14595" width="16.7109375" style="953" customWidth="1"/>
    <col min="14596" max="14596" width="14.85546875" style="953" customWidth="1"/>
    <col min="14597" max="14597" width="17.42578125" style="953" customWidth="1"/>
    <col min="14598" max="14598" width="15.42578125" style="953" customWidth="1"/>
    <col min="14599" max="14599" width="9.140625" style="953"/>
    <col min="14600" max="14600" width="18.85546875" style="953" bestFit="1" customWidth="1"/>
    <col min="14601" max="14838" width="9.140625" style="953"/>
    <col min="14839" max="14839" width="4.5703125" style="953" customWidth="1"/>
    <col min="14840" max="14840" width="22.42578125" style="953" bestFit="1" customWidth="1"/>
    <col min="14841" max="14841" width="16.42578125" style="953" customWidth="1"/>
    <col min="14842" max="14842" width="10.7109375" style="953" customWidth="1"/>
    <col min="14843" max="14843" width="11.5703125" style="953" customWidth="1"/>
    <col min="14844" max="14844" width="7.140625" style="953" customWidth="1"/>
    <col min="14845" max="14845" width="14.5703125" style="953" customWidth="1"/>
    <col min="14846" max="14846" width="15.5703125" style="953" bestFit="1" customWidth="1"/>
    <col min="14847" max="14847" width="0" style="953" hidden="1" customWidth="1"/>
    <col min="14848" max="14848" width="15" style="953" bestFit="1" customWidth="1"/>
    <col min="14849" max="14849" width="12.5703125" style="953" bestFit="1" customWidth="1"/>
    <col min="14850" max="14850" width="0" style="953" hidden="1" customWidth="1"/>
    <col min="14851" max="14851" width="16.7109375" style="953" customWidth="1"/>
    <col min="14852" max="14852" width="14.85546875" style="953" customWidth="1"/>
    <col min="14853" max="14853" width="17.42578125" style="953" customWidth="1"/>
    <col min="14854" max="14854" width="15.42578125" style="953" customWidth="1"/>
    <col min="14855" max="14855" width="9.140625" style="953"/>
    <col min="14856" max="14856" width="18.85546875" style="953" bestFit="1" customWidth="1"/>
    <col min="14857" max="15094" width="9.140625" style="953"/>
    <col min="15095" max="15095" width="4.5703125" style="953" customWidth="1"/>
    <col min="15096" max="15096" width="22.42578125" style="953" bestFit="1" customWidth="1"/>
    <col min="15097" max="15097" width="16.42578125" style="953" customWidth="1"/>
    <col min="15098" max="15098" width="10.7109375" style="953" customWidth="1"/>
    <col min="15099" max="15099" width="11.5703125" style="953" customWidth="1"/>
    <col min="15100" max="15100" width="7.140625" style="953" customWidth="1"/>
    <col min="15101" max="15101" width="14.5703125" style="953" customWidth="1"/>
    <col min="15102" max="15102" width="15.5703125" style="953" bestFit="1" customWidth="1"/>
    <col min="15103" max="15103" width="0" style="953" hidden="1" customWidth="1"/>
    <col min="15104" max="15104" width="15" style="953" bestFit="1" customWidth="1"/>
    <col min="15105" max="15105" width="12.5703125" style="953" bestFit="1" customWidth="1"/>
    <col min="15106" max="15106" width="0" style="953" hidden="1" customWidth="1"/>
    <col min="15107" max="15107" width="16.7109375" style="953" customWidth="1"/>
    <col min="15108" max="15108" width="14.85546875" style="953" customWidth="1"/>
    <col min="15109" max="15109" width="17.42578125" style="953" customWidth="1"/>
    <col min="15110" max="15110" width="15.42578125" style="953" customWidth="1"/>
    <col min="15111" max="15111" width="9.140625" style="953"/>
    <col min="15112" max="15112" width="18.85546875" style="953" bestFit="1" customWidth="1"/>
    <col min="15113" max="15350" width="9.140625" style="953"/>
    <col min="15351" max="15351" width="4.5703125" style="953" customWidth="1"/>
    <col min="15352" max="15352" width="22.42578125" style="953" bestFit="1" customWidth="1"/>
    <col min="15353" max="15353" width="16.42578125" style="953" customWidth="1"/>
    <col min="15354" max="15354" width="10.7109375" style="953" customWidth="1"/>
    <col min="15355" max="15355" width="11.5703125" style="953" customWidth="1"/>
    <col min="15356" max="15356" width="7.140625" style="953" customWidth="1"/>
    <col min="15357" max="15357" width="14.5703125" style="953" customWidth="1"/>
    <col min="15358" max="15358" width="15.5703125" style="953" bestFit="1" customWidth="1"/>
    <col min="15359" max="15359" width="0" style="953" hidden="1" customWidth="1"/>
    <col min="15360" max="15360" width="15" style="953" bestFit="1" customWidth="1"/>
    <col min="15361" max="15361" width="12.5703125" style="953" bestFit="1" customWidth="1"/>
    <col min="15362" max="15362" width="0" style="953" hidden="1" customWidth="1"/>
    <col min="15363" max="15363" width="16.7109375" style="953" customWidth="1"/>
    <col min="15364" max="15364" width="14.85546875" style="953" customWidth="1"/>
    <col min="15365" max="15365" width="17.42578125" style="953" customWidth="1"/>
    <col min="15366" max="15366" width="15.42578125" style="953" customWidth="1"/>
    <col min="15367" max="15367" width="9.140625" style="953"/>
    <col min="15368" max="15368" width="18.85546875" style="953" bestFit="1" customWidth="1"/>
    <col min="15369" max="15606" width="9.140625" style="953"/>
    <col min="15607" max="15607" width="4.5703125" style="953" customWidth="1"/>
    <col min="15608" max="15608" width="22.42578125" style="953" bestFit="1" customWidth="1"/>
    <col min="15609" max="15609" width="16.42578125" style="953" customWidth="1"/>
    <col min="15610" max="15610" width="10.7109375" style="953" customWidth="1"/>
    <col min="15611" max="15611" width="11.5703125" style="953" customWidth="1"/>
    <col min="15612" max="15612" width="7.140625" style="953" customWidth="1"/>
    <col min="15613" max="15613" width="14.5703125" style="953" customWidth="1"/>
    <col min="15614" max="15614" width="15.5703125" style="953" bestFit="1" customWidth="1"/>
    <col min="15615" max="15615" width="0" style="953" hidden="1" customWidth="1"/>
    <col min="15616" max="15616" width="15" style="953" bestFit="1" customWidth="1"/>
    <col min="15617" max="15617" width="12.5703125" style="953" bestFit="1" customWidth="1"/>
    <col min="15618" max="15618" width="0" style="953" hidden="1" customWidth="1"/>
    <col min="15619" max="15619" width="16.7109375" style="953" customWidth="1"/>
    <col min="15620" max="15620" width="14.85546875" style="953" customWidth="1"/>
    <col min="15621" max="15621" width="17.42578125" style="953" customWidth="1"/>
    <col min="15622" max="15622" width="15.42578125" style="953" customWidth="1"/>
    <col min="15623" max="15623" width="9.140625" style="953"/>
    <col min="15624" max="15624" width="18.85546875" style="953" bestFit="1" customWidth="1"/>
    <col min="15625" max="15862" width="9.140625" style="953"/>
    <col min="15863" max="15863" width="4.5703125" style="953" customWidth="1"/>
    <col min="15864" max="15864" width="22.42578125" style="953" bestFit="1" customWidth="1"/>
    <col min="15865" max="15865" width="16.42578125" style="953" customWidth="1"/>
    <col min="15866" max="15866" width="10.7109375" style="953" customWidth="1"/>
    <col min="15867" max="15867" width="11.5703125" style="953" customWidth="1"/>
    <col min="15868" max="15868" width="7.140625" style="953" customWidth="1"/>
    <col min="15869" max="15869" width="14.5703125" style="953" customWidth="1"/>
    <col min="15870" max="15870" width="15.5703125" style="953" bestFit="1" customWidth="1"/>
    <col min="15871" max="15871" width="0" style="953" hidden="1" customWidth="1"/>
    <col min="15872" max="15872" width="15" style="953" bestFit="1" customWidth="1"/>
    <col min="15873" max="15873" width="12.5703125" style="953" bestFit="1" customWidth="1"/>
    <col min="15874" max="15874" width="0" style="953" hidden="1" customWidth="1"/>
    <col min="15875" max="15875" width="16.7109375" style="953" customWidth="1"/>
    <col min="15876" max="15876" width="14.85546875" style="953" customWidth="1"/>
    <col min="15877" max="15877" width="17.42578125" style="953" customWidth="1"/>
    <col min="15878" max="15878" width="15.42578125" style="953" customWidth="1"/>
    <col min="15879" max="15879" width="9.140625" style="953"/>
    <col min="15880" max="15880" width="18.85546875" style="953" bestFit="1" customWidth="1"/>
    <col min="15881" max="16118" width="9.140625" style="953"/>
    <col min="16119" max="16119" width="4.5703125" style="953" customWidth="1"/>
    <col min="16120" max="16120" width="22.42578125" style="953" bestFit="1" customWidth="1"/>
    <col min="16121" max="16121" width="16.42578125" style="953" customWidth="1"/>
    <col min="16122" max="16122" width="10.7109375" style="953" customWidth="1"/>
    <col min="16123" max="16123" width="11.5703125" style="953" customWidth="1"/>
    <col min="16124" max="16124" width="7.140625" style="953" customWidth="1"/>
    <col min="16125" max="16125" width="14.5703125" style="953" customWidth="1"/>
    <col min="16126" max="16126" width="15.5703125" style="953" bestFit="1" customWidth="1"/>
    <col min="16127" max="16127" width="0" style="953" hidden="1" customWidth="1"/>
    <col min="16128" max="16128" width="15" style="953" bestFit="1" customWidth="1"/>
    <col min="16129" max="16129" width="12.5703125" style="953" bestFit="1" customWidth="1"/>
    <col min="16130" max="16130" width="0" style="953" hidden="1" customWidth="1"/>
    <col min="16131" max="16131" width="16.7109375" style="953" customWidth="1"/>
    <col min="16132" max="16132" width="14.85546875" style="953" customWidth="1"/>
    <col min="16133" max="16133" width="17.42578125" style="953" customWidth="1"/>
    <col min="16134" max="16134" width="15.42578125" style="953" customWidth="1"/>
    <col min="16135" max="16135" width="9.140625" style="953"/>
    <col min="16136" max="16136" width="18.85546875" style="953" bestFit="1" customWidth="1"/>
    <col min="16137" max="16384" width="9.140625" style="953"/>
  </cols>
  <sheetData>
    <row r="1" spans="1:8" ht="15.75">
      <c r="A1" s="4667" t="s">
        <v>23</v>
      </c>
      <c r="B1" s="4667"/>
      <c r="C1" s="4667"/>
      <c r="D1" s="4667"/>
      <c r="E1" s="4667"/>
      <c r="F1" s="4667"/>
      <c r="G1" s="4667"/>
    </row>
    <row r="2" spans="1:8" ht="16.5">
      <c r="A2" s="3948" t="s">
        <v>45</v>
      </c>
      <c r="B2" s="3948"/>
      <c r="C2" s="3948"/>
      <c r="D2" s="3948"/>
      <c r="E2" s="3948"/>
      <c r="F2" s="3948"/>
      <c r="G2" s="3948"/>
    </row>
    <row r="4" spans="1:8" ht="15.75">
      <c r="A4" s="4666" t="s">
        <v>929</v>
      </c>
      <c r="B4" s="4666"/>
      <c r="C4" s="4666"/>
      <c r="D4" s="4666"/>
    </row>
    <row r="5" spans="1:8" ht="16.5">
      <c r="A5" s="3947" t="s">
        <v>90</v>
      </c>
      <c r="B5" s="3947"/>
      <c r="C5" s="3947"/>
      <c r="D5" s="3947"/>
    </row>
    <row r="8" spans="1:8" ht="24.75" customHeight="1">
      <c r="A8" s="4258" t="s">
        <v>1368</v>
      </c>
      <c r="B8" s="4258"/>
      <c r="C8" s="4258"/>
      <c r="D8" s="4258"/>
      <c r="E8" s="4258"/>
      <c r="F8" s="4258"/>
      <c r="G8" s="4258"/>
    </row>
    <row r="9" spans="1:8" ht="20.25">
      <c r="H9" s="994">
        <v>26</v>
      </c>
    </row>
    <row r="10" spans="1:8" s="961" customFormat="1" ht="15.75" customHeight="1">
      <c r="A10" s="4267" t="s">
        <v>932</v>
      </c>
      <c r="B10" s="4267" t="s">
        <v>1</v>
      </c>
      <c r="C10" s="4267" t="s">
        <v>46</v>
      </c>
      <c r="D10" s="4266" t="s">
        <v>960</v>
      </c>
      <c r="E10" s="4259" t="s">
        <v>244</v>
      </c>
      <c r="F10" s="4267" t="s">
        <v>10</v>
      </c>
      <c r="G10" s="4668" t="s">
        <v>92</v>
      </c>
    </row>
    <row r="11" spans="1:8" s="961" customFormat="1" ht="38.25" customHeight="1">
      <c r="A11" s="4267"/>
      <c r="B11" s="4267"/>
      <c r="C11" s="4267"/>
      <c r="D11" s="4265"/>
      <c r="E11" s="4267"/>
      <c r="F11" s="4267"/>
      <c r="G11" s="4669"/>
      <c r="H11" s="997"/>
    </row>
    <row r="12" spans="1:8" s="961" customFormat="1" ht="25.5" customHeight="1">
      <c r="A12" s="965" t="s">
        <v>140</v>
      </c>
      <c r="B12" s="4268" t="s">
        <v>1363</v>
      </c>
      <c r="C12" s="4269"/>
      <c r="D12" s="1440">
        <f>SUM(D13:D16)</f>
        <v>1760</v>
      </c>
      <c r="E12" s="1445">
        <f>SUM(E13:E17)</f>
        <v>1125</v>
      </c>
      <c r="F12" s="965"/>
      <c r="G12" s="1441"/>
      <c r="H12" s="997"/>
    </row>
    <row r="13" spans="1:8" s="969" customFormat="1" ht="25.5" customHeight="1">
      <c r="A13" s="1354">
        <v>1</v>
      </c>
      <c r="B13" s="1344" t="s">
        <v>36</v>
      </c>
      <c r="C13" s="1344" t="s">
        <v>1160</v>
      </c>
      <c r="D13" s="1360">
        <v>450</v>
      </c>
      <c r="E13" s="1444">
        <f>+D13*0.5</f>
        <v>225</v>
      </c>
      <c r="F13" s="1346"/>
      <c r="G13" s="1446"/>
      <c r="H13" s="999"/>
    </row>
    <row r="14" spans="1:8" s="969" customFormat="1" ht="25.5" customHeight="1">
      <c r="A14" s="1355">
        <v>2</v>
      </c>
      <c r="B14" s="1348" t="s">
        <v>536</v>
      </c>
      <c r="C14" s="1348" t="s">
        <v>1160</v>
      </c>
      <c r="D14" s="1361">
        <v>450</v>
      </c>
      <c r="E14" s="1281">
        <f>+D14*0.5</f>
        <v>225</v>
      </c>
      <c r="F14" s="1349"/>
      <c r="G14" s="1292"/>
      <c r="H14" s="999"/>
    </row>
    <row r="15" spans="1:8" s="969" customFormat="1" ht="25.5" customHeight="1">
      <c r="A15" s="1355">
        <v>3</v>
      </c>
      <c r="B15" s="1348" t="s">
        <v>789</v>
      </c>
      <c r="C15" s="1348" t="s">
        <v>704</v>
      </c>
      <c r="D15" s="1361">
        <v>450</v>
      </c>
      <c r="E15" s="1281">
        <f>+D15*0.5</f>
        <v>225</v>
      </c>
      <c r="F15" s="1349"/>
      <c r="G15" s="1292"/>
      <c r="H15" s="999"/>
    </row>
    <row r="16" spans="1:8" s="1255" customFormat="1" ht="25.5" customHeight="1">
      <c r="A16" s="1355">
        <v>4</v>
      </c>
      <c r="B16" s="1350" t="s">
        <v>1307</v>
      </c>
      <c r="C16" s="1348" t="s">
        <v>832</v>
      </c>
      <c r="D16" s="1362">
        <v>410</v>
      </c>
      <c r="E16" s="1281">
        <f>+D16*0.5</f>
        <v>205</v>
      </c>
      <c r="F16" s="1351"/>
      <c r="G16" s="1447"/>
      <c r="H16" s="1256"/>
    </row>
    <row r="17" spans="1:10" s="1255" customFormat="1" ht="25.5" customHeight="1">
      <c r="A17" s="1448">
        <v>5</v>
      </c>
      <c r="B17" s="1841" t="s">
        <v>1369</v>
      </c>
      <c r="C17" s="1352" t="s">
        <v>1370</v>
      </c>
      <c r="D17" s="1449">
        <v>490</v>
      </c>
      <c r="E17" s="1300">
        <f>+D17*0.5</f>
        <v>245</v>
      </c>
      <c r="F17" s="1353"/>
      <c r="G17" s="1450"/>
      <c r="H17" s="1256"/>
    </row>
    <row r="18" spans="1:10" s="974" customFormat="1" ht="25.5" customHeight="1">
      <c r="A18" s="1438" t="s">
        <v>143</v>
      </c>
      <c r="B18" s="4671" t="s">
        <v>1364</v>
      </c>
      <c r="C18" s="4672"/>
      <c r="D18" s="1000">
        <f>SUM(D19:D20)</f>
        <v>7000000</v>
      </c>
      <c r="E18" s="1252">
        <f>SUM(E19:E20)</f>
        <v>3500000</v>
      </c>
      <c r="F18" s="1002"/>
      <c r="G18" s="1443"/>
      <c r="H18" s="973"/>
    </row>
    <row r="19" spans="1:10" s="974" customFormat="1" ht="25.5" customHeight="1">
      <c r="A19" s="1265">
        <v>1</v>
      </c>
      <c r="B19" s="1835" t="s">
        <v>327</v>
      </c>
      <c r="C19" s="1835" t="s">
        <v>832</v>
      </c>
      <c r="D19" s="1359">
        <v>3500000</v>
      </c>
      <c r="E19" s="1444">
        <f>+D19*0.5</f>
        <v>1750000</v>
      </c>
      <c r="F19" s="1321"/>
      <c r="G19" s="1451"/>
      <c r="H19" s="973"/>
    </row>
    <row r="20" spans="1:10" s="1257" customFormat="1" ht="25.5" customHeight="1">
      <c r="A20" s="1299">
        <v>2</v>
      </c>
      <c r="B20" s="1758" t="s">
        <v>437</v>
      </c>
      <c r="C20" s="1748" t="s">
        <v>832</v>
      </c>
      <c r="D20" s="1836">
        <v>3500000</v>
      </c>
      <c r="E20" s="1300">
        <f>+D20*0.5</f>
        <v>1750000</v>
      </c>
      <c r="F20" s="1452"/>
      <c r="G20" s="1453"/>
      <c r="H20" s="1258"/>
    </row>
    <row r="21" spans="1:10" s="969" customFormat="1" ht="15.75" hidden="1">
      <c r="A21" s="4267" t="s">
        <v>953</v>
      </c>
      <c r="B21" s="4267"/>
      <c r="C21" s="1438"/>
      <c r="D21" s="1003"/>
      <c r="E21" s="1003"/>
      <c r="F21" s="1003"/>
      <c r="G21" s="1442"/>
      <c r="H21" s="1004"/>
      <c r="J21" s="1089"/>
    </row>
    <row r="22" spans="1:10" s="969" customFormat="1" ht="17.25" hidden="1" customHeight="1">
      <c r="D22" s="1019"/>
      <c r="E22" s="1005" t="e">
        <f>'BẢNG KÊ LƯƠNG'!V33</f>
        <v>#N/A</v>
      </c>
      <c r="H22" s="1006"/>
    </row>
    <row r="23" spans="1:10" s="1007" customFormat="1" hidden="1">
      <c r="D23" s="1020"/>
      <c r="E23" s="1008" t="e">
        <f>E22/#REF!</f>
        <v>#N/A</v>
      </c>
      <c r="H23" s="1009"/>
    </row>
    <row r="24" spans="1:10" s="1007" customFormat="1" hidden="1">
      <c r="D24" s="1020"/>
      <c r="E24" s="1008" t="e">
        <f>E21-E23</f>
        <v>#N/A</v>
      </c>
      <c r="H24" s="1009" t="e">
        <f>+E21-E24</f>
        <v>#N/A</v>
      </c>
    </row>
    <row r="25" spans="1:10" s="1007" customFormat="1" hidden="1">
      <c r="E25" s="1008"/>
      <c r="H25" s="1009"/>
    </row>
    <row r="26" spans="1:10" ht="16.5" hidden="1">
      <c r="A26" s="4670" t="s">
        <v>1137</v>
      </c>
      <c r="B26" s="4670"/>
      <c r="C26" s="4670"/>
      <c r="D26" s="4670"/>
      <c r="E26" s="4670"/>
      <c r="F26" s="4670"/>
    </row>
    <row r="27" spans="1:10" ht="16.5">
      <c r="A27" s="1831"/>
      <c r="B27" s="1838" t="s">
        <v>1367</v>
      </c>
      <c r="C27" s="1839" t="s">
        <v>1365</v>
      </c>
      <c r="D27" s="1839"/>
      <c r="E27" s="1837"/>
      <c r="F27" s="1837"/>
    </row>
    <row r="28" spans="1:10" ht="16.5">
      <c r="B28" s="1840" t="s">
        <v>1366</v>
      </c>
      <c r="C28" s="1839" t="s">
        <v>1371</v>
      </c>
      <c r="D28" s="1839"/>
      <c r="E28" s="1837"/>
      <c r="F28" s="1837"/>
      <c r="G28" s="1837"/>
    </row>
    <row r="29" spans="1:10" s="979" customFormat="1" ht="16.5">
      <c r="D29" s="4673" t="s">
        <v>1360</v>
      </c>
      <c r="E29" s="4673"/>
      <c r="F29" s="4673"/>
      <c r="G29" s="4673"/>
    </row>
    <row r="30" spans="1:10" s="985" customFormat="1" ht="16.5">
      <c r="A30" s="3920" t="s">
        <v>20</v>
      </c>
      <c r="B30" s="3920"/>
      <c r="C30" s="3920"/>
      <c r="D30" s="984"/>
      <c r="E30" s="3920" t="s">
        <v>21</v>
      </c>
      <c r="F30" s="3920"/>
      <c r="G30" s="3920"/>
    </row>
    <row r="31" spans="1:10" s="979" customFormat="1" ht="16.5"/>
    <row r="32" spans="1:10" s="979" customFormat="1" ht="16.5"/>
    <row r="33" spans="1:7" s="979" customFormat="1" ht="16.5"/>
    <row r="34" spans="1:7" s="979" customFormat="1" ht="16.5"/>
    <row r="35" spans="1:7" s="979" customFormat="1" ht="16.5">
      <c r="E35" s="988"/>
    </row>
    <row r="36" spans="1:7" s="979" customFormat="1" ht="16.5"/>
    <row r="37" spans="1:7" s="979" customFormat="1" ht="16.5"/>
    <row r="38" spans="1:7" s="979" customFormat="1" ht="16.5"/>
    <row r="39" spans="1:7" s="979" customFormat="1" ht="16.5">
      <c r="D39" s="982"/>
      <c r="E39" s="4016"/>
      <c r="F39" s="4016"/>
      <c r="G39" s="4016"/>
    </row>
    <row r="40" spans="1:7" s="979" customFormat="1" ht="16.5">
      <c r="A40" s="3921" t="s">
        <v>1361</v>
      </c>
      <c r="B40" s="3921"/>
      <c r="C40" s="3921"/>
      <c r="E40" s="3921" t="s">
        <v>1362</v>
      </c>
      <c r="F40" s="3921"/>
      <c r="G40" s="3921"/>
    </row>
    <row r="41" spans="1:7" s="979" customFormat="1" ht="16.5"/>
    <row r="42" spans="1:7" s="979" customFormat="1" ht="16.5"/>
    <row r="43" spans="1:7" s="979" customFormat="1" ht="16.5"/>
    <row r="44" spans="1:7" s="979" customFormat="1" ht="16.5"/>
    <row r="45" spans="1:7" s="979" customFormat="1" ht="16.5"/>
    <row r="46" spans="1:7" s="979" customFormat="1" ht="16.5"/>
    <row r="47" spans="1:7" s="979" customFormat="1" ht="16.5"/>
    <row r="48" spans="1:7" s="979" customFormat="1" ht="16.5"/>
    <row r="49" s="979" customFormat="1" ht="16.5"/>
    <row r="50" s="979" customFormat="1" ht="16.5"/>
    <row r="51" s="979" customFormat="1" ht="16.5"/>
  </sheetData>
  <mergeCells count="22">
    <mergeCell ref="A1:G1"/>
    <mergeCell ref="A2:G2"/>
    <mergeCell ref="A30:C30"/>
    <mergeCell ref="D10:D11"/>
    <mergeCell ref="G10:G11"/>
    <mergeCell ref="A8:G8"/>
    <mergeCell ref="E30:G30"/>
    <mergeCell ref="F10:F11"/>
    <mergeCell ref="B12:C12"/>
    <mergeCell ref="A21:B21"/>
    <mergeCell ref="A26:F26"/>
    <mergeCell ref="E10:E11"/>
    <mergeCell ref="B18:C18"/>
    <mergeCell ref="D29:G29"/>
    <mergeCell ref="E39:G39"/>
    <mergeCell ref="A40:C40"/>
    <mergeCell ref="E40:G40"/>
    <mergeCell ref="A4:D4"/>
    <mergeCell ref="A5:D5"/>
    <mergeCell ref="A10:A11"/>
    <mergeCell ref="B10:B11"/>
    <mergeCell ref="C10:C11"/>
  </mergeCells>
  <pageMargins left="0.35" right="0.19685039370078741" top="0.39370078740157483" bottom="0.39370078740157483" header="0.31496062992125984" footer="0.31496062992125984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231"/>
  <sheetViews>
    <sheetView topLeftCell="A179" workbookViewId="0">
      <selection activeCell="N211" sqref="N211"/>
    </sheetView>
  </sheetViews>
  <sheetFormatPr defaultColWidth="9.140625" defaultRowHeight="15.75"/>
  <cols>
    <col min="1" max="1" width="4.28515625" style="107" customWidth="1"/>
    <col min="2" max="2" width="11.42578125" style="106" hidden="1" customWidth="1"/>
    <col min="3" max="3" width="22" style="107" customWidth="1"/>
    <col min="4" max="4" width="13.5703125" style="429" customWidth="1"/>
    <col min="5" max="5" width="22.42578125" style="429" customWidth="1"/>
    <col min="6" max="6" width="20.42578125" style="94" customWidth="1"/>
    <col min="7" max="7" width="16" style="94" customWidth="1"/>
    <col min="8" max="8" width="0.7109375" style="94" hidden="1" customWidth="1"/>
    <col min="9" max="9" width="18.85546875" style="94" customWidth="1"/>
    <col min="10" max="10" width="15" style="94" bestFit="1" customWidth="1"/>
    <col min="11" max="11" width="0" style="94" hidden="1" customWidth="1"/>
    <col min="12" max="12" width="11.28515625" style="94" bestFit="1" customWidth="1"/>
    <col min="13" max="13" width="10.7109375" style="94" customWidth="1"/>
    <col min="14" max="16384" width="9.140625" style="94"/>
  </cols>
  <sheetData>
    <row r="1" spans="1:18" ht="16.5">
      <c r="A1" s="3920" t="s">
        <v>23</v>
      </c>
      <c r="B1" s="3920"/>
      <c r="C1" s="3920"/>
      <c r="D1" s="3920"/>
      <c r="E1" s="3920"/>
      <c r="F1" s="3920"/>
      <c r="G1" s="3920"/>
      <c r="H1" s="2074"/>
      <c r="I1" s="2074"/>
      <c r="J1" s="2074"/>
      <c r="K1" s="2074"/>
      <c r="L1" s="2074"/>
      <c r="M1" s="2074"/>
      <c r="N1" s="2074"/>
      <c r="O1" s="2074"/>
      <c r="P1" s="2074"/>
      <c r="Q1" s="2074"/>
      <c r="R1" s="2074"/>
    </row>
    <row r="2" spans="1:18" ht="16.5">
      <c r="A2" s="3920" t="s">
        <v>45</v>
      </c>
      <c r="B2" s="3920"/>
      <c r="C2" s="3920"/>
      <c r="D2" s="3920"/>
      <c r="E2" s="3920"/>
      <c r="F2" s="3920"/>
      <c r="G2" s="3920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</row>
    <row r="3" spans="1:18" ht="16.5">
      <c r="A3" s="979"/>
      <c r="B3" s="979"/>
      <c r="C3" s="979"/>
      <c r="D3" s="979"/>
      <c r="E3" s="979"/>
      <c r="F3" s="979"/>
      <c r="G3" s="979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</row>
    <row r="4" spans="1:18" ht="16.5">
      <c r="A4" s="4016" t="s">
        <v>929</v>
      </c>
      <c r="B4" s="4016"/>
      <c r="C4" s="4016"/>
      <c r="D4" s="4016"/>
      <c r="E4" s="4016"/>
      <c r="F4" s="979"/>
      <c r="G4" s="979"/>
      <c r="H4" s="953"/>
      <c r="I4" s="953"/>
      <c r="J4" s="953"/>
      <c r="K4" s="953"/>
      <c r="L4" s="953"/>
      <c r="M4" s="953"/>
      <c r="N4" s="953"/>
      <c r="O4" s="953"/>
      <c r="P4" s="953"/>
      <c r="Q4" s="953"/>
      <c r="R4" s="953"/>
    </row>
    <row r="5" spans="1:18" ht="16.5">
      <c r="A5" s="3947" t="s">
        <v>90</v>
      </c>
      <c r="B5" s="3947"/>
      <c r="C5" s="3947"/>
      <c r="D5" s="3947"/>
      <c r="E5" s="3947"/>
      <c r="F5" s="979"/>
      <c r="G5" s="979"/>
      <c r="H5" s="953"/>
      <c r="I5" s="953"/>
      <c r="J5" s="953"/>
      <c r="K5" s="953"/>
      <c r="L5" s="953"/>
      <c r="M5" s="953"/>
      <c r="N5" s="953"/>
      <c r="O5" s="953"/>
      <c r="P5" s="953"/>
      <c r="Q5" s="953"/>
      <c r="R5" s="953"/>
    </row>
    <row r="6" spans="1:18" ht="16.5">
      <c r="A6" s="979"/>
      <c r="B6" s="979"/>
      <c r="C6" s="979"/>
      <c r="D6" s="979"/>
      <c r="E6" s="979"/>
      <c r="F6" s="979"/>
      <c r="G6" s="979"/>
      <c r="H6" s="953"/>
      <c r="I6" s="953"/>
      <c r="J6" s="953"/>
      <c r="K6" s="953"/>
      <c r="L6" s="953"/>
      <c r="M6" s="953"/>
      <c r="N6" s="953"/>
      <c r="O6" s="953"/>
      <c r="P6" s="953"/>
      <c r="Q6" s="953"/>
      <c r="R6" s="953"/>
    </row>
    <row r="7" spans="1:18" s="99" customFormat="1" ht="20.25">
      <c r="A7" s="4517" t="s">
        <v>1375</v>
      </c>
      <c r="B7" s="4517"/>
      <c r="C7" s="4517"/>
      <c r="D7" s="4517"/>
      <c r="E7" s="4517"/>
      <c r="F7" s="4517"/>
      <c r="G7" s="4517"/>
      <c r="H7" s="1511"/>
    </row>
    <row r="8" spans="1:18" s="99" customFormat="1">
      <c r="A8" s="4202" t="s">
        <v>512</v>
      </c>
      <c r="B8" s="4202"/>
      <c r="C8" s="4202"/>
      <c r="D8" s="4202"/>
      <c r="E8" s="4202"/>
      <c r="F8" s="4202"/>
      <c r="G8" s="4202"/>
      <c r="H8" s="1512"/>
    </row>
    <row r="9" spans="1:18" s="99" customFormat="1" ht="15.75" hidden="1" customHeight="1">
      <c r="A9" s="304"/>
      <c r="B9" s="4199" t="s">
        <v>321</v>
      </c>
      <c r="C9" s="4199"/>
      <c r="D9" s="1842"/>
      <c r="E9" s="1480"/>
      <c r="F9" s="1480"/>
      <c r="G9" s="1480"/>
      <c r="H9" s="1512"/>
    </row>
    <row r="10" spans="1:18" s="99" customFormat="1" ht="15.75" hidden="1" customHeight="1">
      <c r="A10" s="305"/>
      <c r="B10" s="4199" t="s">
        <v>322</v>
      </c>
      <c r="C10" s="4199"/>
      <c r="D10" s="1842"/>
      <c r="E10" s="117"/>
      <c r="F10" s="117"/>
      <c r="G10" s="117"/>
      <c r="H10" s="1512"/>
    </row>
    <row r="11" spans="1:18" s="100" customFormat="1" ht="12" customHeight="1">
      <c r="A11" s="4208" t="s">
        <v>0</v>
      </c>
      <c r="B11" s="4206" t="s">
        <v>1</v>
      </c>
      <c r="C11" s="4207"/>
      <c r="D11" s="4209" t="s">
        <v>2</v>
      </c>
      <c r="E11" s="4212" t="s">
        <v>3</v>
      </c>
      <c r="F11" s="4073" t="s">
        <v>192</v>
      </c>
      <c r="G11" s="4215" t="s">
        <v>10</v>
      </c>
      <c r="H11" s="4215" t="s">
        <v>92</v>
      </c>
      <c r="J11" s="100">
        <v>26</v>
      </c>
    </row>
    <row r="12" spans="1:18" s="101" customFormat="1" ht="12" customHeight="1">
      <c r="A12" s="4208"/>
      <c r="B12" s="4207"/>
      <c r="C12" s="4207"/>
      <c r="D12" s="4210"/>
      <c r="E12" s="4208"/>
      <c r="F12" s="4214"/>
      <c r="G12" s="4216"/>
      <c r="H12" s="4216"/>
    </row>
    <row r="13" spans="1:18" s="101" customFormat="1" ht="33.75" customHeight="1">
      <c r="A13" s="4213"/>
      <c r="B13" s="1843" t="s">
        <v>15</v>
      </c>
      <c r="C13" s="1843" t="s">
        <v>16</v>
      </c>
      <c r="D13" s="4211"/>
      <c r="E13" s="4213"/>
      <c r="F13" s="4074"/>
      <c r="G13" s="4217"/>
      <c r="H13" s="4217"/>
    </row>
    <row r="14" spans="1:18" s="101" customFormat="1" ht="15" customHeight="1">
      <c r="A14" s="1778">
        <v>1</v>
      </c>
      <c r="B14" s="1779"/>
      <c r="C14" s="1780" t="s">
        <v>1151</v>
      </c>
      <c r="D14" s="1850" t="s">
        <v>962</v>
      </c>
      <c r="E14" s="1851" t="s">
        <v>1377</v>
      </c>
      <c r="F14" s="1852">
        <v>100000</v>
      </c>
      <c r="G14" s="1782"/>
      <c r="H14" s="1782"/>
      <c r="J14" s="1032" t="e">
        <f>+#REF!-#REF!</f>
        <v>#REF!</v>
      </c>
      <c r="K14" s="1032" t="e">
        <f>+#REF!+#REF!</f>
        <v>#REF!</v>
      </c>
    </row>
    <row r="15" spans="1:18" s="101" customFormat="1" ht="15" customHeight="1">
      <c r="A15" s="1783">
        <v>2</v>
      </c>
      <c r="B15" s="1784"/>
      <c r="C15" s="1785" t="s">
        <v>1257</v>
      </c>
      <c r="D15" s="1853" t="s">
        <v>1096</v>
      </c>
      <c r="E15" s="1854" t="s">
        <v>1377</v>
      </c>
      <c r="F15" s="1855">
        <v>100000</v>
      </c>
      <c r="G15" s="1787"/>
      <c r="H15" s="1787"/>
      <c r="K15" s="1032" t="e">
        <f>+#REF!+#REF!</f>
        <v>#REF!</v>
      </c>
    </row>
    <row r="16" spans="1:18" s="101" customFormat="1" ht="15" customHeight="1">
      <c r="A16" s="1783">
        <v>3</v>
      </c>
      <c r="B16" s="1784"/>
      <c r="C16" s="1785" t="s">
        <v>1157</v>
      </c>
      <c r="D16" s="1853" t="s">
        <v>952</v>
      </c>
      <c r="E16" s="1854" t="s">
        <v>1377</v>
      </c>
      <c r="F16" s="1855">
        <v>100000</v>
      </c>
      <c r="G16" s="1787"/>
      <c r="H16" s="1787"/>
      <c r="K16" s="1032" t="e">
        <f>+#REF!+#REF!</f>
        <v>#REF!</v>
      </c>
    </row>
    <row r="17" spans="1:11" s="101" customFormat="1" ht="15" customHeight="1">
      <c r="A17" s="1783">
        <v>4</v>
      </c>
      <c r="B17" s="1784"/>
      <c r="C17" s="1785" t="s">
        <v>533</v>
      </c>
      <c r="D17" s="1853" t="s">
        <v>535</v>
      </c>
      <c r="E17" s="1854" t="s">
        <v>1377</v>
      </c>
      <c r="F17" s="1855">
        <v>100000</v>
      </c>
      <c r="G17" s="1787"/>
      <c r="H17" s="1787"/>
      <c r="K17" s="1032" t="e">
        <f>+#REF!+#REF!</f>
        <v>#REF!</v>
      </c>
    </row>
    <row r="18" spans="1:11" s="101" customFormat="1" ht="15" customHeight="1">
      <c r="A18" s="1783">
        <v>5</v>
      </c>
      <c r="B18" s="1784"/>
      <c r="C18" s="1785" t="s">
        <v>1013</v>
      </c>
      <c r="D18" s="1853" t="s">
        <v>1014</v>
      </c>
      <c r="E18" s="1854" t="s">
        <v>1377</v>
      </c>
      <c r="F18" s="1855">
        <v>100000</v>
      </c>
      <c r="G18" s="1787"/>
      <c r="H18" s="1787"/>
      <c r="K18" s="1032" t="e">
        <f>+#REF!+#REF!</f>
        <v>#REF!</v>
      </c>
    </row>
    <row r="19" spans="1:11" s="101" customFormat="1" ht="15" customHeight="1">
      <c r="A19" s="1783">
        <v>6</v>
      </c>
      <c r="B19" s="1784"/>
      <c r="C19" s="1785" t="s">
        <v>199</v>
      </c>
      <c r="D19" s="1853" t="s">
        <v>1156</v>
      </c>
      <c r="E19" s="1854" t="s">
        <v>1377</v>
      </c>
      <c r="F19" s="1855">
        <v>100000</v>
      </c>
      <c r="G19" s="1787"/>
      <c r="H19" s="1787"/>
      <c r="K19" s="1032" t="e">
        <f>+#REF!+#REF!</f>
        <v>#REF!</v>
      </c>
    </row>
    <row r="20" spans="1:11" s="101" customFormat="1" ht="15" customHeight="1">
      <c r="A20" s="1783">
        <v>7</v>
      </c>
      <c r="B20" s="1784"/>
      <c r="C20" s="1785" t="s">
        <v>308</v>
      </c>
      <c r="D20" s="1853" t="s">
        <v>53</v>
      </c>
      <c r="E20" s="1854" t="s">
        <v>1377</v>
      </c>
      <c r="F20" s="1855">
        <v>100000</v>
      </c>
      <c r="G20" s="1787"/>
      <c r="H20" s="1787"/>
      <c r="K20" s="1032" t="e">
        <f>+#REF!+#REF!</f>
        <v>#REF!</v>
      </c>
    </row>
    <row r="21" spans="1:11" s="101" customFormat="1" ht="15" customHeight="1">
      <c r="A21" s="1783">
        <v>8</v>
      </c>
      <c r="B21" s="1784"/>
      <c r="C21" s="1785" t="s">
        <v>32</v>
      </c>
      <c r="D21" s="1853" t="s">
        <v>53</v>
      </c>
      <c r="E21" s="1854" t="s">
        <v>1377</v>
      </c>
      <c r="F21" s="1855">
        <v>100000</v>
      </c>
      <c r="G21" s="1787"/>
      <c r="H21" s="1787"/>
      <c r="K21" s="1032" t="e">
        <f>+#REF!+#REF!</f>
        <v>#REF!</v>
      </c>
    </row>
    <row r="22" spans="1:11" s="101" customFormat="1" ht="15" customHeight="1">
      <c r="A22" s="1783">
        <v>9</v>
      </c>
      <c r="B22" s="1784"/>
      <c r="C22" s="1785" t="s">
        <v>1152</v>
      </c>
      <c r="D22" s="1853" t="s">
        <v>60</v>
      </c>
      <c r="E22" s="1854" t="s">
        <v>1377</v>
      </c>
      <c r="F22" s="1855">
        <v>100000</v>
      </c>
      <c r="G22" s="1787"/>
      <c r="H22" s="1787"/>
      <c r="K22" s="1032" t="e">
        <f>+#REF!+#REF!</f>
        <v>#REF!</v>
      </c>
    </row>
    <row r="23" spans="1:11" s="101" customFormat="1" ht="15" customHeight="1">
      <c r="A23" s="1783">
        <v>10</v>
      </c>
      <c r="B23" s="1784"/>
      <c r="C23" s="1785" t="s">
        <v>1165</v>
      </c>
      <c r="D23" s="1853" t="s">
        <v>52</v>
      </c>
      <c r="E23" s="1854" t="s">
        <v>1377</v>
      </c>
      <c r="F23" s="1855">
        <v>100000</v>
      </c>
      <c r="G23" s="1787"/>
      <c r="H23" s="1787"/>
      <c r="K23" s="1032" t="e">
        <f>+#REF!+#REF!</f>
        <v>#REF!</v>
      </c>
    </row>
    <row r="24" spans="1:11" s="101" customFormat="1" ht="15" customHeight="1">
      <c r="A24" s="1783">
        <v>11</v>
      </c>
      <c r="B24" s="1784"/>
      <c r="C24" s="1785" t="s">
        <v>36</v>
      </c>
      <c r="D24" s="1853" t="s">
        <v>704</v>
      </c>
      <c r="E24" s="1854" t="s">
        <v>1133</v>
      </c>
      <c r="F24" s="1855">
        <v>100000</v>
      </c>
      <c r="G24" s="1787"/>
      <c r="H24" s="1787"/>
      <c r="K24" s="1032" t="e">
        <f>+#REF!+#REF!</f>
        <v>#REF!</v>
      </c>
    </row>
    <row r="25" spans="1:11" s="101" customFormat="1" ht="15" customHeight="1">
      <c r="A25" s="1783">
        <v>12</v>
      </c>
      <c r="B25" s="1784"/>
      <c r="C25" s="1785" t="s">
        <v>536</v>
      </c>
      <c r="D25" s="1853" t="s">
        <v>704</v>
      </c>
      <c r="E25" s="1854" t="s">
        <v>1133</v>
      </c>
      <c r="F25" s="1855">
        <v>100000</v>
      </c>
      <c r="G25" s="1787"/>
      <c r="H25" s="1787"/>
      <c r="K25" s="1032" t="e">
        <f>+#REF!+#REF!</f>
        <v>#REF!</v>
      </c>
    </row>
    <row r="26" spans="1:11" s="101" customFormat="1" ht="15" customHeight="1">
      <c r="A26" s="1783">
        <v>13</v>
      </c>
      <c r="B26" s="1784"/>
      <c r="C26" s="1785" t="s">
        <v>789</v>
      </c>
      <c r="D26" s="1853" t="s">
        <v>704</v>
      </c>
      <c r="E26" s="1854" t="s">
        <v>1133</v>
      </c>
      <c r="F26" s="1855">
        <v>100000</v>
      </c>
      <c r="G26" s="1787"/>
      <c r="H26" s="1787"/>
      <c r="K26" s="1032" t="e">
        <f>+#REF!+#REF!</f>
        <v>#REF!</v>
      </c>
    </row>
    <row r="27" spans="1:11" s="101" customFormat="1" ht="15" customHeight="1">
      <c r="A27" s="1783">
        <v>14</v>
      </c>
      <c r="B27" s="1784"/>
      <c r="C27" s="1785" t="s">
        <v>1307</v>
      </c>
      <c r="D27" s="1853" t="s">
        <v>832</v>
      </c>
      <c r="E27" s="1854" t="s">
        <v>1133</v>
      </c>
      <c r="F27" s="1855">
        <v>100000</v>
      </c>
      <c r="G27" s="1787"/>
      <c r="H27" s="1787"/>
      <c r="K27" s="1032" t="e">
        <f>+#REF!+#REF!</f>
        <v>#REF!</v>
      </c>
    </row>
    <row r="28" spans="1:11" s="101" customFormat="1" ht="15" customHeight="1">
      <c r="A28" s="1788">
        <v>15</v>
      </c>
      <c r="B28" s="1789" t="s">
        <v>1108</v>
      </c>
      <c r="C28" s="1856" t="s">
        <v>37</v>
      </c>
      <c r="D28" s="1857" t="s">
        <v>1376</v>
      </c>
      <c r="E28" s="1858" t="s">
        <v>1103</v>
      </c>
      <c r="F28" s="1859">
        <v>100000</v>
      </c>
      <c r="G28" s="1791"/>
      <c r="H28" s="1787"/>
      <c r="K28" s="1032" t="e">
        <f>+#REF!+#REF!</f>
        <v>#REF!</v>
      </c>
    </row>
    <row r="29" spans="1:11" s="101" customFormat="1" ht="15" customHeight="1">
      <c r="A29" s="4678" t="s">
        <v>1287</v>
      </c>
      <c r="B29" s="4679"/>
      <c r="C29" s="4679"/>
      <c r="D29" s="4680"/>
      <c r="E29" s="1860"/>
      <c r="F29" s="1861">
        <f>SUM(F14:F28)</f>
        <v>1500000</v>
      </c>
      <c r="G29" s="1862"/>
      <c r="H29" s="1787"/>
      <c r="K29" s="1032" t="e">
        <f>+#REF!+#REF!</f>
        <v>#REF!</v>
      </c>
    </row>
    <row r="30" spans="1:11" s="101" customFormat="1" ht="15" customHeight="1">
      <c r="A30" s="1863">
        <v>1</v>
      </c>
      <c r="B30" s="1864"/>
      <c r="C30" s="1865" t="s">
        <v>233</v>
      </c>
      <c r="D30" s="1866" t="s">
        <v>83</v>
      </c>
      <c r="E30" s="1867" t="s">
        <v>54</v>
      </c>
      <c r="F30" s="1868">
        <v>100000</v>
      </c>
      <c r="G30" s="1869"/>
      <c r="H30" s="1787"/>
      <c r="K30" s="1032" t="e">
        <f>+#REF!+#REF!</f>
        <v>#REF!</v>
      </c>
    </row>
    <row r="31" spans="1:11" s="101" customFormat="1" ht="15" customHeight="1">
      <c r="A31" s="1783">
        <v>2</v>
      </c>
      <c r="B31" s="1784"/>
      <c r="C31" s="1870" t="s">
        <v>421</v>
      </c>
      <c r="D31" s="1853" t="s">
        <v>83</v>
      </c>
      <c r="E31" s="1867" t="s">
        <v>54</v>
      </c>
      <c r="F31" s="1868">
        <v>100000</v>
      </c>
      <c r="G31" s="1787"/>
      <c r="H31" s="1787"/>
      <c r="K31" s="1032" t="e">
        <f>+#REF!+#REF!</f>
        <v>#REF!</v>
      </c>
    </row>
    <row r="32" spans="1:11" s="101" customFormat="1" ht="15" customHeight="1">
      <c r="A32" s="1783">
        <v>3</v>
      </c>
      <c r="B32" s="1784"/>
      <c r="C32" s="1785" t="s">
        <v>426</v>
      </c>
      <c r="D32" s="1853" t="s">
        <v>83</v>
      </c>
      <c r="E32" s="1867" t="s">
        <v>54</v>
      </c>
      <c r="F32" s="1868">
        <v>100000</v>
      </c>
      <c r="G32" s="1787"/>
      <c r="H32" s="1787"/>
      <c r="K32" s="1032" t="e">
        <f>+#REF!+#REF!</f>
        <v>#REF!</v>
      </c>
    </row>
    <row r="33" spans="1:11" s="101" customFormat="1" ht="15" customHeight="1">
      <c r="A33" s="1863">
        <v>4</v>
      </c>
      <c r="B33" s="1784"/>
      <c r="C33" s="1870" t="s">
        <v>427</v>
      </c>
      <c r="D33" s="1853" t="s">
        <v>83</v>
      </c>
      <c r="E33" s="1867" t="s">
        <v>54</v>
      </c>
      <c r="F33" s="1868">
        <v>100000</v>
      </c>
      <c r="G33" s="1787"/>
      <c r="H33" s="1787"/>
      <c r="K33" s="1032" t="e">
        <f>+#REF!+#REF!</f>
        <v>#REF!</v>
      </c>
    </row>
    <row r="34" spans="1:11" s="101" customFormat="1" ht="15" customHeight="1">
      <c r="A34" s="1783">
        <v>5</v>
      </c>
      <c r="B34" s="1784"/>
      <c r="C34" s="1785" t="s">
        <v>521</v>
      </c>
      <c r="D34" s="1853" t="s">
        <v>83</v>
      </c>
      <c r="E34" s="1867" t="s">
        <v>54</v>
      </c>
      <c r="F34" s="1868">
        <v>100000</v>
      </c>
      <c r="G34" s="1787"/>
      <c r="H34" s="1787"/>
      <c r="K34" s="1032" t="e">
        <f>+#REF!+#REF!</f>
        <v>#REF!</v>
      </c>
    </row>
    <row r="35" spans="1:11" s="101" customFormat="1" ht="15" customHeight="1">
      <c r="A35" s="1783">
        <v>6</v>
      </c>
      <c r="B35" s="1784"/>
      <c r="C35" s="1785" t="s">
        <v>518</v>
      </c>
      <c r="D35" s="1853" t="s">
        <v>83</v>
      </c>
      <c r="E35" s="1867" t="s">
        <v>54</v>
      </c>
      <c r="F35" s="1868">
        <v>100000</v>
      </c>
      <c r="G35" s="1787"/>
      <c r="H35" s="1787"/>
      <c r="K35" s="1032" t="e">
        <f>+#REF!+#REF!</f>
        <v>#REF!</v>
      </c>
    </row>
    <row r="36" spans="1:11" s="101" customFormat="1" ht="15" customHeight="1">
      <c r="A36" s="1863">
        <v>7</v>
      </c>
      <c r="B36" s="1784"/>
      <c r="C36" s="1785" t="s">
        <v>519</v>
      </c>
      <c r="D36" s="1853" t="s">
        <v>83</v>
      </c>
      <c r="E36" s="1867" t="s">
        <v>54</v>
      </c>
      <c r="F36" s="1868">
        <v>100000</v>
      </c>
      <c r="G36" s="1787"/>
      <c r="H36" s="1787"/>
      <c r="K36" s="1032" t="e">
        <f>+#REF!+#REF!</f>
        <v>#REF!</v>
      </c>
    </row>
    <row r="37" spans="1:11" s="101" customFormat="1" ht="15" customHeight="1">
      <c r="A37" s="1783">
        <v>8</v>
      </c>
      <c r="B37" s="1784"/>
      <c r="C37" s="1785" t="s">
        <v>520</v>
      </c>
      <c r="D37" s="1853" t="s">
        <v>83</v>
      </c>
      <c r="E37" s="1867" t="s">
        <v>54</v>
      </c>
      <c r="F37" s="1868">
        <v>100000</v>
      </c>
      <c r="G37" s="1787"/>
      <c r="H37" s="1787"/>
      <c r="K37" s="1032" t="e">
        <f>+#REF!+#REF!</f>
        <v>#REF!</v>
      </c>
    </row>
    <row r="38" spans="1:11" s="101" customFormat="1" ht="15" customHeight="1">
      <c r="A38" s="1783">
        <v>9</v>
      </c>
      <c r="B38" s="1784"/>
      <c r="C38" s="1785" t="s">
        <v>522</v>
      </c>
      <c r="D38" s="1853" t="s">
        <v>83</v>
      </c>
      <c r="E38" s="1867" t="s">
        <v>54</v>
      </c>
      <c r="F38" s="1868">
        <v>100000</v>
      </c>
      <c r="G38" s="1787"/>
      <c r="H38" s="1787"/>
      <c r="K38" s="1032" t="e">
        <f>+#REF!+#REF!</f>
        <v>#REF!</v>
      </c>
    </row>
    <row r="39" spans="1:11" s="101" customFormat="1" ht="15" customHeight="1">
      <c r="A39" s="1871">
        <v>10</v>
      </c>
      <c r="B39" s="1872"/>
      <c r="C39" s="1873" t="s">
        <v>523</v>
      </c>
      <c r="D39" s="1874" t="s">
        <v>83</v>
      </c>
      <c r="E39" s="1875" t="s">
        <v>54</v>
      </c>
      <c r="F39" s="1876">
        <v>100000</v>
      </c>
      <c r="G39" s="1877"/>
      <c r="H39" s="1787"/>
      <c r="K39" s="1032" t="e">
        <f>+#REF!+#REF!</f>
        <v>#REF!</v>
      </c>
    </row>
    <row r="40" spans="1:11" s="101" customFormat="1" ht="15" customHeight="1">
      <c r="A40" s="4678" t="s">
        <v>54</v>
      </c>
      <c r="B40" s="4679"/>
      <c r="C40" s="4679"/>
      <c r="D40" s="4680"/>
      <c r="E40" s="1844"/>
      <c r="F40" s="1861">
        <f>SUM(F30:F39)</f>
        <v>1000000</v>
      </c>
      <c r="G40" s="1843"/>
      <c r="H40" s="1787"/>
      <c r="K40" s="1032" t="e">
        <f>+#REF!+#REF!</f>
        <v>#REF!</v>
      </c>
    </row>
    <row r="41" spans="1:11" s="101" customFormat="1" ht="15" customHeight="1">
      <c r="A41" s="1778">
        <v>1</v>
      </c>
      <c r="B41" s="1779"/>
      <c r="C41" s="1780" t="s">
        <v>1166</v>
      </c>
      <c r="D41" s="1850" t="s">
        <v>167</v>
      </c>
      <c r="E41" s="1851" t="s">
        <v>451</v>
      </c>
      <c r="F41" s="1852">
        <v>100000</v>
      </c>
      <c r="G41" s="1782"/>
      <c r="H41" s="1787"/>
      <c r="K41" s="1032" t="e">
        <f>+#REF!+#REF!</f>
        <v>#REF!</v>
      </c>
    </row>
    <row r="42" spans="1:11" s="101" customFormat="1" ht="15" customHeight="1">
      <c r="A42" s="1783">
        <v>2</v>
      </c>
      <c r="B42" s="1784"/>
      <c r="C42" s="1785" t="s">
        <v>1167</v>
      </c>
      <c r="D42" s="1853" t="s">
        <v>167</v>
      </c>
      <c r="E42" s="1854" t="s">
        <v>451</v>
      </c>
      <c r="F42" s="1855">
        <v>100000</v>
      </c>
      <c r="G42" s="1787"/>
      <c r="H42" s="1787"/>
      <c r="K42" s="1032" t="e">
        <f>+#REF!+#REF!</f>
        <v>#REF!</v>
      </c>
    </row>
    <row r="43" spans="1:11" s="101" customFormat="1" ht="15" customHeight="1">
      <c r="A43" s="1783">
        <v>3</v>
      </c>
      <c r="B43" s="1784"/>
      <c r="C43" s="1785" t="s">
        <v>1290</v>
      </c>
      <c r="D43" s="1853" t="s">
        <v>167</v>
      </c>
      <c r="E43" s="1854" t="s">
        <v>451</v>
      </c>
      <c r="F43" s="1855">
        <v>100000</v>
      </c>
      <c r="G43" s="1787"/>
      <c r="H43" s="1787"/>
      <c r="K43" s="1032" t="e">
        <f>+#REF!+#REF!</f>
        <v>#REF!</v>
      </c>
    </row>
    <row r="44" spans="1:11" s="101" customFormat="1" ht="15" customHeight="1">
      <c r="A44" s="1783">
        <v>4</v>
      </c>
      <c r="B44" s="1784"/>
      <c r="C44" s="1785" t="s">
        <v>1010</v>
      </c>
      <c r="D44" s="1853" t="s">
        <v>167</v>
      </c>
      <c r="E44" s="1854" t="s">
        <v>451</v>
      </c>
      <c r="F44" s="1855">
        <v>100000</v>
      </c>
      <c r="G44" s="1787"/>
      <c r="H44" s="1787"/>
      <c r="K44" s="1032" t="e">
        <f>+#REF!+#REF!</f>
        <v>#REF!</v>
      </c>
    </row>
    <row r="45" spans="1:11" s="101" customFormat="1" ht="15" customHeight="1">
      <c r="A45" s="1783">
        <v>5</v>
      </c>
      <c r="B45" s="1784"/>
      <c r="C45" s="1785" t="s">
        <v>1168</v>
      </c>
      <c r="D45" s="1853" t="s">
        <v>167</v>
      </c>
      <c r="E45" s="1854" t="s">
        <v>451</v>
      </c>
      <c r="F45" s="1855">
        <v>100000</v>
      </c>
      <c r="G45" s="1787"/>
      <c r="H45" s="1787"/>
      <c r="K45" s="1032" t="e">
        <f>+#REF!+#REF!</f>
        <v>#REF!</v>
      </c>
    </row>
    <row r="46" spans="1:11" s="101" customFormat="1" ht="15" customHeight="1">
      <c r="A46" s="1783">
        <v>6</v>
      </c>
      <c r="B46" s="1784"/>
      <c r="C46" s="1785" t="s">
        <v>1260</v>
      </c>
      <c r="D46" s="1853" t="s">
        <v>167</v>
      </c>
      <c r="E46" s="1854" t="s">
        <v>451</v>
      </c>
      <c r="F46" s="1855">
        <v>100000</v>
      </c>
      <c r="G46" s="1787"/>
      <c r="H46" s="1787"/>
      <c r="K46" s="1032" t="e">
        <f>+#REF!+#REF!</f>
        <v>#REF!</v>
      </c>
    </row>
    <row r="47" spans="1:11" s="101" customFormat="1" ht="15" customHeight="1">
      <c r="A47" s="1783">
        <v>7</v>
      </c>
      <c r="B47" s="1784"/>
      <c r="C47" s="1785" t="s">
        <v>1261</v>
      </c>
      <c r="D47" s="1853" t="s">
        <v>167</v>
      </c>
      <c r="E47" s="1854" t="s">
        <v>451</v>
      </c>
      <c r="F47" s="1855">
        <v>100000</v>
      </c>
      <c r="G47" s="1787"/>
      <c r="H47" s="1787"/>
      <c r="K47" s="1032"/>
    </row>
    <row r="48" spans="1:11" s="101" customFormat="1" ht="15" customHeight="1">
      <c r="A48" s="1783">
        <v>8</v>
      </c>
      <c r="B48" s="1784"/>
      <c r="C48" s="1785" t="s">
        <v>1236</v>
      </c>
      <c r="D48" s="1853" t="s">
        <v>167</v>
      </c>
      <c r="E48" s="1854" t="s">
        <v>451</v>
      </c>
      <c r="F48" s="1855">
        <v>100000</v>
      </c>
      <c r="G48" s="1787"/>
      <c r="H48" s="1787"/>
      <c r="K48" s="1032"/>
    </row>
    <row r="49" spans="1:11" s="101" customFormat="1" ht="15" customHeight="1">
      <c r="A49" s="1783">
        <v>9</v>
      </c>
      <c r="B49" s="1784"/>
      <c r="C49" s="1785" t="s">
        <v>1291</v>
      </c>
      <c r="D49" s="1853" t="s">
        <v>167</v>
      </c>
      <c r="E49" s="1854" t="s">
        <v>451</v>
      </c>
      <c r="F49" s="1855">
        <v>100000</v>
      </c>
      <c r="G49" s="1787"/>
      <c r="H49" s="1787"/>
      <c r="K49" s="1032"/>
    </row>
    <row r="50" spans="1:11" s="101" customFormat="1" ht="15" customHeight="1">
      <c r="A50" s="1783">
        <v>10</v>
      </c>
      <c r="B50" s="1784"/>
      <c r="C50" s="1785" t="s">
        <v>585</v>
      </c>
      <c r="D50" s="1853" t="s">
        <v>167</v>
      </c>
      <c r="E50" s="1854" t="s">
        <v>451</v>
      </c>
      <c r="F50" s="1855">
        <v>100000</v>
      </c>
      <c r="G50" s="1787"/>
      <c r="H50" s="1787"/>
      <c r="K50" s="1032"/>
    </row>
    <row r="51" spans="1:11" s="101" customFormat="1" ht="15" customHeight="1">
      <c r="A51" s="1783">
        <v>11</v>
      </c>
      <c r="B51" s="1784"/>
      <c r="C51" s="1785" t="s">
        <v>1292</v>
      </c>
      <c r="D51" s="1853" t="s">
        <v>167</v>
      </c>
      <c r="E51" s="1854" t="s">
        <v>451</v>
      </c>
      <c r="F51" s="1855">
        <v>100000</v>
      </c>
      <c r="G51" s="1787"/>
      <c r="H51" s="1787"/>
      <c r="K51" s="1032"/>
    </row>
    <row r="52" spans="1:11" s="101" customFormat="1" ht="15" customHeight="1">
      <c r="A52" s="1783">
        <v>12</v>
      </c>
      <c r="B52" s="1784"/>
      <c r="C52" s="1785" t="s">
        <v>994</v>
      </c>
      <c r="D52" s="1853" t="s">
        <v>167</v>
      </c>
      <c r="E52" s="1854" t="s">
        <v>451</v>
      </c>
      <c r="F52" s="1855">
        <v>100000</v>
      </c>
      <c r="G52" s="1787"/>
      <c r="H52" s="1787"/>
      <c r="K52" s="1032"/>
    </row>
    <row r="53" spans="1:11" s="101" customFormat="1" ht="15" customHeight="1">
      <c r="A53" s="1783">
        <v>13</v>
      </c>
      <c r="B53" s="1784"/>
      <c r="C53" s="1785" t="s">
        <v>1293</v>
      </c>
      <c r="D53" s="1853" t="s">
        <v>167</v>
      </c>
      <c r="E53" s="1854" t="s">
        <v>451</v>
      </c>
      <c r="F53" s="1855">
        <v>100000</v>
      </c>
      <c r="G53" s="1787"/>
      <c r="H53" s="1787"/>
      <c r="K53" s="1032"/>
    </row>
    <row r="54" spans="1:11" s="101" customFormat="1" ht="15" customHeight="1">
      <c r="A54" s="1783">
        <v>14</v>
      </c>
      <c r="B54" s="1784"/>
      <c r="C54" s="1785" t="s">
        <v>1262</v>
      </c>
      <c r="D54" s="1853" t="s">
        <v>167</v>
      </c>
      <c r="E54" s="1854" t="s">
        <v>451</v>
      </c>
      <c r="F54" s="1855">
        <v>100000</v>
      </c>
      <c r="G54" s="1787"/>
      <c r="H54" s="1787"/>
      <c r="K54" s="1032"/>
    </row>
    <row r="55" spans="1:11" s="101" customFormat="1" ht="15" customHeight="1">
      <c r="A55" s="1783">
        <v>15</v>
      </c>
      <c r="B55" s="1784"/>
      <c r="C55" s="1785" t="s">
        <v>1169</v>
      </c>
      <c r="D55" s="1853" t="s">
        <v>167</v>
      </c>
      <c r="E55" s="1854" t="s">
        <v>451</v>
      </c>
      <c r="F55" s="1855">
        <v>100000</v>
      </c>
      <c r="G55" s="1787"/>
      <c r="H55" s="1787"/>
      <c r="K55" s="1032"/>
    </row>
    <row r="56" spans="1:11" s="101" customFormat="1" ht="15" customHeight="1">
      <c r="A56" s="1783">
        <v>16</v>
      </c>
      <c r="B56" s="1784"/>
      <c r="C56" s="1785" t="s">
        <v>1263</v>
      </c>
      <c r="D56" s="1853" t="s">
        <v>167</v>
      </c>
      <c r="E56" s="1854" t="s">
        <v>451</v>
      </c>
      <c r="F56" s="1855">
        <v>100000</v>
      </c>
      <c r="G56" s="1787"/>
      <c r="H56" s="1787"/>
      <c r="K56" s="1032"/>
    </row>
    <row r="57" spans="1:11" s="101" customFormat="1" ht="15" customHeight="1">
      <c r="A57" s="1783">
        <v>17</v>
      </c>
      <c r="B57" s="1784"/>
      <c r="C57" s="1785" t="s">
        <v>1294</v>
      </c>
      <c r="D57" s="1853" t="s">
        <v>167</v>
      </c>
      <c r="E57" s="1854" t="s">
        <v>451</v>
      </c>
      <c r="F57" s="1855">
        <v>100000</v>
      </c>
      <c r="G57" s="1787"/>
      <c r="H57" s="1787"/>
      <c r="K57" s="1032"/>
    </row>
    <row r="58" spans="1:11" s="101" customFormat="1" ht="15" customHeight="1">
      <c r="A58" s="1783">
        <v>18</v>
      </c>
      <c r="B58" s="1784"/>
      <c r="C58" s="1785" t="s">
        <v>1295</v>
      </c>
      <c r="D58" s="1853" t="s">
        <v>167</v>
      </c>
      <c r="E58" s="1854" t="s">
        <v>451</v>
      </c>
      <c r="F58" s="1855">
        <v>100000</v>
      </c>
      <c r="G58" s="1787"/>
      <c r="H58" s="1787"/>
      <c r="K58" s="1032"/>
    </row>
    <row r="59" spans="1:11" s="101" customFormat="1" ht="15" customHeight="1">
      <c r="A59" s="1783">
        <v>19</v>
      </c>
      <c r="B59" s="1784"/>
      <c r="C59" s="1785" t="s">
        <v>1170</v>
      </c>
      <c r="D59" s="1853" t="s">
        <v>167</v>
      </c>
      <c r="E59" s="1854" t="s">
        <v>451</v>
      </c>
      <c r="F59" s="1855">
        <v>100000</v>
      </c>
      <c r="G59" s="1787"/>
      <c r="H59" s="1787"/>
      <c r="K59" s="1032"/>
    </row>
    <row r="60" spans="1:11" s="101" customFormat="1" ht="15" customHeight="1">
      <c r="A60" s="1783">
        <v>20</v>
      </c>
      <c r="B60" s="1784"/>
      <c r="C60" s="1785" t="s">
        <v>1171</v>
      </c>
      <c r="D60" s="1853" t="s">
        <v>167</v>
      </c>
      <c r="E60" s="1854" t="s">
        <v>451</v>
      </c>
      <c r="F60" s="1855">
        <v>100000</v>
      </c>
      <c r="G60" s="1787"/>
      <c r="H60" s="1787"/>
      <c r="K60" s="1032"/>
    </row>
    <row r="61" spans="1:11" s="101" customFormat="1" ht="15" customHeight="1">
      <c r="A61" s="1783">
        <v>21</v>
      </c>
      <c r="B61" s="1784"/>
      <c r="C61" s="1785" t="s">
        <v>1296</v>
      </c>
      <c r="D61" s="1853" t="s">
        <v>167</v>
      </c>
      <c r="E61" s="1854" t="s">
        <v>451</v>
      </c>
      <c r="F61" s="1855">
        <v>100000</v>
      </c>
      <c r="G61" s="1787"/>
      <c r="H61" s="1787"/>
      <c r="K61" s="1032" t="e">
        <f>+#REF!+#REF!</f>
        <v>#REF!</v>
      </c>
    </row>
    <row r="62" spans="1:11" s="101" customFormat="1" ht="15" customHeight="1">
      <c r="A62" s="1783">
        <v>22</v>
      </c>
      <c r="B62" s="1784"/>
      <c r="C62" s="1785" t="s">
        <v>1297</v>
      </c>
      <c r="D62" s="1853" t="s">
        <v>167</v>
      </c>
      <c r="E62" s="1854" t="s">
        <v>451</v>
      </c>
      <c r="F62" s="1855">
        <v>100000</v>
      </c>
      <c r="G62" s="1787"/>
      <c r="H62" s="1787"/>
      <c r="K62" s="1032" t="e">
        <f>+#REF!+#REF!</f>
        <v>#REF!</v>
      </c>
    </row>
    <row r="63" spans="1:11" s="101" customFormat="1" ht="15" customHeight="1">
      <c r="A63" s="1783">
        <v>23</v>
      </c>
      <c r="B63" s="1784"/>
      <c r="C63" s="1785" t="s">
        <v>1237</v>
      </c>
      <c r="D63" s="1853" t="s">
        <v>167</v>
      </c>
      <c r="E63" s="1854" t="s">
        <v>451</v>
      </c>
      <c r="F63" s="1855">
        <v>100000</v>
      </c>
      <c r="G63" s="1787"/>
      <c r="H63" s="1787"/>
      <c r="K63" s="1032"/>
    </row>
    <row r="64" spans="1:11" s="101" customFormat="1" ht="15" customHeight="1">
      <c r="A64" s="1783">
        <v>24</v>
      </c>
      <c r="B64" s="1784"/>
      <c r="C64" s="1785" t="s">
        <v>1298</v>
      </c>
      <c r="D64" s="1853" t="s">
        <v>167</v>
      </c>
      <c r="E64" s="1854" t="s">
        <v>451</v>
      </c>
      <c r="F64" s="1855">
        <v>100000</v>
      </c>
      <c r="G64" s="1787"/>
      <c r="H64" s="1787"/>
      <c r="K64" s="1032"/>
    </row>
    <row r="65" spans="1:11" s="101" customFormat="1" ht="15" customHeight="1">
      <c r="A65" s="1783">
        <v>25</v>
      </c>
      <c r="B65" s="1784"/>
      <c r="C65" s="1785" t="s">
        <v>1238</v>
      </c>
      <c r="D65" s="1853" t="s">
        <v>167</v>
      </c>
      <c r="E65" s="1854" t="s">
        <v>451</v>
      </c>
      <c r="F65" s="1855">
        <v>100000</v>
      </c>
      <c r="G65" s="1787"/>
      <c r="H65" s="1787"/>
      <c r="K65" s="1032"/>
    </row>
    <row r="66" spans="1:11" s="101" customFormat="1" ht="15" customHeight="1">
      <c r="A66" s="1783">
        <v>26</v>
      </c>
      <c r="B66" s="1784"/>
      <c r="C66" s="1785" t="s">
        <v>490</v>
      </c>
      <c r="D66" s="1853" t="s">
        <v>167</v>
      </c>
      <c r="E66" s="1854" t="s">
        <v>451</v>
      </c>
      <c r="F66" s="1855">
        <v>100000</v>
      </c>
      <c r="G66" s="1787"/>
      <c r="H66" s="1787"/>
      <c r="K66" s="1032"/>
    </row>
    <row r="67" spans="1:11" s="101" customFormat="1" ht="15" customHeight="1">
      <c r="A67" s="1783">
        <v>27</v>
      </c>
      <c r="B67" s="1784"/>
      <c r="C67" s="1785" t="s">
        <v>288</v>
      </c>
      <c r="D67" s="1853" t="s">
        <v>167</v>
      </c>
      <c r="E67" s="1854" t="s">
        <v>451</v>
      </c>
      <c r="F67" s="1855">
        <v>100000</v>
      </c>
      <c r="G67" s="1787"/>
      <c r="H67" s="1787"/>
      <c r="K67" s="1032"/>
    </row>
    <row r="68" spans="1:11" s="101" customFormat="1" ht="15" customHeight="1">
      <c r="A68" s="1783">
        <v>28</v>
      </c>
      <c r="B68" s="1784"/>
      <c r="C68" s="1785" t="s">
        <v>1299</v>
      </c>
      <c r="D68" s="1853" t="s">
        <v>167</v>
      </c>
      <c r="E68" s="1854" t="s">
        <v>451</v>
      </c>
      <c r="F68" s="1855">
        <v>100000</v>
      </c>
      <c r="G68" s="1787"/>
      <c r="H68" s="1787"/>
      <c r="K68" s="1032"/>
    </row>
    <row r="69" spans="1:11" s="101" customFormat="1" ht="15" customHeight="1">
      <c r="A69" s="1783">
        <v>29</v>
      </c>
      <c r="B69" s="1784"/>
      <c r="C69" s="1785" t="s">
        <v>1172</v>
      </c>
      <c r="D69" s="1853" t="s">
        <v>167</v>
      </c>
      <c r="E69" s="1854" t="s">
        <v>451</v>
      </c>
      <c r="F69" s="1855">
        <v>100000</v>
      </c>
      <c r="G69" s="1787"/>
      <c r="H69" s="1787"/>
      <c r="K69" s="1032"/>
    </row>
    <row r="70" spans="1:11" s="101" customFormat="1" ht="15" customHeight="1">
      <c r="A70" s="1783">
        <v>30</v>
      </c>
      <c r="B70" s="1784"/>
      <c r="C70" s="1785" t="s">
        <v>1300</v>
      </c>
      <c r="D70" s="1853" t="s">
        <v>167</v>
      </c>
      <c r="E70" s="1854" t="s">
        <v>451</v>
      </c>
      <c r="F70" s="1855">
        <v>100000</v>
      </c>
      <c r="G70" s="1787"/>
      <c r="H70" s="1787"/>
      <c r="K70" s="1032"/>
    </row>
    <row r="71" spans="1:11" s="101" customFormat="1" ht="15" customHeight="1">
      <c r="A71" s="1783">
        <v>31</v>
      </c>
      <c r="B71" s="1784"/>
      <c r="C71" s="1785" t="s">
        <v>1264</v>
      </c>
      <c r="D71" s="1853" t="s">
        <v>167</v>
      </c>
      <c r="E71" s="1854" t="s">
        <v>451</v>
      </c>
      <c r="F71" s="1855">
        <v>100000</v>
      </c>
      <c r="G71" s="1787"/>
      <c r="H71" s="1791"/>
      <c r="K71" s="1032"/>
    </row>
    <row r="72" spans="1:11" s="408" customFormat="1" ht="15" customHeight="1">
      <c r="A72" s="1783">
        <v>32</v>
      </c>
      <c r="B72" s="1878"/>
      <c r="C72" s="1879" t="s">
        <v>1301</v>
      </c>
      <c r="D72" s="1853" t="s">
        <v>167</v>
      </c>
      <c r="E72" s="1854" t="s">
        <v>451</v>
      </c>
      <c r="F72" s="1855">
        <v>100000</v>
      </c>
      <c r="G72" s="1880"/>
      <c r="H72" s="1881"/>
      <c r="I72" s="1031"/>
      <c r="K72" s="1032"/>
    </row>
    <row r="73" spans="1:11" s="101" customFormat="1" ht="15" customHeight="1">
      <c r="A73" s="1783">
        <v>33</v>
      </c>
      <c r="B73" s="1784"/>
      <c r="C73" s="1795" t="s">
        <v>1302</v>
      </c>
      <c r="D73" s="1853" t="s">
        <v>167</v>
      </c>
      <c r="E73" s="1854" t="s">
        <v>451</v>
      </c>
      <c r="F73" s="1855">
        <v>100000</v>
      </c>
      <c r="G73" s="1787"/>
      <c r="H73" s="1782"/>
      <c r="K73" s="1032"/>
    </row>
    <row r="74" spans="1:11" s="101" customFormat="1" ht="15" customHeight="1">
      <c r="A74" s="1783">
        <v>34</v>
      </c>
      <c r="B74" s="1784"/>
      <c r="C74" s="1795" t="s">
        <v>1239</v>
      </c>
      <c r="D74" s="1853" t="s">
        <v>167</v>
      </c>
      <c r="E74" s="1854" t="s">
        <v>451</v>
      </c>
      <c r="F74" s="1855">
        <v>100000</v>
      </c>
      <c r="G74" s="1787"/>
      <c r="H74" s="1787"/>
      <c r="K74" s="1032"/>
    </row>
    <row r="75" spans="1:11" s="101" customFormat="1" ht="15" customHeight="1">
      <c r="A75" s="1783">
        <v>35</v>
      </c>
      <c r="B75" s="1784"/>
      <c r="C75" s="1795" t="s">
        <v>1005</v>
      </c>
      <c r="D75" s="1853" t="s">
        <v>167</v>
      </c>
      <c r="E75" s="1854" t="s">
        <v>451</v>
      </c>
      <c r="F75" s="1855">
        <v>100000</v>
      </c>
      <c r="G75" s="1787"/>
      <c r="H75" s="1787"/>
      <c r="K75" s="1032"/>
    </row>
    <row r="76" spans="1:11" s="101" customFormat="1" ht="15" customHeight="1">
      <c r="A76" s="1783">
        <v>36</v>
      </c>
      <c r="B76" s="1784"/>
      <c r="C76" s="1795" t="s">
        <v>1173</v>
      </c>
      <c r="D76" s="1853" t="s">
        <v>167</v>
      </c>
      <c r="E76" s="1854" t="s">
        <v>451</v>
      </c>
      <c r="F76" s="1855">
        <v>100000</v>
      </c>
      <c r="G76" s="1787"/>
      <c r="H76" s="1787"/>
      <c r="K76" s="1032"/>
    </row>
    <row r="77" spans="1:11" s="101" customFormat="1" ht="15" customHeight="1">
      <c r="A77" s="1783">
        <v>37</v>
      </c>
      <c r="B77" s="1784"/>
      <c r="C77" s="1795" t="s">
        <v>1174</v>
      </c>
      <c r="D77" s="1853" t="s">
        <v>167</v>
      </c>
      <c r="E77" s="1854" t="s">
        <v>451</v>
      </c>
      <c r="F77" s="1855">
        <v>100000</v>
      </c>
      <c r="G77" s="1787"/>
      <c r="H77" s="1787"/>
      <c r="K77" s="1032"/>
    </row>
    <row r="78" spans="1:11" s="101" customFormat="1" ht="15" customHeight="1">
      <c r="A78" s="1783">
        <v>38</v>
      </c>
      <c r="B78" s="1784"/>
      <c r="C78" s="1795" t="s">
        <v>1004</v>
      </c>
      <c r="D78" s="1853" t="s">
        <v>167</v>
      </c>
      <c r="E78" s="1854" t="s">
        <v>451</v>
      </c>
      <c r="F78" s="1855">
        <v>100000</v>
      </c>
      <c r="G78" s="1787"/>
      <c r="H78" s="1787"/>
      <c r="K78" s="1032"/>
    </row>
    <row r="79" spans="1:11" s="101" customFormat="1" ht="15" customHeight="1">
      <c r="A79" s="1783">
        <v>39</v>
      </c>
      <c r="B79" s="1784"/>
      <c r="C79" s="1795" t="s">
        <v>1178</v>
      </c>
      <c r="D79" s="1853" t="s">
        <v>167</v>
      </c>
      <c r="E79" s="1854" t="s">
        <v>451</v>
      </c>
      <c r="F79" s="1855">
        <v>100000</v>
      </c>
      <c r="G79" s="1787"/>
      <c r="H79" s="1787"/>
      <c r="K79" s="1032" t="e">
        <f>+#REF!+#REF!</f>
        <v>#REF!</v>
      </c>
    </row>
    <row r="80" spans="1:11" s="101" customFormat="1" ht="15" customHeight="1">
      <c r="A80" s="1783">
        <v>40</v>
      </c>
      <c r="B80" s="1784"/>
      <c r="C80" s="1795" t="s">
        <v>1145</v>
      </c>
      <c r="D80" s="1853" t="s">
        <v>167</v>
      </c>
      <c r="E80" s="1854" t="s">
        <v>451</v>
      </c>
      <c r="F80" s="1855">
        <v>100000</v>
      </c>
      <c r="G80" s="1787"/>
      <c r="H80" s="1787"/>
      <c r="K80" s="1032" t="e">
        <f>+#REF!+#REF!</f>
        <v>#REF!</v>
      </c>
    </row>
    <row r="81" spans="1:11" s="101" customFormat="1" ht="15" customHeight="1">
      <c r="A81" s="1783">
        <v>41</v>
      </c>
      <c r="B81" s="1784"/>
      <c r="C81" s="1795" t="s">
        <v>1176</v>
      </c>
      <c r="D81" s="1853" t="s">
        <v>167</v>
      </c>
      <c r="E81" s="1854" t="s">
        <v>451</v>
      </c>
      <c r="F81" s="1855">
        <v>100000</v>
      </c>
      <c r="G81" s="1787"/>
      <c r="H81" s="1787"/>
      <c r="K81" s="1032" t="e">
        <f>+#REF!+#REF!</f>
        <v>#REF!</v>
      </c>
    </row>
    <row r="82" spans="1:11" s="101" customFormat="1" ht="15" customHeight="1">
      <c r="A82" s="1783">
        <v>42</v>
      </c>
      <c r="B82" s="1784"/>
      <c r="C82" s="1795" t="s">
        <v>1240</v>
      </c>
      <c r="D82" s="1853" t="s">
        <v>167</v>
      </c>
      <c r="E82" s="1854" t="s">
        <v>451</v>
      </c>
      <c r="F82" s="1855">
        <v>100000</v>
      </c>
      <c r="G82" s="1787"/>
      <c r="H82" s="1787"/>
      <c r="K82" s="1032" t="e">
        <f>+#REF!+#REF!</f>
        <v>#REF!</v>
      </c>
    </row>
    <row r="83" spans="1:11" s="101" customFormat="1" ht="15" customHeight="1">
      <c r="A83" s="1783">
        <v>43</v>
      </c>
      <c r="B83" s="1784"/>
      <c r="C83" s="1795" t="s">
        <v>1177</v>
      </c>
      <c r="D83" s="1853" t="s">
        <v>167</v>
      </c>
      <c r="E83" s="1854" t="s">
        <v>451</v>
      </c>
      <c r="F83" s="1855">
        <v>100000</v>
      </c>
      <c r="G83" s="1787"/>
      <c r="H83" s="1787"/>
      <c r="K83" s="1032" t="e">
        <f>+#REF!+#REF!</f>
        <v>#REF!</v>
      </c>
    </row>
    <row r="84" spans="1:11" s="101" customFormat="1" ht="15" customHeight="1">
      <c r="A84" s="1783">
        <v>44</v>
      </c>
      <c r="B84" s="1784"/>
      <c r="C84" s="1795" t="s">
        <v>1175</v>
      </c>
      <c r="D84" s="1853" t="s">
        <v>167</v>
      </c>
      <c r="E84" s="1854" t="s">
        <v>451</v>
      </c>
      <c r="F84" s="1855">
        <v>100000</v>
      </c>
      <c r="G84" s="1787"/>
      <c r="H84" s="1787"/>
      <c r="K84" s="1032" t="e">
        <f>+#REF!+#REF!</f>
        <v>#REF!</v>
      </c>
    </row>
    <row r="85" spans="1:11" s="101" customFormat="1" ht="15" customHeight="1">
      <c r="A85" s="1783">
        <v>45</v>
      </c>
      <c r="B85" s="1784"/>
      <c r="C85" s="1795" t="s">
        <v>1241</v>
      </c>
      <c r="D85" s="1853" t="s">
        <v>167</v>
      </c>
      <c r="E85" s="1854" t="s">
        <v>451</v>
      </c>
      <c r="F85" s="1855">
        <v>100000</v>
      </c>
      <c r="G85" s="1787"/>
      <c r="H85" s="1787"/>
      <c r="K85" s="1032" t="e">
        <f>+#REF!+#REF!</f>
        <v>#REF!</v>
      </c>
    </row>
    <row r="86" spans="1:11" s="101" customFormat="1" ht="15" customHeight="1">
      <c r="A86" s="1783">
        <v>46</v>
      </c>
      <c r="B86" s="1784"/>
      <c r="C86" s="1795" t="s">
        <v>1179</v>
      </c>
      <c r="D86" s="1853" t="s">
        <v>167</v>
      </c>
      <c r="E86" s="1854" t="s">
        <v>451</v>
      </c>
      <c r="F86" s="1855">
        <v>100000</v>
      </c>
      <c r="G86" s="1787"/>
      <c r="H86" s="1787"/>
      <c r="K86" s="1032" t="e">
        <f>+#REF!+#REF!</f>
        <v>#REF!</v>
      </c>
    </row>
    <row r="87" spans="1:11" s="101" customFormat="1" ht="15" customHeight="1">
      <c r="A87" s="1783">
        <v>47</v>
      </c>
      <c r="B87" s="1784"/>
      <c r="C87" s="1795" t="s">
        <v>1007</v>
      </c>
      <c r="D87" s="1853" t="s">
        <v>167</v>
      </c>
      <c r="E87" s="1854" t="s">
        <v>451</v>
      </c>
      <c r="F87" s="1855">
        <v>100000</v>
      </c>
      <c r="G87" s="1787"/>
      <c r="H87" s="1787"/>
      <c r="K87" s="1032" t="e">
        <f>+#REF!+#REF!</f>
        <v>#REF!</v>
      </c>
    </row>
    <row r="88" spans="1:11" s="101" customFormat="1" ht="15" customHeight="1">
      <c r="A88" s="1783">
        <v>48</v>
      </c>
      <c r="B88" s="1784"/>
      <c r="C88" s="1795" t="s">
        <v>1180</v>
      </c>
      <c r="D88" s="1853" t="s">
        <v>167</v>
      </c>
      <c r="E88" s="1854" t="s">
        <v>451</v>
      </c>
      <c r="F88" s="1855">
        <v>100000</v>
      </c>
      <c r="G88" s="1787"/>
      <c r="H88" s="1787"/>
      <c r="K88" s="1032" t="e">
        <f>+#REF!+#REF!</f>
        <v>#REF!</v>
      </c>
    </row>
    <row r="89" spans="1:11" s="101" customFormat="1" ht="15" customHeight="1">
      <c r="A89" s="1783">
        <v>49</v>
      </c>
      <c r="B89" s="1784"/>
      <c r="C89" s="1795" t="s">
        <v>1006</v>
      </c>
      <c r="D89" s="1853" t="s">
        <v>167</v>
      </c>
      <c r="E89" s="1854" t="s">
        <v>451</v>
      </c>
      <c r="F89" s="1855">
        <v>100000</v>
      </c>
      <c r="G89" s="1787"/>
      <c r="H89" s="1787"/>
      <c r="K89" s="1032" t="e">
        <f>+#REF!+#REF!</f>
        <v>#REF!</v>
      </c>
    </row>
    <row r="90" spans="1:11" s="101" customFormat="1" ht="15" customHeight="1">
      <c r="A90" s="1783">
        <v>50</v>
      </c>
      <c r="B90" s="1784"/>
      <c r="C90" s="1870" t="s">
        <v>1242</v>
      </c>
      <c r="D90" s="1853" t="s">
        <v>167</v>
      </c>
      <c r="E90" s="1854" t="s">
        <v>451</v>
      </c>
      <c r="F90" s="1855">
        <v>100000</v>
      </c>
      <c r="G90" s="1787"/>
      <c r="H90" s="1787"/>
      <c r="K90" s="1032" t="e">
        <f>+#REF!+#REF!</f>
        <v>#REF!</v>
      </c>
    </row>
    <row r="91" spans="1:11" s="101" customFormat="1" ht="15" customHeight="1">
      <c r="A91" s="1783">
        <v>51</v>
      </c>
      <c r="B91" s="1784"/>
      <c r="C91" s="1795" t="s">
        <v>1243</v>
      </c>
      <c r="D91" s="1853" t="s">
        <v>167</v>
      </c>
      <c r="E91" s="1854" t="s">
        <v>451</v>
      </c>
      <c r="F91" s="1855">
        <v>100000</v>
      </c>
      <c r="G91" s="1787"/>
      <c r="H91" s="1787"/>
      <c r="K91" s="1032" t="e">
        <f>+#REF!+#REF!</f>
        <v>#REF!</v>
      </c>
    </row>
    <row r="92" spans="1:11" s="101" customFormat="1" ht="15" customHeight="1">
      <c r="A92" s="1783">
        <v>52</v>
      </c>
      <c r="B92" s="1784"/>
      <c r="C92" s="1795" t="s">
        <v>1256</v>
      </c>
      <c r="D92" s="1853" t="s">
        <v>167</v>
      </c>
      <c r="E92" s="1854" t="s">
        <v>451</v>
      </c>
      <c r="F92" s="1855">
        <v>100000</v>
      </c>
      <c r="G92" s="1787"/>
      <c r="H92" s="1787"/>
      <c r="K92" s="1032" t="e">
        <f>+#REF!+#REF!</f>
        <v>#REF!</v>
      </c>
    </row>
    <row r="93" spans="1:11" s="101" customFormat="1" ht="15" customHeight="1">
      <c r="A93" s="1783">
        <v>53</v>
      </c>
      <c r="B93" s="1784"/>
      <c r="C93" s="1795" t="s">
        <v>1341</v>
      </c>
      <c r="D93" s="1853" t="s">
        <v>167</v>
      </c>
      <c r="E93" s="1854" t="s">
        <v>451</v>
      </c>
      <c r="F93" s="1855">
        <v>100000</v>
      </c>
      <c r="G93" s="1787"/>
      <c r="H93" s="1787"/>
      <c r="K93" s="1032" t="e">
        <f>+#REF!+#REF!</f>
        <v>#REF!</v>
      </c>
    </row>
    <row r="94" spans="1:11" s="101" customFormat="1" ht="15" customHeight="1">
      <c r="A94" s="1783">
        <v>54</v>
      </c>
      <c r="B94" s="1784"/>
      <c r="C94" s="1795" t="s">
        <v>1342</v>
      </c>
      <c r="D94" s="1853" t="s">
        <v>167</v>
      </c>
      <c r="E94" s="1854" t="s">
        <v>451</v>
      </c>
      <c r="F94" s="1855">
        <v>100000</v>
      </c>
      <c r="G94" s="1787"/>
      <c r="H94" s="1787"/>
      <c r="K94" s="1032" t="e">
        <f>+#REF!+#REF!</f>
        <v>#REF!</v>
      </c>
    </row>
    <row r="95" spans="1:11" s="101" customFormat="1" ht="15" customHeight="1">
      <c r="A95" s="1788">
        <v>55</v>
      </c>
      <c r="B95" s="1789"/>
      <c r="C95" s="1796" t="s">
        <v>1343</v>
      </c>
      <c r="D95" s="1857" t="s">
        <v>167</v>
      </c>
      <c r="E95" s="1858" t="s">
        <v>451</v>
      </c>
      <c r="F95" s="1859">
        <v>100000</v>
      </c>
      <c r="G95" s="1791"/>
      <c r="H95" s="1787"/>
      <c r="K95" s="1032" t="e">
        <f>+#REF!+#REF!</f>
        <v>#REF!</v>
      </c>
    </row>
    <row r="96" spans="1:11" s="105" customFormat="1" ht="15" customHeight="1">
      <c r="A96" s="4208" t="s">
        <v>451</v>
      </c>
      <c r="B96" s="4208"/>
      <c r="C96" s="4208"/>
      <c r="D96" s="4208"/>
      <c r="E96" s="1844"/>
      <c r="F96" s="1861">
        <f>SUM(F41:F95)</f>
        <v>5500000</v>
      </c>
      <c r="G96" s="1882"/>
      <c r="H96" s="1883"/>
      <c r="I96" s="120"/>
      <c r="J96" s="120"/>
      <c r="K96" s="1032" t="e">
        <f>+#REF!+#REF!</f>
        <v>#REF!</v>
      </c>
    </row>
    <row r="97" spans="1:11" s="105" customFormat="1" ht="15" customHeight="1">
      <c r="A97" s="1778">
        <v>1</v>
      </c>
      <c r="B97" s="1779"/>
      <c r="C97" s="1794" t="s">
        <v>327</v>
      </c>
      <c r="D97" s="1850" t="s">
        <v>167</v>
      </c>
      <c r="E97" s="1851" t="s">
        <v>1378</v>
      </c>
      <c r="F97" s="1852">
        <v>100000</v>
      </c>
      <c r="G97" s="1884"/>
      <c r="H97" s="1883"/>
      <c r="I97" s="120"/>
      <c r="J97" s="120"/>
      <c r="K97" s="1032" t="e">
        <f>+#REF!+#REF!</f>
        <v>#REF!</v>
      </c>
    </row>
    <row r="98" spans="1:11" s="105" customFormat="1" ht="15" customHeight="1">
      <c r="A98" s="1783">
        <v>2</v>
      </c>
      <c r="B98" s="1784"/>
      <c r="C98" s="1795" t="s">
        <v>1265</v>
      </c>
      <c r="D98" s="1853" t="s">
        <v>167</v>
      </c>
      <c r="E98" s="1854" t="s">
        <v>1378</v>
      </c>
      <c r="F98" s="1855">
        <v>100000</v>
      </c>
      <c r="G98" s="1883"/>
      <c r="H98" s="1883"/>
      <c r="I98" s="120"/>
      <c r="J98" s="120"/>
      <c r="K98" s="1032" t="e">
        <f>+#REF!+#REF!</f>
        <v>#REF!</v>
      </c>
    </row>
    <row r="99" spans="1:11" s="105" customFormat="1" ht="15" customHeight="1">
      <c r="A99" s="1783">
        <v>3</v>
      </c>
      <c r="B99" s="1784"/>
      <c r="C99" s="1795" t="s">
        <v>1266</v>
      </c>
      <c r="D99" s="1853" t="s">
        <v>167</v>
      </c>
      <c r="E99" s="1854" t="s">
        <v>1378</v>
      </c>
      <c r="F99" s="1855">
        <v>100000</v>
      </c>
      <c r="G99" s="1883"/>
      <c r="H99" s="1787"/>
      <c r="I99" s="120"/>
      <c r="J99" s="120"/>
      <c r="K99" s="1032" t="e">
        <f>+#REF!+#REF!</f>
        <v>#REF!</v>
      </c>
    </row>
    <row r="100" spans="1:11" s="105" customFormat="1" ht="15" customHeight="1">
      <c r="A100" s="1783">
        <v>4</v>
      </c>
      <c r="B100" s="1784"/>
      <c r="C100" s="1795" t="s">
        <v>1181</v>
      </c>
      <c r="D100" s="1853" t="s">
        <v>167</v>
      </c>
      <c r="E100" s="1854" t="s">
        <v>1378</v>
      </c>
      <c r="F100" s="1855">
        <v>100000</v>
      </c>
      <c r="G100" s="1883"/>
      <c r="H100" s="1883"/>
      <c r="I100" s="120"/>
      <c r="J100" s="120"/>
      <c r="K100" s="1032" t="e">
        <f>+#REF!+#REF!</f>
        <v>#REF!</v>
      </c>
    </row>
    <row r="101" spans="1:11" s="105" customFormat="1" ht="15" customHeight="1">
      <c r="A101" s="1783">
        <v>5</v>
      </c>
      <c r="B101" s="1784"/>
      <c r="C101" s="1870" t="s">
        <v>1182</v>
      </c>
      <c r="D101" s="1853" t="s">
        <v>167</v>
      </c>
      <c r="E101" s="1854" t="s">
        <v>1378</v>
      </c>
      <c r="F101" s="1855">
        <v>100000</v>
      </c>
      <c r="G101" s="1883"/>
      <c r="H101" s="1883"/>
      <c r="I101" s="120"/>
      <c r="J101" s="120"/>
      <c r="K101" s="1032" t="e">
        <f>+#REF!+#REF!</f>
        <v>#REF!</v>
      </c>
    </row>
    <row r="102" spans="1:11" s="105" customFormat="1" ht="15" customHeight="1">
      <c r="A102" s="1783">
        <v>6</v>
      </c>
      <c r="B102" s="1784"/>
      <c r="C102" s="1795" t="s">
        <v>1183</v>
      </c>
      <c r="D102" s="1853" t="s">
        <v>167</v>
      </c>
      <c r="E102" s="1854" t="s">
        <v>1378</v>
      </c>
      <c r="F102" s="1855">
        <v>100000</v>
      </c>
      <c r="G102" s="1883"/>
      <c r="H102" s="1883"/>
      <c r="I102" s="120"/>
      <c r="J102" s="120"/>
      <c r="K102" s="1032" t="e">
        <f>+#REF!+#REF!</f>
        <v>#REF!</v>
      </c>
    </row>
    <row r="103" spans="1:11" s="105" customFormat="1" ht="15" customHeight="1">
      <c r="A103" s="1783">
        <v>7</v>
      </c>
      <c r="B103" s="1784"/>
      <c r="C103" s="1795" t="s">
        <v>1184</v>
      </c>
      <c r="D103" s="1853" t="s">
        <v>167</v>
      </c>
      <c r="E103" s="1854" t="s">
        <v>1378</v>
      </c>
      <c r="F103" s="1855">
        <v>100000</v>
      </c>
      <c r="G103" s="1883"/>
      <c r="H103" s="1787"/>
      <c r="I103" s="120"/>
      <c r="J103" s="120"/>
      <c r="K103" s="1032" t="e">
        <f>+#REF!+#REF!</f>
        <v>#REF!</v>
      </c>
    </row>
    <row r="104" spans="1:11" s="105" customFormat="1" ht="15" customHeight="1">
      <c r="A104" s="1783">
        <v>8</v>
      </c>
      <c r="B104" s="1784"/>
      <c r="C104" s="1795" t="s">
        <v>1303</v>
      </c>
      <c r="D104" s="1853" t="s">
        <v>167</v>
      </c>
      <c r="E104" s="1854" t="s">
        <v>1378</v>
      </c>
      <c r="F104" s="1855">
        <v>100000</v>
      </c>
      <c r="G104" s="1883"/>
      <c r="H104" s="1883"/>
      <c r="I104" s="120"/>
      <c r="J104" s="120"/>
      <c r="K104" s="1032" t="e">
        <f>+#REF!+#REF!</f>
        <v>#REF!</v>
      </c>
    </row>
    <row r="105" spans="1:11" s="105" customFormat="1" ht="15" customHeight="1">
      <c r="A105" s="1783">
        <v>9</v>
      </c>
      <c r="B105" s="1784"/>
      <c r="C105" s="1795" t="s">
        <v>1304</v>
      </c>
      <c r="D105" s="1853" t="s">
        <v>167</v>
      </c>
      <c r="E105" s="1854" t="s">
        <v>1378</v>
      </c>
      <c r="F105" s="1855">
        <v>100000</v>
      </c>
      <c r="G105" s="1883"/>
      <c r="H105" s="1883"/>
      <c r="I105" s="120"/>
      <c r="J105" s="120"/>
      <c r="K105" s="1032" t="e">
        <f>+#REF!+#REF!</f>
        <v>#REF!</v>
      </c>
    </row>
    <row r="106" spans="1:11" s="105" customFormat="1" ht="15" customHeight="1">
      <c r="A106" s="1783">
        <v>10</v>
      </c>
      <c r="B106" s="1784"/>
      <c r="C106" s="1795" t="s">
        <v>1305</v>
      </c>
      <c r="D106" s="1853" t="s">
        <v>167</v>
      </c>
      <c r="E106" s="1854" t="s">
        <v>1378</v>
      </c>
      <c r="F106" s="1855">
        <v>100000</v>
      </c>
      <c r="G106" s="1883"/>
      <c r="H106" s="1883"/>
      <c r="I106" s="120"/>
      <c r="J106" s="120"/>
      <c r="K106" s="1032" t="e">
        <f>+#REF!+#REF!</f>
        <v>#REF!</v>
      </c>
    </row>
    <row r="107" spans="1:11" s="105" customFormat="1" ht="15" customHeight="1">
      <c r="A107" s="1783">
        <v>11</v>
      </c>
      <c r="B107" s="1784"/>
      <c r="C107" s="1795" t="s">
        <v>1185</v>
      </c>
      <c r="D107" s="1853" t="s">
        <v>167</v>
      </c>
      <c r="E107" s="1854" t="s">
        <v>1378</v>
      </c>
      <c r="F107" s="1855">
        <v>100000</v>
      </c>
      <c r="G107" s="1883"/>
      <c r="H107" s="1883"/>
      <c r="I107" s="120"/>
      <c r="J107" s="120"/>
      <c r="K107" s="1032" t="e">
        <f>+#REF!+#REF!</f>
        <v>#REF!</v>
      </c>
    </row>
    <row r="108" spans="1:11" s="105" customFormat="1" ht="15" customHeight="1">
      <c r="A108" s="1783">
        <v>12</v>
      </c>
      <c r="B108" s="1784"/>
      <c r="C108" s="1795" t="s">
        <v>1186</v>
      </c>
      <c r="D108" s="1853" t="s">
        <v>167</v>
      </c>
      <c r="E108" s="1854" t="s">
        <v>1378</v>
      </c>
      <c r="F108" s="1855">
        <v>100000</v>
      </c>
      <c r="G108" s="1883"/>
      <c r="H108" s="1883"/>
      <c r="I108" s="120"/>
      <c r="J108" s="120"/>
      <c r="K108" s="1032" t="e">
        <f>+#REF!+#REF!</f>
        <v>#REF!</v>
      </c>
    </row>
    <row r="109" spans="1:11" s="105" customFormat="1" ht="15" customHeight="1">
      <c r="A109" s="1783">
        <v>13</v>
      </c>
      <c r="B109" s="1784"/>
      <c r="C109" s="1795" t="s">
        <v>1187</v>
      </c>
      <c r="D109" s="1853" t="s">
        <v>167</v>
      </c>
      <c r="E109" s="1854" t="s">
        <v>1378</v>
      </c>
      <c r="F109" s="1855">
        <v>100000</v>
      </c>
      <c r="G109" s="1883"/>
      <c r="H109" s="1883"/>
      <c r="I109" s="120"/>
      <c r="J109" s="120"/>
      <c r="K109" s="1032" t="e">
        <f>+#REF!+#REF!</f>
        <v>#REF!</v>
      </c>
    </row>
    <row r="110" spans="1:11" s="105" customFormat="1" ht="15" customHeight="1">
      <c r="A110" s="1783">
        <v>14</v>
      </c>
      <c r="B110" s="1885"/>
      <c r="C110" s="1795" t="s">
        <v>1188</v>
      </c>
      <c r="D110" s="1853" t="s">
        <v>167</v>
      </c>
      <c r="E110" s="1854" t="s">
        <v>1378</v>
      </c>
      <c r="F110" s="1855">
        <v>100000</v>
      </c>
      <c r="G110" s="1883"/>
      <c r="H110" s="1883"/>
      <c r="I110" s="120"/>
      <c r="J110" s="120"/>
      <c r="K110" s="1032" t="e">
        <f>+#REF!+#REF!</f>
        <v>#REF!</v>
      </c>
    </row>
    <row r="111" spans="1:11" s="105" customFormat="1" ht="15" customHeight="1">
      <c r="A111" s="1783">
        <v>15</v>
      </c>
      <c r="B111" s="1885"/>
      <c r="C111" s="1795" t="s">
        <v>1306</v>
      </c>
      <c r="D111" s="1853" t="s">
        <v>167</v>
      </c>
      <c r="E111" s="1854" t="s">
        <v>1378</v>
      </c>
      <c r="F111" s="1855">
        <v>100000</v>
      </c>
      <c r="G111" s="1883"/>
      <c r="H111" s="1883"/>
      <c r="I111" s="120"/>
      <c r="J111" s="120"/>
      <c r="K111" s="1032" t="e">
        <f>+#REF!+#REF!</f>
        <v>#REF!</v>
      </c>
    </row>
    <row r="112" spans="1:11" s="105" customFormat="1" ht="15" customHeight="1">
      <c r="A112" s="1783">
        <v>16</v>
      </c>
      <c r="B112" s="1885"/>
      <c r="C112" s="1795" t="s">
        <v>1267</v>
      </c>
      <c r="D112" s="1853" t="s">
        <v>167</v>
      </c>
      <c r="E112" s="1854" t="s">
        <v>1378</v>
      </c>
      <c r="F112" s="1855">
        <v>100000</v>
      </c>
      <c r="G112" s="1883"/>
      <c r="H112" s="1883"/>
      <c r="I112" s="120"/>
      <c r="J112" s="120"/>
      <c r="K112" s="1032" t="e">
        <f>+#REF!+#REF!</f>
        <v>#REF!</v>
      </c>
    </row>
    <row r="113" spans="1:11" s="105" customFormat="1" ht="15" customHeight="1">
      <c r="A113" s="1783">
        <v>17</v>
      </c>
      <c r="B113" s="1885"/>
      <c r="C113" s="1795" t="s">
        <v>1268</v>
      </c>
      <c r="D113" s="1853" t="s">
        <v>167</v>
      </c>
      <c r="E113" s="1854" t="s">
        <v>1378</v>
      </c>
      <c r="F113" s="1855">
        <v>100000</v>
      </c>
      <c r="G113" s="1883"/>
      <c r="H113" s="1883"/>
      <c r="I113" s="120"/>
      <c r="J113" s="120"/>
      <c r="K113" s="1032" t="e">
        <f>+#REF!+#REF!</f>
        <v>#REF!</v>
      </c>
    </row>
    <row r="114" spans="1:11" s="105" customFormat="1" ht="15" customHeight="1">
      <c r="A114" s="1783">
        <v>18</v>
      </c>
      <c r="B114" s="1885"/>
      <c r="C114" s="1795" t="s">
        <v>1191</v>
      </c>
      <c r="D114" s="1853" t="s">
        <v>167</v>
      </c>
      <c r="E114" s="1854" t="s">
        <v>1378</v>
      </c>
      <c r="F114" s="1855">
        <v>100000</v>
      </c>
      <c r="G114" s="1883"/>
      <c r="H114" s="1883"/>
      <c r="I114" s="120"/>
      <c r="J114" s="120"/>
      <c r="K114" s="1032" t="e">
        <f>+#REF!+#REF!</f>
        <v>#REF!</v>
      </c>
    </row>
    <row r="115" spans="1:11" s="105" customFormat="1" ht="15" customHeight="1">
      <c r="A115" s="1783">
        <v>19</v>
      </c>
      <c r="B115" s="1885"/>
      <c r="C115" s="1795" t="s">
        <v>563</v>
      </c>
      <c r="D115" s="1853" t="s">
        <v>167</v>
      </c>
      <c r="E115" s="1854" t="s">
        <v>1378</v>
      </c>
      <c r="F115" s="1855">
        <v>100000</v>
      </c>
      <c r="G115" s="1883"/>
      <c r="H115" s="1883"/>
      <c r="I115" s="120"/>
      <c r="J115" s="120"/>
      <c r="K115" s="1032" t="e">
        <f>+#REF!+#REF!</f>
        <v>#REF!</v>
      </c>
    </row>
    <row r="116" spans="1:11" s="105" customFormat="1" ht="15" customHeight="1">
      <c r="A116" s="1783">
        <v>20</v>
      </c>
      <c r="B116" s="1885"/>
      <c r="C116" s="1795" t="s">
        <v>1269</v>
      </c>
      <c r="D116" s="1853" t="s">
        <v>167</v>
      </c>
      <c r="E116" s="1854" t="s">
        <v>1378</v>
      </c>
      <c r="F116" s="1855">
        <v>100000</v>
      </c>
      <c r="G116" s="1883"/>
      <c r="H116" s="1883"/>
      <c r="I116" s="120"/>
      <c r="J116" s="120"/>
      <c r="K116" s="1032" t="e">
        <f>+#REF!+#REF!</f>
        <v>#REF!</v>
      </c>
    </row>
    <row r="117" spans="1:11" s="105" customFormat="1" ht="15" customHeight="1">
      <c r="A117" s="1783">
        <v>21</v>
      </c>
      <c r="B117" s="1885"/>
      <c r="C117" s="1795" t="s">
        <v>236</v>
      </c>
      <c r="D117" s="1853" t="s">
        <v>167</v>
      </c>
      <c r="E117" s="1854" t="s">
        <v>1378</v>
      </c>
      <c r="F117" s="1855">
        <v>100000</v>
      </c>
      <c r="G117" s="1883"/>
      <c r="H117" s="1883"/>
      <c r="I117" s="120"/>
      <c r="J117" s="120"/>
      <c r="K117" s="1032" t="e">
        <f>+#REF!+#REF!</f>
        <v>#REF!</v>
      </c>
    </row>
    <row r="118" spans="1:11" s="105" customFormat="1" ht="15" customHeight="1">
      <c r="A118" s="1783">
        <v>22</v>
      </c>
      <c r="B118" s="1885"/>
      <c r="C118" s="1795" t="s">
        <v>1270</v>
      </c>
      <c r="D118" s="1853" t="s">
        <v>167</v>
      </c>
      <c r="E118" s="1854" t="s">
        <v>1378</v>
      </c>
      <c r="F118" s="1855">
        <v>100000</v>
      </c>
      <c r="G118" s="1883"/>
      <c r="H118" s="1883"/>
      <c r="I118" s="120"/>
      <c r="J118" s="120"/>
      <c r="K118" s="1032" t="e">
        <f>+#REF!+#REF!</f>
        <v>#REF!</v>
      </c>
    </row>
    <row r="119" spans="1:11" s="105" customFormat="1" ht="15" customHeight="1">
      <c r="A119" s="1783">
        <v>23</v>
      </c>
      <c r="B119" s="1885"/>
      <c r="C119" s="1795" t="s">
        <v>1190</v>
      </c>
      <c r="D119" s="1853" t="s">
        <v>167</v>
      </c>
      <c r="E119" s="1854" t="s">
        <v>1378</v>
      </c>
      <c r="F119" s="1855">
        <v>100000</v>
      </c>
      <c r="G119" s="1883"/>
      <c r="H119" s="1883"/>
      <c r="I119" s="120"/>
      <c r="J119" s="120"/>
      <c r="K119" s="1032" t="e">
        <f>+#REF!+#REF!</f>
        <v>#REF!</v>
      </c>
    </row>
    <row r="120" spans="1:11" s="105" customFormat="1" ht="15" customHeight="1">
      <c r="A120" s="1783">
        <v>24</v>
      </c>
      <c r="B120" s="1885"/>
      <c r="C120" s="1795" t="s">
        <v>1244</v>
      </c>
      <c r="D120" s="1853" t="s">
        <v>167</v>
      </c>
      <c r="E120" s="1854" t="s">
        <v>1378</v>
      </c>
      <c r="F120" s="1855">
        <v>100000</v>
      </c>
      <c r="G120" s="1883"/>
      <c r="H120" s="1883"/>
      <c r="I120" s="120"/>
      <c r="J120" s="120"/>
      <c r="K120" s="1032" t="e">
        <f>+#REF!+#REF!</f>
        <v>#REF!</v>
      </c>
    </row>
    <row r="121" spans="1:11" s="105" customFormat="1" ht="15" customHeight="1">
      <c r="A121" s="1783">
        <v>25</v>
      </c>
      <c r="B121" s="1885"/>
      <c r="C121" s="1795" t="s">
        <v>1271</v>
      </c>
      <c r="D121" s="1853" t="s">
        <v>167</v>
      </c>
      <c r="E121" s="1854" t="s">
        <v>1378</v>
      </c>
      <c r="F121" s="1855">
        <v>100000</v>
      </c>
      <c r="G121" s="1883"/>
      <c r="H121" s="1787"/>
      <c r="I121" s="120"/>
      <c r="J121" s="120"/>
      <c r="K121" s="1032" t="e">
        <f>+#REF!+#REF!</f>
        <v>#REF!</v>
      </c>
    </row>
    <row r="122" spans="1:11" s="105" customFormat="1" ht="15" customHeight="1">
      <c r="A122" s="1783">
        <v>26</v>
      </c>
      <c r="B122" s="1885"/>
      <c r="C122" s="1795" t="s">
        <v>1245</v>
      </c>
      <c r="D122" s="1853" t="s">
        <v>167</v>
      </c>
      <c r="E122" s="1854" t="s">
        <v>1378</v>
      </c>
      <c r="F122" s="1855">
        <v>100000</v>
      </c>
      <c r="G122" s="1883"/>
      <c r="H122" s="1883"/>
      <c r="I122" s="120"/>
      <c r="J122" s="120"/>
      <c r="K122" s="1032" t="e">
        <f>+#REF!+#REF!</f>
        <v>#REF!</v>
      </c>
    </row>
    <row r="123" spans="1:11" s="105" customFormat="1" ht="15" customHeight="1">
      <c r="A123" s="1783">
        <v>27</v>
      </c>
      <c r="B123" s="1885"/>
      <c r="C123" s="1795" t="s">
        <v>1272</v>
      </c>
      <c r="D123" s="1853" t="s">
        <v>167</v>
      </c>
      <c r="E123" s="1854" t="s">
        <v>1378</v>
      </c>
      <c r="F123" s="1855">
        <v>100000</v>
      </c>
      <c r="G123" s="1883"/>
      <c r="H123" s="1883"/>
      <c r="I123" s="120"/>
      <c r="J123" s="120"/>
      <c r="K123" s="1032" t="e">
        <f>+#REF!+#REF!</f>
        <v>#REF!</v>
      </c>
    </row>
    <row r="124" spans="1:11" s="105" customFormat="1" ht="15" customHeight="1">
      <c r="A124" s="1783">
        <v>28</v>
      </c>
      <c r="B124" s="1885"/>
      <c r="C124" s="1795" t="s">
        <v>1192</v>
      </c>
      <c r="D124" s="1853" t="s">
        <v>167</v>
      </c>
      <c r="E124" s="1854" t="s">
        <v>1378</v>
      </c>
      <c r="F124" s="1855">
        <v>100000</v>
      </c>
      <c r="G124" s="1883"/>
      <c r="H124" s="1883"/>
      <c r="I124" s="120"/>
      <c r="J124" s="120"/>
      <c r="K124" s="1032" t="e">
        <f>+#REF!+#REF!</f>
        <v>#REF!</v>
      </c>
    </row>
    <row r="125" spans="1:11" s="105" customFormat="1" ht="15" customHeight="1">
      <c r="A125" s="1783">
        <v>29</v>
      </c>
      <c r="B125" s="1885"/>
      <c r="C125" s="1870" t="s">
        <v>1193</v>
      </c>
      <c r="D125" s="1853" t="s">
        <v>167</v>
      </c>
      <c r="E125" s="1854" t="s">
        <v>1378</v>
      </c>
      <c r="F125" s="1855">
        <v>100000</v>
      </c>
      <c r="G125" s="1883"/>
      <c r="H125" s="1883"/>
      <c r="I125" s="120"/>
      <c r="J125" s="120"/>
      <c r="K125" s="1032" t="e">
        <f>+#REF!+#REF!</f>
        <v>#REF!</v>
      </c>
    </row>
    <row r="126" spans="1:11" s="105" customFormat="1" ht="15" customHeight="1">
      <c r="A126" s="1783">
        <v>30</v>
      </c>
      <c r="B126" s="1885"/>
      <c r="C126" s="1795" t="s">
        <v>1273</v>
      </c>
      <c r="D126" s="1853" t="s">
        <v>167</v>
      </c>
      <c r="E126" s="1854" t="s">
        <v>1378</v>
      </c>
      <c r="F126" s="1855">
        <v>100000</v>
      </c>
      <c r="G126" s="1883"/>
      <c r="H126" s="1883"/>
      <c r="I126" s="120"/>
      <c r="J126" s="120"/>
      <c r="K126" s="1032" t="e">
        <f>+#REF!+#REF!</f>
        <v>#REF!</v>
      </c>
    </row>
    <row r="127" spans="1:11" s="105" customFormat="1" ht="15" customHeight="1">
      <c r="A127" s="1783">
        <v>31</v>
      </c>
      <c r="B127" s="1885"/>
      <c r="C127" s="1795" t="s">
        <v>1194</v>
      </c>
      <c r="D127" s="1853" t="s">
        <v>167</v>
      </c>
      <c r="E127" s="1854" t="s">
        <v>1378</v>
      </c>
      <c r="F127" s="1855">
        <v>100000</v>
      </c>
      <c r="G127" s="1883"/>
      <c r="H127" s="1883"/>
      <c r="I127" s="120"/>
      <c r="J127" s="120"/>
      <c r="K127" s="1032" t="e">
        <f>+#REF!+#REF!</f>
        <v>#REF!</v>
      </c>
    </row>
    <row r="128" spans="1:11" s="105" customFormat="1" ht="15" customHeight="1">
      <c r="A128" s="1783">
        <v>32</v>
      </c>
      <c r="B128" s="1784"/>
      <c r="C128" s="1795" t="s">
        <v>1274</v>
      </c>
      <c r="D128" s="1853" t="s">
        <v>167</v>
      </c>
      <c r="E128" s="1854" t="s">
        <v>1378</v>
      </c>
      <c r="F128" s="1855">
        <v>100000</v>
      </c>
      <c r="G128" s="1883"/>
      <c r="H128" s="1883"/>
      <c r="I128" s="120"/>
      <c r="J128" s="120"/>
      <c r="K128" s="1032" t="e">
        <f>+#REF!+#REF!</f>
        <v>#REF!</v>
      </c>
    </row>
    <row r="129" spans="1:11" s="105" customFormat="1" ht="15" customHeight="1">
      <c r="A129" s="1783">
        <v>33</v>
      </c>
      <c r="B129" s="1784"/>
      <c r="C129" s="1795" t="s">
        <v>1195</v>
      </c>
      <c r="D129" s="1853" t="s">
        <v>167</v>
      </c>
      <c r="E129" s="1854" t="s">
        <v>1378</v>
      </c>
      <c r="F129" s="1855">
        <v>100000</v>
      </c>
      <c r="G129" s="1883"/>
      <c r="H129" s="1883"/>
      <c r="I129" s="120"/>
      <c r="J129" s="120"/>
      <c r="K129" s="1032" t="e">
        <f>+#REF!+#REF!</f>
        <v>#REF!</v>
      </c>
    </row>
    <row r="130" spans="1:11" s="105" customFormat="1" ht="15" customHeight="1">
      <c r="A130" s="1783">
        <v>34</v>
      </c>
      <c r="B130" s="1784"/>
      <c r="C130" s="1795" t="s">
        <v>1275</v>
      </c>
      <c r="D130" s="1853" t="s">
        <v>167</v>
      </c>
      <c r="E130" s="1854" t="s">
        <v>1378</v>
      </c>
      <c r="F130" s="1855">
        <v>100000</v>
      </c>
      <c r="G130" s="1883"/>
      <c r="H130" s="1883"/>
      <c r="I130" s="120"/>
      <c r="J130" s="120"/>
      <c r="K130" s="1032" t="e">
        <f>+#REF!+#REF!</f>
        <v>#REF!</v>
      </c>
    </row>
    <row r="131" spans="1:11" s="105" customFormat="1" ht="15" customHeight="1">
      <c r="A131" s="1783">
        <v>35</v>
      </c>
      <c r="B131" s="1784"/>
      <c r="C131" s="1795" t="s">
        <v>1276</v>
      </c>
      <c r="D131" s="1853" t="s">
        <v>167</v>
      </c>
      <c r="E131" s="1854" t="s">
        <v>1378</v>
      </c>
      <c r="F131" s="1855">
        <v>100000</v>
      </c>
      <c r="G131" s="1883"/>
      <c r="H131" s="1883"/>
      <c r="I131" s="120"/>
      <c r="J131" s="120"/>
      <c r="K131" s="1032" t="e">
        <f>+#REF!+#REF!</f>
        <v>#REF!</v>
      </c>
    </row>
    <row r="132" spans="1:11" s="105" customFormat="1" ht="15" customHeight="1">
      <c r="A132" s="1783">
        <v>36</v>
      </c>
      <c r="B132" s="1784"/>
      <c r="C132" s="1795" t="s">
        <v>1196</v>
      </c>
      <c r="D132" s="1853" t="s">
        <v>167</v>
      </c>
      <c r="E132" s="1854" t="s">
        <v>1378</v>
      </c>
      <c r="F132" s="1855">
        <v>100000</v>
      </c>
      <c r="G132" s="1883"/>
      <c r="H132" s="1883"/>
      <c r="I132" s="120"/>
      <c r="J132" s="120"/>
      <c r="K132" s="1032" t="e">
        <f>+#REF!+#REF!</f>
        <v>#REF!</v>
      </c>
    </row>
    <row r="133" spans="1:11" s="105" customFormat="1" ht="15" customHeight="1">
      <c r="A133" s="1783">
        <v>37</v>
      </c>
      <c r="B133" s="1784"/>
      <c r="C133" s="1795" t="s">
        <v>1197</v>
      </c>
      <c r="D133" s="1853" t="s">
        <v>167</v>
      </c>
      <c r="E133" s="1854" t="s">
        <v>1378</v>
      </c>
      <c r="F133" s="1855">
        <v>100000</v>
      </c>
      <c r="G133" s="1883"/>
      <c r="H133" s="1883"/>
      <c r="I133" s="120"/>
      <c r="J133" s="120"/>
      <c r="K133" s="1032" t="e">
        <f>+#REF!+#REF!</f>
        <v>#REF!</v>
      </c>
    </row>
    <row r="134" spans="1:11" s="105" customFormat="1" ht="15" customHeight="1">
      <c r="A134" s="1783">
        <v>38</v>
      </c>
      <c r="B134" s="1784"/>
      <c r="C134" s="1795" t="s">
        <v>1246</v>
      </c>
      <c r="D134" s="1853" t="s">
        <v>167</v>
      </c>
      <c r="E134" s="1854" t="s">
        <v>1378</v>
      </c>
      <c r="F134" s="1855">
        <v>100000</v>
      </c>
      <c r="G134" s="1883"/>
      <c r="H134" s="1883"/>
      <c r="I134" s="120"/>
      <c r="J134" s="120"/>
      <c r="K134" s="1032" t="e">
        <f>+#REF!+#REF!</f>
        <v>#REF!</v>
      </c>
    </row>
    <row r="135" spans="1:11" s="105" customFormat="1" ht="15" customHeight="1">
      <c r="A135" s="1783">
        <v>39</v>
      </c>
      <c r="B135" s="1784"/>
      <c r="C135" s="1795" t="s">
        <v>1198</v>
      </c>
      <c r="D135" s="1853" t="s">
        <v>167</v>
      </c>
      <c r="E135" s="1854" t="s">
        <v>1378</v>
      </c>
      <c r="F135" s="1855">
        <v>100000</v>
      </c>
      <c r="G135" s="1883"/>
      <c r="H135" s="1883"/>
      <c r="I135" s="120"/>
      <c r="J135" s="120"/>
      <c r="K135" s="1032" t="e">
        <f>+#REF!+#REF!</f>
        <v>#REF!</v>
      </c>
    </row>
    <row r="136" spans="1:11" s="105" customFormat="1" ht="15" customHeight="1">
      <c r="A136" s="1783">
        <v>40</v>
      </c>
      <c r="B136" s="1784"/>
      <c r="C136" s="1795" t="s">
        <v>1199</v>
      </c>
      <c r="D136" s="1853" t="s">
        <v>167</v>
      </c>
      <c r="E136" s="1854" t="s">
        <v>1378</v>
      </c>
      <c r="F136" s="1855">
        <v>100000</v>
      </c>
      <c r="G136" s="1883"/>
      <c r="H136" s="1883"/>
      <c r="I136" s="120"/>
      <c r="J136" s="120"/>
      <c r="K136" s="1032" t="e">
        <f>+#REF!+#REF!</f>
        <v>#REF!</v>
      </c>
    </row>
    <row r="137" spans="1:11" s="105" customFormat="1" ht="15" customHeight="1">
      <c r="A137" s="1783">
        <v>41</v>
      </c>
      <c r="B137" s="1784"/>
      <c r="C137" s="1795" t="s">
        <v>1200</v>
      </c>
      <c r="D137" s="1853" t="s">
        <v>167</v>
      </c>
      <c r="E137" s="1854" t="s">
        <v>1378</v>
      </c>
      <c r="F137" s="1855">
        <v>100000</v>
      </c>
      <c r="G137" s="1883"/>
      <c r="H137" s="1883"/>
      <c r="I137" s="120"/>
      <c r="J137" s="120"/>
      <c r="K137" s="1032" t="e">
        <f>+#REF!+#REF!</f>
        <v>#REF!</v>
      </c>
    </row>
    <row r="138" spans="1:11" s="105" customFormat="1" ht="15" customHeight="1">
      <c r="A138" s="1783">
        <v>42</v>
      </c>
      <c r="B138" s="1784"/>
      <c r="C138" s="1795" t="s">
        <v>1201</v>
      </c>
      <c r="D138" s="1853" t="s">
        <v>167</v>
      </c>
      <c r="E138" s="1854" t="s">
        <v>1378</v>
      </c>
      <c r="F138" s="1855">
        <v>100000</v>
      </c>
      <c r="G138" s="1883"/>
      <c r="H138" s="1883"/>
      <c r="I138" s="120"/>
      <c r="J138" s="120"/>
      <c r="K138" s="1032"/>
    </row>
    <row r="139" spans="1:11" s="105" customFormat="1" ht="15" customHeight="1">
      <c r="A139" s="1783">
        <v>43</v>
      </c>
      <c r="B139" s="1784"/>
      <c r="C139" s="1795" t="s">
        <v>1277</v>
      </c>
      <c r="D139" s="1853" t="s">
        <v>167</v>
      </c>
      <c r="E139" s="1854" t="s">
        <v>1378</v>
      </c>
      <c r="F139" s="1855">
        <v>100000</v>
      </c>
      <c r="G139" s="1883"/>
      <c r="H139" s="1886"/>
      <c r="I139" s="120"/>
      <c r="J139" s="120"/>
      <c r="K139" s="1032"/>
    </row>
    <row r="140" spans="1:11" s="105" customFormat="1" ht="15" customHeight="1">
      <c r="A140" s="1783">
        <v>44</v>
      </c>
      <c r="B140" s="1878"/>
      <c r="C140" s="1907" t="s">
        <v>1278</v>
      </c>
      <c r="D140" s="1853" t="s">
        <v>167</v>
      </c>
      <c r="E140" s="1854" t="s">
        <v>1378</v>
      </c>
      <c r="F140" s="1855">
        <v>100000</v>
      </c>
      <c r="G140" s="1883"/>
      <c r="H140" s="1887"/>
      <c r="I140" s="120"/>
      <c r="J140" s="120"/>
      <c r="K140" s="1032"/>
    </row>
    <row r="141" spans="1:11" s="105" customFormat="1" ht="15" customHeight="1">
      <c r="A141" s="1783">
        <v>45</v>
      </c>
      <c r="B141" s="1784"/>
      <c r="C141" s="1795" t="s">
        <v>555</v>
      </c>
      <c r="D141" s="1853" t="s">
        <v>167</v>
      </c>
      <c r="E141" s="1854" t="s">
        <v>1378</v>
      </c>
      <c r="F141" s="1855">
        <v>100000</v>
      </c>
      <c r="G141" s="1883"/>
      <c r="H141" s="1884"/>
      <c r="I141" s="120"/>
      <c r="J141" s="120"/>
      <c r="K141" s="1032"/>
    </row>
    <row r="142" spans="1:11" s="105" customFormat="1" ht="15" customHeight="1">
      <c r="A142" s="1783">
        <v>46</v>
      </c>
      <c r="B142" s="1784"/>
      <c r="C142" s="1795" t="s">
        <v>560</v>
      </c>
      <c r="D142" s="1853" t="s">
        <v>167</v>
      </c>
      <c r="E142" s="1854" t="s">
        <v>1378</v>
      </c>
      <c r="F142" s="1855">
        <v>100000</v>
      </c>
      <c r="G142" s="1883"/>
      <c r="H142" s="1883"/>
      <c r="I142" s="120"/>
      <c r="J142" s="120"/>
      <c r="K142" s="1032"/>
    </row>
    <row r="143" spans="1:11" s="105" customFormat="1" ht="15" customHeight="1">
      <c r="A143" s="1783">
        <v>47</v>
      </c>
      <c r="B143" s="1784"/>
      <c r="C143" s="1795" t="s">
        <v>284</v>
      </c>
      <c r="D143" s="1853" t="s">
        <v>167</v>
      </c>
      <c r="E143" s="1854" t="s">
        <v>1378</v>
      </c>
      <c r="F143" s="1855">
        <v>100000</v>
      </c>
      <c r="G143" s="1883"/>
      <c r="H143" s="1883"/>
      <c r="I143" s="120"/>
      <c r="J143" s="120"/>
      <c r="K143" s="1032"/>
    </row>
    <row r="144" spans="1:11" s="105" customFormat="1" ht="15" customHeight="1">
      <c r="A144" s="1783">
        <v>48</v>
      </c>
      <c r="B144" s="1784"/>
      <c r="C144" s="1795" t="s">
        <v>1247</v>
      </c>
      <c r="D144" s="1853" t="s">
        <v>167</v>
      </c>
      <c r="E144" s="1854" t="s">
        <v>1378</v>
      </c>
      <c r="F144" s="1855">
        <v>100000</v>
      </c>
      <c r="G144" s="1883"/>
      <c r="H144" s="1883"/>
      <c r="I144" s="120"/>
      <c r="J144" s="120">
        <v>1</v>
      </c>
      <c r="K144" s="1032"/>
    </row>
    <row r="145" spans="1:11" s="105" customFormat="1" ht="15" customHeight="1">
      <c r="A145" s="1783">
        <v>49</v>
      </c>
      <c r="B145" s="1784"/>
      <c r="C145" s="1795" t="s">
        <v>842</v>
      </c>
      <c r="D145" s="1853" t="s">
        <v>167</v>
      </c>
      <c r="E145" s="1854" t="s">
        <v>1378</v>
      </c>
      <c r="F145" s="1855">
        <v>100000</v>
      </c>
      <c r="G145" s="1883"/>
      <c r="H145" s="1883"/>
      <c r="I145" s="120"/>
      <c r="J145" s="120"/>
      <c r="K145" s="1032"/>
    </row>
    <row r="146" spans="1:11" s="105" customFormat="1" ht="15" customHeight="1">
      <c r="A146" s="1783">
        <v>50</v>
      </c>
      <c r="B146" s="1784"/>
      <c r="C146" s="1870" t="s">
        <v>1248</v>
      </c>
      <c r="D146" s="1853" t="s">
        <v>167</v>
      </c>
      <c r="E146" s="1854" t="s">
        <v>1378</v>
      </c>
      <c r="F146" s="1855">
        <v>100000</v>
      </c>
      <c r="G146" s="1883"/>
      <c r="H146" s="1883"/>
      <c r="I146" s="120"/>
      <c r="J146" s="120"/>
      <c r="K146" s="1032"/>
    </row>
    <row r="147" spans="1:11" s="105" customFormat="1" ht="15" customHeight="1">
      <c r="A147" s="1783">
        <v>51</v>
      </c>
      <c r="B147" s="1784"/>
      <c r="C147" s="1870" t="s">
        <v>1279</v>
      </c>
      <c r="D147" s="1853" t="s">
        <v>167</v>
      </c>
      <c r="E147" s="1854" t="s">
        <v>1378</v>
      </c>
      <c r="F147" s="1855">
        <v>100000</v>
      </c>
      <c r="G147" s="1883"/>
      <c r="H147" s="1883"/>
      <c r="I147" s="120"/>
      <c r="J147" s="120"/>
      <c r="K147" s="1032"/>
    </row>
    <row r="148" spans="1:11" s="105" customFormat="1" ht="15" customHeight="1">
      <c r="A148" s="1783">
        <v>52</v>
      </c>
      <c r="B148" s="1784"/>
      <c r="C148" s="1870" t="s">
        <v>1249</v>
      </c>
      <c r="D148" s="1853" t="s">
        <v>167</v>
      </c>
      <c r="E148" s="1854" t="s">
        <v>1378</v>
      </c>
      <c r="F148" s="1855">
        <v>100000</v>
      </c>
      <c r="G148" s="1883"/>
      <c r="H148" s="1883"/>
      <c r="I148" s="120"/>
      <c r="J148" s="120"/>
      <c r="K148" s="1032"/>
    </row>
    <row r="149" spans="1:11" s="105" customFormat="1" ht="15" customHeight="1">
      <c r="A149" s="1783">
        <v>53</v>
      </c>
      <c r="B149" s="1784"/>
      <c r="C149" s="1870" t="s">
        <v>1008</v>
      </c>
      <c r="D149" s="1853" t="s">
        <v>167</v>
      </c>
      <c r="E149" s="1854" t="s">
        <v>1378</v>
      </c>
      <c r="F149" s="1855">
        <v>100000</v>
      </c>
      <c r="G149" s="1883"/>
      <c r="H149" s="1883"/>
      <c r="I149" s="120"/>
      <c r="J149" s="120"/>
      <c r="K149" s="1032"/>
    </row>
    <row r="150" spans="1:11" s="105" customFormat="1" ht="15" customHeight="1">
      <c r="A150" s="1783">
        <v>54</v>
      </c>
      <c r="B150" s="1784"/>
      <c r="C150" s="1870" t="s">
        <v>1202</v>
      </c>
      <c r="D150" s="1853" t="s">
        <v>167</v>
      </c>
      <c r="E150" s="1854" t="s">
        <v>1378</v>
      </c>
      <c r="F150" s="1855">
        <v>100000</v>
      </c>
      <c r="G150" s="1883"/>
      <c r="H150" s="1883"/>
      <c r="I150" s="120"/>
      <c r="J150" s="120"/>
      <c r="K150" s="1032"/>
    </row>
    <row r="151" spans="1:11" s="105" customFormat="1" ht="15" customHeight="1">
      <c r="A151" s="1783">
        <v>55</v>
      </c>
      <c r="B151" s="1784"/>
      <c r="C151" s="1870" t="s">
        <v>1009</v>
      </c>
      <c r="D151" s="1853" t="s">
        <v>167</v>
      </c>
      <c r="E151" s="1854" t="s">
        <v>1378</v>
      </c>
      <c r="F151" s="1855">
        <v>100000</v>
      </c>
      <c r="G151" s="1883"/>
      <c r="H151" s="1883"/>
      <c r="I151" s="120"/>
      <c r="J151" s="120"/>
      <c r="K151" s="1032"/>
    </row>
    <row r="152" spans="1:11" s="105" customFormat="1" ht="15" customHeight="1">
      <c r="A152" s="1783">
        <v>56</v>
      </c>
      <c r="B152" s="1784"/>
      <c r="C152" s="1870" t="s">
        <v>1250</v>
      </c>
      <c r="D152" s="1853" t="s">
        <v>167</v>
      </c>
      <c r="E152" s="1854" t="s">
        <v>1378</v>
      </c>
      <c r="F152" s="1855">
        <v>100000</v>
      </c>
      <c r="G152" s="1883"/>
      <c r="H152" s="1883"/>
      <c r="I152" s="120"/>
      <c r="J152" s="120"/>
      <c r="K152" s="1032"/>
    </row>
    <row r="153" spans="1:11" s="105" customFormat="1" ht="15" customHeight="1">
      <c r="A153" s="1783">
        <v>57</v>
      </c>
      <c r="B153" s="1784"/>
      <c r="C153" s="1870" t="s">
        <v>1203</v>
      </c>
      <c r="D153" s="1853" t="s">
        <v>167</v>
      </c>
      <c r="E153" s="1854" t="s">
        <v>1378</v>
      </c>
      <c r="F153" s="1855">
        <v>100000</v>
      </c>
      <c r="G153" s="1883"/>
      <c r="H153" s="1883"/>
      <c r="I153" s="120"/>
      <c r="J153" s="120"/>
      <c r="K153" s="1032"/>
    </row>
    <row r="154" spans="1:11" s="105" customFormat="1" ht="15" customHeight="1">
      <c r="A154" s="1783">
        <v>58</v>
      </c>
      <c r="B154" s="1784"/>
      <c r="C154" s="1870" t="s">
        <v>1204</v>
      </c>
      <c r="D154" s="1853" t="s">
        <v>167</v>
      </c>
      <c r="E154" s="1854" t="s">
        <v>1378</v>
      </c>
      <c r="F154" s="1855">
        <v>100000</v>
      </c>
      <c r="G154" s="1883"/>
      <c r="H154" s="1883"/>
      <c r="I154" s="120"/>
      <c r="J154" s="120"/>
      <c r="K154" s="1032"/>
    </row>
    <row r="155" spans="1:11" s="105" customFormat="1" ht="15" customHeight="1">
      <c r="A155" s="1783">
        <v>59</v>
      </c>
      <c r="B155" s="1784"/>
      <c r="C155" s="1870" t="s">
        <v>1251</v>
      </c>
      <c r="D155" s="1853" t="s">
        <v>167</v>
      </c>
      <c r="E155" s="1854" t="s">
        <v>1378</v>
      </c>
      <c r="F155" s="1855">
        <v>100000</v>
      </c>
      <c r="G155" s="1883"/>
      <c r="H155" s="1883"/>
      <c r="I155" s="120"/>
      <c r="J155" s="120"/>
      <c r="K155" s="1032"/>
    </row>
    <row r="156" spans="1:11" s="105" customFormat="1" ht="15" customHeight="1">
      <c r="A156" s="1783">
        <v>60</v>
      </c>
      <c r="B156" s="1784"/>
      <c r="C156" s="1870" t="s">
        <v>1252</v>
      </c>
      <c r="D156" s="1853" t="s">
        <v>167</v>
      </c>
      <c r="E156" s="1854" t="s">
        <v>1378</v>
      </c>
      <c r="F156" s="1855">
        <v>100000</v>
      </c>
      <c r="G156" s="1883"/>
      <c r="H156" s="1883"/>
      <c r="I156" s="120"/>
      <c r="J156" s="120"/>
      <c r="K156" s="1032"/>
    </row>
    <row r="157" spans="1:11" s="105" customFormat="1" ht="15" customHeight="1">
      <c r="A157" s="1783">
        <v>61</v>
      </c>
      <c r="B157" s="1784"/>
      <c r="C157" s="1870" t="s">
        <v>1205</v>
      </c>
      <c r="D157" s="1853" t="s">
        <v>167</v>
      </c>
      <c r="E157" s="1854" t="s">
        <v>1378</v>
      </c>
      <c r="F157" s="1855">
        <v>100000</v>
      </c>
      <c r="G157" s="1883"/>
      <c r="H157" s="1883"/>
      <c r="I157" s="120"/>
      <c r="J157" s="120"/>
      <c r="K157" s="1032"/>
    </row>
    <row r="158" spans="1:11" s="105" customFormat="1" ht="15" customHeight="1">
      <c r="A158" s="1783">
        <v>62</v>
      </c>
      <c r="B158" s="1784"/>
      <c r="C158" s="1870" t="s">
        <v>1206</v>
      </c>
      <c r="D158" s="1853" t="s">
        <v>167</v>
      </c>
      <c r="E158" s="1854" t="s">
        <v>1378</v>
      </c>
      <c r="F158" s="1855">
        <v>100000</v>
      </c>
      <c r="G158" s="1883"/>
      <c r="H158" s="1883"/>
      <c r="I158" s="120"/>
      <c r="J158" s="120"/>
      <c r="K158" s="1032"/>
    </row>
    <row r="159" spans="1:11" s="105" customFormat="1" ht="15" customHeight="1">
      <c r="A159" s="1783">
        <v>63</v>
      </c>
      <c r="B159" s="1784"/>
      <c r="C159" s="1870" t="s">
        <v>1207</v>
      </c>
      <c r="D159" s="1853" t="s">
        <v>167</v>
      </c>
      <c r="E159" s="1854" t="s">
        <v>1378</v>
      </c>
      <c r="F159" s="1855">
        <v>100000</v>
      </c>
      <c r="G159" s="1883"/>
      <c r="H159" s="1883"/>
      <c r="I159" s="120"/>
      <c r="J159" s="120"/>
      <c r="K159" s="1032"/>
    </row>
    <row r="160" spans="1:11" s="105" customFormat="1" ht="15" customHeight="1">
      <c r="A160" s="1783">
        <v>64</v>
      </c>
      <c r="B160" s="1784"/>
      <c r="C160" s="1870" t="s">
        <v>1208</v>
      </c>
      <c r="D160" s="1853" t="s">
        <v>167</v>
      </c>
      <c r="E160" s="1854" t="s">
        <v>1378</v>
      </c>
      <c r="F160" s="1855">
        <v>100000</v>
      </c>
      <c r="G160" s="1883"/>
      <c r="H160" s="1883"/>
      <c r="I160" s="120"/>
      <c r="J160" s="120"/>
      <c r="K160" s="1032"/>
    </row>
    <row r="161" spans="1:13" s="105" customFormat="1" ht="15" customHeight="1">
      <c r="A161" s="1783">
        <v>65</v>
      </c>
      <c r="B161" s="1784"/>
      <c r="C161" s="1870" t="s">
        <v>1209</v>
      </c>
      <c r="D161" s="1853" t="s">
        <v>167</v>
      </c>
      <c r="E161" s="1854" t="s">
        <v>1378</v>
      </c>
      <c r="F161" s="1855">
        <v>100000</v>
      </c>
      <c r="G161" s="1883"/>
      <c r="H161" s="1883"/>
      <c r="I161" s="120"/>
      <c r="J161" s="120"/>
      <c r="K161" s="1032"/>
    </row>
    <row r="162" spans="1:13" s="105" customFormat="1" ht="15" customHeight="1">
      <c r="A162" s="1783">
        <v>66</v>
      </c>
      <c r="B162" s="1784"/>
      <c r="C162" s="1870" t="s">
        <v>1210</v>
      </c>
      <c r="D162" s="1853" t="s">
        <v>167</v>
      </c>
      <c r="E162" s="1854" t="s">
        <v>1378</v>
      </c>
      <c r="F162" s="1855">
        <v>100000</v>
      </c>
      <c r="G162" s="1883"/>
      <c r="H162" s="1883"/>
      <c r="I162" s="120"/>
      <c r="J162" s="120"/>
      <c r="K162" s="1032"/>
    </row>
    <row r="163" spans="1:13" s="105" customFormat="1" ht="15" customHeight="1">
      <c r="A163" s="1783">
        <v>67</v>
      </c>
      <c r="B163" s="1784"/>
      <c r="C163" s="1870" t="s">
        <v>1211</v>
      </c>
      <c r="D163" s="1853" t="s">
        <v>167</v>
      </c>
      <c r="E163" s="1854" t="s">
        <v>1378</v>
      </c>
      <c r="F163" s="1855">
        <v>100000</v>
      </c>
      <c r="G163" s="1883"/>
      <c r="H163" s="1883"/>
      <c r="I163" s="120"/>
      <c r="J163" s="120"/>
      <c r="K163" s="1032"/>
    </row>
    <row r="164" spans="1:13" s="105" customFormat="1" ht="15" customHeight="1">
      <c r="A164" s="1783">
        <v>68</v>
      </c>
      <c r="B164" s="1784"/>
      <c r="C164" s="1870" t="s">
        <v>1212</v>
      </c>
      <c r="D164" s="1853" t="s">
        <v>167</v>
      </c>
      <c r="E164" s="1854" t="s">
        <v>1378</v>
      </c>
      <c r="F164" s="1855">
        <v>100000</v>
      </c>
      <c r="G164" s="1883"/>
      <c r="H164" s="1883"/>
      <c r="I164" s="120"/>
      <c r="J164" s="120"/>
      <c r="K164" s="1032"/>
    </row>
    <row r="165" spans="1:13" s="105" customFormat="1" ht="15" customHeight="1">
      <c r="A165" s="1783">
        <v>69</v>
      </c>
      <c r="B165" s="1784"/>
      <c r="C165" s="1870" t="s">
        <v>1105</v>
      </c>
      <c r="D165" s="1853" t="s">
        <v>167</v>
      </c>
      <c r="E165" s="1854" t="s">
        <v>1378</v>
      </c>
      <c r="F165" s="1855">
        <v>100000</v>
      </c>
      <c r="G165" s="1883"/>
      <c r="H165" s="1883"/>
      <c r="I165" s="120"/>
      <c r="J165" s="120"/>
      <c r="K165" s="1032"/>
    </row>
    <row r="166" spans="1:13" s="105" customFormat="1" ht="15" customHeight="1">
      <c r="A166" s="1783">
        <v>70</v>
      </c>
      <c r="B166" s="1784"/>
      <c r="C166" s="1870" t="s">
        <v>1213</v>
      </c>
      <c r="D166" s="1853" t="s">
        <v>167</v>
      </c>
      <c r="E166" s="1854" t="s">
        <v>1378</v>
      </c>
      <c r="F166" s="1855">
        <v>100000</v>
      </c>
      <c r="G166" s="1883"/>
      <c r="H166" s="1883"/>
      <c r="I166" s="120"/>
      <c r="J166" s="120"/>
      <c r="K166" s="1032"/>
    </row>
    <row r="167" spans="1:13" s="105" customFormat="1" ht="15" customHeight="1">
      <c r="A167" s="1783">
        <v>71</v>
      </c>
      <c r="B167" s="1784"/>
      <c r="C167" s="1870" t="s">
        <v>850</v>
      </c>
      <c r="D167" s="1853" t="s">
        <v>167</v>
      </c>
      <c r="E167" s="1854" t="s">
        <v>1378</v>
      </c>
      <c r="F167" s="1855">
        <v>100000</v>
      </c>
      <c r="G167" s="1883"/>
      <c r="H167" s="1883"/>
      <c r="I167" s="120"/>
      <c r="J167" s="120"/>
      <c r="K167" s="1032"/>
    </row>
    <row r="168" spans="1:13" s="105" customFormat="1" ht="15" customHeight="1">
      <c r="A168" s="1783">
        <v>72</v>
      </c>
      <c r="B168" s="1784"/>
      <c r="C168" s="1870" t="s">
        <v>1214</v>
      </c>
      <c r="D168" s="1853" t="s">
        <v>167</v>
      </c>
      <c r="E168" s="1854" t="s">
        <v>1378</v>
      </c>
      <c r="F168" s="1855">
        <v>100000</v>
      </c>
      <c r="G168" s="1883"/>
      <c r="H168" s="1883"/>
      <c r="I168" s="120"/>
      <c r="J168" s="120"/>
      <c r="K168" s="1032"/>
    </row>
    <row r="169" spans="1:13" s="105" customFormat="1" ht="15" customHeight="1">
      <c r="A169" s="1788">
        <v>73</v>
      </c>
      <c r="B169" s="1789"/>
      <c r="C169" s="1888" t="s">
        <v>288</v>
      </c>
      <c r="D169" s="1857" t="s">
        <v>167</v>
      </c>
      <c r="E169" s="1858" t="s">
        <v>1378</v>
      </c>
      <c r="F169" s="1859">
        <v>100000</v>
      </c>
      <c r="G169" s="1886"/>
      <c r="H169" s="1883"/>
      <c r="I169" s="120"/>
      <c r="J169" s="120"/>
      <c r="K169" s="1032"/>
    </row>
    <row r="170" spans="1:13" s="105" customFormat="1" ht="15" customHeight="1">
      <c r="A170" s="4208" t="s">
        <v>452</v>
      </c>
      <c r="B170" s="4208"/>
      <c r="C170" s="4208"/>
      <c r="D170" s="4208"/>
      <c r="E170" s="1844"/>
      <c r="F170" s="1861">
        <f>SUM(F97:F169)</f>
        <v>7300000</v>
      </c>
      <c r="G170" s="1882"/>
      <c r="H170" s="1883"/>
      <c r="I170" s="120"/>
      <c r="J170" s="120"/>
      <c r="K170" s="1032"/>
    </row>
    <row r="171" spans="1:13" s="105" customFormat="1" ht="15" customHeight="1">
      <c r="A171" s="1778">
        <v>1</v>
      </c>
      <c r="B171" s="1779"/>
      <c r="C171" s="1889" t="s">
        <v>437</v>
      </c>
      <c r="D171" s="1850" t="s">
        <v>167</v>
      </c>
      <c r="E171" s="1851" t="s">
        <v>453</v>
      </c>
      <c r="F171" s="1852">
        <v>100000</v>
      </c>
      <c r="G171" s="1884"/>
      <c r="H171" s="1883"/>
      <c r="I171" s="120"/>
      <c r="J171" s="120"/>
      <c r="K171" s="1032"/>
    </row>
    <row r="172" spans="1:13" s="105" customFormat="1" ht="15" customHeight="1">
      <c r="A172" s="1783">
        <v>2</v>
      </c>
      <c r="B172" s="1784"/>
      <c r="C172" s="1870" t="s">
        <v>1216</v>
      </c>
      <c r="D172" s="1853" t="s">
        <v>167</v>
      </c>
      <c r="E172" s="1854" t="s">
        <v>453</v>
      </c>
      <c r="F172" s="1855">
        <v>100000</v>
      </c>
      <c r="G172" s="1883"/>
      <c r="H172" s="1883"/>
      <c r="I172" s="120"/>
      <c r="J172" s="120"/>
      <c r="K172" s="1032"/>
    </row>
    <row r="173" spans="1:13" s="105" customFormat="1" ht="15" customHeight="1">
      <c r="A173" s="1783">
        <v>3</v>
      </c>
      <c r="B173" s="1784"/>
      <c r="C173" s="1870" t="s">
        <v>351</v>
      </c>
      <c r="D173" s="1853" t="s">
        <v>167</v>
      </c>
      <c r="E173" s="1854" t="s">
        <v>453</v>
      </c>
      <c r="F173" s="1855">
        <v>100000</v>
      </c>
      <c r="G173" s="1883"/>
      <c r="H173" s="1883"/>
      <c r="I173" s="120"/>
      <c r="J173" s="120"/>
      <c r="K173" s="1032"/>
    </row>
    <row r="174" spans="1:13" s="105" customFormat="1" ht="15" customHeight="1">
      <c r="A174" s="1783">
        <v>4</v>
      </c>
      <c r="B174" s="1784"/>
      <c r="C174" s="1870" t="s">
        <v>334</v>
      </c>
      <c r="D174" s="1853" t="s">
        <v>167</v>
      </c>
      <c r="E174" s="1854" t="s">
        <v>453</v>
      </c>
      <c r="F174" s="1855">
        <v>100000</v>
      </c>
      <c r="G174" s="1883"/>
      <c r="H174" s="1883"/>
      <c r="I174" s="120"/>
      <c r="J174" s="120"/>
      <c r="K174" s="1032"/>
    </row>
    <row r="175" spans="1:13" s="105" customFormat="1" ht="15" customHeight="1">
      <c r="A175" s="1783">
        <v>5</v>
      </c>
      <c r="B175" s="1784"/>
      <c r="C175" s="1870" t="s">
        <v>572</v>
      </c>
      <c r="D175" s="1853" t="s">
        <v>167</v>
      </c>
      <c r="E175" s="1854" t="s">
        <v>453</v>
      </c>
      <c r="F175" s="1855">
        <v>100000</v>
      </c>
      <c r="G175" s="1883"/>
      <c r="H175" s="1883"/>
      <c r="I175" s="120"/>
      <c r="J175" s="120"/>
      <c r="K175" s="1032"/>
    </row>
    <row r="176" spans="1:13" s="105" customFormat="1" ht="15" customHeight="1">
      <c r="A176" s="1783">
        <v>6</v>
      </c>
      <c r="B176" s="1784"/>
      <c r="C176" s="1870" t="s">
        <v>1217</v>
      </c>
      <c r="D176" s="1853" t="s">
        <v>167</v>
      </c>
      <c r="E176" s="1854" t="s">
        <v>453</v>
      </c>
      <c r="F176" s="1855">
        <v>100000</v>
      </c>
      <c r="G176" s="1883"/>
      <c r="H176" s="1883"/>
      <c r="I176" s="120"/>
      <c r="J176" s="120"/>
      <c r="K176" s="1032"/>
      <c r="L176" s="101"/>
      <c r="M176" s="1475"/>
    </row>
    <row r="177" spans="1:13" s="105" customFormat="1" ht="15" customHeight="1">
      <c r="A177" s="1783">
        <v>7</v>
      </c>
      <c r="B177" s="1784"/>
      <c r="C177" s="1870" t="s">
        <v>1218</v>
      </c>
      <c r="D177" s="1853" t="s">
        <v>167</v>
      </c>
      <c r="E177" s="1854" t="s">
        <v>453</v>
      </c>
      <c r="F177" s="1855">
        <v>100000</v>
      </c>
      <c r="G177" s="1883"/>
      <c r="H177" s="1883"/>
      <c r="I177" s="120"/>
      <c r="J177" s="120"/>
      <c r="K177" s="1032"/>
      <c r="L177" s="101"/>
      <c r="M177" s="1475"/>
    </row>
    <row r="178" spans="1:13" s="105" customFormat="1" ht="15" customHeight="1">
      <c r="A178" s="1783">
        <v>8</v>
      </c>
      <c r="B178" s="1784"/>
      <c r="C178" s="1870" t="s">
        <v>571</v>
      </c>
      <c r="D178" s="1853" t="s">
        <v>167</v>
      </c>
      <c r="E178" s="1854" t="s">
        <v>453</v>
      </c>
      <c r="F178" s="1855">
        <v>100000</v>
      </c>
      <c r="G178" s="1883"/>
      <c r="H178" s="1883"/>
      <c r="I178" s="120"/>
      <c r="J178" s="120"/>
      <c r="K178" s="1032"/>
      <c r="M178" s="1475"/>
    </row>
    <row r="179" spans="1:13" s="105" customFormat="1" ht="15" customHeight="1">
      <c r="A179" s="1783">
        <v>9</v>
      </c>
      <c r="B179" s="1784"/>
      <c r="C179" s="1870" t="s">
        <v>1219</v>
      </c>
      <c r="D179" s="1853" t="s">
        <v>167</v>
      </c>
      <c r="E179" s="1854" t="s">
        <v>453</v>
      </c>
      <c r="F179" s="1855">
        <v>100000</v>
      </c>
      <c r="G179" s="1883"/>
      <c r="H179" s="1883"/>
      <c r="I179" s="120"/>
      <c r="J179" s="120"/>
      <c r="K179" s="1032"/>
    </row>
    <row r="180" spans="1:13" s="105" customFormat="1" ht="15" customHeight="1">
      <c r="A180" s="1783">
        <v>10</v>
      </c>
      <c r="B180" s="1784"/>
      <c r="C180" s="1870" t="s">
        <v>576</v>
      </c>
      <c r="D180" s="1853" t="s">
        <v>167</v>
      </c>
      <c r="E180" s="1854" t="s">
        <v>453</v>
      </c>
      <c r="F180" s="1855">
        <v>100000</v>
      </c>
      <c r="G180" s="1883"/>
      <c r="H180" s="1883"/>
      <c r="I180" s="120"/>
      <c r="J180" s="120"/>
      <c r="K180" s="1032"/>
    </row>
    <row r="181" spans="1:13" s="105" customFormat="1" ht="15" customHeight="1">
      <c r="A181" s="1783">
        <v>11</v>
      </c>
      <c r="B181" s="1784"/>
      <c r="C181" s="1870" t="s">
        <v>1220</v>
      </c>
      <c r="D181" s="1853" t="s">
        <v>167</v>
      </c>
      <c r="E181" s="1854" t="s">
        <v>453</v>
      </c>
      <c r="F181" s="1855">
        <v>100000</v>
      </c>
      <c r="G181" s="1883"/>
      <c r="H181" s="1883"/>
      <c r="I181" s="120"/>
      <c r="J181" s="120"/>
      <c r="K181" s="1032"/>
    </row>
    <row r="182" spans="1:13" s="105" customFormat="1" ht="15" customHeight="1">
      <c r="A182" s="1783">
        <v>12</v>
      </c>
      <c r="B182" s="1784"/>
      <c r="C182" s="1870" t="s">
        <v>1221</v>
      </c>
      <c r="D182" s="1853" t="s">
        <v>167</v>
      </c>
      <c r="E182" s="1854" t="s">
        <v>453</v>
      </c>
      <c r="F182" s="1855">
        <v>100000</v>
      </c>
      <c r="G182" s="1883"/>
      <c r="H182" s="1883"/>
      <c r="I182" s="120"/>
      <c r="J182" s="120"/>
      <c r="K182" s="1032"/>
    </row>
    <row r="183" spans="1:13" s="105" customFormat="1" ht="15" customHeight="1">
      <c r="A183" s="1783">
        <v>13</v>
      </c>
      <c r="B183" s="1784"/>
      <c r="C183" s="1870" t="s">
        <v>1222</v>
      </c>
      <c r="D183" s="1853" t="s">
        <v>167</v>
      </c>
      <c r="E183" s="1854" t="s">
        <v>453</v>
      </c>
      <c r="F183" s="1855">
        <v>100000</v>
      </c>
      <c r="G183" s="1883"/>
      <c r="H183" s="1883"/>
      <c r="I183" s="120"/>
      <c r="J183" s="120"/>
      <c r="K183" s="1032"/>
    </row>
    <row r="184" spans="1:13" s="105" customFormat="1" ht="15" customHeight="1">
      <c r="A184" s="1783">
        <v>14</v>
      </c>
      <c r="B184" s="1784"/>
      <c r="C184" s="1870" t="s">
        <v>1223</v>
      </c>
      <c r="D184" s="1853" t="s">
        <v>167</v>
      </c>
      <c r="E184" s="1854" t="s">
        <v>453</v>
      </c>
      <c r="F184" s="1855">
        <v>100000</v>
      </c>
      <c r="G184" s="1883"/>
      <c r="H184" s="1883"/>
      <c r="I184" s="120"/>
      <c r="J184" s="120"/>
      <c r="K184" s="1032"/>
    </row>
    <row r="185" spans="1:13" s="105" customFormat="1" ht="15" customHeight="1">
      <c r="A185" s="1783">
        <v>15</v>
      </c>
      <c r="B185" s="1784"/>
      <c r="C185" s="1870" t="s">
        <v>1224</v>
      </c>
      <c r="D185" s="1853" t="s">
        <v>167</v>
      </c>
      <c r="E185" s="1854" t="s">
        <v>453</v>
      </c>
      <c r="F185" s="1855">
        <v>100000</v>
      </c>
      <c r="G185" s="1883"/>
      <c r="H185" s="1883"/>
      <c r="I185" s="120"/>
      <c r="J185" s="120"/>
      <c r="K185" s="1032"/>
    </row>
    <row r="186" spans="1:13" s="105" customFormat="1" ht="15" customHeight="1">
      <c r="A186" s="1783">
        <v>16</v>
      </c>
      <c r="B186" s="1784"/>
      <c r="C186" s="1870" t="s">
        <v>1225</v>
      </c>
      <c r="D186" s="1853" t="s">
        <v>167</v>
      </c>
      <c r="E186" s="1854" t="s">
        <v>453</v>
      </c>
      <c r="F186" s="1855">
        <v>100000</v>
      </c>
      <c r="G186" s="1883"/>
      <c r="H186" s="1883"/>
      <c r="I186" s="120"/>
      <c r="J186" s="120"/>
      <c r="K186" s="1032"/>
    </row>
    <row r="187" spans="1:13" s="105" customFormat="1" ht="15" customHeight="1">
      <c r="A187" s="1783">
        <v>17</v>
      </c>
      <c r="B187" s="1784"/>
      <c r="C187" s="1870" t="s">
        <v>1226</v>
      </c>
      <c r="D187" s="1853" t="s">
        <v>167</v>
      </c>
      <c r="E187" s="1854" t="s">
        <v>453</v>
      </c>
      <c r="F187" s="1855">
        <v>100000</v>
      </c>
      <c r="G187" s="1883"/>
      <c r="H187" s="1883"/>
      <c r="I187" s="120"/>
      <c r="J187" s="120"/>
      <c r="K187" s="1032"/>
    </row>
    <row r="188" spans="1:13" s="105" customFormat="1" ht="15" customHeight="1">
      <c r="A188" s="1783">
        <v>18</v>
      </c>
      <c r="B188" s="1784"/>
      <c r="C188" s="1870" t="s">
        <v>861</v>
      </c>
      <c r="D188" s="1853" t="s">
        <v>167</v>
      </c>
      <c r="E188" s="1854" t="s">
        <v>453</v>
      </c>
      <c r="F188" s="1855">
        <v>100000</v>
      </c>
      <c r="G188" s="1883"/>
      <c r="H188" s="1883"/>
      <c r="I188" s="120"/>
      <c r="J188" s="120"/>
      <c r="K188" s="1032"/>
    </row>
    <row r="189" spans="1:13" s="105" customFormat="1" ht="15" customHeight="1">
      <c r="A189" s="1783">
        <v>19</v>
      </c>
      <c r="B189" s="1784"/>
      <c r="C189" s="1870" t="s">
        <v>486</v>
      </c>
      <c r="D189" s="1853" t="s">
        <v>167</v>
      </c>
      <c r="E189" s="1854" t="s">
        <v>453</v>
      </c>
      <c r="F189" s="1855">
        <v>100000</v>
      </c>
      <c r="G189" s="1883"/>
      <c r="H189" s="1883"/>
      <c r="I189" s="120"/>
      <c r="J189" s="120"/>
      <c r="K189" s="1032"/>
    </row>
    <row r="190" spans="1:13" s="105" customFormat="1" ht="15" customHeight="1">
      <c r="A190" s="1783">
        <v>20</v>
      </c>
      <c r="B190" s="1890"/>
      <c r="C190" s="1870" t="s">
        <v>1227</v>
      </c>
      <c r="D190" s="1853" t="s">
        <v>167</v>
      </c>
      <c r="E190" s="1854" t="s">
        <v>453</v>
      </c>
      <c r="F190" s="1855">
        <v>100000</v>
      </c>
      <c r="G190" s="1883"/>
      <c r="H190" s="1883"/>
      <c r="I190" s="120"/>
      <c r="J190" s="120"/>
      <c r="K190" s="1032"/>
    </row>
    <row r="191" spans="1:13" s="105" customFormat="1" ht="15" customHeight="1">
      <c r="A191" s="1783">
        <v>21</v>
      </c>
      <c r="B191" s="1890"/>
      <c r="C191" s="1870" t="s">
        <v>1228</v>
      </c>
      <c r="D191" s="1853" t="s">
        <v>167</v>
      </c>
      <c r="E191" s="1854" t="s">
        <v>453</v>
      </c>
      <c r="F191" s="1855">
        <v>100000</v>
      </c>
      <c r="G191" s="1883"/>
      <c r="H191" s="1883"/>
      <c r="I191" s="120"/>
      <c r="J191" s="120"/>
      <c r="K191" s="1032"/>
    </row>
    <row r="192" spans="1:13" s="105" customFormat="1" ht="15" customHeight="1">
      <c r="A192" s="1788">
        <v>22</v>
      </c>
      <c r="B192" s="1891"/>
      <c r="C192" s="1888" t="s">
        <v>1229</v>
      </c>
      <c r="D192" s="1857" t="s">
        <v>167</v>
      </c>
      <c r="E192" s="1858" t="s">
        <v>453</v>
      </c>
      <c r="F192" s="1859">
        <v>100000</v>
      </c>
      <c r="G192" s="1886"/>
      <c r="H192" s="1883"/>
      <c r="I192" s="120"/>
      <c r="J192" s="120"/>
      <c r="K192" s="1032"/>
    </row>
    <row r="193" spans="1:11" s="105" customFormat="1" ht="15" customHeight="1">
      <c r="A193" s="4678" t="s">
        <v>453</v>
      </c>
      <c r="B193" s="4679"/>
      <c r="C193" s="4679"/>
      <c r="D193" s="4680"/>
      <c r="E193" s="1844"/>
      <c r="F193" s="1861">
        <f>SUM(F171:F192)</f>
        <v>2200000</v>
      </c>
      <c r="G193" s="1882"/>
      <c r="H193" s="1883"/>
      <c r="I193" s="120"/>
      <c r="J193" s="120"/>
      <c r="K193" s="1032"/>
    </row>
    <row r="194" spans="1:11" s="105" customFormat="1" ht="15" customHeight="1">
      <c r="A194" s="1863">
        <v>1</v>
      </c>
      <c r="B194" s="1892"/>
      <c r="C194" s="1893" t="s">
        <v>1075</v>
      </c>
      <c r="D194" s="1894" t="s">
        <v>356</v>
      </c>
      <c r="E194" s="1867" t="s">
        <v>1103</v>
      </c>
      <c r="F194" s="1868">
        <v>100000</v>
      </c>
      <c r="G194" s="1895"/>
      <c r="H194" s="1883"/>
      <c r="I194" s="120"/>
      <c r="J194" s="120"/>
      <c r="K194" s="1032"/>
    </row>
    <row r="195" spans="1:11" s="105" customFormat="1" ht="15" customHeight="1">
      <c r="A195" s="1783">
        <v>2</v>
      </c>
      <c r="B195" s="1890"/>
      <c r="C195" s="1870" t="s">
        <v>990</v>
      </c>
      <c r="D195" s="1874" t="s">
        <v>54</v>
      </c>
      <c r="E195" s="1867" t="s">
        <v>1103</v>
      </c>
      <c r="F195" s="1868">
        <v>100000</v>
      </c>
      <c r="G195" s="1883"/>
      <c r="H195" s="1883"/>
      <c r="I195" s="120"/>
      <c r="J195" s="120"/>
      <c r="K195" s="1032"/>
    </row>
    <row r="196" spans="1:11" s="105" customFormat="1" ht="15" customHeight="1">
      <c r="A196" s="1863">
        <v>3</v>
      </c>
      <c r="B196" s="1890"/>
      <c r="C196" s="1870" t="s">
        <v>1102</v>
      </c>
      <c r="D196" s="1874" t="s">
        <v>60</v>
      </c>
      <c r="E196" s="1867" t="s">
        <v>1103</v>
      </c>
      <c r="F196" s="1868">
        <v>100000</v>
      </c>
      <c r="G196" s="1883"/>
      <c r="H196" s="1883"/>
      <c r="I196" s="120"/>
      <c r="J196" s="120"/>
      <c r="K196" s="1032"/>
    </row>
    <row r="197" spans="1:11" s="105" customFormat="1" ht="15" customHeight="1">
      <c r="A197" s="1783">
        <v>4</v>
      </c>
      <c r="B197" s="1890"/>
      <c r="C197" s="1870" t="s">
        <v>1280</v>
      </c>
      <c r="D197" s="1874" t="s">
        <v>60</v>
      </c>
      <c r="E197" s="1867" t="s">
        <v>1103</v>
      </c>
      <c r="F197" s="1868">
        <v>100000</v>
      </c>
      <c r="G197" s="1883"/>
      <c r="H197" s="1883"/>
      <c r="I197" s="120"/>
      <c r="J197" s="120"/>
      <c r="K197" s="1032"/>
    </row>
    <row r="198" spans="1:11" s="105" customFormat="1" ht="15" customHeight="1">
      <c r="A198" s="1863">
        <v>5</v>
      </c>
      <c r="B198" s="1890"/>
      <c r="C198" s="1870" t="s">
        <v>1076</v>
      </c>
      <c r="D198" s="1874" t="s">
        <v>1087</v>
      </c>
      <c r="E198" s="1867" t="s">
        <v>1103</v>
      </c>
      <c r="F198" s="1868">
        <v>100000</v>
      </c>
      <c r="G198" s="1883"/>
      <c r="H198" s="1883"/>
      <c r="I198" s="120"/>
      <c r="J198" s="120"/>
      <c r="K198" s="1032"/>
    </row>
    <row r="199" spans="1:11" s="105" customFormat="1" ht="15" customHeight="1">
      <c r="A199" s="1783">
        <v>6</v>
      </c>
      <c r="B199" s="1890"/>
      <c r="C199" s="1870" t="s">
        <v>1077</v>
      </c>
      <c r="D199" s="1874" t="s">
        <v>1087</v>
      </c>
      <c r="E199" s="1867" t="s">
        <v>1103</v>
      </c>
      <c r="F199" s="1868">
        <v>100000</v>
      </c>
      <c r="G199" s="1883"/>
      <c r="H199" s="1883"/>
      <c r="I199" s="120"/>
      <c r="J199" s="120"/>
      <c r="K199" s="1032"/>
    </row>
    <row r="200" spans="1:11" s="105" customFormat="1" ht="15" customHeight="1">
      <c r="A200" s="1863">
        <v>7</v>
      </c>
      <c r="B200" s="1890"/>
      <c r="C200" s="1870" t="s">
        <v>1078</v>
      </c>
      <c r="D200" s="1874" t="s">
        <v>1087</v>
      </c>
      <c r="E200" s="1867" t="s">
        <v>1103</v>
      </c>
      <c r="F200" s="1868">
        <v>100000</v>
      </c>
      <c r="G200" s="1883"/>
      <c r="H200" s="1883"/>
      <c r="I200" s="120"/>
      <c r="J200" s="120"/>
      <c r="K200" s="1032"/>
    </row>
    <row r="201" spans="1:11" s="105" customFormat="1" ht="15" customHeight="1">
      <c r="A201" s="1783">
        <v>8</v>
      </c>
      <c r="B201" s="1890"/>
      <c r="C201" s="1870" t="s">
        <v>1079</v>
      </c>
      <c r="D201" s="1874" t="s">
        <v>1087</v>
      </c>
      <c r="E201" s="1867" t="s">
        <v>1103</v>
      </c>
      <c r="F201" s="1868">
        <v>100000</v>
      </c>
      <c r="G201" s="1883"/>
      <c r="H201" s="1883"/>
      <c r="I201" s="120"/>
      <c r="J201" s="120"/>
      <c r="K201" s="1032"/>
    </row>
    <row r="202" spans="1:11" s="105" customFormat="1" ht="15" customHeight="1">
      <c r="A202" s="1863">
        <v>9</v>
      </c>
      <c r="B202" s="1890"/>
      <c r="C202" s="1870" t="s">
        <v>1080</v>
      </c>
      <c r="D202" s="1874" t="s">
        <v>1087</v>
      </c>
      <c r="E202" s="1867" t="s">
        <v>1103</v>
      </c>
      <c r="F202" s="1868">
        <v>100000</v>
      </c>
      <c r="G202" s="1883"/>
      <c r="H202" s="1883"/>
      <c r="I202" s="120"/>
      <c r="J202" s="120"/>
      <c r="K202" s="1032"/>
    </row>
    <row r="203" spans="1:11" s="105" customFormat="1" ht="15" customHeight="1">
      <c r="A203" s="1896">
        <v>10</v>
      </c>
      <c r="B203" s="1897"/>
      <c r="C203" s="1898" t="s">
        <v>1081</v>
      </c>
      <c r="D203" s="1874" t="s">
        <v>1087</v>
      </c>
      <c r="E203" s="1875" t="s">
        <v>1103</v>
      </c>
      <c r="F203" s="1876">
        <v>100000</v>
      </c>
      <c r="G203" s="1899"/>
      <c r="H203" s="1883"/>
      <c r="I203" s="120"/>
      <c r="J203" s="120"/>
      <c r="K203" s="1032"/>
    </row>
    <row r="204" spans="1:11" s="105" customFormat="1" ht="12.75" customHeight="1">
      <c r="A204" s="4208" t="s">
        <v>1103</v>
      </c>
      <c r="B204" s="4208"/>
      <c r="C204" s="4208"/>
      <c r="D204" s="4208"/>
      <c r="E204" s="1844"/>
      <c r="F204" s="1861">
        <f>SUM(F194:F203)</f>
        <v>1000000</v>
      </c>
      <c r="G204" s="1882"/>
      <c r="H204" s="1883"/>
      <c r="I204" s="120"/>
      <c r="J204" s="120"/>
      <c r="K204" s="1032"/>
    </row>
    <row r="205" spans="1:11" s="105" customFormat="1">
      <c r="A205" s="4676" t="s">
        <v>240</v>
      </c>
      <c r="B205" s="4677"/>
      <c r="C205" s="4677"/>
      <c r="D205" s="4677"/>
      <c r="E205" s="1900"/>
      <c r="F205" s="1901">
        <f>+F204+F193+F170+F96+F40+F29</f>
        <v>18500000</v>
      </c>
      <c r="G205" s="1902"/>
      <c r="H205" s="1902"/>
      <c r="I205" s="120"/>
      <c r="J205" s="120"/>
    </row>
    <row r="206" spans="1:11" s="105" customFormat="1">
      <c r="A206" s="4674" t="s">
        <v>1402</v>
      </c>
      <c r="B206" s="4674"/>
      <c r="C206" s="4674"/>
      <c r="D206" s="4674"/>
      <c r="E206" s="4674"/>
      <c r="F206" s="4674"/>
      <c r="G206" s="4674"/>
      <c r="H206" s="2164"/>
      <c r="I206" s="120"/>
      <c r="J206" s="120"/>
    </row>
    <row r="207" spans="1:11" s="105" customFormat="1">
      <c r="A207" s="2165"/>
      <c r="B207" s="1903"/>
      <c r="C207" s="2165"/>
      <c r="D207" s="2165"/>
      <c r="E207" s="4681" t="s">
        <v>1379</v>
      </c>
      <c r="F207" s="4681"/>
      <c r="G207" s="4681"/>
      <c r="H207" s="1904"/>
      <c r="I207" s="120"/>
      <c r="J207" s="120"/>
    </row>
    <row r="208" spans="1:11">
      <c r="A208" s="4198" t="s">
        <v>1155</v>
      </c>
      <c r="B208" s="4198"/>
      <c r="C208" s="4198"/>
      <c r="D208" s="4198" t="s">
        <v>1154</v>
      </c>
      <c r="E208" s="4198"/>
      <c r="F208" s="1905" t="s">
        <v>20</v>
      </c>
      <c r="G208" s="4675" t="s">
        <v>21</v>
      </c>
      <c r="H208" s="4675"/>
      <c r="I208" s="108"/>
      <c r="J208" s="109"/>
    </row>
    <row r="209" spans="1:10" s="519" customFormat="1" ht="18.75">
      <c r="A209" s="98"/>
      <c r="B209" s="4198"/>
      <c r="C209" s="4198"/>
      <c r="D209" s="4198"/>
      <c r="E209" s="4198"/>
      <c r="F209" s="1906"/>
      <c r="G209" s="1845"/>
      <c r="H209" s="1845"/>
    </row>
    <row r="210" spans="1:10" s="522" customFormat="1" ht="18.75">
      <c r="C210" s="523"/>
      <c r="D210" s="1479"/>
      <c r="E210" s="1479"/>
      <c r="I210" s="523"/>
      <c r="J210" s="523"/>
    </row>
    <row r="211" spans="1:10" s="522" customFormat="1" ht="18.75">
      <c r="C211" s="523"/>
      <c r="D211" s="1479"/>
      <c r="E211" s="1478"/>
      <c r="I211" s="523"/>
      <c r="J211" s="523"/>
    </row>
    <row r="212" spans="1:10" s="522" customFormat="1" ht="18.75">
      <c r="C212" s="523"/>
      <c r="D212" s="1479"/>
      <c r="E212" s="1478"/>
      <c r="I212" s="523"/>
      <c r="J212" s="523"/>
    </row>
    <row r="213" spans="1:10" s="522" customFormat="1" ht="18.75">
      <c r="C213" s="523"/>
      <c r="D213" s="1034"/>
      <c r="E213" s="1481"/>
      <c r="F213" s="523"/>
    </row>
    <row r="214" spans="1:10" s="522" customFormat="1" ht="18.75">
      <c r="C214" s="523"/>
      <c r="D214" s="1035"/>
      <c r="E214" s="1482"/>
      <c r="F214" s="526"/>
    </row>
    <row r="215" spans="1:10" s="522" customFormat="1" ht="18.75">
      <c r="C215" s="523"/>
      <c r="D215" s="1034"/>
      <c r="E215" s="1486"/>
      <c r="F215" s="524"/>
    </row>
    <row r="216" spans="1:10" s="522" customFormat="1" ht="18.75">
      <c r="D216" s="1034"/>
      <c r="E216" s="1484"/>
      <c r="I216" s="523"/>
    </row>
    <row r="217" spans="1:10">
      <c r="A217" s="94"/>
      <c r="B217" s="94"/>
      <c r="C217" s="94"/>
      <c r="E217" s="1485"/>
      <c r="F217" s="1845"/>
      <c r="G217" s="1483"/>
      <c r="H217" s="1513"/>
    </row>
    <row r="218" spans="1:10">
      <c r="A218" s="94"/>
      <c r="B218" s="94"/>
      <c r="C218" s="94"/>
      <c r="I218" s="108"/>
    </row>
    <row r="219" spans="1:10">
      <c r="A219" s="94"/>
      <c r="B219" s="94"/>
      <c r="C219" s="108"/>
      <c r="F219" s="108"/>
    </row>
    <row r="220" spans="1:10">
      <c r="A220" s="94"/>
      <c r="B220" s="94"/>
      <c r="C220" s="94"/>
    </row>
    <row r="221" spans="1:10">
      <c r="A221" s="94"/>
      <c r="B221" s="94"/>
      <c r="C221" s="94"/>
      <c r="D221" s="1036"/>
      <c r="G221" s="1477"/>
      <c r="H221" s="1510"/>
    </row>
    <row r="222" spans="1:10">
      <c r="A222" s="94"/>
      <c r="B222" s="94"/>
      <c r="C222" s="94"/>
      <c r="E222" s="1092"/>
      <c r="F222" s="8"/>
    </row>
    <row r="223" spans="1:10">
      <c r="C223" s="1033"/>
      <c r="F223" s="108"/>
    </row>
    <row r="225" spans="1:5">
      <c r="C225" s="367"/>
    </row>
    <row r="226" spans="1:5">
      <c r="A226" s="94"/>
      <c r="B226" s="94"/>
      <c r="C226" s="94"/>
    </row>
    <row r="227" spans="1:5">
      <c r="A227" s="94"/>
      <c r="B227" s="94"/>
      <c r="C227" s="94"/>
    </row>
    <row r="228" spans="1:5">
      <c r="A228" s="94"/>
      <c r="B228" s="94"/>
      <c r="C228" s="94"/>
      <c r="D228" s="94"/>
      <c r="E228" s="94"/>
    </row>
    <row r="231" spans="1:5">
      <c r="A231" s="94"/>
      <c r="B231" s="94"/>
      <c r="C231" s="94"/>
      <c r="D231" s="94"/>
      <c r="E231" s="94"/>
    </row>
  </sheetData>
  <autoFilter ref="A13:M204"/>
  <mergeCells count="28">
    <mergeCell ref="A4:E4"/>
    <mergeCell ref="A1:G1"/>
    <mergeCell ref="A2:G2"/>
    <mergeCell ref="G208:H208"/>
    <mergeCell ref="B209:E209"/>
    <mergeCell ref="D208:E208"/>
    <mergeCell ref="A208:C208"/>
    <mergeCell ref="A205:D205"/>
    <mergeCell ref="A170:D170"/>
    <mergeCell ref="A193:D193"/>
    <mergeCell ref="A204:D204"/>
    <mergeCell ref="E207:G207"/>
    <mergeCell ref="H11:H13"/>
    <mergeCell ref="E11:E13"/>
    <mergeCell ref="A29:D29"/>
    <mergeCell ref="A40:D40"/>
    <mergeCell ref="B9:C9"/>
    <mergeCell ref="B10:C10"/>
    <mergeCell ref="A206:G206"/>
    <mergeCell ref="A5:E5"/>
    <mergeCell ref="A7:G7"/>
    <mergeCell ref="A8:G8"/>
    <mergeCell ref="A96:D96"/>
    <mergeCell ref="G11:G13"/>
    <mergeCell ref="F11:F13"/>
    <mergeCell ref="A11:A13"/>
    <mergeCell ref="B11:C12"/>
    <mergeCell ref="D11:D13"/>
  </mergeCells>
  <pageMargins left="0.19685039370078741" right="0.38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44"/>
  <sheetViews>
    <sheetView topLeftCell="A2" workbookViewId="0">
      <selection activeCell="A26" sqref="A26:G26"/>
    </sheetView>
  </sheetViews>
  <sheetFormatPr defaultColWidth="9.140625" defaultRowHeight="16.5"/>
  <cols>
    <col min="1" max="1" width="6.140625" style="2187" customWidth="1"/>
    <col min="2" max="2" width="22.5703125" style="2187" customWidth="1"/>
    <col min="3" max="3" width="9.85546875" style="2187" customWidth="1"/>
    <col min="4" max="4" width="12.140625" style="2187" customWidth="1"/>
    <col min="5" max="5" width="16.85546875" style="2187" customWidth="1"/>
    <col min="6" max="6" width="13.7109375" style="2187" customWidth="1"/>
    <col min="7" max="7" width="11.85546875" style="2187" customWidth="1"/>
    <col min="8" max="16384" width="9.140625" style="2187"/>
  </cols>
  <sheetData>
    <row r="1" spans="1:23">
      <c r="A1" s="4683" t="s">
        <v>23</v>
      </c>
      <c r="B1" s="4683"/>
      <c r="C1" s="4683"/>
      <c r="D1" s="4683"/>
      <c r="E1" s="4683"/>
      <c r="F1" s="4683"/>
      <c r="G1" s="4683"/>
    </row>
    <row r="2" spans="1:23">
      <c r="A2" s="4683" t="s">
        <v>170</v>
      </c>
      <c r="B2" s="4683"/>
      <c r="C2" s="4683"/>
      <c r="D2" s="4683"/>
      <c r="E2" s="4683"/>
      <c r="F2" s="4683"/>
      <c r="G2" s="4683"/>
    </row>
    <row r="3" spans="1:23">
      <c r="A3" s="3934" t="s">
        <v>1308</v>
      </c>
      <c r="B3" s="3934"/>
      <c r="C3" s="3934"/>
      <c r="D3" s="3934"/>
      <c r="E3" s="3934"/>
      <c r="F3" s="3934"/>
      <c r="G3" s="3934"/>
      <c r="H3" s="2096"/>
      <c r="I3" s="2096"/>
      <c r="J3" s="2096"/>
      <c r="K3" s="2096"/>
      <c r="L3" s="2096"/>
      <c r="M3" s="2096"/>
      <c r="N3" s="2096"/>
      <c r="O3" s="2096"/>
      <c r="P3" s="2096"/>
      <c r="Q3" s="2096"/>
      <c r="R3" s="2096"/>
      <c r="S3" s="2096"/>
      <c r="T3" s="2096"/>
      <c r="U3" s="2096"/>
      <c r="V3" s="2096"/>
      <c r="W3" s="2096"/>
    </row>
    <row r="4" spans="1:23">
      <c r="A4" s="4684" t="s">
        <v>922</v>
      </c>
      <c r="B4" s="4684"/>
      <c r="C4" s="4684"/>
      <c r="D4" s="4684"/>
      <c r="E4" s="2185"/>
      <c r="F4" s="2185"/>
      <c r="G4" s="2185"/>
    </row>
    <row r="5" spans="1:23">
      <c r="A5" s="4685" t="s">
        <v>90</v>
      </c>
      <c r="B5" s="4685"/>
      <c r="C5" s="4685"/>
      <c r="D5" s="4685"/>
      <c r="E5" s="2186"/>
      <c r="F5" s="2186"/>
      <c r="G5" s="2186"/>
    </row>
    <row r="6" spans="1:23">
      <c r="A6" s="4686"/>
      <c r="B6" s="4686"/>
      <c r="C6" s="4686"/>
      <c r="D6" s="4686"/>
      <c r="E6" s="4686"/>
      <c r="F6" s="4686"/>
      <c r="G6" s="4686"/>
    </row>
    <row r="7" spans="1:23" ht="48.75" customHeight="1">
      <c r="A7" s="4682" t="s">
        <v>2163</v>
      </c>
      <c r="B7" s="4682"/>
      <c r="C7" s="4682"/>
      <c r="D7" s="4682"/>
      <c r="E7" s="4682"/>
      <c r="F7" s="4682"/>
      <c r="G7" s="4682"/>
    </row>
    <row r="8" spans="1:23" ht="33">
      <c r="A8" s="2189" t="s">
        <v>0</v>
      </c>
      <c r="B8" s="2189" t="s">
        <v>1</v>
      </c>
      <c r="C8" s="2189" t="s">
        <v>1414</v>
      </c>
      <c r="D8" s="2190" t="s">
        <v>1415</v>
      </c>
      <c r="E8" s="2190" t="s">
        <v>1416</v>
      </c>
      <c r="F8" s="2189" t="s">
        <v>10</v>
      </c>
      <c r="G8" s="2189" t="s">
        <v>92</v>
      </c>
    </row>
    <row r="9" spans="1:23">
      <c r="A9" s="3531">
        <v>1</v>
      </c>
      <c r="B9" s="3535" t="s">
        <v>1465</v>
      </c>
      <c r="C9" s="3531">
        <f>+VLOOKUP(B9,'Châm công tiền xăng'!C12:AI27,33,0)</f>
        <v>30</v>
      </c>
      <c r="D9" s="3537">
        <v>20000</v>
      </c>
      <c r="E9" s="3538">
        <f>+C9*D9</f>
        <v>600000</v>
      </c>
      <c r="F9" s="3532"/>
      <c r="G9" s="3532"/>
    </row>
    <row r="10" spans="1:23">
      <c r="A10" s="3533">
        <v>2</v>
      </c>
      <c r="B10" s="3536" t="s">
        <v>533</v>
      </c>
      <c r="C10" s="3533">
        <f>+VLOOKUP(B10,'Châm công tiền xăng'!C13:AI28,33,0)</f>
        <v>30</v>
      </c>
      <c r="D10" s="3539">
        <v>20000</v>
      </c>
      <c r="E10" s="3540">
        <f t="shared" ref="E10:E24" si="0">+C10*D10</f>
        <v>600000</v>
      </c>
      <c r="F10" s="3534"/>
      <c r="G10" s="3534"/>
    </row>
    <row r="11" spans="1:23">
      <c r="A11" s="3533">
        <v>3</v>
      </c>
      <c r="B11" s="3536" t="s">
        <v>1013</v>
      </c>
      <c r="C11" s="3533">
        <f>+VLOOKUP(B11,'Châm công tiền xăng'!C14:AI29,33,0)</f>
        <v>30</v>
      </c>
      <c r="D11" s="3539">
        <v>20000</v>
      </c>
      <c r="E11" s="3540">
        <f t="shared" si="0"/>
        <v>600000</v>
      </c>
      <c r="F11" s="3534"/>
      <c r="G11" s="3534"/>
    </row>
    <row r="12" spans="1:23">
      <c r="A12" s="3533">
        <v>4</v>
      </c>
      <c r="B12" s="3536" t="s">
        <v>1664</v>
      </c>
      <c r="C12" s="3533">
        <f>+VLOOKUP(B12,'Châm công tiền xăng'!C15:AI30,33,0)</f>
        <v>30</v>
      </c>
      <c r="D12" s="3539">
        <v>20000</v>
      </c>
      <c r="E12" s="3540">
        <f t="shared" si="0"/>
        <v>600000</v>
      </c>
      <c r="F12" s="3534"/>
      <c r="G12" s="3534"/>
    </row>
    <row r="13" spans="1:23">
      <c r="A13" s="3533">
        <v>5</v>
      </c>
      <c r="B13" s="3536" t="s">
        <v>1480</v>
      </c>
      <c r="C13" s="3533">
        <f>+VLOOKUP(B13,'Châm công tiền xăng'!C16:AI31,33,0)</f>
        <v>23</v>
      </c>
      <c r="D13" s="3539">
        <v>20000</v>
      </c>
      <c r="E13" s="3540">
        <f t="shared" si="0"/>
        <v>460000</v>
      </c>
      <c r="F13" s="3534"/>
      <c r="G13" s="3534"/>
    </row>
    <row r="14" spans="1:23">
      <c r="A14" s="3533">
        <v>6</v>
      </c>
      <c r="B14" s="3536" t="s">
        <v>319</v>
      </c>
      <c r="C14" s="3533">
        <f>+VLOOKUP(B14,'Châm công tiền xăng'!C17:AI32,33,0)</f>
        <v>30</v>
      </c>
      <c r="D14" s="3539">
        <v>20000</v>
      </c>
      <c r="E14" s="3540">
        <f t="shared" si="0"/>
        <v>600000</v>
      </c>
      <c r="F14" s="3534"/>
      <c r="G14" s="3534"/>
    </row>
    <row r="15" spans="1:23">
      <c r="A15" s="3533">
        <v>7</v>
      </c>
      <c r="B15" s="3536" t="s">
        <v>37</v>
      </c>
      <c r="C15" s="3533">
        <f>+VLOOKUP(B15,'Châm công tiền xăng'!C18:AI33,33,0)</f>
        <v>30</v>
      </c>
      <c r="D15" s="3539">
        <v>20000</v>
      </c>
      <c r="E15" s="3540">
        <f t="shared" si="0"/>
        <v>600000</v>
      </c>
      <c r="F15" s="3534"/>
      <c r="G15" s="3534"/>
    </row>
    <row r="16" spans="1:23">
      <c r="A16" s="3533">
        <v>8</v>
      </c>
      <c r="B16" s="3536" t="s">
        <v>1473</v>
      </c>
      <c r="C16" s="3533">
        <f>+VLOOKUP(B16,'Châm công tiền xăng'!C19:AI34,33,0)</f>
        <v>30</v>
      </c>
      <c r="D16" s="3539">
        <v>20000</v>
      </c>
      <c r="E16" s="3540">
        <f t="shared" si="0"/>
        <v>600000</v>
      </c>
      <c r="F16" s="3534"/>
      <c r="G16" s="3534"/>
    </row>
    <row r="17" spans="1:7">
      <c r="A17" s="3533">
        <v>9</v>
      </c>
      <c r="B17" s="3536" t="s">
        <v>1165</v>
      </c>
      <c r="C17" s="3533">
        <f>+VLOOKUP(B17,'Châm công tiền xăng'!C20:AI35,33,0)</f>
        <v>30</v>
      </c>
      <c r="D17" s="3539">
        <v>20000</v>
      </c>
      <c r="E17" s="3540">
        <f t="shared" si="0"/>
        <v>600000</v>
      </c>
      <c r="F17" s="3534"/>
      <c r="G17" s="3534"/>
    </row>
    <row r="18" spans="1:7">
      <c r="A18" s="3533">
        <v>10</v>
      </c>
      <c r="B18" s="3536" t="s">
        <v>1478</v>
      </c>
      <c r="C18" s="3533">
        <f>+VLOOKUP(B18,'Châm công tiền xăng'!C21:AI36,33,0)</f>
        <v>30</v>
      </c>
      <c r="D18" s="3539">
        <v>20000</v>
      </c>
      <c r="E18" s="3540">
        <f t="shared" si="0"/>
        <v>600000</v>
      </c>
      <c r="F18" s="3534"/>
      <c r="G18" s="3534"/>
    </row>
    <row r="19" spans="1:7">
      <c r="A19" s="3533">
        <v>11</v>
      </c>
      <c r="B19" s="3536" t="str">
        <f>+'Châm công tiền xăng'!C23</f>
        <v>Lê Thị Mai Huân</v>
      </c>
      <c r="C19" s="3533">
        <f>+VLOOKUP(B19,'Châm công tiền xăng'!C22:AI37,33,0)</f>
        <v>26</v>
      </c>
      <c r="D19" s="3539">
        <v>20000</v>
      </c>
      <c r="E19" s="3540">
        <f t="shared" si="0"/>
        <v>520000</v>
      </c>
      <c r="F19" s="3534"/>
      <c r="G19" s="3534"/>
    </row>
    <row r="20" spans="1:7">
      <c r="A20" s="3533">
        <v>12</v>
      </c>
      <c r="B20" s="2224" t="s">
        <v>1479</v>
      </c>
      <c r="C20" s="3533">
        <f>+'Châm công tiền xăng'!AI22</f>
        <v>30</v>
      </c>
      <c r="D20" s="3539">
        <v>20000</v>
      </c>
      <c r="E20" s="3540">
        <f t="shared" si="0"/>
        <v>600000</v>
      </c>
      <c r="F20" s="3534"/>
      <c r="G20" s="3534"/>
    </row>
    <row r="21" spans="1:7">
      <c r="A21" s="3533">
        <v>13</v>
      </c>
      <c r="B21" s="3536" t="s">
        <v>1457</v>
      </c>
      <c r="C21" s="3533">
        <f>+VLOOKUP(B21,'Châm công tiền xăng'!C24:AI39,33,0)</f>
        <v>30</v>
      </c>
      <c r="D21" s="3539">
        <v>20000</v>
      </c>
      <c r="E21" s="3540">
        <f t="shared" si="0"/>
        <v>600000</v>
      </c>
      <c r="F21" s="3534"/>
      <c r="G21" s="3534"/>
    </row>
    <row r="22" spans="1:7" ht="18.75" customHeight="1">
      <c r="A22" s="3533">
        <v>14</v>
      </c>
      <c r="B22" s="2683" t="s">
        <v>1475</v>
      </c>
      <c r="C22" s="3533">
        <f>+VLOOKUP(B22,'Châm công tiền xăng'!C25:AI40,33,0)</f>
        <v>30</v>
      </c>
      <c r="D22" s="3539">
        <v>20000</v>
      </c>
      <c r="E22" s="3540">
        <f t="shared" si="0"/>
        <v>600000</v>
      </c>
      <c r="F22" s="2278"/>
      <c r="G22" s="2278"/>
    </row>
    <row r="23" spans="1:7" ht="18.75" customHeight="1">
      <c r="A23" s="3533">
        <v>15</v>
      </c>
      <c r="B23" s="2683" t="s">
        <v>536</v>
      </c>
      <c r="C23" s="3533">
        <f>+VLOOKUP(B23,'Châm công tiền xăng'!C26:AI41,33,0)</f>
        <v>30</v>
      </c>
      <c r="D23" s="3539">
        <v>20000</v>
      </c>
      <c r="E23" s="3540">
        <f t="shared" si="0"/>
        <v>600000</v>
      </c>
      <c r="F23" s="2278"/>
      <c r="G23" s="2278"/>
    </row>
    <row r="24" spans="1:7" ht="18.75" customHeight="1">
      <c r="A24" s="3579">
        <v>16</v>
      </c>
      <c r="B24" s="3580" t="s">
        <v>36</v>
      </c>
      <c r="C24" s="3579">
        <f>+VLOOKUP(B24,'Châm công tiền xăng'!C27:AI42,33,0)</f>
        <v>30</v>
      </c>
      <c r="D24" s="3581">
        <v>20000</v>
      </c>
      <c r="E24" s="3582">
        <f t="shared" si="0"/>
        <v>600000</v>
      </c>
      <c r="F24" s="3583"/>
      <c r="G24" s="3583"/>
    </row>
    <row r="25" spans="1:7" ht="18.75" customHeight="1">
      <c r="A25" s="4688" t="s">
        <v>1234</v>
      </c>
      <c r="B25" s="4688"/>
      <c r="C25" s="3541">
        <f>SUM(C9:C24)</f>
        <v>469</v>
      </c>
      <c r="D25" s="2188"/>
      <c r="E25" s="2191">
        <f>SUM(E9:E24)</f>
        <v>9380000</v>
      </c>
      <c r="F25" s="2188"/>
      <c r="G25" s="2188"/>
    </row>
    <row r="26" spans="1:7" ht="17.25">
      <c r="A26" s="4689" t="s">
        <v>2165</v>
      </c>
      <c r="B26" s="4689"/>
      <c r="C26" s="4689"/>
      <c r="D26" s="4689"/>
      <c r="E26" s="4689"/>
      <c r="F26" s="4689"/>
      <c r="G26" s="4689"/>
    </row>
    <row r="27" spans="1:7">
      <c r="A27" s="272"/>
      <c r="B27" s="89"/>
      <c r="C27" s="89"/>
      <c r="D27" s="4690" t="s">
        <v>2164</v>
      </c>
      <c r="E27" s="4690"/>
      <c r="F27" s="4690"/>
      <c r="G27" s="4690"/>
    </row>
    <row r="28" spans="1:7">
      <c r="A28" s="4687" t="s">
        <v>93</v>
      </c>
      <c r="B28" s="4687"/>
      <c r="C28" s="4687"/>
      <c r="D28" s="4687" t="s">
        <v>21</v>
      </c>
      <c r="E28" s="4687"/>
      <c r="F28" s="4687"/>
      <c r="G28" s="4687"/>
    </row>
    <row r="29" spans="1:7">
      <c r="A29" s="2307"/>
      <c r="B29" s="2308"/>
      <c r="C29" s="2309"/>
      <c r="D29" s="2309"/>
      <c r="E29" s="2309"/>
      <c r="F29" s="2310"/>
      <c r="G29" s="2310"/>
    </row>
    <row r="30" spans="1:7">
      <c r="A30" s="2307"/>
      <c r="B30" s="2308"/>
      <c r="C30" s="2309"/>
      <c r="D30" s="2309"/>
      <c r="E30" s="2309"/>
      <c r="F30" s="2310"/>
      <c r="G30" s="2310"/>
    </row>
    <row r="31" spans="1:7">
      <c r="A31" s="2307"/>
      <c r="B31" s="2308"/>
      <c r="C31" s="2309"/>
      <c r="D31" s="2309"/>
      <c r="E31" s="2309"/>
      <c r="F31" s="2310"/>
      <c r="G31" s="2310"/>
    </row>
    <row r="32" spans="1:7">
      <c r="A32" s="2307"/>
      <c r="B32" s="2308"/>
      <c r="C32" s="2309"/>
      <c r="D32" s="2309"/>
      <c r="E32" s="2309"/>
      <c r="F32" s="2310"/>
      <c r="G32" s="2310"/>
    </row>
    <row r="33" spans="1:7">
      <c r="A33" s="2307"/>
      <c r="B33" s="2308"/>
      <c r="C33" s="2309"/>
      <c r="D33" s="2309"/>
      <c r="E33" s="2309"/>
      <c r="F33" s="2310"/>
      <c r="G33" s="2310"/>
    </row>
    <row r="34" spans="1:7">
      <c r="A34" s="2307"/>
      <c r="B34" s="2308"/>
      <c r="C34" s="2309"/>
      <c r="D34" s="2309"/>
      <c r="E34" s="2309"/>
      <c r="F34" s="2310"/>
      <c r="G34" s="2310"/>
    </row>
    <row r="35" spans="1:7">
      <c r="A35" s="2307"/>
      <c r="B35" s="2311"/>
      <c r="C35" s="2311"/>
      <c r="D35" s="2311"/>
      <c r="E35" s="2309"/>
      <c r="F35" s="2309"/>
      <c r="G35" s="2309"/>
    </row>
    <row r="36" spans="1:7">
      <c r="A36" s="2312"/>
      <c r="B36" s="2311"/>
      <c r="C36" s="2311"/>
      <c r="D36" s="4687"/>
      <c r="E36" s="4687"/>
      <c r="F36" s="4687"/>
      <c r="G36" s="4687"/>
    </row>
    <row r="37" spans="1:7">
      <c r="A37" s="4687" t="s">
        <v>176</v>
      </c>
      <c r="B37" s="4687"/>
      <c r="C37" s="4687"/>
      <c r="D37" s="4687" t="s">
        <v>177</v>
      </c>
      <c r="E37" s="4687"/>
      <c r="F37" s="4687"/>
      <c r="G37" s="4687"/>
    </row>
    <row r="38" spans="1:7">
      <c r="A38" s="2270"/>
      <c r="B38" s="2270"/>
      <c r="C38" s="2270"/>
      <c r="D38" s="2270"/>
      <c r="E38" s="2270"/>
      <c r="F38" s="2270"/>
      <c r="G38" s="2270"/>
    </row>
    <row r="44" spans="1:7">
      <c r="A44" s="4107"/>
      <c r="B44" s="4107"/>
      <c r="C44" s="4107"/>
      <c r="D44" s="4107"/>
      <c r="E44" s="4107"/>
      <c r="F44" s="4107"/>
      <c r="G44" s="4107"/>
    </row>
  </sheetData>
  <mergeCells count="17">
    <mergeCell ref="A44:C44"/>
    <mergeCell ref="D44:G44"/>
    <mergeCell ref="D36:G36"/>
    <mergeCell ref="A25:B25"/>
    <mergeCell ref="D28:G28"/>
    <mergeCell ref="A37:C37"/>
    <mergeCell ref="D37:G37"/>
    <mergeCell ref="A26:G26"/>
    <mergeCell ref="D27:G27"/>
    <mergeCell ref="A28:C28"/>
    <mergeCell ref="A7:G7"/>
    <mergeCell ref="A1:G1"/>
    <mergeCell ref="A2:G2"/>
    <mergeCell ref="A4:D4"/>
    <mergeCell ref="A5:D5"/>
    <mergeCell ref="A6:G6"/>
    <mergeCell ref="A3:G3"/>
  </mergeCells>
  <pageMargins left="0.37" right="0.33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S36"/>
  <sheetViews>
    <sheetView topLeftCell="A7" workbookViewId="0">
      <selection activeCell="AI4" sqref="AI1:AI1048576"/>
    </sheetView>
  </sheetViews>
  <sheetFormatPr defaultRowHeight="15"/>
  <cols>
    <col min="1" max="1" width="5.5703125" style="1038" customWidth="1"/>
    <col min="2" max="2" width="10.28515625" style="1038" hidden="1" customWidth="1"/>
    <col min="3" max="3" width="21.140625" style="1038" customWidth="1"/>
    <col min="4" max="4" width="21.42578125" style="1038" customWidth="1"/>
    <col min="5" max="8" width="3.7109375" style="1038" customWidth="1"/>
    <col min="9" max="9" width="3.7109375" style="1039" customWidth="1"/>
    <col min="10" max="26" width="3.7109375" style="1038" customWidth="1"/>
    <col min="27" max="27" width="4.7109375" style="1038" customWidth="1"/>
    <col min="28" max="32" width="3.7109375" style="1038" customWidth="1"/>
    <col min="33" max="33" width="3.85546875" style="1038" customWidth="1"/>
    <col min="34" max="34" width="3.7109375" style="1038" customWidth="1"/>
    <col min="35" max="35" width="6.5703125" style="1038" hidden="1" customWidth="1"/>
    <col min="36" max="36" width="6.42578125" style="1038" hidden="1" customWidth="1"/>
    <col min="37" max="37" width="9.140625" style="1038" hidden="1" customWidth="1"/>
    <col min="38" max="38" width="7.42578125" style="1038" customWidth="1"/>
    <col min="39" max="39" width="9.5703125" style="1038" customWidth="1"/>
    <col min="40" max="46" width="9.140625" style="1038" customWidth="1"/>
    <col min="47" max="258" width="9.140625" style="1038"/>
    <col min="259" max="259" width="10.42578125" style="1038" customWidth="1"/>
    <col min="260" max="260" width="27.42578125" style="1038" customWidth="1"/>
    <col min="261" max="291" width="4.85546875" style="1038" customWidth="1"/>
    <col min="292" max="292" width="10.5703125" style="1038" customWidth="1"/>
    <col min="293" max="302" width="0" style="1038" hidden="1" customWidth="1"/>
    <col min="303" max="514" width="9.140625" style="1038"/>
    <col min="515" max="515" width="10.42578125" style="1038" customWidth="1"/>
    <col min="516" max="516" width="27.42578125" style="1038" customWidth="1"/>
    <col min="517" max="547" width="4.85546875" style="1038" customWidth="1"/>
    <col min="548" max="548" width="10.5703125" style="1038" customWidth="1"/>
    <col min="549" max="558" width="0" style="1038" hidden="1" customWidth="1"/>
    <col min="559" max="770" width="9.140625" style="1038"/>
    <col min="771" max="771" width="10.42578125" style="1038" customWidth="1"/>
    <col min="772" max="772" width="27.42578125" style="1038" customWidth="1"/>
    <col min="773" max="803" width="4.85546875" style="1038" customWidth="1"/>
    <col min="804" max="804" width="10.5703125" style="1038" customWidth="1"/>
    <col min="805" max="814" width="0" style="1038" hidden="1" customWidth="1"/>
    <col min="815" max="1026" width="9.140625" style="1038"/>
    <col min="1027" max="1027" width="10.42578125" style="1038" customWidth="1"/>
    <col min="1028" max="1028" width="27.42578125" style="1038" customWidth="1"/>
    <col min="1029" max="1059" width="4.85546875" style="1038" customWidth="1"/>
    <col min="1060" max="1060" width="10.5703125" style="1038" customWidth="1"/>
    <col min="1061" max="1070" width="0" style="1038" hidden="1" customWidth="1"/>
    <col min="1071" max="1282" width="9.140625" style="1038"/>
    <col min="1283" max="1283" width="10.42578125" style="1038" customWidth="1"/>
    <col min="1284" max="1284" width="27.42578125" style="1038" customWidth="1"/>
    <col min="1285" max="1315" width="4.85546875" style="1038" customWidth="1"/>
    <col min="1316" max="1316" width="10.5703125" style="1038" customWidth="1"/>
    <col min="1317" max="1326" width="0" style="1038" hidden="1" customWidth="1"/>
    <col min="1327" max="1538" width="9.140625" style="1038"/>
    <col min="1539" max="1539" width="10.42578125" style="1038" customWidth="1"/>
    <col min="1540" max="1540" width="27.42578125" style="1038" customWidth="1"/>
    <col min="1541" max="1571" width="4.85546875" style="1038" customWidth="1"/>
    <col min="1572" max="1572" width="10.5703125" style="1038" customWidth="1"/>
    <col min="1573" max="1582" width="0" style="1038" hidden="1" customWidth="1"/>
    <col min="1583" max="1794" width="9.140625" style="1038"/>
    <col min="1795" max="1795" width="10.42578125" style="1038" customWidth="1"/>
    <col min="1796" max="1796" width="27.42578125" style="1038" customWidth="1"/>
    <col min="1797" max="1827" width="4.85546875" style="1038" customWidth="1"/>
    <col min="1828" max="1828" width="10.5703125" style="1038" customWidth="1"/>
    <col min="1829" max="1838" width="0" style="1038" hidden="1" customWidth="1"/>
    <col min="1839" max="2050" width="9.140625" style="1038"/>
    <col min="2051" max="2051" width="10.42578125" style="1038" customWidth="1"/>
    <col min="2052" max="2052" width="27.42578125" style="1038" customWidth="1"/>
    <col min="2053" max="2083" width="4.85546875" style="1038" customWidth="1"/>
    <col min="2084" max="2084" width="10.5703125" style="1038" customWidth="1"/>
    <col min="2085" max="2094" width="0" style="1038" hidden="1" customWidth="1"/>
    <col min="2095" max="2306" width="9.140625" style="1038"/>
    <col min="2307" max="2307" width="10.42578125" style="1038" customWidth="1"/>
    <col min="2308" max="2308" width="27.42578125" style="1038" customWidth="1"/>
    <col min="2309" max="2339" width="4.85546875" style="1038" customWidth="1"/>
    <col min="2340" max="2340" width="10.5703125" style="1038" customWidth="1"/>
    <col min="2341" max="2350" width="0" style="1038" hidden="1" customWidth="1"/>
    <col min="2351" max="2562" width="9.140625" style="1038"/>
    <col min="2563" max="2563" width="10.42578125" style="1038" customWidth="1"/>
    <col min="2564" max="2564" width="27.42578125" style="1038" customWidth="1"/>
    <col min="2565" max="2595" width="4.85546875" style="1038" customWidth="1"/>
    <col min="2596" max="2596" width="10.5703125" style="1038" customWidth="1"/>
    <col min="2597" max="2606" width="0" style="1038" hidden="1" customWidth="1"/>
    <col min="2607" max="2818" width="9.140625" style="1038"/>
    <col min="2819" max="2819" width="10.42578125" style="1038" customWidth="1"/>
    <col min="2820" max="2820" width="27.42578125" style="1038" customWidth="1"/>
    <col min="2821" max="2851" width="4.85546875" style="1038" customWidth="1"/>
    <col min="2852" max="2852" width="10.5703125" style="1038" customWidth="1"/>
    <col min="2853" max="2862" width="0" style="1038" hidden="1" customWidth="1"/>
    <col min="2863" max="3074" width="9.140625" style="1038"/>
    <col min="3075" max="3075" width="10.42578125" style="1038" customWidth="1"/>
    <col min="3076" max="3076" width="27.42578125" style="1038" customWidth="1"/>
    <col min="3077" max="3107" width="4.85546875" style="1038" customWidth="1"/>
    <col min="3108" max="3108" width="10.5703125" style="1038" customWidth="1"/>
    <col min="3109" max="3118" width="0" style="1038" hidden="1" customWidth="1"/>
    <col min="3119" max="3330" width="9.140625" style="1038"/>
    <col min="3331" max="3331" width="10.42578125" style="1038" customWidth="1"/>
    <col min="3332" max="3332" width="27.42578125" style="1038" customWidth="1"/>
    <col min="3333" max="3363" width="4.85546875" style="1038" customWidth="1"/>
    <col min="3364" max="3364" width="10.5703125" style="1038" customWidth="1"/>
    <col min="3365" max="3374" width="0" style="1038" hidden="1" customWidth="1"/>
    <col min="3375" max="3586" width="9.140625" style="1038"/>
    <col min="3587" max="3587" width="10.42578125" style="1038" customWidth="1"/>
    <col min="3588" max="3588" width="27.42578125" style="1038" customWidth="1"/>
    <col min="3589" max="3619" width="4.85546875" style="1038" customWidth="1"/>
    <col min="3620" max="3620" width="10.5703125" style="1038" customWidth="1"/>
    <col min="3621" max="3630" width="0" style="1038" hidden="1" customWidth="1"/>
    <col min="3631" max="3842" width="9.140625" style="1038"/>
    <col min="3843" max="3843" width="10.42578125" style="1038" customWidth="1"/>
    <col min="3844" max="3844" width="27.42578125" style="1038" customWidth="1"/>
    <col min="3845" max="3875" width="4.85546875" style="1038" customWidth="1"/>
    <col min="3876" max="3876" width="10.5703125" style="1038" customWidth="1"/>
    <col min="3877" max="3886" width="0" style="1038" hidden="1" customWidth="1"/>
    <col min="3887" max="4098" width="9.140625" style="1038"/>
    <col min="4099" max="4099" width="10.42578125" style="1038" customWidth="1"/>
    <col min="4100" max="4100" width="27.42578125" style="1038" customWidth="1"/>
    <col min="4101" max="4131" width="4.85546875" style="1038" customWidth="1"/>
    <col min="4132" max="4132" width="10.5703125" style="1038" customWidth="1"/>
    <col min="4133" max="4142" width="0" style="1038" hidden="1" customWidth="1"/>
    <col min="4143" max="4354" width="9.140625" style="1038"/>
    <col min="4355" max="4355" width="10.42578125" style="1038" customWidth="1"/>
    <col min="4356" max="4356" width="27.42578125" style="1038" customWidth="1"/>
    <col min="4357" max="4387" width="4.85546875" style="1038" customWidth="1"/>
    <col min="4388" max="4388" width="10.5703125" style="1038" customWidth="1"/>
    <col min="4389" max="4398" width="0" style="1038" hidden="1" customWidth="1"/>
    <col min="4399" max="4610" width="9.140625" style="1038"/>
    <col min="4611" max="4611" width="10.42578125" style="1038" customWidth="1"/>
    <col min="4612" max="4612" width="27.42578125" style="1038" customWidth="1"/>
    <col min="4613" max="4643" width="4.85546875" style="1038" customWidth="1"/>
    <col min="4644" max="4644" width="10.5703125" style="1038" customWidth="1"/>
    <col min="4645" max="4654" width="0" style="1038" hidden="1" customWidth="1"/>
    <col min="4655" max="4866" width="9.140625" style="1038"/>
    <col min="4867" max="4867" width="10.42578125" style="1038" customWidth="1"/>
    <col min="4868" max="4868" width="27.42578125" style="1038" customWidth="1"/>
    <col min="4869" max="4899" width="4.85546875" style="1038" customWidth="1"/>
    <col min="4900" max="4900" width="10.5703125" style="1038" customWidth="1"/>
    <col min="4901" max="4910" width="0" style="1038" hidden="1" customWidth="1"/>
    <col min="4911" max="5122" width="9.140625" style="1038"/>
    <col min="5123" max="5123" width="10.42578125" style="1038" customWidth="1"/>
    <col min="5124" max="5124" width="27.42578125" style="1038" customWidth="1"/>
    <col min="5125" max="5155" width="4.85546875" style="1038" customWidth="1"/>
    <col min="5156" max="5156" width="10.5703125" style="1038" customWidth="1"/>
    <col min="5157" max="5166" width="0" style="1038" hidden="1" customWidth="1"/>
    <col min="5167" max="5378" width="9.140625" style="1038"/>
    <col min="5379" max="5379" width="10.42578125" style="1038" customWidth="1"/>
    <col min="5380" max="5380" width="27.42578125" style="1038" customWidth="1"/>
    <col min="5381" max="5411" width="4.85546875" style="1038" customWidth="1"/>
    <col min="5412" max="5412" width="10.5703125" style="1038" customWidth="1"/>
    <col min="5413" max="5422" width="0" style="1038" hidden="1" customWidth="1"/>
    <col min="5423" max="5634" width="9.140625" style="1038"/>
    <col min="5635" max="5635" width="10.42578125" style="1038" customWidth="1"/>
    <col min="5636" max="5636" width="27.42578125" style="1038" customWidth="1"/>
    <col min="5637" max="5667" width="4.85546875" style="1038" customWidth="1"/>
    <col min="5668" max="5668" width="10.5703125" style="1038" customWidth="1"/>
    <col min="5669" max="5678" width="0" style="1038" hidden="1" customWidth="1"/>
    <col min="5679" max="5890" width="9.140625" style="1038"/>
    <col min="5891" max="5891" width="10.42578125" style="1038" customWidth="1"/>
    <col min="5892" max="5892" width="27.42578125" style="1038" customWidth="1"/>
    <col min="5893" max="5923" width="4.85546875" style="1038" customWidth="1"/>
    <col min="5924" max="5924" width="10.5703125" style="1038" customWidth="1"/>
    <col min="5925" max="5934" width="0" style="1038" hidden="1" customWidth="1"/>
    <col min="5935" max="6146" width="9.140625" style="1038"/>
    <col min="6147" max="6147" width="10.42578125" style="1038" customWidth="1"/>
    <col min="6148" max="6148" width="27.42578125" style="1038" customWidth="1"/>
    <col min="6149" max="6179" width="4.85546875" style="1038" customWidth="1"/>
    <col min="6180" max="6180" width="10.5703125" style="1038" customWidth="1"/>
    <col min="6181" max="6190" width="0" style="1038" hidden="1" customWidth="1"/>
    <col min="6191" max="6402" width="9.140625" style="1038"/>
    <col min="6403" max="6403" width="10.42578125" style="1038" customWidth="1"/>
    <col min="6404" max="6404" width="27.42578125" style="1038" customWidth="1"/>
    <col min="6405" max="6435" width="4.85546875" style="1038" customWidth="1"/>
    <col min="6436" max="6436" width="10.5703125" style="1038" customWidth="1"/>
    <col min="6437" max="6446" width="0" style="1038" hidden="1" customWidth="1"/>
    <col min="6447" max="6658" width="9.140625" style="1038"/>
    <col min="6659" max="6659" width="10.42578125" style="1038" customWidth="1"/>
    <col min="6660" max="6660" width="27.42578125" style="1038" customWidth="1"/>
    <col min="6661" max="6691" width="4.85546875" style="1038" customWidth="1"/>
    <col min="6692" max="6692" width="10.5703125" style="1038" customWidth="1"/>
    <col min="6693" max="6702" width="0" style="1038" hidden="1" customWidth="1"/>
    <col min="6703" max="6914" width="9.140625" style="1038"/>
    <col min="6915" max="6915" width="10.42578125" style="1038" customWidth="1"/>
    <col min="6916" max="6916" width="27.42578125" style="1038" customWidth="1"/>
    <col min="6917" max="6947" width="4.85546875" style="1038" customWidth="1"/>
    <col min="6948" max="6948" width="10.5703125" style="1038" customWidth="1"/>
    <col min="6949" max="6958" width="0" style="1038" hidden="1" customWidth="1"/>
    <col min="6959" max="7170" width="9.140625" style="1038"/>
    <col min="7171" max="7171" width="10.42578125" style="1038" customWidth="1"/>
    <col min="7172" max="7172" width="27.42578125" style="1038" customWidth="1"/>
    <col min="7173" max="7203" width="4.85546875" style="1038" customWidth="1"/>
    <col min="7204" max="7204" width="10.5703125" style="1038" customWidth="1"/>
    <col min="7205" max="7214" width="0" style="1038" hidden="1" customWidth="1"/>
    <col min="7215" max="7426" width="9.140625" style="1038"/>
    <col min="7427" max="7427" width="10.42578125" style="1038" customWidth="1"/>
    <col min="7428" max="7428" width="27.42578125" style="1038" customWidth="1"/>
    <col min="7429" max="7459" width="4.85546875" style="1038" customWidth="1"/>
    <col min="7460" max="7460" width="10.5703125" style="1038" customWidth="1"/>
    <col min="7461" max="7470" width="0" style="1038" hidden="1" customWidth="1"/>
    <col min="7471" max="7682" width="9.140625" style="1038"/>
    <col min="7683" max="7683" width="10.42578125" style="1038" customWidth="1"/>
    <col min="7684" max="7684" width="27.42578125" style="1038" customWidth="1"/>
    <col min="7685" max="7715" width="4.85546875" style="1038" customWidth="1"/>
    <col min="7716" max="7716" width="10.5703125" style="1038" customWidth="1"/>
    <col min="7717" max="7726" width="0" style="1038" hidden="1" customWidth="1"/>
    <col min="7727" max="7938" width="9.140625" style="1038"/>
    <col min="7939" max="7939" width="10.42578125" style="1038" customWidth="1"/>
    <col min="7940" max="7940" width="27.42578125" style="1038" customWidth="1"/>
    <col min="7941" max="7971" width="4.85546875" style="1038" customWidth="1"/>
    <col min="7972" max="7972" width="10.5703125" style="1038" customWidth="1"/>
    <col min="7973" max="7982" width="0" style="1038" hidden="1" customWidth="1"/>
    <col min="7983" max="8194" width="9.140625" style="1038"/>
    <col min="8195" max="8195" width="10.42578125" style="1038" customWidth="1"/>
    <col min="8196" max="8196" width="27.42578125" style="1038" customWidth="1"/>
    <col min="8197" max="8227" width="4.85546875" style="1038" customWidth="1"/>
    <col min="8228" max="8228" width="10.5703125" style="1038" customWidth="1"/>
    <col min="8229" max="8238" width="0" style="1038" hidden="1" customWidth="1"/>
    <col min="8239" max="8450" width="9.140625" style="1038"/>
    <col min="8451" max="8451" width="10.42578125" style="1038" customWidth="1"/>
    <col min="8452" max="8452" width="27.42578125" style="1038" customWidth="1"/>
    <col min="8453" max="8483" width="4.85546875" style="1038" customWidth="1"/>
    <col min="8484" max="8484" width="10.5703125" style="1038" customWidth="1"/>
    <col min="8485" max="8494" width="0" style="1038" hidden="1" customWidth="1"/>
    <col min="8495" max="8706" width="9.140625" style="1038"/>
    <col min="8707" max="8707" width="10.42578125" style="1038" customWidth="1"/>
    <col min="8708" max="8708" width="27.42578125" style="1038" customWidth="1"/>
    <col min="8709" max="8739" width="4.85546875" style="1038" customWidth="1"/>
    <col min="8740" max="8740" width="10.5703125" style="1038" customWidth="1"/>
    <col min="8741" max="8750" width="0" style="1038" hidden="1" customWidth="1"/>
    <col min="8751" max="8962" width="9.140625" style="1038"/>
    <col min="8963" max="8963" width="10.42578125" style="1038" customWidth="1"/>
    <col min="8964" max="8964" width="27.42578125" style="1038" customWidth="1"/>
    <col min="8965" max="8995" width="4.85546875" style="1038" customWidth="1"/>
    <col min="8996" max="8996" width="10.5703125" style="1038" customWidth="1"/>
    <col min="8997" max="9006" width="0" style="1038" hidden="1" customWidth="1"/>
    <col min="9007" max="9218" width="9.140625" style="1038"/>
    <col min="9219" max="9219" width="10.42578125" style="1038" customWidth="1"/>
    <col min="9220" max="9220" width="27.42578125" style="1038" customWidth="1"/>
    <col min="9221" max="9251" width="4.85546875" style="1038" customWidth="1"/>
    <col min="9252" max="9252" width="10.5703125" style="1038" customWidth="1"/>
    <col min="9253" max="9262" width="0" style="1038" hidden="1" customWidth="1"/>
    <col min="9263" max="9474" width="9.140625" style="1038"/>
    <col min="9475" max="9475" width="10.42578125" style="1038" customWidth="1"/>
    <col min="9476" max="9476" width="27.42578125" style="1038" customWidth="1"/>
    <col min="9477" max="9507" width="4.85546875" style="1038" customWidth="1"/>
    <col min="9508" max="9508" width="10.5703125" style="1038" customWidth="1"/>
    <col min="9509" max="9518" width="0" style="1038" hidden="1" customWidth="1"/>
    <col min="9519" max="9730" width="9.140625" style="1038"/>
    <col min="9731" max="9731" width="10.42578125" style="1038" customWidth="1"/>
    <col min="9732" max="9732" width="27.42578125" style="1038" customWidth="1"/>
    <col min="9733" max="9763" width="4.85546875" style="1038" customWidth="1"/>
    <col min="9764" max="9764" width="10.5703125" style="1038" customWidth="1"/>
    <col min="9765" max="9774" width="0" style="1038" hidden="1" customWidth="1"/>
    <col min="9775" max="9986" width="9.140625" style="1038"/>
    <col min="9987" max="9987" width="10.42578125" style="1038" customWidth="1"/>
    <col min="9988" max="9988" width="27.42578125" style="1038" customWidth="1"/>
    <col min="9989" max="10019" width="4.85546875" style="1038" customWidth="1"/>
    <col min="10020" max="10020" width="10.5703125" style="1038" customWidth="1"/>
    <col min="10021" max="10030" width="0" style="1038" hidden="1" customWidth="1"/>
    <col min="10031" max="10242" width="9.140625" style="1038"/>
    <col min="10243" max="10243" width="10.42578125" style="1038" customWidth="1"/>
    <col min="10244" max="10244" width="27.42578125" style="1038" customWidth="1"/>
    <col min="10245" max="10275" width="4.85546875" style="1038" customWidth="1"/>
    <col min="10276" max="10276" width="10.5703125" style="1038" customWidth="1"/>
    <col min="10277" max="10286" width="0" style="1038" hidden="1" customWidth="1"/>
    <col min="10287" max="10498" width="9.140625" style="1038"/>
    <col min="10499" max="10499" width="10.42578125" style="1038" customWidth="1"/>
    <col min="10500" max="10500" width="27.42578125" style="1038" customWidth="1"/>
    <col min="10501" max="10531" width="4.85546875" style="1038" customWidth="1"/>
    <col min="10532" max="10532" width="10.5703125" style="1038" customWidth="1"/>
    <col min="10533" max="10542" width="0" style="1038" hidden="1" customWidth="1"/>
    <col min="10543" max="10754" width="9.140625" style="1038"/>
    <col min="10755" max="10755" width="10.42578125" style="1038" customWidth="1"/>
    <col min="10756" max="10756" width="27.42578125" style="1038" customWidth="1"/>
    <col min="10757" max="10787" width="4.85546875" style="1038" customWidth="1"/>
    <col min="10788" max="10788" width="10.5703125" style="1038" customWidth="1"/>
    <col min="10789" max="10798" width="0" style="1038" hidden="1" customWidth="1"/>
    <col min="10799" max="11010" width="9.140625" style="1038"/>
    <col min="11011" max="11011" width="10.42578125" style="1038" customWidth="1"/>
    <col min="11012" max="11012" width="27.42578125" style="1038" customWidth="1"/>
    <col min="11013" max="11043" width="4.85546875" style="1038" customWidth="1"/>
    <col min="11044" max="11044" width="10.5703125" style="1038" customWidth="1"/>
    <col min="11045" max="11054" width="0" style="1038" hidden="1" customWidth="1"/>
    <col min="11055" max="11266" width="9.140625" style="1038"/>
    <col min="11267" max="11267" width="10.42578125" style="1038" customWidth="1"/>
    <col min="11268" max="11268" width="27.42578125" style="1038" customWidth="1"/>
    <col min="11269" max="11299" width="4.85546875" style="1038" customWidth="1"/>
    <col min="11300" max="11300" width="10.5703125" style="1038" customWidth="1"/>
    <col min="11301" max="11310" width="0" style="1038" hidden="1" customWidth="1"/>
    <col min="11311" max="11522" width="9.140625" style="1038"/>
    <col min="11523" max="11523" width="10.42578125" style="1038" customWidth="1"/>
    <col min="11524" max="11524" width="27.42578125" style="1038" customWidth="1"/>
    <col min="11525" max="11555" width="4.85546875" style="1038" customWidth="1"/>
    <col min="11556" max="11556" width="10.5703125" style="1038" customWidth="1"/>
    <col min="11557" max="11566" width="0" style="1038" hidden="1" customWidth="1"/>
    <col min="11567" max="11778" width="9.140625" style="1038"/>
    <col min="11779" max="11779" width="10.42578125" style="1038" customWidth="1"/>
    <col min="11780" max="11780" width="27.42578125" style="1038" customWidth="1"/>
    <col min="11781" max="11811" width="4.85546875" style="1038" customWidth="1"/>
    <col min="11812" max="11812" width="10.5703125" style="1038" customWidth="1"/>
    <col min="11813" max="11822" width="0" style="1038" hidden="1" customWidth="1"/>
    <col min="11823" max="12034" width="9.140625" style="1038"/>
    <col min="12035" max="12035" width="10.42578125" style="1038" customWidth="1"/>
    <col min="12036" max="12036" width="27.42578125" style="1038" customWidth="1"/>
    <col min="12037" max="12067" width="4.85546875" style="1038" customWidth="1"/>
    <col min="12068" max="12068" width="10.5703125" style="1038" customWidth="1"/>
    <col min="12069" max="12078" width="0" style="1038" hidden="1" customWidth="1"/>
    <col min="12079" max="12290" width="9.140625" style="1038"/>
    <col min="12291" max="12291" width="10.42578125" style="1038" customWidth="1"/>
    <col min="12292" max="12292" width="27.42578125" style="1038" customWidth="1"/>
    <col min="12293" max="12323" width="4.85546875" style="1038" customWidth="1"/>
    <col min="12324" max="12324" width="10.5703125" style="1038" customWidth="1"/>
    <col min="12325" max="12334" width="0" style="1038" hidden="1" customWidth="1"/>
    <col min="12335" max="12546" width="9.140625" style="1038"/>
    <col min="12547" max="12547" width="10.42578125" style="1038" customWidth="1"/>
    <col min="12548" max="12548" width="27.42578125" style="1038" customWidth="1"/>
    <col min="12549" max="12579" width="4.85546875" style="1038" customWidth="1"/>
    <col min="12580" max="12580" width="10.5703125" style="1038" customWidth="1"/>
    <col min="12581" max="12590" width="0" style="1038" hidden="1" customWidth="1"/>
    <col min="12591" max="12802" width="9.140625" style="1038"/>
    <col min="12803" max="12803" width="10.42578125" style="1038" customWidth="1"/>
    <col min="12804" max="12804" width="27.42578125" style="1038" customWidth="1"/>
    <col min="12805" max="12835" width="4.85546875" style="1038" customWidth="1"/>
    <col min="12836" max="12836" width="10.5703125" style="1038" customWidth="1"/>
    <col min="12837" max="12846" width="0" style="1038" hidden="1" customWidth="1"/>
    <col min="12847" max="13058" width="9.140625" style="1038"/>
    <col min="13059" max="13059" width="10.42578125" style="1038" customWidth="1"/>
    <col min="13060" max="13060" width="27.42578125" style="1038" customWidth="1"/>
    <col min="13061" max="13091" width="4.85546875" style="1038" customWidth="1"/>
    <col min="13092" max="13092" width="10.5703125" style="1038" customWidth="1"/>
    <col min="13093" max="13102" width="0" style="1038" hidden="1" customWidth="1"/>
    <col min="13103" max="13314" width="9.140625" style="1038"/>
    <col min="13315" max="13315" width="10.42578125" style="1038" customWidth="1"/>
    <col min="13316" max="13316" width="27.42578125" style="1038" customWidth="1"/>
    <col min="13317" max="13347" width="4.85546875" style="1038" customWidth="1"/>
    <col min="13348" max="13348" width="10.5703125" style="1038" customWidth="1"/>
    <col min="13349" max="13358" width="0" style="1038" hidden="1" customWidth="1"/>
    <col min="13359" max="13570" width="9.140625" style="1038"/>
    <col min="13571" max="13571" width="10.42578125" style="1038" customWidth="1"/>
    <col min="13572" max="13572" width="27.42578125" style="1038" customWidth="1"/>
    <col min="13573" max="13603" width="4.85546875" style="1038" customWidth="1"/>
    <col min="13604" max="13604" width="10.5703125" style="1038" customWidth="1"/>
    <col min="13605" max="13614" width="0" style="1038" hidden="1" customWidth="1"/>
    <col min="13615" max="13826" width="9.140625" style="1038"/>
    <col min="13827" max="13827" width="10.42578125" style="1038" customWidth="1"/>
    <col min="13828" max="13828" width="27.42578125" style="1038" customWidth="1"/>
    <col min="13829" max="13859" width="4.85546875" style="1038" customWidth="1"/>
    <col min="13860" max="13860" width="10.5703125" style="1038" customWidth="1"/>
    <col min="13861" max="13870" width="0" style="1038" hidden="1" customWidth="1"/>
    <col min="13871" max="14082" width="9.140625" style="1038"/>
    <col min="14083" max="14083" width="10.42578125" style="1038" customWidth="1"/>
    <col min="14084" max="14084" width="27.42578125" style="1038" customWidth="1"/>
    <col min="14085" max="14115" width="4.85546875" style="1038" customWidth="1"/>
    <col min="14116" max="14116" width="10.5703125" style="1038" customWidth="1"/>
    <col min="14117" max="14126" width="0" style="1038" hidden="1" customWidth="1"/>
    <col min="14127" max="14338" width="9.140625" style="1038"/>
    <col min="14339" max="14339" width="10.42578125" style="1038" customWidth="1"/>
    <col min="14340" max="14340" width="27.42578125" style="1038" customWidth="1"/>
    <col min="14341" max="14371" width="4.85546875" style="1038" customWidth="1"/>
    <col min="14372" max="14372" width="10.5703125" style="1038" customWidth="1"/>
    <col min="14373" max="14382" width="0" style="1038" hidden="1" customWidth="1"/>
    <col min="14383" max="14594" width="9.140625" style="1038"/>
    <col min="14595" max="14595" width="10.42578125" style="1038" customWidth="1"/>
    <col min="14596" max="14596" width="27.42578125" style="1038" customWidth="1"/>
    <col min="14597" max="14627" width="4.85546875" style="1038" customWidth="1"/>
    <col min="14628" max="14628" width="10.5703125" style="1038" customWidth="1"/>
    <col min="14629" max="14638" width="0" style="1038" hidden="1" customWidth="1"/>
    <col min="14639" max="14850" width="9.140625" style="1038"/>
    <col min="14851" max="14851" width="10.42578125" style="1038" customWidth="1"/>
    <col min="14852" max="14852" width="27.42578125" style="1038" customWidth="1"/>
    <col min="14853" max="14883" width="4.85546875" style="1038" customWidth="1"/>
    <col min="14884" max="14884" width="10.5703125" style="1038" customWidth="1"/>
    <col min="14885" max="14894" width="0" style="1038" hidden="1" customWidth="1"/>
    <col min="14895" max="15106" width="9.140625" style="1038"/>
    <col min="15107" max="15107" width="10.42578125" style="1038" customWidth="1"/>
    <col min="15108" max="15108" width="27.42578125" style="1038" customWidth="1"/>
    <col min="15109" max="15139" width="4.85546875" style="1038" customWidth="1"/>
    <col min="15140" max="15140" width="10.5703125" style="1038" customWidth="1"/>
    <col min="15141" max="15150" width="0" style="1038" hidden="1" customWidth="1"/>
    <col min="15151" max="15362" width="9.140625" style="1038"/>
    <col min="15363" max="15363" width="10.42578125" style="1038" customWidth="1"/>
    <col min="15364" max="15364" width="27.42578125" style="1038" customWidth="1"/>
    <col min="15365" max="15395" width="4.85546875" style="1038" customWidth="1"/>
    <col min="15396" max="15396" width="10.5703125" style="1038" customWidth="1"/>
    <col min="15397" max="15406" width="0" style="1038" hidden="1" customWidth="1"/>
    <col min="15407" max="15618" width="9.140625" style="1038"/>
    <col min="15619" max="15619" width="10.42578125" style="1038" customWidth="1"/>
    <col min="15620" max="15620" width="27.42578125" style="1038" customWidth="1"/>
    <col min="15621" max="15651" width="4.85546875" style="1038" customWidth="1"/>
    <col min="15652" max="15652" width="10.5703125" style="1038" customWidth="1"/>
    <col min="15653" max="15662" width="0" style="1038" hidden="1" customWidth="1"/>
    <col min="15663" max="15874" width="9.140625" style="1038"/>
    <col min="15875" max="15875" width="10.42578125" style="1038" customWidth="1"/>
    <col min="15876" max="15876" width="27.42578125" style="1038" customWidth="1"/>
    <col min="15877" max="15907" width="4.85546875" style="1038" customWidth="1"/>
    <col min="15908" max="15908" width="10.5703125" style="1038" customWidth="1"/>
    <col min="15909" max="15918" width="0" style="1038" hidden="1" customWidth="1"/>
    <col min="15919" max="16130" width="9.140625" style="1038"/>
    <col min="16131" max="16131" width="10.42578125" style="1038" customWidth="1"/>
    <col min="16132" max="16132" width="27.42578125" style="1038" customWidth="1"/>
    <col min="16133" max="16163" width="4.85546875" style="1038" customWidth="1"/>
    <col min="16164" max="16164" width="10.5703125" style="1038" customWidth="1"/>
    <col min="16165" max="16174" width="0" style="1038" hidden="1" customWidth="1"/>
    <col min="16175" max="16384" width="9.140625" style="1038"/>
  </cols>
  <sheetData>
    <row r="1" spans="1:45">
      <c r="A1" s="4694" t="s">
        <v>23</v>
      </c>
      <c r="B1" s="4694"/>
      <c r="C1" s="4694"/>
      <c r="D1" s="4694"/>
      <c r="E1" s="4694"/>
      <c r="F1" s="4694"/>
      <c r="G1" s="4694"/>
      <c r="H1" s="4694"/>
      <c r="I1" s="4694"/>
      <c r="J1" s="4694"/>
      <c r="K1" s="4694"/>
      <c r="L1" s="4694"/>
      <c r="M1" s="4694"/>
      <c r="N1" s="4694"/>
      <c r="O1" s="4694"/>
      <c r="P1" s="4694"/>
      <c r="Q1" s="4694"/>
      <c r="R1" s="4694"/>
      <c r="S1" s="4694"/>
      <c r="T1" s="4694"/>
      <c r="U1" s="4694"/>
      <c r="V1" s="4694"/>
      <c r="W1" s="4694"/>
      <c r="X1" s="4694"/>
      <c r="Y1" s="4694"/>
      <c r="Z1" s="4694"/>
      <c r="AA1" s="4694"/>
      <c r="AB1" s="4694"/>
      <c r="AC1" s="4694"/>
      <c r="AD1" s="4694"/>
      <c r="AE1" s="4694"/>
      <c r="AF1" s="4694"/>
      <c r="AG1" s="4694"/>
      <c r="AH1" s="4694"/>
      <c r="AI1" s="4694"/>
      <c r="AJ1" s="4694"/>
      <c r="AK1" s="4694"/>
      <c r="AL1" s="4694"/>
      <c r="AM1" s="4694"/>
    </row>
    <row r="2" spans="1:45">
      <c r="A2" s="4694" t="s">
        <v>45</v>
      </c>
      <c r="B2" s="4694"/>
      <c r="C2" s="4694"/>
      <c r="D2" s="4694"/>
      <c r="E2" s="4694"/>
      <c r="F2" s="4694"/>
      <c r="G2" s="4694"/>
      <c r="H2" s="4694"/>
      <c r="I2" s="4694"/>
      <c r="J2" s="4694"/>
      <c r="K2" s="4694"/>
      <c r="L2" s="4694"/>
      <c r="M2" s="4694"/>
      <c r="N2" s="4694"/>
      <c r="O2" s="4694"/>
      <c r="P2" s="4694"/>
      <c r="Q2" s="4694"/>
      <c r="R2" s="4694"/>
      <c r="S2" s="4694"/>
      <c r="T2" s="4694"/>
      <c r="U2" s="4694"/>
      <c r="V2" s="4694"/>
      <c r="W2" s="4694"/>
      <c r="X2" s="4694"/>
      <c r="Y2" s="4694"/>
      <c r="Z2" s="4694"/>
      <c r="AA2" s="4694"/>
      <c r="AB2" s="4694"/>
      <c r="AC2" s="4694"/>
      <c r="AD2" s="4694"/>
      <c r="AE2" s="4694"/>
      <c r="AF2" s="4694"/>
      <c r="AG2" s="4694"/>
      <c r="AH2" s="4694"/>
      <c r="AI2" s="4694"/>
      <c r="AJ2" s="4694"/>
      <c r="AK2" s="4694"/>
      <c r="AL2" s="4694"/>
      <c r="AM2" s="4694"/>
    </row>
    <row r="3" spans="1:45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3934"/>
      <c r="X3" s="3934"/>
      <c r="Y3" s="3934"/>
      <c r="Z3" s="3934"/>
      <c r="AA3" s="3934"/>
      <c r="AB3" s="3934"/>
      <c r="AC3" s="3934"/>
      <c r="AD3" s="3934"/>
      <c r="AE3" s="3934"/>
      <c r="AF3" s="3934"/>
      <c r="AG3" s="3934"/>
      <c r="AH3" s="3934"/>
      <c r="AI3" s="3934"/>
      <c r="AJ3" s="3934"/>
      <c r="AK3" s="3934"/>
      <c r="AL3" s="3934"/>
      <c r="AM3" s="3934"/>
    </row>
    <row r="4" spans="1:45">
      <c r="A4" s="4230" t="s">
        <v>1482</v>
      </c>
      <c r="B4" s="4230"/>
      <c r="C4" s="4230"/>
      <c r="D4" s="4230"/>
      <c r="E4" s="4230"/>
      <c r="F4" s="4230"/>
      <c r="G4" s="4230"/>
      <c r="H4" s="4230"/>
      <c r="AM4" s="1040">
        <v>1</v>
      </c>
      <c r="AN4" s="1040">
        <v>2</v>
      </c>
      <c r="AO4" s="1040">
        <v>3</v>
      </c>
      <c r="AP4" s="1040">
        <v>4</v>
      </c>
      <c r="AQ4" s="1040">
        <v>5</v>
      </c>
      <c r="AR4" s="1041">
        <v>6</v>
      </c>
      <c r="AS4" s="1041">
        <v>7</v>
      </c>
    </row>
    <row r="5" spans="1:45">
      <c r="A5" s="4694" t="s">
        <v>1153</v>
      </c>
      <c r="B5" s="4694"/>
      <c r="C5" s="4694"/>
      <c r="D5" s="4694"/>
      <c r="E5" s="4694"/>
      <c r="F5" s="4694"/>
      <c r="G5" s="4694"/>
      <c r="H5" s="4694"/>
      <c r="AM5" s="1040" t="s">
        <v>133</v>
      </c>
      <c r="AN5" s="1040" t="s">
        <v>970</v>
      </c>
      <c r="AO5" s="1040" t="s">
        <v>971</v>
      </c>
      <c r="AP5" s="1040" t="s">
        <v>972</v>
      </c>
      <c r="AQ5" s="1040" t="s">
        <v>973</v>
      </c>
      <c r="AR5" s="1041" t="s">
        <v>974</v>
      </c>
      <c r="AS5" s="1041" t="s">
        <v>975</v>
      </c>
    </row>
    <row r="6" spans="1:45">
      <c r="AM6" s="1042"/>
      <c r="AN6" s="1042"/>
      <c r="AO6" s="1042"/>
      <c r="AP6" s="1042"/>
      <c r="AQ6" s="1042"/>
    </row>
    <row r="7" spans="1:45" ht="15" customHeight="1">
      <c r="A7" s="4234" t="s">
        <v>2156</v>
      </c>
      <c r="B7" s="4234"/>
      <c r="C7" s="4234"/>
      <c r="D7" s="4234"/>
      <c r="E7" s="4234"/>
      <c r="F7" s="4234"/>
      <c r="G7" s="4234"/>
      <c r="H7" s="4234"/>
      <c r="I7" s="4234"/>
      <c r="J7" s="4234"/>
      <c r="K7" s="4234"/>
      <c r="L7" s="4234"/>
      <c r="M7" s="4234"/>
      <c r="N7" s="4234"/>
      <c r="O7" s="4234"/>
      <c r="P7" s="4234"/>
      <c r="Q7" s="4234"/>
      <c r="R7" s="4234"/>
      <c r="S7" s="4234"/>
      <c r="T7" s="4234"/>
      <c r="U7" s="4234"/>
      <c r="V7" s="4234"/>
      <c r="W7" s="4234"/>
      <c r="X7" s="4234"/>
      <c r="Y7" s="4234"/>
      <c r="Z7" s="4234"/>
      <c r="AA7" s="4234"/>
      <c r="AB7" s="4234"/>
      <c r="AC7" s="4234"/>
      <c r="AD7" s="4234"/>
      <c r="AE7" s="4234"/>
      <c r="AF7" s="4234"/>
      <c r="AG7" s="4234"/>
      <c r="AH7" s="4234"/>
      <c r="AI7" s="4234"/>
      <c r="AJ7" s="4234"/>
      <c r="AK7" s="4234"/>
      <c r="AL7" s="4234"/>
      <c r="AM7" s="4234"/>
      <c r="AN7" s="1042"/>
      <c r="AO7" s="1042"/>
      <c r="AP7" s="1042"/>
      <c r="AQ7" s="1042"/>
    </row>
    <row r="8" spans="1:45" ht="15.75">
      <c r="B8" s="1043" t="s">
        <v>977</v>
      </c>
      <c r="C8" s="1043">
        <v>2025</v>
      </c>
      <c r="D8" s="1043"/>
      <c r="E8" s="2362"/>
      <c r="F8" s="2362"/>
      <c r="G8" s="2362"/>
      <c r="H8" s="2362"/>
      <c r="I8" s="2362"/>
      <c r="J8" s="2362"/>
      <c r="K8" s="2362"/>
      <c r="L8" s="2362"/>
      <c r="M8" s="2362"/>
      <c r="N8" s="2362"/>
      <c r="O8" s="2362"/>
      <c r="P8" s="2362"/>
      <c r="Q8" s="2362"/>
      <c r="R8" s="2362"/>
      <c r="S8" s="2362"/>
      <c r="T8" s="2362"/>
      <c r="U8" s="2362"/>
      <c r="V8" s="2362"/>
      <c r="W8" s="2362"/>
      <c r="X8" s="2362"/>
      <c r="Y8" s="2362"/>
      <c r="Z8" s="2362"/>
      <c r="AA8" s="2362"/>
      <c r="AB8" s="2362"/>
      <c r="AC8" s="2362"/>
      <c r="AD8" s="2362"/>
      <c r="AE8" s="2362"/>
      <c r="AF8" s="2362"/>
      <c r="AG8" s="2362"/>
      <c r="AH8" s="2362"/>
      <c r="AI8" s="2362"/>
      <c r="AJ8" s="2362"/>
      <c r="AK8" s="2362"/>
      <c r="AL8" s="2362"/>
      <c r="AM8" s="2362"/>
    </row>
    <row r="9" spans="1:45">
      <c r="B9" s="1043" t="s">
        <v>978</v>
      </c>
      <c r="C9" s="1043">
        <v>4</v>
      </c>
      <c r="D9" s="1043"/>
    </row>
    <row r="10" spans="1:45">
      <c r="A10" s="4231" t="s">
        <v>0</v>
      </c>
      <c r="B10" s="4236" t="s">
        <v>979</v>
      </c>
      <c r="C10" s="4238" t="s">
        <v>980</v>
      </c>
      <c r="D10" s="4240" t="s">
        <v>46</v>
      </c>
      <c r="E10" s="1044">
        <v>1</v>
      </c>
      <c r="F10" s="1044">
        <v>2</v>
      </c>
      <c r="G10" s="1044">
        <v>3</v>
      </c>
      <c r="H10" s="1044">
        <v>4</v>
      </c>
      <c r="I10" s="1045">
        <v>5</v>
      </c>
      <c r="J10" s="1044">
        <v>6</v>
      </c>
      <c r="K10" s="1044">
        <v>7</v>
      </c>
      <c r="L10" s="1044">
        <v>8</v>
      </c>
      <c r="M10" s="1044">
        <v>9</v>
      </c>
      <c r="N10" s="1044">
        <v>10</v>
      </c>
      <c r="O10" s="1044">
        <v>11</v>
      </c>
      <c r="P10" s="1044">
        <v>12</v>
      </c>
      <c r="Q10" s="1044">
        <v>13</v>
      </c>
      <c r="R10" s="1044">
        <v>14</v>
      </c>
      <c r="S10" s="1044">
        <v>15</v>
      </c>
      <c r="T10" s="1044">
        <v>16</v>
      </c>
      <c r="U10" s="1044">
        <v>17</v>
      </c>
      <c r="V10" s="1044">
        <v>18</v>
      </c>
      <c r="W10" s="1044">
        <v>19</v>
      </c>
      <c r="X10" s="1044">
        <v>20</v>
      </c>
      <c r="Y10" s="1044">
        <v>21</v>
      </c>
      <c r="Z10" s="1044">
        <v>22</v>
      </c>
      <c r="AA10" s="1044">
        <v>23</v>
      </c>
      <c r="AB10" s="1044">
        <v>24</v>
      </c>
      <c r="AC10" s="1044">
        <v>25</v>
      </c>
      <c r="AD10" s="1044">
        <v>26</v>
      </c>
      <c r="AE10" s="1044">
        <v>27</v>
      </c>
      <c r="AF10" s="1044">
        <v>28</v>
      </c>
      <c r="AG10" s="1044">
        <v>29</v>
      </c>
      <c r="AH10" s="1044">
        <v>30</v>
      </c>
      <c r="AI10" s="4240" t="s">
        <v>1425</v>
      </c>
      <c r="AJ10" s="4240" t="s">
        <v>1426</v>
      </c>
      <c r="AK10" s="4695" t="s">
        <v>1424</v>
      </c>
      <c r="AL10" s="4695" t="s">
        <v>1429</v>
      </c>
      <c r="AM10" s="4236" t="s">
        <v>92</v>
      </c>
    </row>
    <row r="11" spans="1:45" ht="27" customHeight="1">
      <c r="A11" s="4232"/>
      <c r="B11" s="4237"/>
      <c r="C11" s="4239"/>
      <c r="D11" s="4241"/>
      <c r="E11" s="1048" t="str">
        <f t="shared" ref="E11:AH11" si="0">IF(E10="","",HLOOKUP(WEEKDAY(DATE($C$8,$C$9,E10)),$AM$4:$AS$5,2,0))</f>
        <v>Ba</v>
      </c>
      <c r="F11" s="1048" t="str">
        <f t="shared" si="0"/>
        <v>Tư</v>
      </c>
      <c r="G11" s="1048" t="str">
        <f t="shared" si="0"/>
        <v>Năm</v>
      </c>
      <c r="H11" s="1048" t="str">
        <f t="shared" si="0"/>
        <v>Sáu</v>
      </c>
      <c r="I11" s="1049" t="str">
        <f t="shared" si="0"/>
        <v>Bảy</v>
      </c>
      <c r="J11" s="1048" t="str">
        <f t="shared" si="0"/>
        <v>CN</v>
      </c>
      <c r="K11" s="1048" t="str">
        <f t="shared" si="0"/>
        <v>Hai</v>
      </c>
      <c r="L11" s="1048" t="str">
        <f t="shared" si="0"/>
        <v>Ba</v>
      </c>
      <c r="M11" s="1048" t="str">
        <f t="shared" si="0"/>
        <v>Tư</v>
      </c>
      <c r="N11" s="1048" t="str">
        <f t="shared" si="0"/>
        <v>Năm</v>
      </c>
      <c r="O11" s="1048" t="str">
        <f t="shared" si="0"/>
        <v>Sáu</v>
      </c>
      <c r="P11" s="1048" t="str">
        <f t="shared" si="0"/>
        <v>Bảy</v>
      </c>
      <c r="Q11" s="1048" t="str">
        <f t="shared" si="0"/>
        <v>CN</v>
      </c>
      <c r="R11" s="1048" t="str">
        <f t="shared" si="0"/>
        <v>Hai</v>
      </c>
      <c r="S11" s="1048" t="str">
        <f t="shared" si="0"/>
        <v>Ba</v>
      </c>
      <c r="T11" s="1048" t="str">
        <f t="shared" si="0"/>
        <v>Tư</v>
      </c>
      <c r="U11" s="1048" t="str">
        <f t="shared" si="0"/>
        <v>Năm</v>
      </c>
      <c r="V11" s="1048" t="str">
        <f t="shared" si="0"/>
        <v>Sáu</v>
      </c>
      <c r="W11" s="1048" t="str">
        <f t="shared" si="0"/>
        <v>Bảy</v>
      </c>
      <c r="X11" s="1048" t="str">
        <f t="shared" si="0"/>
        <v>CN</v>
      </c>
      <c r="Y11" s="1048" t="str">
        <f t="shared" si="0"/>
        <v>Hai</v>
      </c>
      <c r="Z11" s="1048" t="str">
        <f t="shared" si="0"/>
        <v>Ba</v>
      </c>
      <c r="AA11" s="1048" t="str">
        <f t="shared" si="0"/>
        <v>Tư</v>
      </c>
      <c r="AB11" s="1048" t="str">
        <f t="shared" si="0"/>
        <v>Năm</v>
      </c>
      <c r="AC11" s="1048" t="str">
        <f t="shared" si="0"/>
        <v>Sáu</v>
      </c>
      <c r="AD11" s="1048" t="str">
        <f t="shared" si="0"/>
        <v>Bảy</v>
      </c>
      <c r="AE11" s="1048" t="str">
        <f t="shared" si="0"/>
        <v>CN</v>
      </c>
      <c r="AF11" s="1048" t="str">
        <f t="shared" si="0"/>
        <v>Hai</v>
      </c>
      <c r="AG11" s="1044" t="str">
        <f t="shared" si="0"/>
        <v>Ba</v>
      </c>
      <c r="AH11" s="1048" t="str">
        <f t="shared" si="0"/>
        <v>Tư</v>
      </c>
      <c r="AI11" s="4241"/>
      <c r="AJ11" s="4241"/>
      <c r="AK11" s="4696"/>
      <c r="AL11" s="4696"/>
      <c r="AM11" s="4237"/>
    </row>
    <row r="12" spans="1:45" ht="15.75">
      <c r="A12" s="1050">
        <v>1</v>
      </c>
      <c r="B12" s="1044"/>
      <c r="C12" s="2724" t="s">
        <v>1465</v>
      </c>
      <c r="D12" s="2724" t="s">
        <v>1466</v>
      </c>
      <c r="E12" s="1044" t="s">
        <v>164</v>
      </c>
      <c r="F12" s="1044" t="s">
        <v>164</v>
      </c>
      <c r="G12" s="1044" t="s">
        <v>164</v>
      </c>
      <c r="H12" s="1044" t="s">
        <v>164</v>
      </c>
      <c r="I12" s="1044" t="s">
        <v>164</v>
      </c>
      <c r="J12" s="1044" t="s">
        <v>164</v>
      </c>
      <c r="K12" s="1044" t="s">
        <v>164</v>
      </c>
      <c r="L12" s="1044" t="s">
        <v>164</v>
      </c>
      <c r="M12" s="1044" t="s">
        <v>164</v>
      </c>
      <c r="N12" s="1044" t="s">
        <v>164</v>
      </c>
      <c r="O12" s="1044" t="s">
        <v>164</v>
      </c>
      <c r="P12" s="1044" t="s">
        <v>164</v>
      </c>
      <c r="Q12" s="1044" t="s">
        <v>164</v>
      </c>
      <c r="R12" s="1044" t="s">
        <v>164</v>
      </c>
      <c r="S12" s="1044" t="s">
        <v>164</v>
      </c>
      <c r="T12" s="1044" t="s">
        <v>164</v>
      </c>
      <c r="U12" s="1044" t="s">
        <v>164</v>
      </c>
      <c r="V12" s="1044" t="s">
        <v>164</v>
      </c>
      <c r="W12" s="1044" t="s">
        <v>164</v>
      </c>
      <c r="X12" s="1044" t="s">
        <v>164</v>
      </c>
      <c r="Y12" s="1044" t="s">
        <v>164</v>
      </c>
      <c r="Z12" s="1044" t="s">
        <v>164</v>
      </c>
      <c r="AA12" s="1044" t="s">
        <v>164</v>
      </c>
      <c r="AB12" s="1044" t="s">
        <v>164</v>
      </c>
      <c r="AC12" s="1044" t="s">
        <v>164</v>
      </c>
      <c r="AD12" s="1044" t="s">
        <v>164</v>
      </c>
      <c r="AE12" s="1044" t="s">
        <v>164</v>
      </c>
      <c r="AF12" s="1044" t="s">
        <v>164</v>
      </c>
      <c r="AG12" s="1044" t="s">
        <v>164</v>
      </c>
      <c r="AH12" s="1044" t="s">
        <v>164</v>
      </c>
      <c r="AI12" s="1488">
        <f t="shared" ref="AI12:AI27" si="1">COUNTIF(E12:AH12,"X")</f>
        <v>30</v>
      </c>
      <c r="AJ12" s="1488">
        <f t="shared" ref="AJ12:AJ22" si="2">COUNTIF(E12:AI12,"P")</f>
        <v>0</v>
      </c>
      <c r="AK12" s="1488">
        <f t="shared" ref="AK12:AK22" si="3">COUNTIF(E12:AI12,"TT")</f>
        <v>0</v>
      </c>
      <c r="AL12" s="2725">
        <f t="shared" ref="AL12:AL27" si="4">+AI12+AK12+AJ12</f>
        <v>30</v>
      </c>
      <c r="AM12" s="1050"/>
    </row>
    <row r="13" spans="1:45" ht="15.75">
      <c r="A13" s="1050">
        <v>2</v>
      </c>
      <c r="B13" s="1044"/>
      <c r="C13" s="2727" t="s">
        <v>533</v>
      </c>
      <c r="D13" s="2727" t="s">
        <v>1665</v>
      </c>
      <c r="E13" s="1044" t="s">
        <v>164</v>
      </c>
      <c r="F13" s="1044" t="s">
        <v>164</v>
      </c>
      <c r="G13" s="1044" t="s">
        <v>164</v>
      </c>
      <c r="H13" s="1044" t="s">
        <v>164</v>
      </c>
      <c r="I13" s="1044" t="s">
        <v>164</v>
      </c>
      <c r="J13" s="1044" t="s">
        <v>164</v>
      </c>
      <c r="K13" s="1044" t="s">
        <v>164</v>
      </c>
      <c r="L13" s="1044" t="s">
        <v>164</v>
      </c>
      <c r="M13" s="1044" t="s">
        <v>164</v>
      </c>
      <c r="N13" s="1044" t="s">
        <v>164</v>
      </c>
      <c r="O13" s="1044" t="s">
        <v>164</v>
      </c>
      <c r="P13" s="1044" t="s">
        <v>164</v>
      </c>
      <c r="Q13" s="1044" t="s">
        <v>164</v>
      </c>
      <c r="R13" s="1044" t="s">
        <v>164</v>
      </c>
      <c r="S13" s="1044" t="s">
        <v>164</v>
      </c>
      <c r="T13" s="1044" t="s">
        <v>164</v>
      </c>
      <c r="U13" s="1044" t="s">
        <v>164</v>
      </c>
      <c r="V13" s="1044" t="s">
        <v>164</v>
      </c>
      <c r="W13" s="1044" t="s">
        <v>164</v>
      </c>
      <c r="X13" s="1044" t="s">
        <v>164</v>
      </c>
      <c r="Y13" s="1044" t="s">
        <v>164</v>
      </c>
      <c r="Z13" s="1044" t="s">
        <v>164</v>
      </c>
      <c r="AA13" s="1044" t="s">
        <v>164</v>
      </c>
      <c r="AB13" s="1044" t="s">
        <v>164</v>
      </c>
      <c r="AC13" s="1044" t="s">
        <v>164</v>
      </c>
      <c r="AD13" s="1044" t="s">
        <v>164</v>
      </c>
      <c r="AE13" s="1044" t="s">
        <v>164</v>
      </c>
      <c r="AF13" s="1044" t="s">
        <v>164</v>
      </c>
      <c r="AG13" s="1044" t="s">
        <v>164</v>
      </c>
      <c r="AH13" s="1044" t="s">
        <v>164</v>
      </c>
      <c r="AI13" s="1488">
        <f t="shared" si="1"/>
        <v>30</v>
      </c>
      <c r="AJ13" s="1488">
        <f t="shared" si="2"/>
        <v>0</v>
      </c>
      <c r="AK13" s="1488">
        <f t="shared" si="3"/>
        <v>0</v>
      </c>
      <c r="AL13" s="2725">
        <f t="shared" si="4"/>
        <v>30</v>
      </c>
      <c r="AM13" s="1050"/>
    </row>
    <row r="14" spans="1:45" ht="15.75">
      <c r="A14" s="1050">
        <v>3</v>
      </c>
      <c r="B14" s="1044"/>
      <c r="C14" s="2728" t="s">
        <v>1013</v>
      </c>
      <c r="D14" s="2728" t="s">
        <v>1467</v>
      </c>
      <c r="E14" s="1044" t="s">
        <v>164</v>
      </c>
      <c r="F14" s="1044" t="s">
        <v>164</v>
      </c>
      <c r="G14" s="1044" t="s">
        <v>164</v>
      </c>
      <c r="H14" s="1044" t="s">
        <v>164</v>
      </c>
      <c r="I14" s="1044" t="s">
        <v>164</v>
      </c>
      <c r="J14" s="1044" t="s">
        <v>164</v>
      </c>
      <c r="K14" s="1044" t="s">
        <v>164</v>
      </c>
      <c r="L14" s="1044" t="s">
        <v>164</v>
      </c>
      <c r="M14" s="1044" t="s">
        <v>164</v>
      </c>
      <c r="N14" s="1044" t="s">
        <v>164</v>
      </c>
      <c r="O14" s="1044" t="s">
        <v>164</v>
      </c>
      <c r="P14" s="1044" t="s">
        <v>164</v>
      </c>
      <c r="Q14" s="1044" t="s">
        <v>164</v>
      </c>
      <c r="R14" s="1044" t="s">
        <v>164</v>
      </c>
      <c r="S14" s="1044" t="s">
        <v>164</v>
      </c>
      <c r="T14" s="1044" t="s">
        <v>164</v>
      </c>
      <c r="U14" s="1044" t="s">
        <v>164</v>
      </c>
      <c r="V14" s="1044" t="s">
        <v>164</v>
      </c>
      <c r="W14" s="1044" t="s">
        <v>164</v>
      </c>
      <c r="X14" s="1044" t="s">
        <v>164</v>
      </c>
      <c r="Y14" s="1044" t="s">
        <v>164</v>
      </c>
      <c r="Z14" s="1044" t="s">
        <v>164</v>
      </c>
      <c r="AA14" s="1044" t="s">
        <v>164</v>
      </c>
      <c r="AB14" s="1044" t="s">
        <v>164</v>
      </c>
      <c r="AC14" s="1044" t="s">
        <v>164</v>
      </c>
      <c r="AD14" s="1044" t="s">
        <v>164</v>
      </c>
      <c r="AE14" s="1044" t="s">
        <v>164</v>
      </c>
      <c r="AF14" s="1044" t="s">
        <v>164</v>
      </c>
      <c r="AG14" s="1044" t="s">
        <v>164</v>
      </c>
      <c r="AH14" s="1044" t="s">
        <v>164</v>
      </c>
      <c r="AI14" s="1488">
        <f t="shared" si="1"/>
        <v>30</v>
      </c>
      <c r="AJ14" s="1488">
        <f t="shared" si="2"/>
        <v>0</v>
      </c>
      <c r="AK14" s="1488">
        <f t="shared" si="3"/>
        <v>0</v>
      </c>
      <c r="AL14" s="2725">
        <f t="shared" si="4"/>
        <v>30</v>
      </c>
      <c r="AM14" s="1050"/>
    </row>
    <row r="15" spans="1:45" ht="15.75">
      <c r="A15" s="1050">
        <v>4</v>
      </c>
      <c r="B15" s="1044"/>
      <c r="C15" s="2728" t="s">
        <v>1664</v>
      </c>
      <c r="D15" s="2728" t="s">
        <v>1468</v>
      </c>
      <c r="E15" s="1044" t="s">
        <v>164</v>
      </c>
      <c r="F15" s="1044" t="s">
        <v>164</v>
      </c>
      <c r="G15" s="1044" t="s">
        <v>164</v>
      </c>
      <c r="H15" s="1044" t="s">
        <v>164</v>
      </c>
      <c r="I15" s="1044" t="s">
        <v>164</v>
      </c>
      <c r="J15" s="1044" t="s">
        <v>164</v>
      </c>
      <c r="K15" s="1044" t="s">
        <v>164</v>
      </c>
      <c r="L15" s="1044" t="s">
        <v>164</v>
      </c>
      <c r="M15" s="1044" t="s">
        <v>164</v>
      </c>
      <c r="N15" s="1044" t="s">
        <v>164</v>
      </c>
      <c r="O15" s="1044" t="s">
        <v>164</v>
      </c>
      <c r="P15" s="1044" t="s">
        <v>164</v>
      </c>
      <c r="Q15" s="1044" t="s">
        <v>164</v>
      </c>
      <c r="R15" s="1044" t="s">
        <v>164</v>
      </c>
      <c r="S15" s="1044" t="s">
        <v>164</v>
      </c>
      <c r="T15" s="1044" t="s">
        <v>164</v>
      </c>
      <c r="U15" s="1044" t="s">
        <v>164</v>
      </c>
      <c r="V15" s="1044" t="s">
        <v>164</v>
      </c>
      <c r="W15" s="1044" t="s">
        <v>164</v>
      </c>
      <c r="X15" s="1044" t="s">
        <v>164</v>
      </c>
      <c r="Y15" s="1044" t="s">
        <v>164</v>
      </c>
      <c r="Z15" s="1044" t="s">
        <v>164</v>
      </c>
      <c r="AA15" s="1044" t="s">
        <v>164</v>
      </c>
      <c r="AB15" s="1044" t="s">
        <v>164</v>
      </c>
      <c r="AC15" s="1044" t="s">
        <v>164</v>
      </c>
      <c r="AD15" s="1044" t="s">
        <v>164</v>
      </c>
      <c r="AE15" s="1044" t="s">
        <v>164</v>
      </c>
      <c r="AF15" s="1044" t="s">
        <v>164</v>
      </c>
      <c r="AG15" s="1044" t="s">
        <v>164</v>
      </c>
      <c r="AH15" s="1044" t="s">
        <v>164</v>
      </c>
      <c r="AI15" s="1488">
        <f t="shared" si="1"/>
        <v>30</v>
      </c>
      <c r="AJ15" s="1488">
        <f t="shared" si="2"/>
        <v>0</v>
      </c>
      <c r="AK15" s="1488">
        <f t="shared" si="3"/>
        <v>0</v>
      </c>
      <c r="AL15" s="2725">
        <f t="shared" si="4"/>
        <v>30</v>
      </c>
      <c r="AM15" s="1050"/>
    </row>
    <row r="16" spans="1:45">
      <c r="A16" s="1050">
        <v>5</v>
      </c>
      <c r="B16" s="1044"/>
      <c r="C16" s="1050" t="s">
        <v>1480</v>
      </c>
      <c r="D16" s="1050" t="s">
        <v>54</v>
      </c>
      <c r="E16" s="1044" t="s">
        <v>164</v>
      </c>
      <c r="F16" s="1044" t="s">
        <v>164</v>
      </c>
      <c r="G16" s="1044" t="s">
        <v>164</v>
      </c>
      <c r="H16" s="1044" t="s">
        <v>164</v>
      </c>
      <c r="I16" s="1044" t="s">
        <v>164</v>
      </c>
      <c r="J16" s="1044" t="s">
        <v>164</v>
      </c>
      <c r="K16" s="1044" t="s">
        <v>164</v>
      </c>
      <c r="L16" s="1044" t="s">
        <v>164</v>
      </c>
      <c r="M16" s="1044" t="s">
        <v>164</v>
      </c>
      <c r="N16" s="1044" t="s">
        <v>164</v>
      </c>
      <c r="O16" s="1044" t="s">
        <v>164</v>
      </c>
      <c r="P16" s="1044" t="s">
        <v>164</v>
      </c>
      <c r="Q16" s="1044" t="s">
        <v>164</v>
      </c>
      <c r="R16" s="1044" t="s">
        <v>164</v>
      </c>
      <c r="S16" s="1044" t="s">
        <v>164</v>
      </c>
      <c r="T16" s="1044" t="s">
        <v>164</v>
      </c>
      <c r="U16" s="1044" t="s">
        <v>164</v>
      </c>
      <c r="V16" s="1044" t="s">
        <v>164</v>
      </c>
      <c r="W16" s="1044"/>
      <c r="X16" s="1044"/>
      <c r="Y16" s="1044"/>
      <c r="Z16" s="1044"/>
      <c r="AA16" s="1044"/>
      <c r="AB16" s="1044"/>
      <c r="AC16" s="1044"/>
      <c r="AD16" s="1044" t="s">
        <v>164</v>
      </c>
      <c r="AE16" s="1044" t="s">
        <v>164</v>
      </c>
      <c r="AF16" s="1044" t="s">
        <v>164</v>
      </c>
      <c r="AG16" s="1044" t="s">
        <v>164</v>
      </c>
      <c r="AH16" s="1044" t="s">
        <v>164</v>
      </c>
      <c r="AI16" s="1488">
        <f t="shared" si="1"/>
        <v>23</v>
      </c>
      <c r="AJ16" s="1488">
        <f t="shared" si="2"/>
        <v>0</v>
      </c>
      <c r="AK16" s="1488">
        <f t="shared" si="3"/>
        <v>0</v>
      </c>
      <c r="AL16" s="2725">
        <f>+AI16+AK16+AJ16</f>
        <v>23</v>
      </c>
      <c r="AM16" s="1050"/>
    </row>
    <row r="17" spans="1:39" ht="15.75">
      <c r="A17" s="1050">
        <v>6</v>
      </c>
      <c r="B17" s="1044"/>
      <c r="C17" s="2728" t="s">
        <v>319</v>
      </c>
      <c r="D17" s="2728" t="s">
        <v>54</v>
      </c>
      <c r="E17" s="1044" t="s">
        <v>164</v>
      </c>
      <c r="F17" s="1044" t="s">
        <v>164</v>
      </c>
      <c r="G17" s="1044" t="s">
        <v>164</v>
      </c>
      <c r="H17" s="1044" t="s">
        <v>164</v>
      </c>
      <c r="I17" s="1044" t="s">
        <v>164</v>
      </c>
      <c r="J17" s="1044" t="s">
        <v>164</v>
      </c>
      <c r="K17" s="1044" t="s">
        <v>164</v>
      </c>
      <c r="L17" s="1044" t="s">
        <v>164</v>
      </c>
      <c r="M17" s="1044" t="s">
        <v>164</v>
      </c>
      <c r="N17" s="1044" t="s">
        <v>164</v>
      </c>
      <c r="O17" s="1044" t="s">
        <v>164</v>
      </c>
      <c r="P17" s="1044" t="s">
        <v>164</v>
      </c>
      <c r="Q17" s="1044" t="s">
        <v>164</v>
      </c>
      <c r="R17" s="1044" t="s">
        <v>164</v>
      </c>
      <c r="S17" s="1044" t="s">
        <v>164</v>
      </c>
      <c r="T17" s="1044" t="s">
        <v>164</v>
      </c>
      <c r="U17" s="1044" t="s">
        <v>164</v>
      </c>
      <c r="V17" s="1044" t="s">
        <v>164</v>
      </c>
      <c r="W17" s="1044" t="s">
        <v>164</v>
      </c>
      <c r="X17" s="1044" t="s">
        <v>164</v>
      </c>
      <c r="Y17" s="1044" t="s">
        <v>164</v>
      </c>
      <c r="Z17" s="1044" t="s">
        <v>164</v>
      </c>
      <c r="AA17" s="1044" t="s">
        <v>164</v>
      </c>
      <c r="AB17" s="1044" t="s">
        <v>164</v>
      </c>
      <c r="AC17" s="1044" t="s">
        <v>164</v>
      </c>
      <c r="AD17" s="1044" t="s">
        <v>164</v>
      </c>
      <c r="AE17" s="1044" t="s">
        <v>164</v>
      </c>
      <c r="AF17" s="1044" t="s">
        <v>164</v>
      </c>
      <c r="AG17" s="1044" t="s">
        <v>164</v>
      </c>
      <c r="AH17" s="1044" t="s">
        <v>164</v>
      </c>
      <c r="AI17" s="1488">
        <f t="shared" si="1"/>
        <v>30</v>
      </c>
      <c r="AJ17" s="1488">
        <f t="shared" si="2"/>
        <v>0</v>
      </c>
      <c r="AK17" s="1488">
        <f t="shared" si="3"/>
        <v>0</v>
      </c>
      <c r="AL17" s="2725">
        <f t="shared" si="4"/>
        <v>30</v>
      </c>
      <c r="AM17" s="1050"/>
    </row>
    <row r="18" spans="1:39">
      <c r="A18" s="1050">
        <v>7</v>
      </c>
      <c r="B18" s="1044"/>
      <c r="C18" s="1050" t="s">
        <v>37</v>
      </c>
      <c r="D18" s="1050" t="s">
        <v>54</v>
      </c>
      <c r="E18" s="1044" t="s">
        <v>164</v>
      </c>
      <c r="F18" s="1044" t="s">
        <v>164</v>
      </c>
      <c r="G18" s="1044" t="s">
        <v>164</v>
      </c>
      <c r="H18" s="1044" t="s">
        <v>164</v>
      </c>
      <c r="I18" s="1044" t="s">
        <v>164</v>
      </c>
      <c r="J18" s="1044" t="s">
        <v>164</v>
      </c>
      <c r="K18" s="1044" t="s">
        <v>164</v>
      </c>
      <c r="L18" s="1044" t="s">
        <v>164</v>
      </c>
      <c r="M18" s="1044" t="s">
        <v>164</v>
      </c>
      <c r="N18" s="1044" t="s">
        <v>164</v>
      </c>
      <c r="O18" s="1044" t="s">
        <v>164</v>
      </c>
      <c r="P18" s="1044" t="s">
        <v>164</v>
      </c>
      <c r="Q18" s="1044" t="s">
        <v>164</v>
      </c>
      <c r="R18" s="1044" t="s">
        <v>164</v>
      </c>
      <c r="S18" s="1044" t="s">
        <v>164</v>
      </c>
      <c r="T18" s="1044" t="s">
        <v>164</v>
      </c>
      <c r="U18" s="1044" t="s">
        <v>164</v>
      </c>
      <c r="V18" s="1044" t="s">
        <v>164</v>
      </c>
      <c r="W18" s="1044" t="s">
        <v>164</v>
      </c>
      <c r="X18" s="1044" t="s">
        <v>164</v>
      </c>
      <c r="Y18" s="1044" t="s">
        <v>164</v>
      </c>
      <c r="Z18" s="1044" t="s">
        <v>164</v>
      </c>
      <c r="AA18" s="1044" t="s">
        <v>164</v>
      </c>
      <c r="AB18" s="1044" t="s">
        <v>164</v>
      </c>
      <c r="AC18" s="1044" t="s">
        <v>164</v>
      </c>
      <c r="AD18" s="1044" t="s">
        <v>164</v>
      </c>
      <c r="AE18" s="1044" t="s">
        <v>164</v>
      </c>
      <c r="AF18" s="1044" t="s">
        <v>164</v>
      </c>
      <c r="AG18" s="1044" t="s">
        <v>164</v>
      </c>
      <c r="AH18" s="1044" t="s">
        <v>164</v>
      </c>
      <c r="AI18" s="1488">
        <f t="shared" si="1"/>
        <v>30</v>
      </c>
      <c r="AJ18" s="1488">
        <f t="shared" si="2"/>
        <v>0</v>
      </c>
      <c r="AK18" s="1488">
        <f t="shared" si="3"/>
        <v>0</v>
      </c>
      <c r="AL18" s="2725">
        <f>+AI18+AK18+AJ18</f>
        <v>30</v>
      </c>
      <c r="AM18" s="1050"/>
    </row>
    <row r="19" spans="1:39" ht="15.75">
      <c r="A19" s="1050">
        <v>8</v>
      </c>
      <c r="B19" s="1044"/>
      <c r="C19" s="2728" t="s">
        <v>1473</v>
      </c>
      <c r="D19" s="2728" t="s">
        <v>1474</v>
      </c>
      <c r="E19" s="1044" t="s">
        <v>164</v>
      </c>
      <c r="F19" s="1044" t="s">
        <v>164</v>
      </c>
      <c r="G19" s="1044" t="s">
        <v>164</v>
      </c>
      <c r="H19" s="1044" t="s">
        <v>164</v>
      </c>
      <c r="I19" s="1044" t="s">
        <v>164</v>
      </c>
      <c r="J19" s="1044" t="s">
        <v>164</v>
      </c>
      <c r="K19" s="1044" t="s">
        <v>164</v>
      </c>
      <c r="L19" s="1044" t="s">
        <v>164</v>
      </c>
      <c r="M19" s="1044" t="s">
        <v>164</v>
      </c>
      <c r="N19" s="1044" t="s">
        <v>164</v>
      </c>
      <c r="O19" s="1044" t="s">
        <v>164</v>
      </c>
      <c r="P19" s="1044" t="s">
        <v>164</v>
      </c>
      <c r="Q19" s="1044" t="s">
        <v>164</v>
      </c>
      <c r="R19" s="1044" t="s">
        <v>164</v>
      </c>
      <c r="S19" s="1044" t="s">
        <v>164</v>
      </c>
      <c r="T19" s="1044" t="s">
        <v>164</v>
      </c>
      <c r="U19" s="1044" t="s">
        <v>164</v>
      </c>
      <c r="V19" s="1044" t="s">
        <v>164</v>
      </c>
      <c r="W19" s="1044" t="s">
        <v>164</v>
      </c>
      <c r="X19" s="1044" t="s">
        <v>164</v>
      </c>
      <c r="Y19" s="1044" t="s">
        <v>164</v>
      </c>
      <c r="Z19" s="1044" t="s">
        <v>164</v>
      </c>
      <c r="AA19" s="1044" t="s">
        <v>164</v>
      </c>
      <c r="AB19" s="1044" t="s">
        <v>164</v>
      </c>
      <c r="AC19" s="1044" t="s">
        <v>164</v>
      </c>
      <c r="AD19" s="1044" t="s">
        <v>164</v>
      </c>
      <c r="AE19" s="1044" t="s">
        <v>164</v>
      </c>
      <c r="AF19" s="1044" t="s">
        <v>164</v>
      </c>
      <c r="AG19" s="1044" t="s">
        <v>164</v>
      </c>
      <c r="AH19" s="1044" t="s">
        <v>164</v>
      </c>
      <c r="AI19" s="1488">
        <f t="shared" si="1"/>
        <v>30</v>
      </c>
      <c r="AJ19" s="1488">
        <f t="shared" si="2"/>
        <v>0</v>
      </c>
      <c r="AK19" s="1488">
        <f t="shared" si="3"/>
        <v>0</v>
      </c>
      <c r="AL19" s="2725">
        <f t="shared" si="4"/>
        <v>30</v>
      </c>
      <c r="AM19" s="1050"/>
    </row>
    <row r="20" spans="1:39" ht="15.75">
      <c r="A20" s="1050">
        <v>9</v>
      </c>
      <c r="B20" s="1044"/>
      <c r="C20" s="2726" t="s">
        <v>1165</v>
      </c>
      <c r="D20" s="2726" t="s">
        <v>1474</v>
      </c>
      <c r="E20" s="1044" t="s">
        <v>164</v>
      </c>
      <c r="F20" s="1044" t="s">
        <v>164</v>
      </c>
      <c r="G20" s="1044" t="s">
        <v>164</v>
      </c>
      <c r="H20" s="1044" t="s">
        <v>164</v>
      </c>
      <c r="I20" s="1044" t="s">
        <v>164</v>
      </c>
      <c r="J20" s="1044" t="s">
        <v>164</v>
      </c>
      <c r="K20" s="1044" t="s">
        <v>164</v>
      </c>
      <c r="L20" s="1044" t="s">
        <v>164</v>
      </c>
      <c r="M20" s="1044" t="s">
        <v>164</v>
      </c>
      <c r="N20" s="1044" t="s">
        <v>164</v>
      </c>
      <c r="O20" s="1044" t="s">
        <v>164</v>
      </c>
      <c r="P20" s="1044" t="s">
        <v>164</v>
      </c>
      <c r="Q20" s="1044" t="s">
        <v>164</v>
      </c>
      <c r="R20" s="1044" t="s">
        <v>164</v>
      </c>
      <c r="S20" s="1044" t="s">
        <v>164</v>
      </c>
      <c r="T20" s="1044" t="s">
        <v>164</v>
      </c>
      <c r="U20" s="1044" t="s">
        <v>164</v>
      </c>
      <c r="V20" s="1044" t="s">
        <v>164</v>
      </c>
      <c r="W20" s="1044" t="s">
        <v>164</v>
      </c>
      <c r="X20" s="1044" t="s">
        <v>164</v>
      </c>
      <c r="Y20" s="1044" t="s">
        <v>164</v>
      </c>
      <c r="Z20" s="1044" t="s">
        <v>164</v>
      </c>
      <c r="AA20" s="1044" t="s">
        <v>164</v>
      </c>
      <c r="AB20" s="1044" t="s">
        <v>164</v>
      </c>
      <c r="AC20" s="1044" t="s">
        <v>164</v>
      </c>
      <c r="AD20" s="1044" t="s">
        <v>164</v>
      </c>
      <c r="AE20" s="1044" t="s">
        <v>164</v>
      </c>
      <c r="AF20" s="1044" t="s">
        <v>164</v>
      </c>
      <c r="AG20" s="1044" t="s">
        <v>164</v>
      </c>
      <c r="AH20" s="1044" t="s">
        <v>164</v>
      </c>
      <c r="AI20" s="1488">
        <f t="shared" si="1"/>
        <v>30</v>
      </c>
      <c r="AJ20" s="1488">
        <f t="shared" si="2"/>
        <v>0</v>
      </c>
      <c r="AK20" s="1488">
        <f t="shared" si="3"/>
        <v>0</v>
      </c>
      <c r="AL20" s="2725">
        <f t="shared" si="4"/>
        <v>30</v>
      </c>
      <c r="AM20" s="1050"/>
    </row>
    <row r="21" spans="1:39">
      <c r="A21" s="1050">
        <v>10</v>
      </c>
      <c r="B21" s="1044"/>
      <c r="C21" s="1050" t="s">
        <v>1478</v>
      </c>
      <c r="D21" s="1050" t="s">
        <v>1474</v>
      </c>
      <c r="E21" s="1044" t="s">
        <v>164</v>
      </c>
      <c r="F21" s="1044" t="s">
        <v>164</v>
      </c>
      <c r="G21" s="1044" t="s">
        <v>164</v>
      </c>
      <c r="H21" s="1044" t="s">
        <v>164</v>
      </c>
      <c r="I21" s="1044" t="s">
        <v>164</v>
      </c>
      <c r="J21" s="1044" t="s">
        <v>164</v>
      </c>
      <c r="K21" s="1044" t="s">
        <v>164</v>
      </c>
      <c r="L21" s="1044" t="s">
        <v>164</v>
      </c>
      <c r="M21" s="1044" t="s">
        <v>164</v>
      </c>
      <c r="N21" s="1044" t="s">
        <v>164</v>
      </c>
      <c r="O21" s="1044" t="s">
        <v>164</v>
      </c>
      <c r="P21" s="1044" t="s">
        <v>164</v>
      </c>
      <c r="Q21" s="1044" t="s">
        <v>164</v>
      </c>
      <c r="R21" s="1044" t="s">
        <v>164</v>
      </c>
      <c r="S21" s="1044" t="s">
        <v>164</v>
      </c>
      <c r="T21" s="1044" t="s">
        <v>164</v>
      </c>
      <c r="U21" s="1044" t="s">
        <v>164</v>
      </c>
      <c r="V21" s="1044" t="s">
        <v>164</v>
      </c>
      <c r="W21" s="1044" t="s">
        <v>164</v>
      </c>
      <c r="X21" s="1044" t="s">
        <v>164</v>
      </c>
      <c r="Y21" s="1044" t="s">
        <v>164</v>
      </c>
      <c r="Z21" s="1044" t="s">
        <v>164</v>
      </c>
      <c r="AA21" s="1044" t="s">
        <v>164</v>
      </c>
      <c r="AB21" s="1044" t="s">
        <v>164</v>
      </c>
      <c r="AC21" s="1044" t="s">
        <v>164</v>
      </c>
      <c r="AD21" s="1044" t="s">
        <v>164</v>
      </c>
      <c r="AE21" s="1044" t="s">
        <v>164</v>
      </c>
      <c r="AF21" s="1044" t="s">
        <v>164</v>
      </c>
      <c r="AG21" s="1044" t="s">
        <v>164</v>
      </c>
      <c r="AH21" s="1044" t="s">
        <v>164</v>
      </c>
      <c r="AI21" s="1488">
        <f t="shared" si="1"/>
        <v>30</v>
      </c>
      <c r="AJ21" s="1488">
        <f t="shared" si="2"/>
        <v>0</v>
      </c>
      <c r="AK21" s="1488">
        <f t="shared" si="3"/>
        <v>0</v>
      </c>
      <c r="AL21" s="2725">
        <f t="shared" si="4"/>
        <v>30</v>
      </c>
      <c r="AM21" s="1050"/>
    </row>
    <row r="22" spans="1:39">
      <c r="A22" s="1050">
        <v>11</v>
      </c>
      <c r="B22" s="1044"/>
      <c r="C22" s="1050" t="s">
        <v>1479</v>
      </c>
      <c r="D22" s="1050" t="s">
        <v>1474</v>
      </c>
      <c r="E22" s="1044" t="s">
        <v>164</v>
      </c>
      <c r="F22" s="1044" t="s">
        <v>164</v>
      </c>
      <c r="G22" s="1044" t="s">
        <v>164</v>
      </c>
      <c r="H22" s="1044" t="s">
        <v>164</v>
      </c>
      <c r="I22" s="1044" t="s">
        <v>164</v>
      </c>
      <c r="J22" s="1044" t="s">
        <v>164</v>
      </c>
      <c r="K22" s="1044" t="s">
        <v>164</v>
      </c>
      <c r="L22" s="1044" t="s">
        <v>164</v>
      </c>
      <c r="M22" s="1044" t="s">
        <v>164</v>
      </c>
      <c r="N22" s="1044" t="s">
        <v>164</v>
      </c>
      <c r="O22" s="1044" t="s">
        <v>164</v>
      </c>
      <c r="P22" s="1044" t="s">
        <v>164</v>
      </c>
      <c r="Q22" s="1044" t="s">
        <v>164</v>
      </c>
      <c r="R22" s="1044" t="s">
        <v>164</v>
      </c>
      <c r="S22" s="1044" t="s">
        <v>164</v>
      </c>
      <c r="T22" s="1044" t="s">
        <v>164</v>
      </c>
      <c r="U22" s="1044" t="s">
        <v>164</v>
      </c>
      <c r="V22" s="1044" t="s">
        <v>164</v>
      </c>
      <c r="W22" s="1044" t="s">
        <v>164</v>
      </c>
      <c r="X22" s="1044" t="s">
        <v>164</v>
      </c>
      <c r="Y22" s="1044" t="s">
        <v>164</v>
      </c>
      <c r="Z22" s="1044" t="s">
        <v>164</v>
      </c>
      <c r="AA22" s="1044" t="s">
        <v>164</v>
      </c>
      <c r="AB22" s="1044" t="s">
        <v>164</v>
      </c>
      <c r="AC22" s="1044" t="s">
        <v>164</v>
      </c>
      <c r="AD22" s="1044" t="s">
        <v>164</v>
      </c>
      <c r="AE22" s="1044" t="s">
        <v>164</v>
      </c>
      <c r="AF22" s="1044" t="s">
        <v>164</v>
      </c>
      <c r="AG22" s="1044" t="s">
        <v>164</v>
      </c>
      <c r="AH22" s="1044" t="s">
        <v>164</v>
      </c>
      <c r="AI22" s="1488">
        <f t="shared" si="1"/>
        <v>30</v>
      </c>
      <c r="AJ22" s="1488">
        <f t="shared" si="2"/>
        <v>0</v>
      </c>
      <c r="AK22" s="1488">
        <f t="shared" si="3"/>
        <v>0</v>
      </c>
      <c r="AL22" s="2725">
        <f t="shared" si="4"/>
        <v>30</v>
      </c>
      <c r="AM22" s="1050"/>
    </row>
    <row r="23" spans="1:39">
      <c r="A23" s="1050">
        <v>12</v>
      </c>
      <c r="B23" s="1044"/>
      <c r="C23" s="1050" t="s">
        <v>2143</v>
      </c>
      <c r="D23" s="1050" t="s">
        <v>1474</v>
      </c>
      <c r="E23" s="1044" t="s">
        <v>164</v>
      </c>
      <c r="F23" s="1044" t="s">
        <v>164</v>
      </c>
      <c r="G23" s="1044" t="s">
        <v>164</v>
      </c>
      <c r="H23" s="1044" t="s">
        <v>164</v>
      </c>
      <c r="I23" s="1044" t="s">
        <v>164</v>
      </c>
      <c r="J23" s="1044" t="s">
        <v>164</v>
      </c>
      <c r="K23" s="1044" t="s">
        <v>164</v>
      </c>
      <c r="L23" s="1044" t="s">
        <v>164</v>
      </c>
      <c r="M23" s="1044"/>
      <c r="N23" s="1044"/>
      <c r="O23" s="1044"/>
      <c r="P23" s="1044"/>
      <c r="Q23" s="1044" t="s">
        <v>164</v>
      </c>
      <c r="R23" s="1044" t="s">
        <v>164</v>
      </c>
      <c r="S23" s="1044" t="s">
        <v>164</v>
      </c>
      <c r="T23" s="1044" t="s">
        <v>164</v>
      </c>
      <c r="U23" s="1044" t="s">
        <v>164</v>
      </c>
      <c r="V23" s="1044" t="s">
        <v>164</v>
      </c>
      <c r="W23" s="1044" t="s">
        <v>164</v>
      </c>
      <c r="X23" s="1044" t="s">
        <v>164</v>
      </c>
      <c r="Y23" s="1044" t="s">
        <v>164</v>
      </c>
      <c r="Z23" s="1044" t="s">
        <v>164</v>
      </c>
      <c r="AA23" s="1044" t="s">
        <v>164</v>
      </c>
      <c r="AB23" s="1044" t="s">
        <v>164</v>
      </c>
      <c r="AC23" s="1044" t="s">
        <v>164</v>
      </c>
      <c r="AD23" s="1044" t="s">
        <v>164</v>
      </c>
      <c r="AE23" s="1044" t="s">
        <v>164</v>
      </c>
      <c r="AF23" s="1044" t="s">
        <v>164</v>
      </c>
      <c r="AG23" s="1044" t="s">
        <v>164</v>
      </c>
      <c r="AH23" s="1044" t="s">
        <v>164</v>
      </c>
      <c r="AI23" s="1488">
        <f t="shared" si="1"/>
        <v>26</v>
      </c>
      <c r="AJ23" s="1488"/>
      <c r="AK23" s="1488"/>
      <c r="AL23" s="2725">
        <f t="shared" si="4"/>
        <v>26</v>
      </c>
      <c r="AM23" s="1050"/>
    </row>
    <row r="24" spans="1:39" ht="15.75">
      <c r="A24" s="1050">
        <v>13</v>
      </c>
      <c r="B24" s="1044"/>
      <c r="C24" s="2728" t="s">
        <v>1457</v>
      </c>
      <c r="D24" s="1050" t="s">
        <v>1474</v>
      </c>
      <c r="E24" s="1044" t="s">
        <v>164</v>
      </c>
      <c r="F24" s="1044" t="s">
        <v>164</v>
      </c>
      <c r="G24" s="1044" t="s">
        <v>164</v>
      </c>
      <c r="H24" s="1044" t="s">
        <v>164</v>
      </c>
      <c r="I24" s="1044" t="s">
        <v>164</v>
      </c>
      <c r="J24" s="1044" t="s">
        <v>164</v>
      </c>
      <c r="K24" s="1044" t="s">
        <v>164</v>
      </c>
      <c r="L24" s="1044" t="s">
        <v>164</v>
      </c>
      <c r="M24" s="1044" t="s">
        <v>164</v>
      </c>
      <c r="N24" s="1044" t="s">
        <v>164</v>
      </c>
      <c r="O24" s="1044" t="s">
        <v>164</v>
      </c>
      <c r="P24" s="1044" t="s">
        <v>164</v>
      </c>
      <c r="Q24" s="1044" t="s">
        <v>164</v>
      </c>
      <c r="R24" s="1044" t="s">
        <v>164</v>
      </c>
      <c r="S24" s="1044" t="s">
        <v>164</v>
      </c>
      <c r="T24" s="1044" t="s">
        <v>164</v>
      </c>
      <c r="U24" s="1044" t="s">
        <v>164</v>
      </c>
      <c r="V24" s="1044" t="s">
        <v>164</v>
      </c>
      <c r="W24" s="1044" t="s">
        <v>164</v>
      </c>
      <c r="X24" s="1044" t="s">
        <v>164</v>
      </c>
      <c r="Y24" s="1044" t="s">
        <v>164</v>
      </c>
      <c r="Z24" s="1044" t="s">
        <v>164</v>
      </c>
      <c r="AA24" s="1044" t="s">
        <v>164</v>
      </c>
      <c r="AB24" s="1044" t="s">
        <v>164</v>
      </c>
      <c r="AC24" s="1044" t="s">
        <v>164</v>
      </c>
      <c r="AD24" s="1044" t="s">
        <v>164</v>
      </c>
      <c r="AE24" s="1044" t="s">
        <v>164</v>
      </c>
      <c r="AF24" s="1044" t="s">
        <v>164</v>
      </c>
      <c r="AG24" s="1044" t="s">
        <v>164</v>
      </c>
      <c r="AH24" s="1044" t="s">
        <v>164</v>
      </c>
      <c r="AI24" s="1488">
        <f t="shared" si="1"/>
        <v>30</v>
      </c>
      <c r="AJ24" s="1488">
        <f>COUNTIF(E24:AI24,"P")</f>
        <v>0</v>
      </c>
      <c r="AK24" s="1488">
        <f>COUNTIF(E24:AI24,"TT")</f>
        <v>0</v>
      </c>
      <c r="AL24" s="2725">
        <f t="shared" si="4"/>
        <v>30</v>
      </c>
      <c r="AM24" s="1050"/>
    </row>
    <row r="25" spans="1:39" ht="15.75">
      <c r="A25" s="1050">
        <v>14</v>
      </c>
      <c r="B25" s="1044"/>
      <c r="C25" s="2726" t="s">
        <v>1475</v>
      </c>
      <c r="D25" s="2726" t="s">
        <v>2101</v>
      </c>
      <c r="E25" s="1044" t="s">
        <v>164</v>
      </c>
      <c r="F25" s="1044" t="s">
        <v>164</v>
      </c>
      <c r="G25" s="1044" t="s">
        <v>164</v>
      </c>
      <c r="H25" s="1044" t="s">
        <v>164</v>
      </c>
      <c r="I25" s="1044" t="s">
        <v>164</v>
      </c>
      <c r="J25" s="1044" t="s">
        <v>164</v>
      </c>
      <c r="K25" s="1044" t="s">
        <v>164</v>
      </c>
      <c r="L25" s="1044" t="s">
        <v>164</v>
      </c>
      <c r="M25" s="1044" t="s">
        <v>164</v>
      </c>
      <c r="N25" s="1044" t="s">
        <v>164</v>
      </c>
      <c r="O25" s="1044" t="s">
        <v>164</v>
      </c>
      <c r="P25" s="1044" t="s">
        <v>164</v>
      </c>
      <c r="Q25" s="1044" t="s">
        <v>164</v>
      </c>
      <c r="R25" s="1044" t="s">
        <v>164</v>
      </c>
      <c r="S25" s="1044" t="s">
        <v>164</v>
      </c>
      <c r="T25" s="1044" t="s">
        <v>164</v>
      </c>
      <c r="U25" s="1044" t="s">
        <v>164</v>
      </c>
      <c r="V25" s="1044" t="s">
        <v>164</v>
      </c>
      <c r="W25" s="1044" t="s">
        <v>164</v>
      </c>
      <c r="X25" s="1044" t="s">
        <v>164</v>
      </c>
      <c r="Y25" s="1044" t="s">
        <v>164</v>
      </c>
      <c r="Z25" s="1044" t="s">
        <v>164</v>
      </c>
      <c r="AA25" s="1044" t="s">
        <v>164</v>
      </c>
      <c r="AB25" s="1044" t="s">
        <v>164</v>
      </c>
      <c r="AC25" s="1044" t="s">
        <v>164</v>
      </c>
      <c r="AD25" s="1044" t="s">
        <v>164</v>
      </c>
      <c r="AE25" s="1044" t="s">
        <v>164</v>
      </c>
      <c r="AF25" s="1044" t="s">
        <v>164</v>
      </c>
      <c r="AG25" s="1044" t="s">
        <v>164</v>
      </c>
      <c r="AH25" s="1044" t="s">
        <v>164</v>
      </c>
      <c r="AI25" s="1488">
        <f t="shared" si="1"/>
        <v>30</v>
      </c>
      <c r="AJ25" s="1488">
        <f>COUNTIF(E25:AI25,"P")</f>
        <v>0</v>
      </c>
      <c r="AK25" s="1488">
        <f>COUNTIF(E25:AI25,"TT")</f>
        <v>0</v>
      </c>
      <c r="AL25" s="2725">
        <f t="shared" si="4"/>
        <v>30</v>
      </c>
      <c r="AM25" s="2729"/>
    </row>
    <row r="26" spans="1:39">
      <c r="A26" s="1050">
        <v>15</v>
      </c>
      <c r="B26" s="1044"/>
      <c r="C26" s="1050" t="s">
        <v>536</v>
      </c>
      <c r="D26" s="1050" t="s">
        <v>1481</v>
      </c>
      <c r="E26" s="1044" t="s">
        <v>164</v>
      </c>
      <c r="F26" s="1044" t="s">
        <v>164</v>
      </c>
      <c r="G26" s="1044" t="s">
        <v>164</v>
      </c>
      <c r="H26" s="1044" t="s">
        <v>164</v>
      </c>
      <c r="I26" s="1044" t="s">
        <v>164</v>
      </c>
      <c r="J26" s="1044" t="s">
        <v>164</v>
      </c>
      <c r="K26" s="1044" t="s">
        <v>164</v>
      </c>
      <c r="L26" s="1044" t="s">
        <v>164</v>
      </c>
      <c r="M26" s="1044" t="s">
        <v>164</v>
      </c>
      <c r="N26" s="1044" t="s">
        <v>164</v>
      </c>
      <c r="O26" s="1044" t="s">
        <v>164</v>
      </c>
      <c r="P26" s="1044" t="s">
        <v>164</v>
      </c>
      <c r="Q26" s="1044" t="s">
        <v>164</v>
      </c>
      <c r="R26" s="1044" t="s">
        <v>164</v>
      </c>
      <c r="S26" s="1044" t="s">
        <v>164</v>
      </c>
      <c r="T26" s="1044" t="s">
        <v>164</v>
      </c>
      <c r="U26" s="1044" t="s">
        <v>164</v>
      </c>
      <c r="V26" s="1044" t="s">
        <v>164</v>
      </c>
      <c r="W26" s="1044" t="s">
        <v>164</v>
      </c>
      <c r="X26" s="1044" t="s">
        <v>164</v>
      </c>
      <c r="Y26" s="1044" t="s">
        <v>164</v>
      </c>
      <c r="Z26" s="1044" t="s">
        <v>164</v>
      </c>
      <c r="AA26" s="1044" t="s">
        <v>164</v>
      </c>
      <c r="AB26" s="1044" t="s">
        <v>164</v>
      </c>
      <c r="AC26" s="1044" t="s">
        <v>164</v>
      </c>
      <c r="AD26" s="1044" t="s">
        <v>164</v>
      </c>
      <c r="AE26" s="1044" t="s">
        <v>164</v>
      </c>
      <c r="AF26" s="1044" t="s">
        <v>164</v>
      </c>
      <c r="AG26" s="1044" t="s">
        <v>164</v>
      </c>
      <c r="AH26" s="1044" t="s">
        <v>164</v>
      </c>
      <c r="AI26" s="1488">
        <f t="shared" si="1"/>
        <v>30</v>
      </c>
      <c r="AJ26" s="1488">
        <f>COUNTIF(E26:AI26,"P")</f>
        <v>0</v>
      </c>
      <c r="AK26" s="1488">
        <f>COUNTIF(E26:AI26,"TT")</f>
        <v>0</v>
      </c>
      <c r="AL26" s="2725">
        <f t="shared" si="4"/>
        <v>30</v>
      </c>
      <c r="AM26" s="1050"/>
    </row>
    <row r="27" spans="1:39">
      <c r="A27" s="1050">
        <v>16</v>
      </c>
      <c r="B27" s="1044"/>
      <c r="C27" s="1050" t="s">
        <v>36</v>
      </c>
      <c r="D27" s="1050" t="s">
        <v>1477</v>
      </c>
      <c r="E27" s="1044" t="s">
        <v>164</v>
      </c>
      <c r="F27" s="1044" t="s">
        <v>164</v>
      </c>
      <c r="G27" s="1044" t="s">
        <v>164</v>
      </c>
      <c r="H27" s="1044" t="s">
        <v>164</v>
      </c>
      <c r="I27" s="1044" t="s">
        <v>164</v>
      </c>
      <c r="J27" s="1044" t="s">
        <v>164</v>
      </c>
      <c r="K27" s="1044" t="s">
        <v>164</v>
      </c>
      <c r="L27" s="1044" t="s">
        <v>164</v>
      </c>
      <c r="M27" s="1044" t="s">
        <v>164</v>
      </c>
      <c r="N27" s="1044" t="s">
        <v>164</v>
      </c>
      <c r="O27" s="1044" t="s">
        <v>164</v>
      </c>
      <c r="P27" s="1044" t="s">
        <v>164</v>
      </c>
      <c r="Q27" s="1044" t="s">
        <v>164</v>
      </c>
      <c r="R27" s="1044" t="s">
        <v>164</v>
      </c>
      <c r="S27" s="1044" t="s">
        <v>164</v>
      </c>
      <c r="T27" s="1044" t="s">
        <v>164</v>
      </c>
      <c r="U27" s="1044" t="s">
        <v>164</v>
      </c>
      <c r="V27" s="1044" t="s">
        <v>164</v>
      </c>
      <c r="W27" s="1044" t="s">
        <v>164</v>
      </c>
      <c r="X27" s="1044" t="s">
        <v>164</v>
      </c>
      <c r="Y27" s="1044" t="s">
        <v>164</v>
      </c>
      <c r="Z27" s="1044" t="s">
        <v>164</v>
      </c>
      <c r="AA27" s="1044" t="s">
        <v>164</v>
      </c>
      <c r="AB27" s="1044" t="s">
        <v>164</v>
      </c>
      <c r="AC27" s="1044" t="s">
        <v>164</v>
      </c>
      <c r="AD27" s="1044" t="s">
        <v>164</v>
      </c>
      <c r="AE27" s="1044" t="s">
        <v>164</v>
      </c>
      <c r="AF27" s="1044" t="s">
        <v>164</v>
      </c>
      <c r="AG27" s="1044" t="s">
        <v>164</v>
      </c>
      <c r="AH27" s="1044" t="s">
        <v>164</v>
      </c>
      <c r="AI27" s="1488">
        <f t="shared" si="1"/>
        <v>30</v>
      </c>
      <c r="AJ27" s="1488">
        <f>COUNTIF(E27:AI27,"P")</f>
        <v>0</v>
      </c>
      <c r="AK27" s="1488">
        <f>COUNTIF(E27:AI27,"TT")</f>
        <v>0</v>
      </c>
      <c r="AL27" s="2725">
        <f t="shared" si="4"/>
        <v>30</v>
      </c>
      <c r="AM27" s="1050"/>
    </row>
    <row r="28" spans="1:39">
      <c r="A28" s="4692" t="s">
        <v>240</v>
      </c>
      <c r="B28" s="4692"/>
      <c r="C28" s="4692"/>
      <c r="D28" s="4692"/>
      <c r="E28" s="2370">
        <f>COUNTIF(E12:E27,"X")</f>
        <v>16</v>
      </c>
      <c r="F28" s="2370">
        <f t="shared" ref="F28:AK28" si="5">COUNTIF(F12:F27,"X")</f>
        <v>16</v>
      </c>
      <c r="G28" s="2370">
        <f t="shared" si="5"/>
        <v>16</v>
      </c>
      <c r="H28" s="2370">
        <f t="shared" si="5"/>
        <v>16</v>
      </c>
      <c r="I28" s="2370">
        <f t="shared" si="5"/>
        <v>16</v>
      </c>
      <c r="J28" s="2370">
        <f t="shared" si="5"/>
        <v>16</v>
      </c>
      <c r="K28" s="2370">
        <f t="shared" si="5"/>
        <v>16</v>
      </c>
      <c r="L28" s="2370">
        <f t="shared" si="5"/>
        <v>16</v>
      </c>
      <c r="M28" s="2370">
        <f t="shared" si="5"/>
        <v>15</v>
      </c>
      <c r="N28" s="2370">
        <f t="shared" si="5"/>
        <v>15</v>
      </c>
      <c r="O28" s="2370">
        <f t="shared" si="5"/>
        <v>15</v>
      </c>
      <c r="P28" s="2370">
        <f t="shared" si="5"/>
        <v>15</v>
      </c>
      <c r="Q28" s="2370">
        <f t="shared" si="5"/>
        <v>16</v>
      </c>
      <c r="R28" s="2370">
        <f t="shared" si="5"/>
        <v>16</v>
      </c>
      <c r="S28" s="2370">
        <f t="shared" si="5"/>
        <v>16</v>
      </c>
      <c r="T28" s="2370">
        <f t="shared" si="5"/>
        <v>16</v>
      </c>
      <c r="U28" s="2370">
        <f t="shared" si="5"/>
        <v>16</v>
      </c>
      <c r="V28" s="2370">
        <f t="shared" si="5"/>
        <v>16</v>
      </c>
      <c r="W28" s="2370">
        <f t="shared" si="5"/>
        <v>15</v>
      </c>
      <c r="X28" s="2370">
        <f t="shared" si="5"/>
        <v>15</v>
      </c>
      <c r="Y28" s="2370">
        <f t="shared" si="5"/>
        <v>15</v>
      </c>
      <c r="Z28" s="2370">
        <f t="shared" si="5"/>
        <v>15</v>
      </c>
      <c r="AA28" s="2370">
        <f t="shared" si="5"/>
        <v>15</v>
      </c>
      <c r="AB28" s="2370">
        <f t="shared" si="5"/>
        <v>15</v>
      </c>
      <c r="AC28" s="2370">
        <f t="shared" si="5"/>
        <v>15</v>
      </c>
      <c r="AD28" s="2370">
        <f t="shared" si="5"/>
        <v>16</v>
      </c>
      <c r="AE28" s="2370">
        <f t="shared" si="5"/>
        <v>16</v>
      </c>
      <c r="AF28" s="2370">
        <f t="shared" si="5"/>
        <v>16</v>
      </c>
      <c r="AG28" s="2370">
        <f t="shared" si="5"/>
        <v>16</v>
      </c>
      <c r="AH28" s="2370">
        <f t="shared" si="5"/>
        <v>16</v>
      </c>
      <c r="AI28" s="2370">
        <f>+SUM(AI12:AI27)</f>
        <v>469</v>
      </c>
      <c r="AJ28" s="2370">
        <f t="shared" si="5"/>
        <v>0</v>
      </c>
      <c r="AK28" s="2370">
        <f t="shared" si="5"/>
        <v>0</v>
      </c>
      <c r="AL28" s="2370">
        <f>SUM(AL12:AL27)</f>
        <v>469</v>
      </c>
      <c r="AM28" s="2225"/>
    </row>
    <row r="29" spans="1:39">
      <c r="A29" s="2226" t="s">
        <v>1420</v>
      </c>
      <c r="AA29" s="4693" t="s">
        <v>2157</v>
      </c>
      <c r="AB29" s="4693"/>
      <c r="AC29" s="4693"/>
      <c r="AD29" s="4693"/>
      <c r="AE29" s="4693"/>
      <c r="AF29" s="4693"/>
      <c r="AG29" s="4693"/>
      <c r="AH29" s="4693"/>
      <c r="AI29" s="4693"/>
      <c r="AJ29" s="4693"/>
      <c r="AK29" s="4693"/>
      <c r="AL29" s="4693"/>
      <c r="AM29" s="4693"/>
    </row>
    <row r="30" spans="1:39">
      <c r="A30" s="3522" t="s">
        <v>164</v>
      </c>
      <c r="B30" s="1038" t="s">
        <v>982</v>
      </c>
      <c r="C30" s="1038" t="s">
        <v>1422</v>
      </c>
      <c r="D30" s="4228" t="s">
        <v>241</v>
      </c>
      <c r="E30" s="4228"/>
      <c r="F30" s="4228"/>
      <c r="G30" s="4228"/>
      <c r="H30" s="4228"/>
      <c r="I30" s="4228"/>
      <c r="J30" s="4228"/>
      <c r="K30" s="4228"/>
      <c r="L30" s="4228"/>
      <c r="M30" s="4228"/>
      <c r="N30" s="4228"/>
      <c r="O30" s="4228"/>
      <c r="P30" s="4694" t="s">
        <v>513</v>
      </c>
      <c r="Q30" s="4694"/>
      <c r="R30" s="4694"/>
      <c r="S30" s="4694"/>
      <c r="T30" s="4694"/>
      <c r="U30" s="4694"/>
      <c r="V30" s="4694"/>
      <c r="W30" s="4694"/>
      <c r="X30" s="4694"/>
      <c r="Y30" s="4694"/>
      <c r="Z30" s="4694"/>
      <c r="AA30" s="4694"/>
      <c r="AB30" s="4694" t="s">
        <v>21</v>
      </c>
      <c r="AC30" s="4694"/>
      <c r="AD30" s="4694"/>
      <c r="AE30" s="4694"/>
      <c r="AF30" s="4694"/>
      <c r="AG30" s="4694"/>
      <c r="AH30" s="4694"/>
      <c r="AI30" s="4694"/>
      <c r="AJ30" s="4694"/>
      <c r="AK30" s="4694"/>
      <c r="AL30" s="4694"/>
      <c r="AM30" s="4694"/>
    </row>
    <row r="31" spans="1:39">
      <c r="A31" s="3522" t="s">
        <v>707</v>
      </c>
      <c r="C31" s="1038" t="s">
        <v>1421</v>
      </c>
      <c r="AI31" s="1051"/>
      <c r="AJ31" s="1051"/>
    </row>
    <row r="32" spans="1:39">
      <c r="A32" s="3522"/>
      <c r="B32" s="1052"/>
    </row>
    <row r="33" spans="2:36" ht="15.75">
      <c r="AA33" s="4233"/>
      <c r="AB33" s="4233"/>
      <c r="AC33" s="4233"/>
      <c r="AD33" s="4233"/>
      <c r="AE33" s="4233"/>
      <c r="AF33" s="4233"/>
      <c r="AG33" s="4233"/>
      <c r="AH33" s="4233"/>
      <c r="AI33" s="4233"/>
      <c r="AJ33" s="3523"/>
    </row>
    <row r="34" spans="2:36">
      <c r="B34" s="4691"/>
      <c r="C34" s="4691"/>
      <c r="D34" s="3520"/>
      <c r="AB34" s="4230"/>
      <c r="AC34" s="4230"/>
      <c r="AD34" s="4230"/>
      <c r="AE34" s="4230"/>
      <c r="AF34" s="4230"/>
      <c r="AG34" s="4230"/>
      <c r="AH34" s="4230"/>
      <c r="AI34" s="4230"/>
      <c r="AJ34" s="3522"/>
    </row>
    <row r="35" spans="2:36">
      <c r="I35" s="1038"/>
    </row>
    <row r="36" spans="2:36">
      <c r="B36" s="4229"/>
      <c r="C36" s="4230"/>
      <c r="D36" s="3522"/>
      <c r="L36" s="4229"/>
      <c r="M36" s="4229"/>
      <c r="N36" s="4229"/>
      <c r="O36" s="4229"/>
      <c r="P36" s="4229"/>
      <c r="Q36" s="4229"/>
      <c r="R36" s="4229"/>
      <c r="S36" s="4229"/>
      <c r="T36" s="4229"/>
      <c r="U36" s="4229"/>
      <c r="AD36" s="4229"/>
      <c r="AE36" s="4229"/>
      <c r="AF36" s="4229"/>
      <c r="AG36" s="4229"/>
      <c r="AH36" s="4229"/>
      <c r="AI36" s="4229"/>
      <c r="AJ36" s="3521"/>
    </row>
  </sheetData>
  <mergeCells count="26">
    <mergeCell ref="AJ10:AJ11"/>
    <mergeCell ref="AK10:AK11"/>
    <mergeCell ref="AL10:AL11"/>
    <mergeCell ref="AM10:AM11"/>
    <mergeCell ref="A1:AM1"/>
    <mergeCell ref="A2:AM2"/>
    <mergeCell ref="A3:AM3"/>
    <mergeCell ref="A4:H4"/>
    <mergeCell ref="A5:H5"/>
    <mergeCell ref="A7:AM7"/>
    <mergeCell ref="A10:A11"/>
    <mergeCell ref="B10:B11"/>
    <mergeCell ref="C10:C11"/>
    <mergeCell ref="D10:D11"/>
    <mergeCell ref="AI10:AI11"/>
    <mergeCell ref="A28:D28"/>
    <mergeCell ref="AA29:AM29"/>
    <mergeCell ref="D30:O30"/>
    <mergeCell ref="P30:AA30"/>
    <mergeCell ref="AB30:AM30"/>
    <mergeCell ref="AA33:AI33"/>
    <mergeCell ref="B34:C34"/>
    <mergeCell ref="AB34:AI34"/>
    <mergeCell ref="B36:C36"/>
    <mergeCell ref="L36:U36"/>
    <mergeCell ref="AD36:AI36"/>
  </mergeCells>
  <conditionalFormatting sqref="AM4:AS5">
    <cfRule type="expression" dxfId="10" priority="1" stopIfTrue="1">
      <formula>$AU$4=""</formula>
    </cfRule>
  </conditionalFormatting>
  <pageMargins left="0.23622047244094491" right="0.19685039370078741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3" workbookViewId="0">
      <selection activeCell="F9" sqref="F9"/>
    </sheetView>
  </sheetViews>
  <sheetFormatPr defaultColWidth="8.85546875" defaultRowHeight="12.75"/>
  <cols>
    <col min="1" max="1" width="6.5703125" style="31" customWidth="1"/>
    <col min="2" max="2" width="19" style="31" customWidth="1"/>
    <col min="3" max="3" width="12.28515625" style="31" customWidth="1"/>
    <col min="4" max="4" width="14.7109375" style="31" customWidth="1"/>
    <col min="5" max="5" width="13.5703125" style="31" customWidth="1"/>
    <col min="6" max="6" width="12.28515625" style="31" customWidth="1"/>
    <col min="7" max="7" width="12" style="31" bestFit="1" customWidth="1"/>
    <col min="8" max="8" width="11" style="31" bestFit="1" customWidth="1"/>
    <col min="9" max="9" width="13.5703125" style="31" customWidth="1"/>
    <col min="10" max="10" width="16" style="31" customWidth="1"/>
    <col min="11" max="16384" width="8.85546875" style="31"/>
  </cols>
  <sheetData>
    <row r="1" spans="1:13">
      <c r="A1" s="4699" t="s">
        <v>22</v>
      </c>
      <c r="B1" s="4699"/>
      <c r="C1" s="4699"/>
      <c r="D1" s="4700" t="s">
        <v>23</v>
      </c>
      <c r="E1" s="4700"/>
      <c r="F1" s="4700"/>
      <c r="G1" s="4700"/>
    </row>
    <row r="2" spans="1:13">
      <c r="A2" s="4700" t="s">
        <v>90</v>
      </c>
      <c r="B2" s="4700"/>
      <c r="C2" s="4700"/>
      <c r="D2" s="4699" t="s">
        <v>45</v>
      </c>
      <c r="E2" s="4699"/>
      <c r="F2" s="4699"/>
      <c r="G2" s="4699"/>
    </row>
    <row r="4" spans="1:13" ht="21.75" customHeight="1">
      <c r="A4" s="4701" t="s">
        <v>471</v>
      </c>
      <c r="B4" s="4701"/>
      <c r="C4" s="4701"/>
      <c r="D4" s="4701"/>
      <c r="E4" s="4701"/>
      <c r="F4" s="4701"/>
      <c r="G4" s="4701"/>
    </row>
    <row r="6" spans="1:13">
      <c r="A6" s="214" t="s">
        <v>0</v>
      </c>
      <c r="B6" s="214" t="s">
        <v>1</v>
      </c>
      <c r="C6" s="214" t="s">
        <v>47</v>
      </c>
      <c r="D6" s="214" t="s">
        <v>46</v>
      </c>
      <c r="E6" s="214" t="s">
        <v>48</v>
      </c>
      <c r="F6" s="214" t="s">
        <v>49</v>
      </c>
      <c r="G6" s="214" t="s">
        <v>166</v>
      </c>
    </row>
    <row r="7" spans="1:13">
      <c r="A7" s="111">
        <v>1</v>
      </c>
      <c r="B7" s="164" t="str">
        <f>+'BẢNG KÊ LƯƠNG'!B14</f>
        <v>Nguyễn Minh Thành</v>
      </c>
      <c r="C7" s="132" t="s">
        <v>135</v>
      </c>
      <c r="D7" s="167" t="s">
        <v>50</v>
      </c>
      <c r="E7" s="167">
        <v>750</v>
      </c>
      <c r="F7" s="212">
        <v>3.23</v>
      </c>
      <c r="G7" s="168">
        <f>+F7*3250000</f>
        <v>10497500</v>
      </c>
      <c r="H7" s="34">
        <f>VLOOKUP(B7,'[23]Tháng 03 (2)'!$C$109:$I$123,7,0)</f>
        <v>3753600</v>
      </c>
      <c r="I7" s="686">
        <f>G7-H7</f>
        <v>6743900</v>
      </c>
      <c r="J7" s="34">
        <f>+G7/31</f>
        <v>338629.03225806454</v>
      </c>
    </row>
    <row r="8" spans="1:13">
      <c r="A8" s="111">
        <v>2</v>
      </c>
      <c r="B8" s="265" t="s">
        <v>1257</v>
      </c>
      <c r="C8" s="249" t="s">
        <v>338</v>
      </c>
      <c r="D8" s="167" t="s">
        <v>356</v>
      </c>
      <c r="E8" s="167">
        <v>750</v>
      </c>
      <c r="F8" s="212">
        <v>3.02</v>
      </c>
      <c r="G8" s="168">
        <f t="shared" ref="G8:G28" si="0">+F8*3250000</f>
        <v>9815000</v>
      </c>
      <c r="H8" s="34" t="e">
        <f>VLOOKUP(B8,'[23]Tháng 03 (2)'!$C$109:$I$123,7,0)</f>
        <v>#N/A</v>
      </c>
      <c r="I8" s="686" t="e">
        <f t="shared" ref="I8:I23" si="1">G8-H8</f>
        <v>#N/A</v>
      </c>
    </row>
    <row r="9" spans="1:13">
      <c r="A9" s="111">
        <v>3</v>
      </c>
      <c r="B9" s="265" t="s">
        <v>1092</v>
      </c>
      <c r="C9" s="249"/>
      <c r="D9" s="167"/>
      <c r="E9" s="167"/>
      <c r="F9" s="1259">
        <v>1.43</v>
      </c>
      <c r="G9" s="168">
        <f t="shared" si="0"/>
        <v>4647500</v>
      </c>
      <c r="H9" s="34"/>
      <c r="I9" s="686"/>
      <c r="J9" s="686">
        <f>G8*0.6005*10.5%</f>
        <v>618860.28749999998</v>
      </c>
    </row>
    <row r="10" spans="1:13">
      <c r="A10" s="111">
        <v>4</v>
      </c>
      <c r="B10" s="167" t="s">
        <v>1157</v>
      </c>
      <c r="C10" s="249" t="s">
        <v>96</v>
      </c>
      <c r="D10" s="167" t="s">
        <v>51</v>
      </c>
      <c r="E10" s="167">
        <v>450</v>
      </c>
      <c r="F10" s="1476">
        <v>1.59</v>
      </c>
      <c r="G10" s="168">
        <f t="shared" si="0"/>
        <v>5167500</v>
      </c>
      <c r="H10" s="34">
        <v>3753600</v>
      </c>
      <c r="I10" s="686">
        <f t="shared" si="1"/>
        <v>1413900</v>
      </c>
      <c r="M10" s="31">
        <f>9815000/325000</f>
        <v>30.2</v>
      </c>
    </row>
    <row r="11" spans="1:13">
      <c r="A11" s="111">
        <v>5</v>
      </c>
      <c r="B11" s="164" t="s">
        <v>337</v>
      </c>
      <c r="C11" s="126" t="s">
        <v>357</v>
      </c>
      <c r="D11" s="167" t="s">
        <v>128</v>
      </c>
      <c r="E11" s="167">
        <v>450</v>
      </c>
      <c r="F11" s="213">
        <v>0</v>
      </c>
      <c r="G11" s="168">
        <f t="shared" si="0"/>
        <v>0</v>
      </c>
      <c r="H11" s="34">
        <f>VLOOKUP(B11,'[23]Tháng 03 (2)'!$C$109:$I$123,7,0)</f>
        <v>2953200</v>
      </c>
      <c r="I11" s="686">
        <f>G11-H11</f>
        <v>-2953200</v>
      </c>
    </row>
    <row r="12" spans="1:13">
      <c r="A12" s="111">
        <v>6</v>
      </c>
      <c r="B12" s="167" t="s">
        <v>199</v>
      </c>
      <c r="C12" s="126" t="s">
        <v>200</v>
      </c>
      <c r="D12" s="167" t="s">
        <v>201</v>
      </c>
      <c r="E12" s="167">
        <v>450</v>
      </c>
      <c r="F12" s="213">
        <v>1.18</v>
      </c>
      <c r="G12" s="168">
        <f t="shared" si="0"/>
        <v>3835000</v>
      </c>
      <c r="H12" s="34" t="e">
        <f>VLOOKUP(B12,'[23]Tháng 03 (2)'!$C$109:$I$123,7,0)</f>
        <v>#N/A</v>
      </c>
      <c r="I12" s="686" t="e">
        <f>G12-H12</f>
        <v>#N/A</v>
      </c>
    </row>
    <row r="13" spans="1:13">
      <c r="A13" s="111">
        <v>7</v>
      </c>
      <c r="B13" s="167" t="s">
        <v>59</v>
      </c>
      <c r="C13" s="132" t="s">
        <v>99</v>
      </c>
      <c r="D13" s="167" t="s">
        <v>60</v>
      </c>
      <c r="E13" s="167">
        <v>400</v>
      </c>
      <c r="F13" s="212">
        <v>1.27</v>
      </c>
      <c r="G13" s="168">
        <f t="shared" si="0"/>
        <v>4127500</v>
      </c>
      <c r="H13" s="34">
        <f>VLOOKUP(B13,'[23]Tháng 03 (2)'!$C$109:$I$123,7,0)</f>
        <v>3505200</v>
      </c>
      <c r="I13" s="686">
        <f t="shared" si="1"/>
        <v>622300</v>
      </c>
    </row>
    <row r="14" spans="1:13">
      <c r="A14" s="111">
        <v>8</v>
      </c>
      <c r="B14" s="839" t="s">
        <v>675</v>
      </c>
      <c r="C14" s="132" t="s">
        <v>110</v>
      </c>
      <c r="D14" s="167" t="s">
        <v>109</v>
      </c>
      <c r="E14" s="167">
        <v>350</v>
      </c>
      <c r="F14" s="212">
        <v>1.36</v>
      </c>
      <c r="G14" s="168">
        <f t="shared" si="0"/>
        <v>4420000</v>
      </c>
      <c r="H14" s="34" t="e">
        <f>VLOOKUP(B14,'[23]Tháng 03 (2)'!$C$109:$I$123,7,0)</f>
        <v>#N/A</v>
      </c>
      <c r="I14" s="686" t="e">
        <f t="shared" si="1"/>
        <v>#N/A</v>
      </c>
    </row>
    <row r="15" spans="1:13">
      <c r="A15" s="111">
        <v>9</v>
      </c>
      <c r="B15" s="167" t="s">
        <v>308</v>
      </c>
      <c r="C15" s="132" t="s">
        <v>100</v>
      </c>
      <c r="D15" s="167" t="s">
        <v>53</v>
      </c>
      <c r="E15" s="167">
        <v>320</v>
      </c>
      <c r="F15" s="213">
        <v>1.2</v>
      </c>
      <c r="G15" s="168">
        <f t="shared" si="0"/>
        <v>3900000</v>
      </c>
      <c r="H15" s="34">
        <v>2760000</v>
      </c>
      <c r="I15" s="686">
        <f t="shared" si="1"/>
        <v>1140000</v>
      </c>
    </row>
    <row r="16" spans="1:13">
      <c r="A16" s="111">
        <v>10</v>
      </c>
      <c r="B16" s="167" t="s">
        <v>32</v>
      </c>
      <c r="C16" s="132" t="s">
        <v>101</v>
      </c>
      <c r="D16" s="167" t="s">
        <v>53</v>
      </c>
      <c r="E16" s="167">
        <v>340</v>
      </c>
      <c r="F16" s="213">
        <v>1.22</v>
      </c>
      <c r="G16" s="168">
        <f t="shared" si="0"/>
        <v>3965000</v>
      </c>
      <c r="H16" s="34">
        <f>VLOOKUP(B16,'[23]Tháng 03 (2)'!$C$109:$I$123,7,0)</f>
        <v>2898000</v>
      </c>
      <c r="I16" s="686">
        <f t="shared" si="1"/>
        <v>1067000</v>
      </c>
    </row>
    <row r="17" spans="1:10">
      <c r="A17" s="111">
        <v>11</v>
      </c>
      <c r="B17" s="167" t="s">
        <v>467</v>
      </c>
      <c r="C17" s="132" t="s">
        <v>468</v>
      </c>
      <c r="D17" s="167" t="s">
        <v>469</v>
      </c>
      <c r="E17" s="167">
        <v>420</v>
      </c>
      <c r="F17" s="212"/>
      <c r="G17" s="168">
        <f t="shared" si="0"/>
        <v>0</v>
      </c>
      <c r="H17" s="34"/>
      <c r="I17" s="686">
        <f t="shared" si="1"/>
        <v>0</v>
      </c>
    </row>
    <row r="18" spans="1:10">
      <c r="A18" s="111">
        <v>12</v>
      </c>
      <c r="B18" s="167" t="s">
        <v>36</v>
      </c>
      <c r="C18" s="488" t="s">
        <v>102</v>
      </c>
      <c r="D18" s="167" t="s">
        <v>470</v>
      </c>
      <c r="E18" s="167">
        <v>400</v>
      </c>
      <c r="F18" s="212">
        <v>1.41</v>
      </c>
      <c r="G18" s="168">
        <f t="shared" si="0"/>
        <v>4582500</v>
      </c>
      <c r="H18" s="34">
        <f>VLOOKUP(B18,'[23]Tháng 03 (2)'!$C$109:$I$123,7,0)</f>
        <v>3284400</v>
      </c>
      <c r="I18" s="686">
        <f t="shared" si="1"/>
        <v>1298100</v>
      </c>
    </row>
    <row r="19" spans="1:10">
      <c r="A19" s="111">
        <v>13</v>
      </c>
      <c r="B19" s="167" t="s">
        <v>37</v>
      </c>
      <c r="C19" s="132" t="s">
        <v>103</v>
      </c>
      <c r="D19" s="167" t="s">
        <v>54</v>
      </c>
      <c r="E19" s="167">
        <v>300</v>
      </c>
      <c r="F19" s="212">
        <v>1.4</v>
      </c>
      <c r="G19" s="168">
        <f t="shared" si="0"/>
        <v>4550000</v>
      </c>
      <c r="H19" s="34">
        <f>VLOOKUP(B19,'[23]Tháng 03 (2)'!$C$109:$I$123,7,0)</f>
        <v>3450000</v>
      </c>
      <c r="I19" s="686">
        <f t="shared" si="1"/>
        <v>1100000</v>
      </c>
    </row>
    <row r="20" spans="1:10">
      <c r="A20" s="111">
        <v>14</v>
      </c>
      <c r="B20" s="167" t="s">
        <v>40</v>
      </c>
      <c r="C20" s="111" t="s">
        <v>106</v>
      </c>
      <c r="D20" s="167" t="s">
        <v>54</v>
      </c>
      <c r="E20" s="167">
        <v>275</v>
      </c>
      <c r="F20" s="212">
        <v>0</v>
      </c>
      <c r="G20" s="168">
        <f t="shared" si="0"/>
        <v>0</v>
      </c>
      <c r="H20" s="34"/>
      <c r="I20" s="686">
        <f t="shared" si="1"/>
        <v>0</v>
      </c>
    </row>
    <row r="21" spans="1:10">
      <c r="A21" s="111">
        <v>15</v>
      </c>
      <c r="B21" s="167" t="s">
        <v>1013</v>
      </c>
      <c r="C21" s="489"/>
      <c r="D21" s="167"/>
      <c r="E21" s="167"/>
      <c r="F21" s="212">
        <v>1.77</v>
      </c>
      <c r="G21" s="168">
        <f t="shared" si="0"/>
        <v>5752500</v>
      </c>
      <c r="H21" s="34"/>
      <c r="I21" s="686"/>
    </row>
    <row r="22" spans="1:10">
      <c r="A22" s="111">
        <v>16</v>
      </c>
      <c r="B22" s="167" t="s">
        <v>831</v>
      </c>
      <c r="C22" s="489"/>
      <c r="D22" s="167"/>
      <c r="E22" s="167"/>
      <c r="F22" s="212">
        <v>1.41</v>
      </c>
      <c r="G22" s="168">
        <f t="shared" si="0"/>
        <v>4582500</v>
      </c>
      <c r="H22" s="34"/>
      <c r="I22" s="686"/>
    </row>
    <row r="23" spans="1:10">
      <c r="A23" s="111">
        <v>17</v>
      </c>
      <c r="B23" s="167" t="s">
        <v>1152</v>
      </c>
      <c r="C23" s="194" t="s">
        <v>338</v>
      </c>
      <c r="D23" s="167" t="s">
        <v>469</v>
      </c>
      <c r="E23" s="167">
        <v>400</v>
      </c>
      <c r="F23" s="212">
        <v>1.37</v>
      </c>
      <c r="G23" s="168">
        <f t="shared" si="0"/>
        <v>4452500</v>
      </c>
      <c r="H23" s="34"/>
      <c r="I23" s="686">
        <f t="shared" si="1"/>
        <v>4452500</v>
      </c>
    </row>
    <row r="24" spans="1:10">
      <c r="A24" s="111">
        <v>18</v>
      </c>
      <c r="B24" s="1310" t="s">
        <v>536</v>
      </c>
      <c r="C24" s="754"/>
      <c r="D24" s="755"/>
      <c r="E24" s="755"/>
      <c r="F24" s="1311">
        <v>1.41</v>
      </c>
      <c r="G24" s="168">
        <f t="shared" si="0"/>
        <v>4582500</v>
      </c>
      <c r="H24" s="34"/>
      <c r="I24" s="686"/>
    </row>
    <row r="25" spans="1:10">
      <c r="A25" s="111">
        <v>19</v>
      </c>
      <c r="B25" s="1310" t="s">
        <v>967</v>
      </c>
      <c r="C25" s="754"/>
      <c r="D25" s="755"/>
      <c r="E25" s="755"/>
      <c r="F25" s="1311">
        <v>1.23</v>
      </c>
      <c r="G25" s="168">
        <f t="shared" si="0"/>
        <v>3997500</v>
      </c>
      <c r="H25" s="34"/>
      <c r="I25" s="686"/>
      <c r="J25" s="31">
        <f>3997500/1.23</f>
        <v>3250000</v>
      </c>
    </row>
    <row r="26" spans="1:10">
      <c r="A26" s="111">
        <v>20</v>
      </c>
      <c r="B26" s="251" t="s">
        <v>533</v>
      </c>
      <c r="C26" s="754" t="s">
        <v>534</v>
      </c>
      <c r="D26" s="755" t="s">
        <v>128</v>
      </c>
      <c r="E26" s="755">
        <v>500</v>
      </c>
      <c r="F26" s="756">
        <v>1.5</v>
      </c>
      <c r="G26" s="168">
        <f t="shared" si="0"/>
        <v>4875000</v>
      </c>
      <c r="H26" s="34"/>
      <c r="I26" s="686"/>
    </row>
    <row r="27" spans="1:10">
      <c r="A27" s="111">
        <v>21</v>
      </c>
      <c r="B27" s="164" t="s">
        <v>541</v>
      </c>
      <c r="C27" s="754" t="s">
        <v>542</v>
      </c>
      <c r="D27" s="755" t="s">
        <v>52</v>
      </c>
      <c r="E27" s="755">
        <v>350</v>
      </c>
      <c r="F27" s="756">
        <v>1.41</v>
      </c>
      <c r="G27" s="168">
        <f t="shared" si="0"/>
        <v>4582500</v>
      </c>
      <c r="H27" s="34"/>
      <c r="I27" s="686"/>
    </row>
    <row r="28" spans="1:10">
      <c r="A28" s="111">
        <v>22</v>
      </c>
      <c r="B28" s="1487" t="s">
        <v>789</v>
      </c>
      <c r="C28" s="754"/>
      <c r="D28" s="755"/>
      <c r="E28" s="755"/>
      <c r="F28" s="756">
        <v>1.23</v>
      </c>
      <c r="G28" s="168">
        <f t="shared" si="0"/>
        <v>3997500</v>
      </c>
      <c r="H28" s="34"/>
      <c r="I28" s="686"/>
    </row>
    <row r="29" spans="1:10">
      <c r="A29" s="4697" t="s">
        <v>472</v>
      </c>
      <c r="B29" s="4698"/>
      <c r="C29" s="215"/>
      <c r="D29" s="215"/>
      <c r="E29" s="215"/>
      <c r="F29" s="216">
        <f>SUM(F7:F23)</f>
        <v>22.859999999999996</v>
      </c>
      <c r="G29" s="176">
        <f>SUM(G7:G23)</f>
        <v>74295000</v>
      </c>
      <c r="H29" s="176" t="e">
        <f>SUM(H7:H23)</f>
        <v>#N/A</v>
      </c>
      <c r="I29" s="687" t="e">
        <f>H29*10.5%</f>
        <v>#N/A</v>
      </c>
      <c r="J29" s="34" t="e">
        <f>+I29*0.3787</f>
        <v>#N/A</v>
      </c>
    </row>
    <row r="34" spans="7:7">
      <c r="G34" s="1497">
        <f>G28*'BẢNG KÊ LƯƠNG'!C8/'BẢNG KÊ LƯƠNG'!C7*10.5%</f>
        <v>19.847275359377239</v>
      </c>
    </row>
  </sheetData>
  <mergeCells count="6">
    <mergeCell ref="A29:B29"/>
    <mergeCell ref="A1:C1"/>
    <mergeCell ref="A2:C2"/>
    <mergeCell ref="D1:G1"/>
    <mergeCell ref="D2:G2"/>
    <mergeCell ref="A4:G4"/>
  </mergeCells>
  <phoneticPr fontId="36" type="noConversion"/>
  <pageMargins left="0.7" right="0.7" top="0.75" bottom="0.75" header="0.3" footer="0.3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>
      <selection activeCell="A18" sqref="A18:B18"/>
    </sheetView>
  </sheetViews>
  <sheetFormatPr defaultColWidth="9.140625" defaultRowHeight="16.5"/>
  <cols>
    <col min="1" max="1" width="9.140625" style="2270"/>
    <col min="2" max="2" width="42.140625" style="2270" customWidth="1"/>
    <col min="3" max="3" width="8.42578125" style="2270" customWidth="1"/>
    <col min="4" max="4" width="12.5703125" style="2270" customWidth="1"/>
    <col min="5" max="5" width="20.42578125" style="2270" customWidth="1"/>
    <col min="6" max="6" width="24.5703125" style="2270" customWidth="1"/>
    <col min="7" max="7" width="26.85546875" style="2270" customWidth="1"/>
    <col min="8" max="16384" width="9.140625" style="2270"/>
  </cols>
  <sheetData>
    <row r="1" spans="1:11">
      <c r="A1" s="3920" t="s">
        <v>23</v>
      </c>
      <c r="B1" s="3920"/>
      <c r="C1" s="3920"/>
      <c r="D1" s="3920"/>
      <c r="E1" s="3920"/>
      <c r="F1" s="3920"/>
      <c r="G1" s="3920"/>
      <c r="H1" s="3920"/>
      <c r="I1" s="3920"/>
      <c r="J1" s="3920"/>
      <c r="K1" s="3920"/>
    </row>
    <row r="2" spans="1:11">
      <c r="A2" s="3920" t="s">
        <v>45</v>
      </c>
      <c r="B2" s="3920"/>
      <c r="C2" s="3920"/>
      <c r="D2" s="3920"/>
      <c r="E2" s="3920"/>
      <c r="F2" s="3920"/>
      <c r="G2" s="3920"/>
      <c r="H2" s="3920"/>
      <c r="I2" s="3920"/>
      <c r="J2" s="3920"/>
      <c r="K2" s="3920"/>
    </row>
    <row r="3" spans="1:11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</row>
    <row r="4" spans="1:11">
      <c r="A4" s="4016" t="s">
        <v>929</v>
      </c>
      <c r="B4" s="4016"/>
      <c r="C4" s="4016"/>
      <c r="D4" s="4016"/>
      <c r="E4" s="4016"/>
      <c r="F4" s="979"/>
      <c r="G4" s="979"/>
      <c r="H4" s="979"/>
      <c r="I4" s="979"/>
      <c r="J4" s="979"/>
      <c r="K4" s="979"/>
    </row>
    <row r="5" spans="1:11">
      <c r="A5" s="3947" t="s">
        <v>90</v>
      </c>
      <c r="B5" s="3947"/>
      <c r="C5" s="3947"/>
      <c r="D5" s="3947"/>
      <c r="E5" s="3947"/>
      <c r="F5" s="979"/>
      <c r="G5" s="979"/>
      <c r="H5" s="979"/>
      <c r="I5" s="979"/>
      <c r="J5" s="979"/>
      <c r="K5" s="979"/>
    </row>
    <row r="6" spans="1:11">
      <c r="A6" s="979"/>
      <c r="B6" s="979"/>
      <c r="C6" s="979"/>
      <c r="D6" s="979"/>
      <c r="E6" s="979"/>
      <c r="F6" s="979"/>
      <c r="G6" s="979"/>
      <c r="H6" s="979"/>
      <c r="I6" s="979"/>
      <c r="J6" s="979"/>
      <c r="K6" s="979"/>
    </row>
    <row r="7" spans="1:11" ht="16.5" customHeight="1">
      <c r="A7" s="4703" t="s">
        <v>1450</v>
      </c>
      <c r="B7" s="4703"/>
      <c r="C7" s="4703"/>
      <c r="D7" s="4703"/>
      <c r="E7" s="4703"/>
      <c r="F7" s="4703"/>
      <c r="G7" s="4703"/>
      <c r="H7" s="2274"/>
      <c r="I7" s="2274"/>
      <c r="J7" s="2274"/>
      <c r="K7" s="2274"/>
    </row>
    <row r="9" spans="1:11">
      <c r="A9" s="2273" t="s">
        <v>0</v>
      </c>
      <c r="B9" s="2273" t="s">
        <v>1445</v>
      </c>
      <c r="C9" s="2273" t="s">
        <v>13</v>
      </c>
      <c r="D9" s="2273" t="s">
        <v>1446</v>
      </c>
      <c r="E9" s="2273" t="s">
        <v>94</v>
      </c>
      <c r="F9" s="2273" t="s">
        <v>1254</v>
      </c>
      <c r="G9" s="2273" t="s">
        <v>92</v>
      </c>
    </row>
    <row r="10" spans="1:11" ht="20.100000000000001" customHeight="1">
      <c r="A10" s="2271">
        <v>1</v>
      </c>
      <c r="B10" s="2271" t="s">
        <v>1447</v>
      </c>
      <c r="C10" s="2271" t="s">
        <v>1454</v>
      </c>
      <c r="D10" s="2275">
        <v>1</v>
      </c>
      <c r="E10" s="2275">
        <v>1000000</v>
      </c>
      <c r="F10" s="2275">
        <f t="shared" ref="F10:F15" si="0">+D10*E10</f>
        <v>1000000</v>
      </c>
      <c r="G10" s="2271"/>
    </row>
    <row r="11" spans="1:11" ht="20.100000000000001" customHeight="1">
      <c r="A11" s="2271">
        <v>2</v>
      </c>
      <c r="B11" s="2271" t="s">
        <v>1448</v>
      </c>
      <c r="C11" s="2271" t="s">
        <v>1452</v>
      </c>
      <c r="D11" s="2275">
        <v>3</v>
      </c>
      <c r="E11" s="2275">
        <v>2000000</v>
      </c>
      <c r="F11" s="2275">
        <f t="shared" si="0"/>
        <v>6000000</v>
      </c>
      <c r="G11" s="2271"/>
    </row>
    <row r="12" spans="1:11" ht="20.100000000000001" customHeight="1">
      <c r="A12" s="2271">
        <v>3</v>
      </c>
      <c r="B12" s="2271" t="s">
        <v>1449</v>
      </c>
      <c r="C12" s="2271" t="s">
        <v>1453</v>
      </c>
      <c r="D12" s="2275">
        <v>15</v>
      </c>
      <c r="E12" s="2275">
        <v>300000</v>
      </c>
      <c r="F12" s="2275">
        <f t="shared" si="0"/>
        <v>4500000</v>
      </c>
      <c r="G12" s="2271"/>
    </row>
    <row r="13" spans="1:11" ht="20.100000000000001" customHeight="1">
      <c r="A13" s="2271">
        <v>4</v>
      </c>
      <c r="B13" s="2271" t="s">
        <v>1456</v>
      </c>
      <c r="C13" s="2271" t="s">
        <v>1452</v>
      </c>
      <c r="D13" s="2275">
        <v>3</v>
      </c>
      <c r="E13" s="2275">
        <v>500000</v>
      </c>
      <c r="F13" s="2275">
        <f t="shared" si="0"/>
        <v>1500000</v>
      </c>
      <c r="G13" s="2271"/>
    </row>
    <row r="14" spans="1:11" ht="20.100000000000001" customHeight="1">
      <c r="A14" s="2271">
        <v>5</v>
      </c>
      <c r="B14" s="2271" t="s">
        <v>1455</v>
      </c>
      <c r="C14" s="2271" t="s">
        <v>1452</v>
      </c>
      <c r="D14" s="2275">
        <v>1</v>
      </c>
      <c r="E14" s="2275">
        <f>3480000-960000</f>
        <v>2520000</v>
      </c>
      <c r="F14" s="2275">
        <f t="shared" si="0"/>
        <v>2520000</v>
      </c>
      <c r="G14" s="2271"/>
    </row>
    <row r="15" spans="1:11" ht="20.100000000000001" customHeight="1">
      <c r="A15" s="2271">
        <v>6</v>
      </c>
      <c r="B15" s="2271" t="s">
        <v>1451</v>
      </c>
      <c r="C15" s="2271" t="s">
        <v>433</v>
      </c>
      <c r="D15" s="2275">
        <v>112</v>
      </c>
      <c r="E15" s="2275">
        <v>40000</v>
      </c>
      <c r="F15" s="2275">
        <f t="shared" si="0"/>
        <v>4480000</v>
      </c>
      <c r="G15" s="2271"/>
    </row>
    <row r="16" spans="1:11" ht="20.100000000000001" customHeight="1">
      <c r="A16" s="4109" t="s">
        <v>1234</v>
      </c>
      <c r="B16" s="4111"/>
      <c r="C16" s="2272"/>
      <c r="D16" s="2276">
        <f>SUM(D10:D15)</f>
        <v>135</v>
      </c>
      <c r="E16" s="2276">
        <f>SUM(E10:E15)</f>
        <v>6360000</v>
      </c>
      <c r="F16" s="2276">
        <f>SUM(F10:F15)</f>
        <v>20000000</v>
      </c>
      <c r="G16" s="2271"/>
    </row>
    <row r="17" spans="1:34">
      <c r="E17" s="4702" t="s">
        <v>1432</v>
      </c>
      <c r="F17" s="4702"/>
      <c r="G17" s="4702"/>
    </row>
    <row r="18" spans="1:34">
      <c r="A18" s="4228" t="s">
        <v>20</v>
      </c>
      <c r="B18" s="4228"/>
      <c r="C18" s="1053"/>
      <c r="D18" s="1053"/>
      <c r="E18" s="4694" t="s">
        <v>1430</v>
      </c>
      <c r="F18" s="4694"/>
      <c r="G18" s="4694"/>
      <c r="H18" s="1053"/>
      <c r="I18" s="1053"/>
      <c r="J18" s="1053"/>
      <c r="K18" s="1053"/>
      <c r="L18" s="1053"/>
      <c r="M18" s="1038"/>
      <c r="N18" s="2229"/>
      <c r="O18" s="2229"/>
      <c r="P18" s="2229"/>
      <c r="Q18" s="2229"/>
      <c r="R18" s="2229"/>
      <c r="S18" s="2229"/>
      <c r="T18" s="2229"/>
      <c r="U18" s="2229"/>
      <c r="V18" s="2229"/>
      <c r="W18" s="2229"/>
      <c r="X18" s="2229"/>
      <c r="Y18" s="2229"/>
      <c r="AA18" s="2229"/>
      <c r="AB18" s="2229"/>
      <c r="AC18" s="2229"/>
      <c r="AD18" s="2229"/>
      <c r="AE18" s="2229"/>
      <c r="AF18" s="2229"/>
      <c r="AG18" s="2229"/>
      <c r="AH18" s="2229"/>
    </row>
    <row r="19" spans="1:34">
      <c r="F19" s="2277"/>
    </row>
  </sheetData>
  <mergeCells count="10">
    <mergeCell ref="A16:B16"/>
    <mergeCell ref="A18:B18"/>
    <mergeCell ref="E18:G18"/>
    <mergeCell ref="E17:G17"/>
    <mergeCell ref="A1:K1"/>
    <mergeCell ref="A2:K2"/>
    <mergeCell ref="A3:K3"/>
    <mergeCell ref="A4:E4"/>
    <mergeCell ref="A5:E5"/>
    <mergeCell ref="A7:G7"/>
  </mergeCells>
  <pageMargins left="0.17" right="0.33" top="0.75" bottom="0.75" header="0.3" footer="0.3"/>
  <pageSetup paperSize="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25"/>
  <sheetViews>
    <sheetView workbookViewId="0">
      <selection activeCell="Q17" sqref="Q17:T17"/>
    </sheetView>
  </sheetViews>
  <sheetFormatPr defaultRowHeight="15"/>
  <cols>
    <col min="1" max="1" width="6.28515625" style="1038" customWidth="1"/>
    <col min="2" max="2" width="10.28515625" style="1038" hidden="1" customWidth="1"/>
    <col min="3" max="3" width="19.5703125" style="1038" customWidth="1"/>
    <col min="4" max="6" width="5.42578125" style="1038" bestFit="1" customWidth="1"/>
    <col min="7" max="7" width="4.85546875" style="1038" customWidth="1"/>
    <col min="8" max="8" width="4.85546875" style="1039" customWidth="1"/>
    <col min="9" max="17" width="4.85546875" style="1038" customWidth="1"/>
    <col min="18" max="32" width="5.42578125" style="1038" bestFit="1" customWidth="1"/>
    <col min="33" max="33" width="4.85546875" style="1038" hidden="1" customWidth="1"/>
    <col min="34" max="34" width="16.42578125" style="1038" customWidth="1"/>
    <col min="35" max="44" width="0" style="1038" hidden="1" customWidth="1"/>
    <col min="45" max="45" width="9.140625" style="1038"/>
    <col min="46" max="46" width="13.140625" style="1038" bestFit="1" customWidth="1"/>
    <col min="47" max="256" width="9.140625" style="1038"/>
    <col min="257" max="257" width="10.42578125" style="1038" customWidth="1"/>
    <col min="258" max="258" width="27.42578125" style="1038" customWidth="1"/>
    <col min="259" max="289" width="4.85546875" style="1038" customWidth="1"/>
    <col min="290" max="290" width="10.5703125" style="1038" customWidth="1"/>
    <col min="291" max="300" width="0" style="1038" hidden="1" customWidth="1"/>
    <col min="301" max="512" width="9.140625" style="1038"/>
    <col min="513" max="513" width="10.42578125" style="1038" customWidth="1"/>
    <col min="514" max="514" width="27.42578125" style="1038" customWidth="1"/>
    <col min="515" max="545" width="4.85546875" style="1038" customWidth="1"/>
    <col min="546" max="546" width="10.5703125" style="1038" customWidth="1"/>
    <col min="547" max="556" width="0" style="1038" hidden="1" customWidth="1"/>
    <col min="557" max="768" width="9.140625" style="1038"/>
    <col min="769" max="769" width="10.42578125" style="1038" customWidth="1"/>
    <col min="770" max="770" width="27.42578125" style="1038" customWidth="1"/>
    <col min="771" max="801" width="4.85546875" style="1038" customWidth="1"/>
    <col min="802" max="802" width="10.5703125" style="1038" customWidth="1"/>
    <col min="803" max="812" width="0" style="1038" hidden="1" customWidth="1"/>
    <col min="813" max="1024" width="9.140625" style="1038"/>
    <col min="1025" max="1025" width="10.42578125" style="1038" customWidth="1"/>
    <col min="1026" max="1026" width="27.42578125" style="1038" customWidth="1"/>
    <col min="1027" max="1057" width="4.85546875" style="1038" customWidth="1"/>
    <col min="1058" max="1058" width="10.5703125" style="1038" customWidth="1"/>
    <col min="1059" max="1068" width="0" style="1038" hidden="1" customWidth="1"/>
    <col min="1069" max="1280" width="9.140625" style="1038"/>
    <col min="1281" max="1281" width="10.42578125" style="1038" customWidth="1"/>
    <col min="1282" max="1282" width="27.42578125" style="1038" customWidth="1"/>
    <col min="1283" max="1313" width="4.85546875" style="1038" customWidth="1"/>
    <col min="1314" max="1314" width="10.5703125" style="1038" customWidth="1"/>
    <col min="1315" max="1324" width="0" style="1038" hidden="1" customWidth="1"/>
    <col min="1325" max="1536" width="9.140625" style="1038"/>
    <col min="1537" max="1537" width="10.42578125" style="1038" customWidth="1"/>
    <col min="1538" max="1538" width="27.42578125" style="1038" customWidth="1"/>
    <col min="1539" max="1569" width="4.85546875" style="1038" customWidth="1"/>
    <col min="1570" max="1570" width="10.5703125" style="1038" customWidth="1"/>
    <col min="1571" max="1580" width="0" style="1038" hidden="1" customWidth="1"/>
    <col min="1581" max="1792" width="9.140625" style="1038"/>
    <col min="1793" max="1793" width="10.42578125" style="1038" customWidth="1"/>
    <col min="1794" max="1794" width="27.42578125" style="1038" customWidth="1"/>
    <col min="1795" max="1825" width="4.85546875" style="1038" customWidth="1"/>
    <col min="1826" max="1826" width="10.5703125" style="1038" customWidth="1"/>
    <col min="1827" max="1836" width="0" style="1038" hidden="1" customWidth="1"/>
    <col min="1837" max="2048" width="9.140625" style="1038"/>
    <col min="2049" max="2049" width="10.42578125" style="1038" customWidth="1"/>
    <col min="2050" max="2050" width="27.42578125" style="1038" customWidth="1"/>
    <col min="2051" max="2081" width="4.85546875" style="1038" customWidth="1"/>
    <col min="2082" max="2082" width="10.5703125" style="1038" customWidth="1"/>
    <col min="2083" max="2092" width="0" style="1038" hidden="1" customWidth="1"/>
    <col min="2093" max="2304" width="9.140625" style="1038"/>
    <col min="2305" max="2305" width="10.42578125" style="1038" customWidth="1"/>
    <col min="2306" max="2306" width="27.42578125" style="1038" customWidth="1"/>
    <col min="2307" max="2337" width="4.85546875" style="1038" customWidth="1"/>
    <col min="2338" max="2338" width="10.5703125" style="1038" customWidth="1"/>
    <col min="2339" max="2348" width="0" style="1038" hidden="1" customWidth="1"/>
    <col min="2349" max="2560" width="9.140625" style="1038"/>
    <col min="2561" max="2561" width="10.42578125" style="1038" customWidth="1"/>
    <col min="2562" max="2562" width="27.42578125" style="1038" customWidth="1"/>
    <col min="2563" max="2593" width="4.85546875" style="1038" customWidth="1"/>
    <col min="2594" max="2594" width="10.5703125" style="1038" customWidth="1"/>
    <col min="2595" max="2604" width="0" style="1038" hidden="1" customWidth="1"/>
    <col min="2605" max="2816" width="9.140625" style="1038"/>
    <col min="2817" max="2817" width="10.42578125" style="1038" customWidth="1"/>
    <col min="2818" max="2818" width="27.42578125" style="1038" customWidth="1"/>
    <col min="2819" max="2849" width="4.85546875" style="1038" customWidth="1"/>
    <col min="2850" max="2850" width="10.5703125" style="1038" customWidth="1"/>
    <col min="2851" max="2860" width="0" style="1038" hidden="1" customWidth="1"/>
    <col min="2861" max="3072" width="9.140625" style="1038"/>
    <col min="3073" max="3073" width="10.42578125" style="1038" customWidth="1"/>
    <col min="3074" max="3074" width="27.42578125" style="1038" customWidth="1"/>
    <col min="3075" max="3105" width="4.85546875" style="1038" customWidth="1"/>
    <col min="3106" max="3106" width="10.5703125" style="1038" customWidth="1"/>
    <col min="3107" max="3116" width="0" style="1038" hidden="1" customWidth="1"/>
    <col min="3117" max="3328" width="9.140625" style="1038"/>
    <col min="3329" max="3329" width="10.42578125" style="1038" customWidth="1"/>
    <col min="3330" max="3330" width="27.42578125" style="1038" customWidth="1"/>
    <col min="3331" max="3361" width="4.85546875" style="1038" customWidth="1"/>
    <col min="3362" max="3362" width="10.5703125" style="1038" customWidth="1"/>
    <col min="3363" max="3372" width="0" style="1038" hidden="1" customWidth="1"/>
    <col min="3373" max="3584" width="9.140625" style="1038"/>
    <col min="3585" max="3585" width="10.42578125" style="1038" customWidth="1"/>
    <col min="3586" max="3586" width="27.42578125" style="1038" customWidth="1"/>
    <col min="3587" max="3617" width="4.85546875" style="1038" customWidth="1"/>
    <col min="3618" max="3618" width="10.5703125" style="1038" customWidth="1"/>
    <col min="3619" max="3628" width="0" style="1038" hidden="1" customWidth="1"/>
    <col min="3629" max="3840" width="9.140625" style="1038"/>
    <col min="3841" max="3841" width="10.42578125" style="1038" customWidth="1"/>
    <col min="3842" max="3842" width="27.42578125" style="1038" customWidth="1"/>
    <col min="3843" max="3873" width="4.85546875" style="1038" customWidth="1"/>
    <col min="3874" max="3874" width="10.5703125" style="1038" customWidth="1"/>
    <col min="3875" max="3884" width="0" style="1038" hidden="1" customWidth="1"/>
    <col min="3885" max="4096" width="9.140625" style="1038"/>
    <col min="4097" max="4097" width="10.42578125" style="1038" customWidth="1"/>
    <col min="4098" max="4098" width="27.42578125" style="1038" customWidth="1"/>
    <col min="4099" max="4129" width="4.85546875" style="1038" customWidth="1"/>
    <col min="4130" max="4130" width="10.5703125" style="1038" customWidth="1"/>
    <col min="4131" max="4140" width="0" style="1038" hidden="1" customWidth="1"/>
    <col min="4141" max="4352" width="9.140625" style="1038"/>
    <col min="4353" max="4353" width="10.42578125" style="1038" customWidth="1"/>
    <col min="4354" max="4354" width="27.42578125" style="1038" customWidth="1"/>
    <col min="4355" max="4385" width="4.85546875" style="1038" customWidth="1"/>
    <col min="4386" max="4386" width="10.5703125" style="1038" customWidth="1"/>
    <col min="4387" max="4396" width="0" style="1038" hidden="1" customWidth="1"/>
    <col min="4397" max="4608" width="9.140625" style="1038"/>
    <col min="4609" max="4609" width="10.42578125" style="1038" customWidth="1"/>
    <col min="4610" max="4610" width="27.42578125" style="1038" customWidth="1"/>
    <col min="4611" max="4641" width="4.85546875" style="1038" customWidth="1"/>
    <col min="4642" max="4642" width="10.5703125" style="1038" customWidth="1"/>
    <col min="4643" max="4652" width="0" style="1038" hidden="1" customWidth="1"/>
    <col min="4653" max="4864" width="9.140625" style="1038"/>
    <col min="4865" max="4865" width="10.42578125" style="1038" customWidth="1"/>
    <col min="4866" max="4866" width="27.42578125" style="1038" customWidth="1"/>
    <col min="4867" max="4897" width="4.85546875" style="1038" customWidth="1"/>
    <col min="4898" max="4898" width="10.5703125" style="1038" customWidth="1"/>
    <col min="4899" max="4908" width="0" style="1038" hidden="1" customWidth="1"/>
    <col min="4909" max="5120" width="9.140625" style="1038"/>
    <col min="5121" max="5121" width="10.42578125" style="1038" customWidth="1"/>
    <col min="5122" max="5122" width="27.42578125" style="1038" customWidth="1"/>
    <col min="5123" max="5153" width="4.85546875" style="1038" customWidth="1"/>
    <col min="5154" max="5154" width="10.5703125" style="1038" customWidth="1"/>
    <col min="5155" max="5164" width="0" style="1038" hidden="1" customWidth="1"/>
    <col min="5165" max="5376" width="9.140625" style="1038"/>
    <col min="5377" max="5377" width="10.42578125" style="1038" customWidth="1"/>
    <col min="5378" max="5378" width="27.42578125" style="1038" customWidth="1"/>
    <col min="5379" max="5409" width="4.85546875" style="1038" customWidth="1"/>
    <col min="5410" max="5410" width="10.5703125" style="1038" customWidth="1"/>
    <col min="5411" max="5420" width="0" style="1038" hidden="1" customWidth="1"/>
    <col min="5421" max="5632" width="9.140625" style="1038"/>
    <col min="5633" max="5633" width="10.42578125" style="1038" customWidth="1"/>
    <col min="5634" max="5634" width="27.42578125" style="1038" customWidth="1"/>
    <col min="5635" max="5665" width="4.85546875" style="1038" customWidth="1"/>
    <col min="5666" max="5666" width="10.5703125" style="1038" customWidth="1"/>
    <col min="5667" max="5676" width="0" style="1038" hidden="1" customWidth="1"/>
    <col min="5677" max="5888" width="9.140625" style="1038"/>
    <col min="5889" max="5889" width="10.42578125" style="1038" customWidth="1"/>
    <col min="5890" max="5890" width="27.42578125" style="1038" customWidth="1"/>
    <col min="5891" max="5921" width="4.85546875" style="1038" customWidth="1"/>
    <col min="5922" max="5922" width="10.5703125" style="1038" customWidth="1"/>
    <col min="5923" max="5932" width="0" style="1038" hidden="1" customWidth="1"/>
    <col min="5933" max="6144" width="9.140625" style="1038"/>
    <col min="6145" max="6145" width="10.42578125" style="1038" customWidth="1"/>
    <col min="6146" max="6146" width="27.42578125" style="1038" customWidth="1"/>
    <col min="6147" max="6177" width="4.85546875" style="1038" customWidth="1"/>
    <col min="6178" max="6178" width="10.5703125" style="1038" customWidth="1"/>
    <col min="6179" max="6188" width="0" style="1038" hidden="1" customWidth="1"/>
    <col min="6189" max="6400" width="9.140625" style="1038"/>
    <col min="6401" max="6401" width="10.42578125" style="1038" customWidth="1"/>
    <col min="6402" max="6402" width="27.42578125" style="1038" customWidth="1"/>
    <col min="6403" max="6433" width="4.85546875" style="1038" customWidth="1"/>
    <col min="6434" max="6434" width="10.5703125" style="1038" customWidth="1"/>
    <col min="6435" max="6444" width="0" style="1038" hidden="1" customWidth="1"/>
    <col min="6445" max="6656" width="9.140625" style="1038"/>
    <col min="6657" max="6657" width="10.42578125" style="1038" customWidth="1"/>
    <col min="6658" max="6658" width="27.42578125" style="1038" customWidth="1"/>
    <col min="6659" max="6689" width="4.85546875" style="1038" customWidth="1"/>
    <col min="6690" max="6690" width="10.5703125" style="1038" customWidth="1"/>
    <col min="6691" max="6700" width="0" style="1038" hidden="1" customWidth="1"/>
    <col min="6701" max="6912" width="9.140625" style="1038"/>
    <col min="6913" max="6913" width="10.42578125" style="1038" customWidth="1"/>
    <col min="6914" max="6914" width="27.42578125" style="1038" customWidth="1"/>
    <col min="6915" max="6945" width="4.85546875" style="1038" customWidth="1"/>
    <col min="6946" max="6946" width="10.5703125" style="1038" customWidth="1"/>
    <col min="6947" max="6956" width="0" style="1038" hidden="1" customWidth="1"/>
    <col min="6957" max="7168" width="9.140625" style="1038"/>
    <col min="7169" max="7169" width="10.42578125" style="1038" customWidth="1"/>
    <col min="7170" max="7170" width="27.42578125" style="1038" customWidth="1"/>
    <col min="7171" max="7201" width="4.85546875" style="1038" customWidth="1"/>
    <col min="7202" max="7202" width="10.5703125" style="1038" customWidth="1"/>
    <col min="7203" max="7212" width="0" style="1038" hidden="1" customWidth="1"/>
    <col min="7213" max="7424" width="9.140625" style="1038"/>
    <col min="7425" max="7425" width="10.42578125" style="1038" customWidth="1"/>
    <col min="7426" max="7426" width="27.42578125" style="1038" customWidth="1"/>
    <col min="7427" max="7457" width="4.85546875" style="1038" customWidth="1"/>
    <col min="7458" max="7458" width="10.5703125" style="1038" customWidth="1"/>
    <col min="7459" max="7468" width="0" style="1038" hidden="1" customWidth="1"/>
    <col min="7469" max="7680" width="9.140625" style="1038"/>
    <col min="7681" max="7681" width="10.42578125" style="1038" customWidth="1"/>
    <col min="7682" max="7682" width="27.42578125" style="1038" customWidth="1"/>
    <col min="7683" max="7713" width="4.85546875" style="1038" customWidth="1"/>
    <col min="7714" max="7714" width="10.5703125" style="1038" customWidth="1"/>
    <col min="7715" max="7724" width="0" style="1038" hidden="1" customWidth="1"/>
    <col min="7725" max="7936" width="9.140625" style="1038"/>
    <col min="7937" max="7937" width="10.42578125" style="1038" customWidth="1"/>
    <col min="7938" max="7938" width="27.42578125" style="1038" customWidth="1"/>
    <col min="7939" max="7969" width="4.85546875" style="1038" customWidth="1"/>
    <col min="7970" max="7970" width="10.5703125" style="1038" customWidth="1"/>
    <col min="7971" max="7980" width="0" style="1038" hidden="1" customWidth="1"/>
    <col min="7981" max="8192" width="9.140625" style="1038"/>
    <col min="8193" max="8193" width="10.42578125" style="1038" customWidth="1"/>
    <col min="8194" max="8194" width="27.42578125" style="1038" customWidth="1"/>
    <col min="8195" max="8225" width="4.85546875" style="1038" customWidth="1"/>
    <col min="8226" max="8226" width="10.5703125" style="1038" customWidth="1"/>
    <col min="8227" max="8236" width="0" style="1038" hidden="1" customWidth="1"/>
    <col min="8237" max="8448" width="9.140625" style="1038"/>
    <col min="8449" max="8449" width="10.42578125" style="1038" customWidth="1"/>
    <col min="8450" max="8450" width="27.42578125" style="1038" customWidth="1"/>
    <col min="8451" max="8481" width="4.85546875" style="1038" customWidth="1"/>
    <col min="8482" max="8482" width="10.5703125" style="1038" customWidth="1"/>
    <col min="8483" max="8492" width="0" style="1038" hidden="1" customWidth="1"/>
    <col min="8493" max="8704" width="9.140625" style="1038"/>
    <col min="8705" max="8705" width="10.42578125" style="1038" customWidth="1"/>
    <col min="8706" max="8706" width="27.42578125" style="1038" customWidth="1"/>
    <col min="8707" max="8737" width="4.85546875" style="1038" customWidth="1"/>
    <col min="8738" max="8738" width="10.5703125" style="1038" customWidth="1"/>
    <col min="8739" max="8748" width="0" style="1038" hidden="1" customWidth="1"/>
    <col min="8749" max="8960" width="9.140625" style="1038"/>
    <col min="8961" max="8961" width="10.42578125" style="1038" customWidth="1"/>
    <col min="8962" max="8962" width="27.42578125" style="1038" customWidth="1"/>
    <col min="8963" max="8993" width="4.85546875" style="1038" customWidth="1"/>
    <col min="8994" max="8994" width="10.5703125" style="1038" customWidth="1"/>
    <col min="8995" max="9004" width="0" style="1038" hidden="1" customWidth="1"/>
    <col min="9005" max="9216" width="9.140625" style="1038"/>
    <col min="9217" max="9217" width="10.42578125" style="1038" customWidth="1"/>
    <col min="9218" max="9218" width="27.42578125" style="1038" customWidth="1"/>
    <col min="9219" max="9249" width="4.85546875" style="1038" customWidth="1"/>
    <col min="9250" max="9250" width="10.5703125" style="1038" customWidth="1"/>
    <col min="9251" max="9260" width="0" style="1038" hidden="1" customWidth="1"/>
    <col min="9261" max="9472" width="9.140625" style="1038"/>
    <col min="9473" max="9473" width="10.42578125" style="1038" customWidth="1"/>
    <col min="9474" max="9474" width="27.42578125" style="1038" customWidth="1"/>
    <col min="9475" max="9505" width="4.85546875" style="1038" customWidth="1"/>
    <col min="9506" max="9506" width="10.5703125" style="1038" customWidth="1"/>
    <col min="9507" max="9516" width="0" style="1038" hidden="1" customWidth="1"/>
    <col min="9517" max="9728" width="9.140625" style="1038"/>
    <col min="9729" max="9729" width="10.42578125" style="1038" customWidth="1"/>
    <col min="9730" max="9730" width="27.42578125" style="1038" customWidth="1"/>
    <col min="9731" max="9761" width="4.85546875" style="1038" customWidth="1"/>
    <col min="9762" max="9762" width="10.5703125" style="1038" customWidth="1"/>
    <col min="9763" max="9772" width="0" style="1038" hidden="1" customWidth="1"/>
    <col min="9773" max="9984" width="9.140625" style="1038"/>
    <col min="9985" max="9985" width="10.42578125" style="1038" customWidth="1"/>
    <col min="9986" max="9986" width="27.42578125" style="1038" customWidth="1"/>
    <col min="9987" max="10017" width="4.85546875" style="1038" customWidth="1"/>
    <col min="10018" max="10018" width="10.5703125" style="1038" customWidth="1"/>
    <col min="10019" max="10028" width="0" style="1038" hidden="1" customWidth="1"/>
    <col min="10029" max="10240" width="9.140625" style="1038"/>
    <col min="10241" max="10241" width="10.42578125" style="1038" customWidth="1"/>
    <col min="10242" max="10242" width="27.42578125" style="1038" customWidth="1"/>
    <col min="10243" max="10273" width="4.85546875" style="1038" customWidth="1"/>
    <col min="10274" max="10274" width="10.5703125" style="1038" customWidth="1"/>
    <col min="10275" max="10284" width="0" style="1038" hidden="1" customWidth="1"/>
    <col min="10285" max="10496" width="9.140625" style="1038"/>
    <col min="10497" max="10497" width="10.42578125" style="1038" customWidth="1"/>
    <col min="10498" max="10498" width="27.42578125" style="1038" customWidth="1"/>
    <col min="10499" max="10529" width="4.85546875" style="1038" customWidth="1"/>
    <col min="10530" max="10530" width="10.5703125" style="1038" customWidth="1"/>
    <col min="10531" max="10540" width="0" style="1038" hidden="1" customWidth="1"/>
    <col min="10541" max="10752" width="9.140625" style="1038"/>
    <col min="10753" max="10753" width="10.42578125" style="1038" customWidth="1"/>
    <col min="10754" max="10754" width="27.42578125" style="1038" customWidth="1"/>
    <col min="10755" max="10785" width="4.85546875" style="1038" customWidth="1"/>
    <col min="10786" max="10786" width="10.5703125" style="1038" customWidth="1"/>
    <col min="10787" max="10796" width="0" style="1038" hidden="1" customWidth="1"/>
    <col min="10797" max="11008" width="9.140625" style="1038"/>
    <col min="11009" max="11009" width="10.42578125" style="1038" customWidth="1"/>
    <col min="11010" max="11010" width="27.42578125" style="1038" customWidth="1"/>
    <col min="11011" max="11041" width="4.85546875" style="1038" customWidth="1"/>
    <col min="11042" max="11042" width="10.5703125" style="1038" customWidth="1"/>
    <col min="11043" max="11052" width="0" style="1038" hidden="1" customWidth="1"/>
    <col min="11053" max="11264" width="9.140625" style="1038"/>
    <col min="11265" max="11265" width="10.42578125" style="1038" customWidth="1"/>
    <col min="11266" max="11266" width="27.42578125" style="1038" customWidth="1"/>
    <col min="11267" max="11297" width="4.85546875" style="1038" customWidth="1"/>
    <col min="11298" max="11298" width="10.5703125" style="1038" customWidth="1"/>
    <col min="11299" max="11308" width="0" style="1038" hidden="1" customWidth="1"/>
    <col min="11309" max="11520" width="9.140625" style="1038"/>
    <col min="11521" max="11521" width="10.42578125" style="1038" customWidth="1"/>
    <col min="11522" max="11522" width="27.42578125" style="1038" customWidth="1"/>
    <col min="11523" max="11553" width="4.85546875" style="1038" customWidth="1"/>
    <col min="11554" max="11554" width="10.5703125" style="1038" customWidth="1"/>
    <col min="11555" max="11564" width="0" style="1038" hidden="1" customWidth="1"/>
    <col min="11565" max="11776" width="9.140625" style="1038"/>
    <col min="11777" max="11777" width="10.42578125" style="1038" customWidth="1"/>
    <col min="11778" max="11778" width="27.42578125" style="1038" customWidth="1"/>
    <col min="11779" max="11809" width="4.85546875" style="1038" customWidth="1"/>
    <col min="11810" max="11810" width="10.5703125" style="1038" customWidth="1"/>
    <col min="11811" max="11820" width="0" style="1038" hidden="1" customWidth="1"/>
    <col min="11821" max="12032" width="9.140625" style="1038"/>
    <col min="12033" max="12033" width="10.42578125" style="1038" customWidth="1"/>
    <col min="12034" max="12034" width="27.42578125" style="1038" customWidth="1"/>
    <col min="12035" max="12065" width="4.85546875" style="1038" customWidth="1"/>
    <col min="12066" max="12066" width="10.5703125" style="1038" customWidth="1"/>
    <col min="12067" max="12076" width="0" style="1038" hidden="1" customWidth="1"/>
    <col min="12077" max="12288" width="9.140625" style="1038"/>
    <col min="12289" max="12289" width="10.42578125" style="1038" customWidth="1"/>
    <col min="12290" max="12290" width="27.42578125" style="1038" customWidth="1"/>
    <col min="12291" max="12321" width="4.85546875" style="1038" customWidth="1"/>
    <col min="12322" max="12322" width="10.5703125" style="1038" customWidth="1"/>
    <col min="12323" max="12332" width="0" style="1038" hidden="1" customWidth="1"/>
    <col min="12333" max="12544" width="9.140625" style="1038"/>
    <col min="12545" max="12545" width="10.42578125" style="1038" customWidth="1"/>
    <col min="12546" max="12546" width="27.42578125" style="1038" customWidth="1"/>
    <col min="12547" max="12577" width="4.85546875" style="1038" customWidth="1"/>
    <col min="12578" max="12578" width="10.5703125" style="1038" customWidth="1"/>
    <col min="12579" max="12588" width="0" style="1038" hidden="1" customWidth="1"/>
    <col min="12589" max="12800" width="9.140625" style="1038"/>
    <col min="12801" max="12801" width="10.42578125" style="1038" customWidth="1"/>
    <col min="12802" max="12802" width="27.42578125" style="1038" customWidth="1"/>
    <col min="12803" max="12833" width="4.85546875" style="1038" customWidth="1"/>
    <col min="12834" max="12834" width="10.5703125" style="1038" customWidth="1"/>
    <col min="12835" max="12844" width="0" style="1038" hidden="1" customWidth="1"/>
    <col min="12845" max="13056" width="9.140625" style="1038"/>
    <col min="13057" max="13057" width="10.42578125" style="1038" customWidth="1"/>
    <col min="13058" max="13058" width="27.42578125" style="1038" customWidth="1"/>
    <col min="13059" max="13089" width="4.85546875" style="1038" customWidth="1"/>
    <col min="13090" max="13090" width="10.5703125" style="1038" customWidth="1"/>
    <col min="13091" max="13100" width="0" style="1038" hidden="1" customWidth="1"/>
    <col min="13101" max="13312" width="9.140625" style="1038"/>
    <col min="13313" max="13313" width="10.42578125" style="1038" customWidth="1"/>
    <col min="13314" max="13314" width="27.42578125" style="1038" customWidth="1"/>
    <col min="13315" max="13345" width="4.85546875" style="1038" customWidth="1"/>
    <col min="13346" max="13346" width="10.5703125" style="1038" customWidth="1"/>
    <col min="13347" max="13356" width="0" style="1038" hidden="1" customWidth="1"/>
    <col min="13357" max="13568" width="9.140625" style="1038"/>
    <col min="13569" max="13569" width="10.42578125" style="1038" customWidth="1"/>
    <col min="13570" max="13570" width="27.42578125" style="1038" customWidth="1"/>
    <col min="13571" max="13601" width="4.85546875" style="1038" customWidth="1"/>
    <col min="13602" max="13602" width="10.5703125" style="1038" customWidth="1"/>
    <col min="13603" max="13612" width="0" style="1038" hidden="1" customWidth="1"/>
    <col min="13613" max="13824" width="9.140625" style="1038"/>
    <col min="13825" max="13825" width="10.42578125" style="1038" customWidth="1"/>
    <col min="13826" max="13826" width="27.42578125" style="1038" customWidth="1"/>
    <col min="13827" max="13857" width="4.85546875" style="1038" customWidth="1"/>
    <col min="13858" max="13858" width="10.5703125" style="1038" customWidth="1"/>
    <col min="13859" max="13868" width="0" style="1038" hidden="1" customWidth="1"/>
    <col min="13869" max="14080" width="9.140625" style="1038"/>
    <col min="14081" max="14081" width="10.42578125" style="1038" customWidth="1"/>
    <col min="14082" max="14082" width="27.42578125" style="1038" customWidth="1"/>
    <col min="14083" max="14113" width="4.85546875" style="1038" customWidth="1"/>
    <col min="14114" max="14114" width="10.5703125" style="1038" customWidth="1"/>
    <col min="14115" max="14124" width="0" style="1038" hidden="1" customWidth="1"/>
    <col min="14125" max="14336" width="9.140625" style="1038"/>
    <col min="14337" max="14337" width="10.42578125" style="1038" customWidth="1"/>
    <col min="14338" max="14338" width="27.42578125" style="1038" customWidth="1"/>
    <col min="14339" max="14369" width="4.85546875" style="1038" customWidth="1"/>
    <col min="14370" max="14370" width="10.5703125" style="1038" customWidth="1"/>
    <col min="14371" max="14380" width="0" style="1038" hidden="1" customWidth="1"/>
    <col min="14381" max="14592" width="9.140625" style="1038"/>
    <col min="14593" max="14593" width="10.42578125" style="1038" customWidth="1"/>
    <col min="14594" max="14594" width="27.42578125" style="1038" customWidth="1"/>
    <col min="14595" max="14625" width="4.85546875" style="1038" customWidth="1"/>
    <col min="14626" max="14626" width="10.5703125" style="1038" customWidth="1"/>
    <col min="14627" max="14636" width="0" style="1038" hidden="1" customWidth="1"/>
    <col min="14637" max="14848" width="9.140625" style="1038"/>
    <col min="14849" max="14849" width="10.42578125" style="1038" customWidth="1"/>
    <col min="14850" max="14850" width="27.42578125" style="1038" customWidth="1"/>
    <col min="14851" max="14881" width="4.85546875" style="1038" customWidth="1"/>
    <col min="14882" max="14882" width="10.5703125" style="1038" customWidth="1"/>
    <col min="14883" max="14892" width="0" style="1038" hidden="1" customWidth="1"/>
    <col min="14893" max="15104" width="9.140625" style="1038"/>
    <col min="15105" max="15105" width="10.42578125" style="1038" customWidth="1"/>
    <col min="15106" max="15106" width="27.42578125" style="1038" customWidth="1"/>
    <col min="15107" max="15137" width="4.85546875" style="1038" customWidth="1"/>
    <col min="15138" max="15138" width="10.5703125" style="1038" customWidth="1"/>
    <col min="15139" max="15148" width="0" style="1038" hidden="1" customWidth="1"/>
    <col min="15149" max="15360" width="9.140625" style="1038"/>
    <col min="15361" max="15361" width="10.42578125" style="1038" customWidth="1"/>
    <col min="15362" max="15362" width="27.42578125" style="1038" customWidth="1"/>
    <col min="15363" max="15393" width="4.85546875" style="1038" customWidth="1"/>
    <col min="15394" max="15394" width="10.5703125" style="1038" customWidth="1"/>
    <col min="15395" max="15404" width="0" style="1038" hidden="1" customWidth="1"/>
    <col min="15405" max="15616" width="9.140625" style="1038"/>
    <col min="15617" max="15617" width="10.42578125" style="1038" customWidth="1"/>
    <col min="15618" max="15618" width="27.42578125" style="1038" customWidth="1"/>
    <col min="15619" max="15649" width="4.85546875" style="1038" customWidth="1"/>
    <col min="15650" max="15650" width="10.5703125" style="1038" customWidth="1"/>
    <col min="15651" max="15660" width="0" style="1038" hidden="1" customWidth="1"/>
    <col min="15661" max="15872" width="9.140625" style="1038"/>
    <col min="15873" max="15873" width="10.42578125" style="1038" customWidth="1"/>
    <col min="15874" max="15874" width="27.42578125" style="1038" customWidth="1"/>
    <col min="15875" max="15905" width="4.85546875" style="1038" customWidth="1"/>
    <col min="15906" max="15906" width="10.5703125" style="1038" customWidth="1"/>
    <col min="15907" max="15916" width="0" style="1038" hidden="1" customWidth="1"/>
    <col min="15917" max="16128" width="9.140625" style="1038"/>
    <col min="16129" max="16129" width="10.42578125" style="1038" customWidth="1"/>
    <col min="16130" max="16130" width="27.42578125" style="1038" customWidth="1"/>
    <col min="16131" max="16161" width="4.85546875" style="1038" customWidth="1"/>
    <col min="16162" max="16162" width="10.5703125" style="1038" customWidth="1"/>
    <col min="16163" max="16172" width="0" style="1038" hidden="1" customWidth="1"/>
    <col min="16173" max="16384" width="9.140625" style="1038"/>
  </cols>
  <sheetData>
    <row r="1" spans="1:43">
      <c r="A1" s="1038" t="s">
        <v>80</v>
      </c>
      <c r="W1" s="4230" t="s">
        <v>23</v>
      </c>
      <c r="X1" s="4230"/>
      <c r="Y1" s="4230"/>
      <c r="Z1" s="4230"/>
      <c r="AA1" s="4230"/>
      <c r="AB1" s="4230"/>
      <c r="AC1" s="4230"/>
      <c r="AD1" s="4230"/>
      <c r="AE1" s="4230"/>
      <c r="AF1" s="4230"/>
      <c r="AG1" s="4230"/>
      <c r="AH1" s="4230"/>
      <c r="AK1" s="1040">
        <v>1</v>
      </c>
      <c r="AL1" s="1040">
        <v>2</v>
      </c>
      <c r="AM1" s="1040">
        <v>3</v>
      </c>
      <c r="AN1" s="1040">
        <v>4</v>
      </c>
      <c r="AO1" s="1040">
        <v>5</v>
      </c>
      <c r="AP1" s="1041">
        <v>6</v>
      </c>
      <c r="AQ1" s="1041">
        <v>7</v>
      </c>
    </row>
    <row r="2" spans="1:43">
      <c r="A2" s="4694" t="s">
        <v>1153</v>
      </c>
      <c r="B2" s="4694"/>
      <c r="C2" s="4694"/>
      <c r="D2" s="4694"/>
      <c r="E2" s="4694"/>
      <c r="F2" s="4694"/>
      <c r="W2" s="4230" t="s">
        <v>45</v>
      </c>
      <c r="X2" s="4230"/>
      <c r="Y2" s="4230"/>
      <c r="Z2" s="4230"/>
      <c r="AA2" s="4230"/>
      <c r="AB2" s="4230"/>
      <c r="AC2" s="4230"/>
      <c r="AD2" s="4230"/>
      <c r="AE2" s="4230"/>
      <c r="AF2" s="4230"/>
      <c r="AG2" s="4230"/>
      <c r="AH2" s="4230"/>
      <c r="AK2" s="1040" t="s">
        <v>133</v>
      </c>
      <c r="AL2" s="1040" t="s">
        <v>970</v>
      </c>
      <c r="AM2" s="1040" t="s">
        <v>971</v>
      </c>
      <c r="AN2" s="1040" t="s">
        <v>972</v>
      </c>
      <c r="AO2" s="1040" t="s">
        <v>973</v>
      </c>
      <c r="AP2" s="1041" t="s">
        <v>974</v>
      </c>
      <c r="AQ2" s="1041" t="s">
        <v>975</v>
      </c>
    </row>
    <row r="3" spans="1:43">
      <c r="AK3" s="1042"/>
      <c r="AL3" s="1042"/>
      <c r="AM3" s="1042"/>
      <c r="AN3" s="1042"/>
      <c r="AO3" s="1042"/>
    </row>
    <row r="4" spans="1:43" ht="18.75">
      <c r="D4" s="4234" t="s">
        <v>1443</v>
      </c>
      <c r="E4" s="4234"/>
      <c r="F4" s="4234"/>
      <c r="G4" s="4234"/>
      <c r="H4" s="4234"/>
      <c r="I4" s="4234"/>
      <c r="J4" s="4234"/>
      <c r="K4" s="4234"/>
      <c r="L4" s="4234"/>
      <c r="M4" s="4234"/>
      <c r="N4" s="4234"/>
      <c r="O4" s="4234"/>
      <c r="P4" s="4234"/>
      <c r="Q4" s="4234"/>
      <c r="R4" s="4234"/>
      <c r="S4" s="4234"/>
      <c r="T4" s="4234"/>
      <c r="U4" s="4234"/>
      <c r="V4" s="4234"/>
      <c r="W4" s="4234"/>
      <c r="X4" s="4234"/>
      <c r="Y4" s="4234"/>
      <c r="Z4" s="4234"/>
      <c r="AA4" s="4234"/>
      <c r="AB4" s="4234"/>
      <c r="AC4" s="4234"/>
      <c r="AD4" s="4234"/>
      <c r="AE4" s="4234"/>
      <c r="AF4" s="4234"/>
      <c r="AG4" s="4234"/>
      <c r="AK4" s="1042"/>
      <c r="AL4" s="1042"/>
      <c r="AM4" s="1042"/>
      <c r="AN4" s="1042"/>
      <c r="AO4" s="1042"/>
    </row>
    <row r="5" spans="1:43" ht="15.75">
      <c r="B5" s="1043" t="s">
        <v>977</v>
      </c>
      <c r="C5" s="1043">
        <v>2024</v>
      </c>
      <c r="D5" s="4235" t="str">
        <f>"Tháng "&amp;IF(LEN($C$6)=1,"0"&amp;$C$6,$C$6)&amp;" năm "&amp;C5</f>
        <v>Tháng 02 năm 2024</v>
      </c>
      <c r="E5" s="4235"/>
      <c r="F5" s="4235"/>
      <c r="G5" s="4235"/>
      <c r="H5" s="4235"/>
      <c r="I5" s="4235"/>
      <c r="J5" s="4235"/>
      <c r="K5" s="4235"/>
      <c r="L5" s="4235"/>
      <c r="M5" s="4235"/>
      <c r="N5" s="4235"/>
      <c r="O5" s="4235"/>
      <c r="P5" s="4235"/>
      <c r="Q5" s="4235"/>
      <c r="R5" s="4235"/>
      <c r="S5" s="4235"/>
      <c r="T5" s="4235"/>
      <c r="U5" s="4235"/>
      <c r="V5" s="4235"/>
      <c r="W5" s="4235"/>
      <c r="X5" s="4235"/>
      <c r="Y5" s="4235"/>
      <c r="Z5" s="4235"/>
      <c r="AA5" s="4235"/>
      <c r="AB5" s="4235"/>
      <c r="AC5" s="4235"/>
      <c r="AD5" s="4235"/>
      <c r="AE5" s="4235"/>
      <c r="AF5" s="4235"/>
      <c r="AG5" s="4235"/>
    </row>
    <row r="6" spans="1:43">
      <c r="B6" s="1043" t="s">
        <v>978</v>
      </c>
      <c r="C6" s="1043">
        <v>2</v>
      </c>
    </row>
    <row r="7" spans="1:43" ht="15" customHeight="1">
      <c r="A7" s="4231" t="s">
        <v>0</v>
      </c>
      <c r="B7" s="4236" t="s">
        <v>979</v>
      </c>
      <c r="C7" s="4238" t="s">
        <v>980</v>
      </c>
      <c r="D7" s="1044">
        <v>1</v>
      </c>
      <c r="E7" s="1044">
        <v>2</v>
      </c>
      <c r="F7" s="1044">
        <v>3</v>
      </c>
      <c r="G7" s="1044">
        <v>4</v>
      </c>
      <c r="H7" s="1045">
        <v>5</v>
      </c>
      <c r="I7" s="1044">
        <v>6</v>
      </c>
      <c r="J7" s="1044">
        <v>7</v>
      </c>
      <c r="K7" s="1044">
        <v>8</v>
      </c>
      <c r="L7" s="1044">
        <v>9</v>
      </c>
      <c r="M7" s="1044">
        <v>10</v>
      </c>
      <c r="N7" s="1044">
        <v>11</v>
      </c>
      <c r="O7" s="1044">
        <v>12</v>
      </c>
      <c r="P7" s="1044">
        <v>13</v>
      </c>
      <c r="Q7" s="1044">
        <v>14</v>
      </c>
      <c r="R7" s="1044">
        <v>15</v>
      </c>
      <c r="S7" s="1044">
        <v>16</v>
      </c>
      <c r="T7" s="1044">
        <v>17</v>
      </c>
      <c r="U7" s="1044">
        <v>18</v>
      </c>
      <c r="V7" s="1044">
        <v>19</v>
      </c>
      <c r="W7" s="1044">
        <v>20</v>
      </c>
      <c r="X7" s="1044">
        <v>21</v>
      </c>
      <c r="Y7" s="1044">
        <v>22</v>
      </c>
      <c r="Z7" s="1044">
        <v>23</v>
      </c>
      <c r="AA7" s="1044">
        <v>24</v>
      </c>
      <c r="AB7" s="1044">
        <v>25</v>
      </c>
      <c r="AC7" s="1044">
        <v>26</v>
      </c>
      <c r="AD7" s="1044">
        <v>27</v>
      </c>
      <c r="AE7" s="1044">
        <v>28</v>
      </c>
      <c r="AF7" s="1044">
        <f>IF(DAY(DATE(C5,C6+1,1)-1)&lt;29,"",29)</f>
        <v>29</v>
      </c>
      <c r="AG7" s="1047" t="str">
        <f>IF(DAY(DATE(C5,C6+1,1)-1)&lt;31,"",31)</f>
        <v/>
      </c>
      <c r="AH7" s="4240" t="s">
        <v>981</v>
      </c>
    </row>
    <row r="8" spans="1:43" ht="30" customHeight="1">
      <c r="A8" s="4232"/>
      <c r="B8" s="4237"/>
      <c r="C8" s="4239"/>
      <c r="D8" s="1048" t="str">
        <f t="shared" ref="D8:AG8" si="0">IF(D7="","",HLOOKUP(WEEKDAY(DATE($C$5,$C$6,D7)),$AK$1:$AQ$2,2,0))</f>
        <v>Năm</v>
      </c>
      <c r="E8" s="1048" t="str">
        <f t="shared" si="0"/>
        <v>Sáu</v>
      </c>
      <c r="F8" s="1048" t="str">
        <f t="shared" si="0"/>
        <v>Bảy</v>
      </c>
      <c r="G8" s="1048" t="str">
        <f t="shared" si="0"/>
        <v>CN</v>
      </c>
      <c r="H8" s="1049" t="str">
        <f t="shared" si="0"/>
        <v>Hai</v>
      </c>
      <c r="I8" s="1048" t="str">
        <f t="shared" si="0"/>
        <v>Ba</v>
      </c>
      <c r="J8" s="1048" t="str">
        <f t="shared" si="0"/>
        <v>Tư</v>
      </c>
      <c r="K8" s="1048" t="str">
        <f t="shared" si="0"/>
        <v>Năm</v>
      </c>
      <c r="L8" s="1048" t="str">
        <f t="shared" si="0"/>
        <v>Sáu</v>
      </c>
      <c r="M8" s="1048" t="str">
        <f t="shared" si="0"/>
        <v>Bảy</v>
      </c>
      <c r="N8" s="1048" t="str">
        <f t="shared" si="0"/>
        <v>CN</v>
      </c>
      <c r="O8" s="1048" t="str">
        <f t="shared" si="0"/>
        <v>Hai</v>
      </c>
      <c r="P8" s="1048" t="str">
        <f t="shared" si="0"/>
        <v>Ba</v>
      </c>
      <c r="Q8" s="1048" t="str">
        <f t="shared" si="0"/>
        <v>Tư</v>
      </c>
      <c r="R8" s="1048" t="str">
        <f t="shared" si="0"/>
        <v>Năm</v>
      </c>
      <c r="S8" s="1048" t="str">
        <f t="shared" si="0"/>
        <v>Sáu</v>
      </c>
      <c r="T8" s="1048" t="str">
        <f t="shared" si="0"/>
        <v>Bảy</v>
      </c>
      <c r="U8" s="1048" t="str">
        <f t="shared" si="0"/>
        <v>CN</v>
      </c>
      <c r="V8" s="1048" t="str">
        <f t="shared" si="0"/>
        <v>Hai</v>
      </c>
      <c r="W8" s="1048" t="str">
        <f t="shared" si="0"/>
        <v>Ba</v>
      </c>
      <c r="X8" s="1048" t="str">
        <f t="shared" si="0"/>
        <v>Tư</v>
      </c>
      <c r="Y8" s="1048" t="str">
        <f t="shared" si="0"/>
        <v>Năm</v>
      </c>
      <c r="Z8" s="1048" t="str">
        <f t="shared" si="0"/>
        <v>Sáu</v>
      </c>
      <c r="AA8" s="1048" t="str">
        <f t="shared" si="0"/>
        <v>Bảy</v>
      </c>
      <c r="AB8" s="1048" t="str">
        <f t="shared" si="0"/>
        <v>CN</v>
      </c>
      <c r="AC8" s="1048" t="str">
        <f t="shared" si="0"/>
        <v>Hai</v>
      </c>
      <c r="AD8" s="1048" t="str">
        <f t="shared" si="0"/>
        <v>Ba</v>
      </c>
      <c r="AE8" s="1048" t="str">
        <f t="shared" si="0"/>
        <v>Tư</v>
      </c>
      <c r="AF8" s="1044" t="str">
        <f t="shared" si="0"/>
        <v>Năm</v>
      </c>
      <c r="AG8" s="1047" t="str">
        <f t="shared" si="0"/>
        <v/>
      </c>
      <c r="AH8" s="4241"/>
    </row>
    <row r="9" spans="1:43" ht="20.25" customHeight="1">
      <c r="A9" s="2224">
        <v>1</v>
      </c>
      <c r="B9" s="2222"/>
      <c r="C9" s="2224" t="s">
        <v>1157</v>
      </c>
      <c r="D9" s="2222"/>
      <c r="E9" s="2222"/>
      <c r="F9" s="2222"/>
      <c r="G9" s="2222" t="s">
        <v>29</v>
      </c>
      <c r="H9" s="2223" t="str">
        <f>IF(WEEKDAY(DATE($C$5,$C$6,H$7),2)&gt;'[5]Khai báo'!$B$4,"","x")</f>
        <v>x</v>
      </c>
      <c r="I9" s="2222" t="str">
        <f>IF(WEEKDAY(DATE($C$5,$C$6,I$7),2)&gt;'[5]Khai báo'!$B$4,"","x")</f>
        <v>x</v>
      </c>
      <c r="J9" s="2222" t="str">
        <f>IF(WEEKDAY(DATE($C$5,$C$6,J$7),2)&gt;'[5]Khai báo'!$B$4,"","x")</f>
        <v>x</v>
      </c>
      <c r="K9" s="2222" t="str">
        <f>IF(WEEKDAY(DATE($C$5,$C$6,K$7),2)&gt;'[5]Khai báo'!$B$4,"","x")</f>
        <v>x</v>
      </c>
      <c r="L9" s="2222" t="str">
        <f>IF(WEEKDAY(DATE($C$5,$C$6,L$7),2)&gt;'[5]Khai báo'!$B$4,"","x")</f>
        <v>x</v>
      </c>
      <c r="M9" s="2222" t="str">
        <f>IF(WEEKDAY(DATE($C$5,$C$6,M$7),2)&gt;'[5]Khai báo'!$B$4,"","x")</f>
        <v>x</v>
      </c>
      <c r="N9" s="2222" t="s">
        <v>29</v>
      </c>
      <c r="O9" s="2222" t="str">
        <f>IF(WEEKDAY(DATE($C$5,$C$6,O$7),2)&gt;'[5]Khai báo'!$B$4,"","x")</f>
        <v>x</v>
      </c>
      <c r="P9" s="2222" t="str">
        <f>IF(WEEKDAY(DATE($C$5,$C$6,P$7),2)&gt;'[5]Khai báo'!$B$4,"","x")</f>
        <v>x</v>
      </c>
      <c r="Q9" s="2222" t="str">
        <f>IF(WEEKDAY(DATE($C$5,$C$6,Q$7),2)&gt;'[5]Khai báo'!$B$4,"","x")</f>
        <v>x</v>
      </c>
      <c r="R9" s="2222" t="s">
        <v>29</v>
      </c>
      <c r="S9" s="2223" t="str">
        <f>IF(WEEKDAY(DATE($C$5,$C$6,S$7),2)&gt;'[5]Khai báo'!$B$4,"","x")</f>
        <v>x</v>
      </c>
      <c r="T9" s="2222" t="str">
        <f>IF(WEEKDAY(DATE($C$5,$C$6,T$7),2)&gt;'[5]Khai báo'!$B$4,"","x")</f>
        <v>x</v>
      </c>
      <c r="U9" s="2222"/>
      <c r="V9" s="2222"/>
      <c r="W9" s="2222"/>
      <c r="X9" s="2222"/>
      <c r="Y9" s="2222"/>
      <c r="Z9" s="2222"/>
      <c r="AA9" s="2222"/>
      <c r="AB9" s="2222"/>
      <c r="AC9" s="2222"/>
      <c r="AD9" s="2222"/>
      <c r="AE9" s="2222"/>
      <c r="AF9" s="2222"/>
      <c r="AG9" s="2222" t="e">
        <f>IF(#REF!="","",IF(WEEKDAY(DATE($C$5,$C$6,AG$7),2)&gt;'[5]Khai báo'!$B$4,"","x"))</f>
        <v>#REF!</v>
      </c>
      <c r="AH9" s="2227">
        <f t="shared" ref="AH9:AH16" si="1">COUNTIF(D9:AG9,"X")</f>
        <v>14</v>
      </c>
    </row>
    <row r="10" spans="1:43" ht="20.25" customHeight="1">
      <c r="A10" s="2224">
        <v>2</v>
      </c>
      <c r="B10" s="2222"/>
      <c r="C10" s="2224" t="str">
        <f>+'LƯƠNG USD NGƯỜI VIỆT'!B18</f>
        <v>Đào Đại Đức</v>
      </c>
      <c r="D10" s="2222"/>
      <c r="E10" s="2222"/>
      <c r="F10" s="2222"/>
      <c r="G10" s="2222" t="s">
        <v>29</v>
      </c>
      <c r="H10" s="2223" t="str">
        <f>IF(WEEKDAY(DATE($C$5,$C$6,H$7),2)&gt;'[5]Khai báo'!$B$4,"","x")</f>
        <v>x</v>
      </c>
      <c r="I10" s="2222" t="str">
        <f>IF(WEEKDAY(DATE($C$5,$C$6,I$7),2)&gt;'[5]Khai báo'!$B$4,"","x")</f>
        <v>x</v>
      </c>
      <c r="J10" s="2222" t="str">
        <f>IF(WEEKDAY(DATE($C$5,$C$6,J$7),2)&gt;'[5]Khai báo'!$B$4,"","x")</f>
        <v>x</v>
      </c>
      <c r="K10" s="2222" t="str">
        <f>IF(WEEKDAY(DATE($C$5,$C$6,K$7),2)&gt;'[5]Khai báo'!$B$4,"","x")</f>
        <v>x</v>
      </c>
      <c r="L10" s="2222" t="str">
        <f>IF(WEEKDAY(DATE($C$5,$C$6,L$7),2)&gt;'[5]Khai báo'!$B$4,"","x")</f>
        <v>x</v>
      </c>
      <c r="M10" s="2222" t="str">
        <f>IF(WEEKDAY(DATE($C$5,$C$6,M$7),2)&gt;'[5]Khai báo'!$B$4,"","x")</f>
        <v>x</v>
      </c>
      <c r="N10" s="2222" t="s">
        <v>29</v>
      </c>
      <c r="O10" s="2222" t="str">
        <f>IF(WEEKDAY(DATE($C$5,$C$6,O$7),2)&gt;'[5]Khai báo'!$B$4,"","x")</f>
        <v>x</v>
      </c>
      <c r="P10" s="2222" t="str">
        <f>IF(WEEKDAY(DATE($C$5,$C$6,P$7),2)&gt;'[5]Khai báo'!$B$4,"","x")</f>
        <v>x</v>
      </c>
      <c r="Q10" s="2222" t="str">
        <f>IF(WEEKDAY(DATE($C$5,$C$6,Q$7),2)&gt;'[5]Khai báo'!$B$4,"","x")</f>
        <v>x</v>
      </c>
      <c r="R10" s="2222" t="s">
        <v>29</v>
      </c>
      <c r="S10" s="2223" t="str">
        <f>IF(WEEKDAY(DATE($C$5,$C$6,S$7),2)&gt;'[5]Khai báo'!$B$4,"","x")</f>
        <v>x</v>
      </c>
      <c r="T10" s="2222" t="str">
        <f>IF(WEEKDAY(DATE($C$5,$C$6,T$7),2)&gt;'[5]Khai báo'!$B$4,"","x")</f>
        <v>x</v>
      </c>
      <c r="U10" s="2222"/>
      <c r="V10" s="2222"/>
      <c r="W10" s="2222"/>
      <c r="X10" s="2222"/>
      <c r="Y10" s="2222"/>
      <c r="Z10" s="2222"/>
      <c r="AA10" s="2222"/>
      <c r="AB10" s="2222"/>
      <c r="AC10" s="2222"/>
      <c r="AD10" s="2222"/>
      <c r="AE10" s="2222"/>
      <c r="AF10" s="2222"/>
      <c r="AG10" s="2222" t="e">
        <f>IF(AG9="","",IF(WEEKDAY(DATE($C$5,$C$6,AG$7),2)&gt;'[5]Khai báo'!$B$4,"","x"))</f>
        <v>#REF!</v>
      </c>
      <c r="AH10" s="2227">
        <f t="shared" si="1"/>
        <v>14</v>
      </c>
    </row>
    <row r="11" spans="1:43" ht="20.25" customHeight="1">
      <c r="A11" s="2224">
        <v>3</v>
      </c>
      <c r="B11" s="2222"/>
      <c r="C11" s="2224" t="s">
        <v>1013</v>
      </c>
      <c r="D11" s="2222"/>
      <c r="E11" s="2222"/>
      <c r="F11" s="2222"/>
      <c r="G11" s="2222" t="s">
        <v>29</v>
      </c>
      <c r="H11" s="2223" t="str">
        <f>IF(WEEKDAY(DATE($C$5,$C$6,H$7),2)&gt;'[5]Khai báo'!$B$4,"","x")</f>
        <v>x</v>
      </c>
      <c r="I11" s="2222" t="str">
        <f>IF(WEEKDAY(DATE($C$5,$C$6,I$7),2)&gt;'[5]Khai báo'!$B$4,"","x")</f>
        <v>x</v>
      </c>
      <c r="J11" s="2222" t="str">
        <f>IF(WEEKDAY(DATE($C$5,$C$6,J$7),2)&gt;'[5]Khai báo'!$B$4,"","x")</f>
        <v>x</v>
      </c>
      <c r="K11" s="2222" t="str">
        <f>IF(WEEKDAY(DATE($C$5,$C$6,K$7),2)&gt;'[5]Khai báo'!$B$4,"","x")</f>
        <v>x</v>
      </c>
      <c r="L11" s="2222" t="str">
        <f>IF(WEEKDAY(DATE($C$5,$C$6,L$7),2)&gt;'[5]Khai báo'!$B$4,"","x")</f>
        <v>x</v>
      </c>
      <c r="M11" s="2222" t="str">
        <f>IF(WEEKDAY(DATE($C$5,$C$6,M$7),2)&gt;'[5]Khai báo'!$B$4,"","x")</f>
        <v>x</v>
      </c>
      <c r="N11" s="2222" t="s">
        <v>29</v>
      </c>
      <c r="O11" s="2222" t="str">
        <f>IF(WEEKDAY(DATE($C$5,$C$6,O$7),2)&gt;'[5]Khai báo'!$B$4,"","x")</f>
        <v>x</v>
      </c>
      <c r="P11" s="2222" t="str">
        <f>IF(WEEKDAY(DATE($C$5,$C$6,P$7),2)&gt;'[5]Khai báo'!$B$4,"","x")</f>
        <v>x</v>
      </c>
      <c r="Q11" s="2222" t="str">
        <f>IF(WEEKDAY(DATE($C$5,$C$6,Q$7),2)&gt;'[5]Khai báo'!$B$4,"","x")</f>
        <v>x</v>
      </c>
      <c r="R11" s="2222" t="s">
        <v>29</v>
      </c>
      <c r="S11" s="2223" t="str">
        <f>IF(WEEKDAY(DATE($C$5,$C$6,S$7),2)&gt;'[5]Khai báo'!$B$4,"","x")</f>
        <v>x</v>
      </c>
      <c r="T11" s="2222" t="str">
        <f>IF(WEEKDAY(DATE($C$5,$C$6,T$7),2)&gt;'[5]Khai báo'!$B$4,"","x")</f>
        <v>x</v>
      </c>
      <c r="U11" s="2222"/>
      <c r="V11" s="2222"/>
      <c r="W11" s="2222"/>
      <c r="X11" s="2222"/>
      <c r="Y11" s="2222"/>
      <c r="Z11" s="2222"/>
      <c r="AA11" s="2222"/>
      <c r="AB11" s="2222"/>
      <c r="AC11" s="2222"/>
      <c r="AD11" s="2222"/>
      <c r="AE11" s="2222"/>
      <c r="AF11" s="2222"/>
      <c r="AG11" s="2222" t="e">
        <f>IF(#REF!="","",IF(WEEKDAY(DATE($C$5,$C$6,AG$7),2)&gt;'[5]Khai báo'!$B$4,"","x"))</f>
        <v>#REF!</v>
      </c>
      <c r="AH11" s="2227">
        <f t="shared" si="1"/>
        <v>14</v>
      </c>
    </row>
    <row r="12" spans="1:43" ht="20.25" customHeight="1">
      <c r="A12" s="2224">
        <v>4</v>
      </c>
      <c r="B12" s="2222"/>
      <c r="C12" s="2224" t="s">
        <v>36</v>
      </c>
      <c r="D12" s="2222"/>
      <c r="E12" s="2222"/>
      <c r="F12" s="2222"/>
      <c r="G12" s="2222" t="s">
        <v>29</v>
      </c>
      <c r="H12" s="2223" t="str">
        <f>IF(WEEKDAY(DATE($C$5,$C$6,H$7),2)&gt;'[5]Khai báo'!$B$4,"","x")</f>
        <v>x</v>
      </c>
      <c r="I12" s="2222" t="str">
        <f>IF(WEEKDAY(DATE($C$5,$C$6,I$7),2)&gt;'[5]Khai báo'!$B$4,"","x")</f>
        <v>x</v>
      </c>
      <c r="J12" s="2222" t="str">
        <f>IF(WEEKDAY(DATE($C$5,$C$6,J$7),2)&gt;'[5]Khai báo'!$B$4,"","x")</f>
        <v>x</v>
      </c>
      <c r="K12" s="2222" t="str">
        <f>IF(WEEKDAY(DATE($C$5,$C$6,K$7),2)&gt;'[5]Khai báo'!$B$4,"","x")</f>
        <v>x</v>
      </c>
      <c r="L12" s="2222" t="str">
        <f>IF(WEEKDAY(DATE($C$5,$C$6,L$7),2)&gt;'[5]Khai báo'!$B$4,"","x")</f>
        <v>x</v>
      </c>
      <c r="M12" s="2222" t="str">
        <f>IF(WEEKDAY(DATE($C$5,$C$6,M$7),2)&gt;'[5]Khai báo'!$B$4,"","x")</f>
        <v>x</v>
      </c>
      <c r="N12" s="2222" t="s">
        <v>29</v>
      </c>
      <c r="O12" s="2222" t="str">
        <f>IF(WEEKDAY(DATE($C$5,$C$6,O$7),2)&gt;'[5]Khai báo'!$B$4,"","x")</f>
        <v>x</v>
      </c>
      <c r="P12" s="2222" t="str">
        <f>IF(WEEKDAY(DATE($C$5,$C$6,P$7),2)&gt;'[5]Khai báo'!$B$4,"","x")</f>
        <v>x</v>
      </c>
      <c r="Q12" s="2222" t="str">
        <f>IF(WEEKDAY(DATE($C$5,$C$6,Q$7),2)&gt;'[5]Khai báo'!$B$4,"","x")</f>
        <v>x</v>
      </c>
      <c r="R12" s="2222" t="s">
        <v>29</v>
      </c>
      <c r="S12" s="2223" t="str">
        <f>IF(WEEKDAY(DATE($C$5,$C$6,S$7),2)&gt;'[5]Khai báo'!$B$4,"","x")</f>
        <v>x</v>
      </c>
      <c r="T12" s="2222" t="str">
        <f>IF(WEEKDAY(DATE($C$5,$C$6,T$7),2)&gt;'[5]Khai báo'!$B$4,"","x")</f>
        <v>x</v>
      </c>
      <c r="U12" s="2222"/>
      <c r="V12" s="2222"/>
      <c r="W12" s="2222"/>
      <c r="X12" s="2222"/>
      <c r="Y12" s="2222"/>
      <c r="Z12" s="2222"/>
      <c r="AA12" s="2222"/>
      <c r="AB12" s="2222"/>
      <c r="AC12" s="2222"/>
      <c r="AD12" s="2222"/>
      <c r="AE12" s="2222"/>
      <c r="AF12" s="2222"/>
      <c r="AG12" s="2222" t="e">
        <f>IF(AG11="","",IF(WEEKDAY(DATE($C$5,$C$6,AG$7),2)&gt;'[5]Khai báo'!$B$4,"","x"))</f>
        <v>#REF!</v>
      </c>
      <c r="AH12" s="2227">
        <f t="shared" si="1"/>
        <v>14</v>
      </c>
    </row>
    <row r="13" spans="1:43" ht="20.25" customHeight="1">
      <c r="A13" s="2224">
        <v>5</v>
      </c>
      <c r="B13" s="2222"/>
      <c r="C13" s="2224" t="s">
        <v>1444</v>
      </c>
      <c r="D13" s="2222"/>
      <c r="E13" s="2222"/>
      <c r="F13" s="2222"/>
      <c r="G13" s="2222" t="s">
        <v>29</v>
      </c>
      <c r="H13" s="2223" t="str">
        <f>IF(WEEKDAY(DATE($C$5,$C$6,H$7),2)&gt;'[5]Khai báo'!$B$4,"","x")</f>
        <v>x</v>
      </c>
      <c r="I13" s="2222" t="str">
        <f>IF(WEEKDAY(DATE($C$5,$C$6,I$7),2)&gt;'[5]Khai báo'!$B$4,"","x")</f>
        <v>x</v>
      </c>
      <c r="J13" s="2222" t="str">
        <f>IF(WEEKDAY(DATE($C$5,$C$6,J$7),2)&gt;'[5]Khai báo'!$B$4,"","x")</f>
        <v>x</v>
      </c>
      <c r="K13" s="2222" t="str">
        <f>IF(WEEKDAY(DATE($C$5,$C$6,K$7),2)&gt;'[5]Khai báo'!$B$4,"","x")</f>
        <v>x</v>
      </c>
      <c r="L13" s="2222" t="str">
        <f>IF(WEEKDAY(DATE($C$5,$C$6,L$7),2)&gt;'[5]Khai báo'!$B$4,"","x")</f>
        <v>x</v>
      </c>
      <c r="M13" s="2222" t="str">
        <f>IF(WEEKDAY(DATE($C$5,$C$6,M$7),2)&gt;'[5]Khai báo'!$B$4,"","x")</f>
        <v>x</v>
      </c>
      <c r="N13" s="2222" t="s">
        <v>29</v>
      </c>
      <c r="O13" s="2222" t="str">
        <f>IF(WEEKDAY(DATE($C$5,$C$6,O$7),2)&gt;'[5]Khai báo'!$B$4,"","x")</f>
        <v>x</v>
      </c>
      <c r="P13" s="2222" t="str">
        <f>IF(WEEKDAY(DATE($C$5,$C$6,P$7),2)&gt;'[5]Khai báo'!$B$4,"","x")</f>
        <v>x</v>
      </c>
      <c r="Q13" s="2222" t="str">
        <f>IF(WEEKDAY(DATE($C$5,$C$6,Q$7),2)&gt;'[5]Khai báo'!$B$4,"","x")</f>
        <v>x</v>
      </c>
      <c r="R13" s="2222" t="s">
        <v>29</v>
      </c>
      <c r="S13" s="2223" t="str">
        <f>IF(WEEKDAY(DATE($C$5,$C$6,S$7),2)&gt;'[5]Khai báo'!$B$4,"","x")</f>
        <v>x</v>
      </c>
      <c r="T13" s="2222" t="str">
        <f>IF(WEEKDAY(DATE($C$5,$C$6,T$7),2)&gt;'[5]Khai báo'!$B$4,"","x")</f>
        <v>x</v>
      </c>
      <c r="U13" s="2222"/>
      <c r="V13" s="2222"/>
      <c r="W13" s="2222"/>
      <c r="X13" s="2222"/>
      <c r="Y13" s="2222"/>
      <c r="Z13" s="2222"/>
      <c r="AA13" s="2222"/>
      <c r="AB13" s="2222"/>
      <c r="AC13" s="2222"/>
      <c r="AD13" s="2222"/>
      <c r="AE13" s="2222"/>
      <c r="AF13" s="2222"/>
      <c r="AG13" s="2222"/>
      <c r="AH13" s="2227">
        <f t="shared" si="1"/>
        <v>14</v>
      </c>
    </row>
    <row r="14" spans="1:43" ht="20.25" customHeight="1">
      <c r="A14" s="2224">
        <v>6</v>
      </c>
      <c r="B14" s="2222"/>
      <c r="C14" s="2224" t="s">
        <v>789</v>
      </c>
      <c r="D14" s="2222"/>
      <c r="E14" s="2222"/>
      <c r="F14" s="2222"/>
      <c r="G14" s="2222" t="s">
        <v>29</v>
      </c>
      <c r="H14" s="2223" t="str">
        <f>IF(WEEKDAY(DATE($C$5,$C$6,H$7),2)&gt;'[5]Khai báo'!$B$4,"","x")</f>
        <v>x</v>
      </c>
      <c r="I14" s="2222" t="str">
        <f>IF(WEEKDAY(DATE($C$5,$C$6,I$7),2)&gt;'[5]Khai báo'!$B$4,"","x")</f>
        <v>x</v>
      </c>
      <c r="J14" s="2222" t="str">
        <f>IF(WEEKDAY(DATE($C$5,$C$6,J$7),2)&gt;'[5]Khai báo'!$B$4,"","x")</f>
        <v>x</v>
      </c>
      <c r="K14" s="2222" t="str">
        <f>IF(WEEKDAY(DATE($C$5,$C$6,K$7),2)&gt;'[5]Khai báo'!$B$4,"","x")</f>
        <v>x</v>
      </c>
      <c r="L14" s="2222" t="str">
        <f>IF(WEEKDAY(DATE($C$5,$C$6,L$7),2)&gt;'[5]Khai báo'!$B$4,"","x")</f>
        <v>x</v>
      </c>
      <c r="M14" s="2222" t="str">
        <f>IF(WEEKDAY(DATE($C$5,$C$6,M$7),2)&gt;'[5]Khai báo'!$B$4,"","x")</f>
        <v>x</v>
      </c>
      <c r="N14" s="2222" t="s">
        <v>29</v>
      </c>
      <c r="O14" s="2222" t="str">
        <f>IF(WEEKDAY(DATE($C$5,$C$6,O$7),2)&gt;'[5]Khai báo'!$B$4,"","x")</f>
        <v>x</v>
      </c>
      <c r="P14" s="2222" t="str">
        <f>IF(WEEKDAY(DATE($C$5,$C$6,P$7),2)&gt;'[5]Khai báo'!$B$4,"","x")</f>
        <v>x</v>
      </c>
      <c r="Q14" s="2222" t="str">
        <f>IF(WEEKDAY(DATE($C$5,$C$6,Q$7),2)&gt;'[5]Khai báo'!$B$4,"","x")</f>
        <v>x</v>
      </c>
      <c r="R14" s="2222" t="s">
        <v>29</v>
      </c>
      <c r="S14" s="2223" t="str">
        <f>IF(WEEKDAY(DATE($C$5,$C$6,S$7),2)&gt;'[5]Khai báo'!$B$4,"","x")</f>
        <v>x</v>
      </c>
      <c r="T14" s="2222" t="str">
        <f>IF(WEEKDAY(DATE($C$5,$C$6,T$7),2)&gt;'[5]Khai báo'!$B$4,"","x")</f>
        <v>x</v>
      </c>
      <c r="U14" s="2222"/>
      <c r="V14" s="2222"/>
      <c r="W14" s="2222"/>
      <c r="X14" s="2222"/>
      <c r="Y14" s="2222"/>
      <c r="Z14" s="2222"/>
      <c r="AA14" s="2222"/>
      <c r="AB14" s="2222"/>
      <c r="AC14" s="2222"/>
      <c r="AD14" s="2222"/>
      <c r="AE14" s="2222"/>
      <c r="AF14" s="2222"/>
      <c r="AG14" s="2222" t="e">
        <f>IF(#REF!="","",IF(WEEKDAY(DATE($C$5,$C$6,AG$7),2)&gt;'[5]Khai báo'!$B$4,"","x"))</f>
        <v>#REF!</v>
      </c>
      <c r="AH14" s="2227">
        <f t="shared" si="1"/>
        <v>14</v>
      </c>
    </row>
    <row r="15" spans="1:43" ht="20.25" customHeight="1">
      <c r="A15" s="2224">
        <v>7</v>
      </c>
      <c r="B15" s="2222"/>
      <c r="C15" s="2224" t="s">
        <v>1307</v>
      </c>
      <c r="D15" s="2222"/>
      <c r="E15" s="2222"/>
      <c r="F15" s="2222"/>
      <c r="G15" s="2222" t="s">
        <v>29</v>
      </c>
      <c r="H15" s="2223" t="str">
        <f>IF(WEEKDAY(DATE($C$5,$C$6,H$7),2)&gt;'[5]Khai báo'!$B$4,"","x")</f>
        <v>x</v>
      </c>
      <c r="I15" s="2222" t="str">
        <f>IF(WEEKDAY(DATE($C$5,$C$6,I$7),2)&gt;'[5]Khai báo'!$B$4,"","x")</f>
        <v>x</v>
      </c>
      <c r="J15" s="2222" t="str">
        <f>IF(WEEKDAY(DATE($C$5,$C$6,J$7),2)&gt;'[5]Khai báo'!$B$4,"","x")</f>
        <v>x</v>
      </c>
      <c r="K15" s="2222" t="str">
        <f>IF(WEEKDAY(DATE($C$5,$C$6,K$7),2)&gt;'[5]Khai báo'!$B$4,"","x")</f>
        <v>x</v>
      </c>
      <c r="L15" s="2222" t="str">
        <f>IF(WEEKDAY(DATE($C$5,$C$6,L$7),2)&gt;'[5]Khai báo'!$B$4,"","x")</f>
        <v>x</v>
      </c>
      <c r="M15" s="2222" t="str">
        <f>IF(WEEKDAY(DATE($C$5,$C$6,M$7),2)&gt;'[5]Khai báo'!$B$4,"","x")</f>
        <v>x</v>
      </c>
      <c r="N15" s="2222" t="s">
        <v>29</v>
      </c>
      <c r="O15" s="2222" t="str">
        <f>IF(WEEKDAY(DATE($C$5,$C$6,O$7),2)&gt;'[5]Khai báo'!$B$4,"","x")</f>
        <v>x</v>
      </c>
      <c r="P15" s="2222" t="str">
        <f>IF(WEEKDAY(DATE($C$5,$C$6,P$7),2)&gt;'[5]Khai báo'!$B$4,"","x")</f>
        <v>x</v>
      </c>
      <c r="Q15" s="2222" t="str">
        <f>IF(WEEKDAY(DATE($C$5,$C$6,Q$7),2)&gt;'[5]Khai báo'!$B$4,"","x")</f>
        <v>x</v>
      </c>
      <c r="R15" s="2222" t="s">
        <v>29</v>
      </c>
      <c r="S15" s="2223" t="str">
        <f>IF(WEEKDAY(DATE($C$5,$C$6,S$7),2)&gt;'[5]Khai báo'!$B$4,"","x")</f>
        <v>x</v>
      </c>
      <c r="T15" s="2222" t="str">
        <f>IF(WEEKDAY(DATE($C$5,$C$6,T$7),2)&gt;'[5]Khai báo'!$B$4,"","x")</f>
        <v>x</v>
      </c>
      <c r="U15" s="2222"/>
      <c r="V15" s="2222"/>
      <c r="W15" s="2222"/>
      <c r="X15" s="2222"/>
      <c r="Y15" s="2222"/>
      <c r="Z15" s="2223"/>
      <c r="AA15" s="2222"/>
      <c r="AB15" s="2222"/>
      <c r="AC15" s="2222"/>
      <c r="AD15" s="2222"/>
      <c r="AE15" s="2222"/>
      <c r="AF15" s="2222"/>
      <c r="AG15" s="2222"/>
      <c r="AH15" s="2227">
        <f t="shared" si="1"/>
        <v>14</v>
      </c>
    </row>
    <row r="16" spans="1:43" ht="20.25" customHeight="1">
      <c r="A16" s="2224">
        <v>8</v>
      </c>
      <c r="B16" s="2233"/>
      <c r="C16" s="2234" t="s">
        <v>1165</v>
      </c>
      <c r="D16" s="2233"/>
      <c r="E16" s="2233"/>
      <c r="F16" s="2233"/>
      <c r="G16" s="2222" t="s">
        <v>29</v>
      </c>
      <c r="H16" s="2223" t="str">
        <f>IF(WEEKDAY(DATE($C$5,$C$6,H$7),2)&gt;'[5]Khai báo'!$B$4,"","x")</f>
        <v>x</v>
      </c>
      <c r="I16" s="2222" t="str">
        <f>IF(WEEKDAY(DATE($C$5,$C$6,I$7),2)&gt;'[5]Khai báo'!$B$4,"","x")</f>
        <v>x</v>
      </c>
      <c r="J16" s="2222" t="str">
        <f>IF(WEEKDAY(DATE($C$5,$C$6,J$7),2)&gt;'[5]Khai báo'!$B$4,"","x")</f>
        <v>x</v>
      </c>
      <c r="K16" s="2222" t="str">
        <f>IF(WEEKDAY(DATE($C$5,$C$6,K$7),2)&gt;'[5]Khai báo'!$B$4,"","x")</f>
        <v>x</v>
      </c>
      <c r="L16" s="2222" t="str">
        <f>IF(WEEKDAY(DATE($C$5,$C$6,L$7),2)&gt;'[5]Khai báo'!$B$4,"","x")</f>
        <v>x</v>
      </c>
      <c r="M16" s="2222" t="str">
        <f>IF(WEEKDAY(DATE($C$5,$C$6,M$7),2)&gt;'[5]Khai báo'!$B$4,"","x")</f>
        <v>x</v>
      </c>
      <c r="N16" s="2222" t="s">
        <v>29</v>
      </c>
      <c r="O16" s="2222" t="str">
        <f>IF(WEEKDAY(DATE($C$5,$C$6,O$7),2)&gt;'[5]Khai báo'!$B$4,"","x")</f>
        <v>x</v>
      </c>
      <c r="P16" s="2222" t="str">
        <f>IF(WEEKDAY(DATE($C$5,$C$6,P$7),2)&gt;'[5]Khai báo'!$B$4,"","x")</f>
        <v>x</v>
      </c>
      <c r="Q16" s="2222" t="str">
        <f>IF(WEEKDAY(DATE($C$5,$C$6,Q$7),2)&gt;'[5]Khai báo'!$B$4,"","x")</f>
        <v>x</v>
      </c>
      <c r="R16" s="2222" t="s">
        <v>29</v>
      </c>
      <c r="S16" s="2223" t="str">
        <f>IF(WEEKDAY(DATE($C$5,$C$6,S$7),2)&gt;'[5]Khai báo'!$B$4,"","x")</f>
        <v>x</v>
      </c>
      <c r="T16" s="2222" t="str">
        <f>IF(WEEKDAY(DATE($C$5,$C$6,T$7),2)&gt;'[5]Khai báo'!$B$4,"","x")</f>
        <v>x</v>
      </c>
      <c r="U16" s="2233"/>
      <c r="V16" s="2233"/>
      <c r="W16" s="2233"/>
      <c r="X16" s="2233"/>
      <c r="Y16" s="2233"/>
      <c r="Z16" s="2233"/>
      <c r="AA16" s="2233"/>
      <c r="AB16" s="2233"/>
      <c r="AC16" s="2233"/>
      <c r="AD16" s="2233"/>
      <c r="AE16" s="2233"/>
      <c r="AF16" s="2233"/>
      <c r="AG16" s="2233" t="e">
        <f>IF(AG10="","",IF(WEEKDAY(DATE($C$5,$C$6,AG$7),2)&gt;'[5]Khai báo'!$B$4,"","x"))</f>
        <v>#REF!</v>
      </c>
      <c r="AH16" s="2235">
        <f t="shared" si="1"/>
        <v>14</v>
      </c>
    </row>
    <row r="17" spans="1:46">
      <c r="A17" s="4692" t="s">
        <v>1234</v>
      </c>
      <c r="B17" s="4692"/>
      <c r="C17" s="4692"/>
      <c r="D17" s="2228">
        <f t="shared" ref="D17:Q17" si="2">COUNTIF(D9:D16,"X")</f>
        <v>0</v>
      </c>
      <c r="E17" s="2228">
        <f t="shared" si="2"/>
        <v>0</v>
      </c>
      <c r="F17" s="2228">
        <f t="shared" si="2"/>
        <v>0</v>
      </c>
      <c r="G17" s="2228">
        <f t="shared" si="2"/>
        <v>8</v>
      </c>
      <c r="H17" s="2228">
        <f t="shared" si="2"/>
        <v>8</v>
      </c>
      <c r="I17" s="2228">
        <f t="shared" si="2"/>
        <v>8</v>
      </c>
      <c r="J17" s="2228">
        <f t="shared" si="2"/>
        <v>8</v>
      </c>
      <c r="K17" s="2228">
        <f t="shared" si="2"/>
        <v>8</v>
      </c>
      <c r="L17" s="2228">
        <f t="shared" si="2"/>
        <v>8</v>
      </c>
      <c r="M17" s="2228">
        <f t="shared" si="2"/>
        <v>8</v>
      </c>
      <c r="N17" s="2228">
        <f t="shared" si="2"/>
        <v>8</v>
      </c>
      <c r="O17" s="2228">
        <f t="shared" si="2"/>
        <v>8</v>
      </c>
      <c r="P17" s="2228">
        <f t="shared" si="2"/>
        <v>8</v>
      </c>
      <c r="Q17" s="2228">
        <f t="shared" si="2"/>
        <v>8</v>
      </c>
      <c r="R17" s="2228">
        <f>COUNTIF(R9:R16,"X")</f>
        <v>8</v>
      </c>
      <c r="S17" s="2228">
        <f>COUNTIF(S9:S16,"X")</f>
        <v>8</v>
      </c>
      <c r="T17" s="2228">
        <f>COUNTIF(T9:T16,"X")</f>
        <v>8</v>
      </c>
      <c r="U17" s="2268">
        <v>0</v>
      </c>
      <c r="V17" s="2268">
        <v>0</v>
      </c>
      <c r="W17" s="2268">
        <v>0</v>
      </c>
      <c r="X17" s="2268">
        <v>0</v>
      </c>
      <c r="Y17" s="2268">
        <v>0</v>
      </c>
      <c r="Z17" s="2268">
        <v>0</v>
      </c>
      <c r="AA17" s="2268">
        <v>0</v>
      </c>
      <c r="AB17" s="2268">
        <v>0</v>
      </c>
      <c r="AC17" s="2268">
        <v>0</v>
      </c>
      <c r="AD17" s="2268">
        <v>0</v>
      </c>
      <c r="AE17" s="2268">
        <f>COUNTIF(AE9:AE16,"X")</f>
        <v>0</v>
      </c>
      <c r="AF17" s="2228">
        <f>COUNTIF(AF9:AF16,"X")</f>
        <v>0</v>
      </c>
      <c r="AG17" s="2267"/>
      <c r="AH17" s="2228">
        <f>SUM(AH9:AH16)</f>
        <v>112</v>
      </c>
      <c r="AT17" s="2269">
        <f>+AH17*40000</f>
        <v>4480000</v>
      </c>
    </row>
    <row r="18" spans="1:46">
      <c r="Z18" s="4704" t="s">
        <v>1427</v>
      </c>
      <c r="AA18" s="4704"/>
      <c r="AB18" s="4704"/>
      <c r="AC18" s="4704"/>
      <c r="AD18" s="4704"/>
      <c r="AE18" s="4704"/>
      <c r="AF18" s="4704"/>
      <c r="AG18" s="4704"/>
      <c r="AH18" s="4704"/>
    </row>
    <row r="19" spans="1:46" ht="15" customHeight="1">
      <c r="A19" s="4228" t="s">
        <v>20</v>
      </c>
      <c r="B19" s="4228"/>
      <c r="C19" s="4228"/>
      <c r="D19" s="4228"/>
      <c r="E19" s="4228"/>
      <c r="F19" s="4228"/>
      <c r="G19" s="4228"/>
      <c r="H19" s="4228"/>
      <c r="I19" s="4228"/>
      <c r="J19" s="4228"/>
      <c r="K19" s="4228"/>
      <c r="L19" s="4228"/>
      <c r="N19" s="2229"/>
      <c r="O19" s="2229"/>
      <c r="P19" s="2229"/>
      <c r="Q19" s="2229"/>
      <c r="R19" s="2229"/>
      <c r="S19" s="2229"/>
      <c r="T19" s="2229"/>
      <c r="U19" s="2229"/>
      <c r="V19" s="2229"/>
      <c r="W19" s="2229"/>
      <c r="X19" s="2229"/>
      <c r="Y19" s="2229"/>
      <c r="Z19" s="4694" t="s">
        <v>1430</v>
      </c>
      <c r="AA19" s="4694"/>
      <c r="AB19" s="4694"/>
      <c r="AC19" s="4694"/>
      <c r="AD19" s="4694"/>
      <c r="AE19" s="4694"/>
      <c r="AF19" s="4694"/>
      <c r="AG19" s="4694"/>
      <c r="AH19" s="4694"/>
    </row>
    <row r="20" spans="1:46" ht="15" customHeight="1">
      <c r="B20" s="1039"/>
      <c r="AH20" s="1051"/>
    </row>
    <row r="21" spans="1:46" ht="15" customHeight="1">
      <c r="B21" s="1052"/>
    </row>
    <row r="22" spans="1:46" ht="15" customHeight="1">
      <c r="Z22" s="4233"/>
      <c r="AA22" s="4233"/>
      <c r="AB22" s="4233"/>
      <c r="AC22" s="4233"/>
      <c r="AD22" s="4233"/>
      <c r="AE22" s="4233"/>
      <c r="AF22" s="4233"/>
      <c r="AG22" s="4233"/>
      <c r="AH22" s="4233"/>
    </row>
    <row r="23" spans="1:46" ht="15" customHeight="1">
      <c r="B23" s="4228"/>
      <c r="C23" s="4228"/>
      <c r="AA23" s="4230"/>
      <c r="AB23" s="4230"/>
      <c r="AC23" s="4230"/>
      <c r="AD23" s="4230"/>
      <c r="AE23" s="4230"/>
      <c r="AF23" s="4230"/>
      <c r="AG23" s="4230"/>
      <c r="AH23" s="4230"/>
    </row>
    <row r="24" spans="1:46" s="1053" customFormat="1" ht="15" customHeight="1">
      <c r="H24" s="1054"/>
      <c r="K24" s="4228"/>
      <c r="L24" s="4228"/>
      <c r="M24" s="4228"/>
      <c r="N24" s="4228"/>
      <c r="O24" s="4228"/>
      <c r="P24" s="4228"/>
      <c r="Q24" s="4228"/>
      <c r="R24" s="4228"/>
      <c r="S24" s="4228"/>
      <c r="T24" s="4228"/>
      <c r="AC24" s="4228"/>
      <c r="AD24" s="4228"/>
      <c r="AE24" s="4228"/>
      <c r="AF24" s="4228"/>
      <c r="AG24" s="4228"/>
      <c r="AH24" s="4228"/>
    </row>
    <row r="25" spans="1:46" ht="15" customHeight="1">
      <c r="B25" s="4229"/>
      <c r="C25" s="4230"/>
      <c r="K25" s="4229"/>
      <c r="L25" s="4229"/>
      <c r="M25" s="4229"/>
      <c r="N25" s="4229"/>
      <c r="O25" s="4229"/>
      <c r="P25" s="4229"/>
      <c r="Q25" s="4229"/>
      <c r="R25" s="4229"/>
      <c r="S25" s="4229"/>
      <c r="T25" s="4229"/>
      <c r="AC25" s="4229"/>
      <c r="AD25" s="4229"/>
      <c r="AE25" s="4229"/>
      <c r="AF25" s="4229"/>
      <c r="AG25" s="4229"/>
      <c r="AH25" s="4229"/>
    </row>
  </sheetData>
  <mergeCells count="21">
    <mergeCell ref="K24:T24"/>
    <mergeCell ref="AC24:AH24"/>
    <mergeCell ref="B25:C25"/>
    <mergeCell ref="K25:T25"/>
    <mergeCell ref="AC25:AH25"/>
    <mergeCell ref="B23:C23"/>
    <mergeCell ref="AA23:AH23"/>
    <mergeCell ref="W1:AH1"/>
    <mergeCell ref="A2:F2"/>
    <mergeCell ref="W2:AH2"/>
    <mergeCell ref="D4:AG4"/>
    <mergeCell ref="D5:AG5"/>
    <mergeCell ref="A7:A8"/>
    <mergeCell ref="B7:B8"/>
    <mergeCell ref="C7:C8"/>
    <mergeCell ref="AH7:AH8"/>
    <mergeCell ref="A19:L19"/>
    <mergeCell ref="A17:C17"/>
    <mergeCell ref="Z18:AH18"/>
    <mergeCell ref="Z19:AH19"/>
    <mergeCell ref="Z22:AH22"/>
  </mergeCells>
  <conditionalFormatting sqref="AG7:AG17">
    <cfRule type="expression" dxfId="9" priority="1" stopIfTrue="1">
      <formula>WEEKDAY(DATE($C$5,$C$6,AG$7))=1</formula>
    </cfRule>
    <cfRule type="expression" dxfId="8" priority="2" stopIfTrue="1">
      <formula>WEEKDAY(DATE($C$5,$C$6,AG$7))=7</formula>
    </cfRule>
    <cfRule type="expression" dxfId="7" priority="3" stopIfTrue="1">
      <formula>AG$7&lt;&gt;""</formula>
    </cfRule>
  </conditionalFormatting>
  <conditionalFormatting sqref="AG8:AG17">
    <cfRule type="expression" dxfId="6" priority="4" stopIfTrue="1">
      <formula>WEEKDAY(DATE($C$5,$C$6,AG$7))=1</formula>
    </cfRule>
    <cfRule type="expression" dxfId="5" priority="5" stopIfTrue="1">
      <formula>WEEKDAY(DATE($C$5,$C$6,AG$7))=7</formula>
    </cfRule>
  </conditionalFormatting>
  <conditionalFormatting sqref="AK1:AQ2">
    <cfRule type="expression" dxfId="4" priority="6" stopIfTrue="1">
      <formula>$AS$1=""</formula>
    </cfRule>
  </conditionalFormatting>
  <pageMargins left="0.27" right="0.27" top="0.75" bottom="0.75" header="0.3" footer="0.3"/>
  <pageSetup paperSize="9" scale="75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O21" sqref="O21:P21"/>
    </sheetView>
  </sheetViews>
  <sheetFormatPr defaultRowHeight="12.75"/>
  <cols>
    <col min="1" max="1" width="5.140625" customWidth="1"/>
    <col min="2" max="2" width="18.140625" customWidth="1"/>
    <col min="3" max="3" width="12.5703125" customWidth="1"/>
    <col min="4" max="4" width="6.140625" customWidth="1"/>
    <col min="5" max="5" width="20" customWidth="1"/>
    <col min="6" max="6" width="1.5703125" hidden="1" customWidth="1"/>
    <col min="7" max="7" width="10" hidden="1" customWidth="1"/>
    <col min="8" max="8" width="11" customWidth="1"/>
    <col min="9" max="9" width="12.5703125" hidden="1" customWidth="1"/>
    <col min="10" max="10" width="12.28515625" customWidth="1"/>
    <col min="11" max="11" width="12.5703125" customWidth="1"/>
    <col min="12" max="12" width="12.140625" customWidth="1"/>
    <col min="13" max="13" width="11.85546875" customWidth="1"/>
    <col min="14" max="14" width="9.5703125" customWidth="1"/>
    <col min="15" max="15" width="13.85546875" customWidth="1"/>
    <col min="16" max="16" width="13.140625" customWidth="1"/>
  </cols>
  <sheetData>
    <row r="1" spans="1:16" ht="16.5">
      <c r="A1" s="3920" t="s">
        <v>23</v>
      </c>
      <c r="B1" s="3920"/>
      <c r="C1" s="3920"/>
      <c r="D1" s="3920"/>
      <c r="E1" s="3920"/>
      <c r="F1" s="3920"/>
      <c r="G1" s="3920"/>
      <c r="H1" s="3920"/>
      <c r="I1" s="3920"/>
      <c r="J1" s="3920"/>
      <c r="K1" s="3920"/>
      <c r="L1" s="3920"/>
      <c r="M1" s="3920"/>
      <c r="N1" s="3920"/>
      <c r="O1" s="3920"/>
      <c r="P1" s="3920"/>
    </row>
    <row r="2" spans="1:16" ht="16.5">
      <c r="A2" s="3920" t="s">
        <v>45</v>
      </c>
      <c r="B2" s="3920"/>
      <c r="C2" s="3920"/>
      <c r="D2" s="3920"/>
      <c r="E2" s="3920"/>
      <c r="F2" s="3920"/>
      <c r="G2" s="3920"/>
      <c r="H2" s="3920"/>
      <c r="I2" s="3920"/>
      <c r="J2" s="3920"/>
      <c r="K2" s="3920"/>
      <c r="L2" s="3920"/>
      <c r="M2" s="3920"/>
      <c r="N2" s="3920"/>
      <c r="O2" s="3920"/>
      <c r="P2" s="3920"/>
    </row>
    <row r="3" spans="1:16" ht="25.5" customHeight="1">
      <c r="A3" s="4016" t="s">
        <v>929</v>
      </c>
      <c r="B3" s="4016"/>
      <c r="C3" s="4016"/>
      <c r="D3" s="4016"/>
      <c r="E3" s="4016"/>
      <c r="F3" s="4016"/>
      <c r="G3" s="4016"/>
      <c r="H3" s="2023"/>
      <c r="I3" s="2023"/>
      <c r="J3" s="2023"/>
      <c r="K3" s="2023"/>
      <c r="L3" s="2023"/>
      <c r="M3" s="2023"/>
      <c r="N3" s="2023"/>
      <c r="O3" s="983"/>
      <c r="P3" s="983"/>
    </row>
    <row r="4" spans="1:16" ht="16.5">
      <c r="A4" s="3920" t="s">
        <v>90</v>
      </c>
      <c r="B4" s="3920"/>
      <c r="C4" s="3920"/>
      <c r="D4" s="3920"/>
      <c r="E4" s="3920"/>
      <c r="F4" s="3920"/>
      <c r="G4" s="3920"/>
      <c r="H4" s="2018"/>
      <c r="I4" s="2018"/>
      <c r="J4" s="2018"/>
      <c r="K4" s="2018"/>
      <c r="L4" s="2018"/>
      <c r="M4" s="2018"/>
      <c r="N4" s="2018"/>
      <c r="O4" s="983"/>
      <c r="P4" s="983"/>
    </row>
    <row r="5" spans="1:16" ht="16.5">
      <c r="A5" s="979"/>
      <c r="B5" s="979"/>
      <c r="C5" s="979"/>
      <c r="D5" s="979"/>
      <c r="E5" s="979"/>
      <c r="F5" s="979"/>
      <c r="G5" s="979"/>
      <c r="H5" s="979"/>
      <c r="I5" s="979"/>
      <c r="J5" s="979"/>
      <c r="K5" s="979"/>
      <c r="L5" s="979"/>
      <c r="M5" s="979"/>
      <c r="N5" s="979"/>
      <c r="O5" s="983"/>
      <c r="P5" s="983"/>
    </row>
    <row r="6" spans="1:16" ht="20.25">
      <c r="A6" s="4258" t="s">
        <v>1391</v>
      </c>
      <c r="B6" s="4258"/>
      <c r="C6" s="4258"/>
      <c r="D6" s="4258"/>
      <c r="E6" s="4258"/>
      <c r="F6" s="4258"/>
      <c r="G6" s="4258"/>
      <c r="H6" s="4258"/>
      <c r="I6" s="4258"/>
      <c r="J6" s="4258"/>
      <c r="K6" s="4258"/>
      <c r="L6" s="4258"/>
      <c r="M6" s="4258"/>
      <c r="N6" s="4258"/>
      <c r="O6" s="4258"/>
      <c r="P6" s="4258"/>
    </row>
    <row r="7" spans="1:16" ht="18.75">
      <c r="A7" s="2025"/>
      <c r="B7" s="991" t="s">
        <v>930</v>
      </c>
      <c r="C7" s="1473">
        <v>20599</v>
      </c>
      <c r="D7" s="1473"/>
      <c r="E7" s="2025"/>
      <c r="F7" s="2025"/>
      <c r="G7" s="2025"/>
      <c r="H7" s="2025"/>
      <c r="I7" s="2025"/>
      <c r="J7" s="2025"/>
      <c r="K7" s="2025"/>
      <c r="L7" s="2025"/>
      <c r="M7" s="2025"/>
      <c r="N7" s="2025"/>
      <c r="O7" s="2026"/>
      <c r="P7" s="2026"/>
    </row>
    <row r="8" spans="1:16" ht="18.75">
      <c r="A8" s="2025"/>
      <c r="B8" s="991" t="s">
        <v>931</v>
      </c>
      <c r="C8" s="1474">
        <v>0.98909999999999998</v>
      </c>
      <c r="D8" s="1474"/>
      <c r="E8" s="2025"/>
      <c r="F8" s="2025"/>
      <c r="G8" s="2025"/>
      <c r="H8" s="2025"/>
      <c r="I8" s="2025"/>
      <c r="J8" s="2025"/>
      <c r="K8" s="2025"/>
      <c r="L8" s="2025"/>
      <c r="M8" s="2025"/>
      <c r="N8" s="2025"/>
      <c r="O8" s="2027"/>
      <c r="P8" s="2026"/>
    </row>
    <row r="9" spans="1:16" ht="15.75">
      <c r="A9" s="4716" t="s">
        <v>932</v>
      </c>
      <c r="B9" s="4716" t="s">
        <v>1</v>
      </c>
      <c r="C9" s="4716" t="s">
        <v>46</v>
      </c>
      <c r="D9" s="4717" t="s">
        <v>13</v>
      </c>
      <c r="E9" s="4710" t="s">
        <v>56</v>
      </c>
      <c r="F9" s="4711"/>
      <c r="G9" s="4712"/>
      <c r="H9" s="4705" t="s">
        <v>1380</v>
      </c>
      <c r="I9" s="4706"/>
      <c r="J9" s="4706"/>
      <c r="K9" s="4706"/>
      <c r="L9" s="4706"/>
      <c r="M9" s="4706"/>
      <c r="N9" s="2028"/>
      <c r="O9" s="4707" t="s">
        <v>61</v>
      </c>
      <c r="P9" s="4708" t="s">
        <v>92</v>
      </c>
    </row>
    <row r="10" spans="1:16" ht="31.5" customHeight="1">
      <c r="A10" s="4716"/>
      <c r="B10" s="4716"/>
      <c r="C10" s="4716"/>
      <c r="D10" s="4718"/>
      <c r="E10" s="4713"/>
      <c r="F10" s="4714"/>
      <c r="G10" s="4715"/>
      <c r="H10" s="2029" t="s">
        <v>1094</v>
      </c>
      <c r="I10" s="2029"/>
      <c r="J10" s="2029" t="s">
        <v>1381</v>
      </c>
      <c r="K10" s="2029" t="s">
        <v>1382</v>
      </c>
      <c r="L10" s="2030" t="s">
        <v>1101</v>
      </c>
      <c r="M10" s="2030" t="s">
        <v>1110</v>
      </c>
      <c r="N10" s="2030" t="s">
        <v>1126</v>
      </c>
      <c r="O10" s="4707"/>
      <c r="P10" s="4709"/>
    </row>
    <row r="11" spans="1:16" ht="15.75">
      <c r="A11" s="2015" t="s">
        <v>140</v>
      </c>
      <c r="B11" s="972" t="s">
        <v>1383</v>
      </c>
      <c r="C11" s="972"/>
      <c r="D11" s="972"/>
      <c r="E11" s="1253">
        <f>SUM(E12:F15)</f>
        <v>1760</v>
      </c>
      <c r="F11" s="1254">
        <f>SUM(F12:G15)</f>
        <v>1760</v>
      </c>
      <c r="G11" s="1253">
        <f>SUM(G12:H15)</f>
        <v>2030</v>
      </c>
      <c r="H11" s="1253">
        <f>SUM(H12:I15)</f>
        <v>270</v>
      </c>
      <c r="I11" s="1254">
        <f t="shared" ref="I11:O11" si="0">SUM(I12:I15)</f>
        <v>0</v>
      </c>
      <c r="J11" s="1254">
        <f t="shared" si="0"/>
        <v>553.79400803799786</v>
      </c>
      <c r="K11" s="1254">
        <f t="shared" si="0"/>
        <v>182.92151885933828</v>
      </c>
      <c r="L11" s="1254">
        <f t="shared" si="0"/>
        <v>221.25078613574533</v>
      </c>
      <c r="M11" s="1254">
        <f t="shared" si="0"/>
        <v>880</v>
      </c>
      <c r="N11" s="1254">
        <f t="shared" si="0"/>
        <v>880</v>
      </c>
      <c r="O11" s="1254">
        <f t="shared" si="0"/>
        <v>2987.9663130330814</v>
      </c>
      <c r="P11" s="966"/>
    </row>
    <row r="12" spans="1:16" ht="15.75">
      <c r="A12" s="1436">
        <v>1</v>
      </c>
      <c r="B12" s="1439" t="s">
        <v>36</v>
      </c>
      <c r="C12" s="1439" t="s">
        <v>1160</v>
      </c>
      <c r="D12" s="1439" t="s">
        <v>17</v>
      </c>
      <c r="E12" s="1464">
        <v>450</v>
      </c>
      <c r="F12" s="1356"/>
      <c r="G12" s="2047">
        <f>+E12-F12</f>
        <v>450</v>
      </c>
      <c r="H12" s="1268">
        <v>90</v>
      </c>
      <c r="I12" s="1269"/>
      <c r="J12" s="1268">
        <f>450-225</f>
        <v>225</v>
      </c>
      <c r="K12" s="2031">
        <f>+E12-'[24]LƯƠNG USD NGƯỜI VIỆT'!$H$29</f>
        <v>27.896440489432564</v>
      </c>
      <c r="L12" s="1773">
        <v>0</v>
      </c>
      <c r="M12" s="1270">
        <f>450-'[25]LƯƠNG USD NGƯỜI VIỆT'!$G$28</f>
        <v>225</v>
      </c>
      <c r="N12" s="1270">
        <f>450-'[25]LƯƠNG USD NGƯỜI VIỆT'!$G$28</f>
        <v>225</v>
      </c>
      <c r="O12" s="2031">
        <f>+SUM(H12:N12)</f>
        <v>792.89644048943251</v>
      </c>
      <c r="P12" s="1437"/>
    </row>
    <row r="13" spans="1:16" ht="15.75">
      <c r="A13" s="1304">
        <v>2</v>
      </c>
      <c r="B13" s="1305" t="s">
        <v>536</v>
      </c>
      <c r="C13" s="1305" t="s">
        <v>1160</v>
      </c>
      <c r="D13" s="1305" t="s">
        <v>17</v>
      </c>
      <c r="E13" s="1306">
        <v>450</v>
      </c>
      <c r="F13" s="1282"/>
      <c r="G13" s="2048">
        <f>+E13-F13</f>
        <v>450</v>
      </c>
      <c r="H13" s="1290">
        <v>90</v>
      </c>
      <c r="I13" s="1291"/>
      <c r="J13" s="1290">
        <f>450-225</f>
        <v>225</v>
      </c>
      <c r="K13" s="2032">
        <f>+E13-'[24]LƯƠNG USD NGƯỜI VIỆT'!$H$30</f>
        <v>155.02507836990571</v>
      </c>
      <c r="L13" s="1295">
        <f>+E13-'[26]BẢNG KÊ LƯƠNG'!$I$26</f>
        <v>162.0378829099389</v>
      </c>
      <c r="M13" s="1282">
        <f>450-'[25]LƯƠNG USD NGƯỜI VIỆT'!$G$28</f>
        <v>225</v>
      </c>
      <c r="N13" s="1282">
        <f>450-'[25]LƯƠNG USD NGƯỜI VIỆT'!$G$28</f>
        <v>225</v>
      </c>
      <c r="O13" s="2032">
        <f>+SUM(H13:N13)</f>
        <v>1082.0629612798446</v>
      </c>
      <c r="P13" s="1287"/>
    </row>
    <row r="14" spans="1:16" ht="15.75">
      <c r="A14" s="1304">
        <v>3</v>
      </c>
      <c r="B14" s="2033" t="s">
        <v>789</v>
      </c>
      <c r="C14" s="1305" t="s">
        <v>704</v>
      </c>
      <c r="D14" s="1305" t="s">
        <v>17</v>
      </c>
      <c r="E14" s="1306">
        <v>450</v>
      </c>
      <c r="F14" s="1282"/>
      <c r="G14" s="2048">
        <f>+E14-F14</f>
        <v>450</v>
      </c>
      <c r="H14" s="1290">
        <v>90</v>
      </c>
      <c r="I14" s="1291"/>
      <c r="J14" s="2032">
        <f>450-'[27]BẢNG KÊ LƯƠNG'!$G$28</f>
        <v>103.79400803799786</v>
      </c>
      <c r="K14" s="2032">
        <v>0</v>
      </c>
      <c r="L14" s="1295">
        <f>+E14-'[26]BẢNG KÊ LƯƠNG'!$I$27</f>
        <v>30.574193548387086</v>
      </c>
      <c r="M14" s="1282">
        <f>450-'[25]LƯƠNG USD NGƯỜI VIỆT'!$G$28</f>
        <v>225</v>
      </c>
      <c r="N14" s="1282">
        <f>450-'[25]LƯƠNG USD NGƯỜI VIỆT'!$G$28</f>
        <v>225</v>
      </c>
      <c r="O14" s="2032">
        <f>+SUM(H14:N14)</f>
        <v>674.36820158638488</v>
      </c>
      <c r="P14" s="1287"/>
    </row>
    <row r="15" spans="1:16" ht="15.75">
      <c r="A15" s="2034">
        <v>4</v>
      </c>
      <c r="B15" s="2035" t="s">
        <v>1307</v>
      </c>
      <c r="C15" s="2036" t="s">
        <v>832</v>
      </c>
      <c r="D15" s="1531" t="s">
        <v>17</v>
      </c>
      <c r="E15" s="1300">
        <v>410</v>
      </c>
      <c r="F15" s="2037"/>
      <c r="G15" s="2038">
        <f>+E15-F15</f>
        <v>410</v>
      </c>
      <c r="H15" s="2039">
        <v>0</v>
      </c>
      <c r="I15" s="2038"/>
      <c r="J15" s="2040">
        <v>0</v>
      </c>
      <c r="K15" s="2038">
        <v>0</v>
      </c>
      <c r="L15" s="1760">
        <f>+E15-'[26]BẢNG KÊ LƯƠNG'!$I$28</f>
        <v>28.638709677419342</v>
      </c>
      <c r="M15" s="1539">
        <v>205</v>
      </c>
      <c r="N15" s="1539">
        <v>205</v>
      </c>
      <c r="O15" s="2077">
        <f>+SUM(H15:N15)</f>
        <v>438.63870967741934</v>
      </c>
      <c r="P15" s="1303"/>
    </row>
    <row r="16" spans="1:16" ht="15.75">
      <c r="A16" s="2041" t="s">
        <v>143</v>
      </c>
      <c r="B16" s="2042" t="s">
        <v>1384</v>
      </c>
      <c r="C16" s="2043"/>
      <c r="D16" s="2044"/>
      <c r="E16" s="2065">
        <f>+E17+E18</f>
        <v>7000000</v>
      </c>
      <c r="F16" s="2065">
        <f t="shared" ref="F16:O16" si="1">+F17+F18</f>
        <v>0</v>
      </c>
      <c r="G16" s="2065">
        <f t="shared" si="1"/>
        <v>0</v>
      </c>
      <c r="H16" s="2065">
        <f t="shared" si="1"/>
        <v>0</v>
      </c>
      <c r="I16" s="2065">
        <f t="shared" si="1"/>
        <v>0</v>
      </c>
      <c r="J16" s="2100">
        <f t="shared" si="1"/>
        <v>2775355</v>
      </c>
      <c r="K16" s="2100">
        <f t="shared" si="1"/>
        <v>239309.23248053249</v>
      </c>
      <c r="L16" s="2100">
        <f t="shared" si="1"/>
        <v>257355</v>
      </c>
      <c r="M16" s="2101">
        <f t="shared" si="1"/>
        <v>3500000</v>
      </c>
      <c r="N16" s="2101">
        <f t="shared" si="1"/>
        <v>3500000</v>
      </c>
      <c r="O16" s="2101">
        <f t="shared" si="1"/>
        <v>10272019.232480533</v>
      </c>
      <c r="P16" s="2045"/>
    </row>
    <row r="17" spans="1:17" ht="15.75">
      <c r="A17" s="2049">
        <v>1</v>
      </c>
      <c r="B17" s="2050" t="s">
        <v>327</v>
      </c>
      <c r="C17" s="2051" t="s">
        <v>832</v>
      </c>
      <c r="D17" s="2051" t="s">
        <v>1385</v>
      </c>
      <c r="E17" s="2052">
        <v>3500000</v>
      </c>
      <c r="F17" s="2053"/>
      <c r="G17" s="2054"/>
      <c r="H17" s="2055">
        <v>0</v>
      </c>
      <c r="I17" s="2054"/>
      <c r="J17" s="2054">
        <v>1025355</v>
      </c>
      <c r="K17" s="2054"/>
      <c r="L17" s="2052">
        <v>257355</v>
      </c>
      <c r="M17" s="2056">
        <v>1750000</v>
      </c>
      <c r="N17" s="2056">
        <v>1750000</v>
      </c>
      <c r="O17" s="2054">
        <f>+SUM(H17:N17)</f>
        <v>4782710</v>
      </c>
      <c r="P17" s="2046"/>
    </row>
    <row r="18" spans="1:17" ht="15.75">
      <c r="A18" s="2057">
        <v>2</v>
      </c>
      <c r="B18" s="2058" t="s">
        <v>437</v>
      </c>
      <c r="C18" s="2059" t="s">
        <v>832</v>
      </c>
      <c r="D18" s="2059" t="s">
        <v>1385</v>
      </c>
      <c r="E18" s="2060">
        <v>3500000</v>
      </c>
      <c r="F18" s="2061"/>
      <c r="G18" s="2062"/>
      <c r="H18" s="2063">
        <v>0</v>
      </c>
      <c r="I18" s="2062"/>
      <c r="J18" s="2062">
        <v>1750000</v>
      </c>
      <c r="K18" s="2062">
        <f>3500000-'[24]Tong luong NT'!$M$170</f>
        <v>239309.23248053249</v>
      </c>
      <c r="L18" s="1809">
        <v>0</v>
      </c>
      <c r="M18" s="2064">
        <v>1750000</v>
      </c>
      <c r="N18" s="2064">
        <v>1750000</v>
      </c>
      <c r="O18" s="2062">
        <f>+SUM(H18:N18)</f>
        <v>5489309.2324805325</v>
      </c>
      <c r="P18" s="1303"/>
    </row>
    <row r="19" spans="1:17" ht="15.75">
      <c r="A19" s="2069"/>
      <c r="B19" s="2070"/>
      <c r="C19" s="4719" t="s">
        <v>1389</v>
      </c>
      <c r="D19" s="4719"/>
      <c r="E19" s="4719"/>
      <c r="F19" s="4719"/>
      <c r="G19" s="4719"/>
      <c r="H19" s="4719"/>
      <c r="I19" s="4719"/>
      <c r="J19" s="4719"/>
      <c r="K19" s="4719"/>
      <c r="L19" s="4719"/>
      <c r="M19" s="2072"/>
      <c r="N19" s="2072"/>
      <c r="O19" s="2071"/>
      <c r="P19" s="2073"/>
    </row>
    <row r="20" spans="1:17" ht="15.75">
      <c r="A20" s="953"/>
      <c r="B20" s="953"/>
      <c r="C20" s="4720" t="s">
        <v>1390</v>
      </c>
      <c r="D20" s="4720"/>
      <c r="E20" s="4720"/>
      <c r="F20" s="4720"/>
      <c r="G20" s="4720"/>
      <c r="H20" s="4720"/>
      <c r="I20" s="4720"/>
      <c r="J20" s="4720"/>
      <c r="K20" s="4720"/>
      <c r="L20" s="4720"/>
      <c r="M20" s="4721" t="s">
        <v>1386</v>
      </c>
      <c r="N20" s="4721"/>
      <c r="O20" s="4721"/>
      <c r="P20" s="4721"/>
    </row>
    <row r="21" spans="1:17" ht="16.5">
      <c r="A21" s="3920" t="s">
        <v>84</v>
      </c>
      <c r="B21" s="3920"/>
      <c r="C21" s="3920"/>
      <c r="D21" s="4722" t="s">
        <v>961</v>
      </c>
      <c r="E21" s="4722"/>
      <c r="F21" s="984"/>
      <c r="G21" s="984"/>
      <c r="H21" s="3920" t="s">
        <v>117</v>
      </c>
      <c r="I21" s="3920"/>
      <c r="J21" s="3920"/>
      <c r="K21" s="3920"/>
      <c r="L21" s="984" t="s">
        <v>20</v>
      </c>
      <c r="M21" s="2014"/>
      <c r="N21" s="2018"/>
      <c r="O21" s="984" t="s">
        <v>956</v>
      </c>
      <c r="P21" s="984"/>
      <c r="Q21" s="985"/>
    </row>
    <row r="22" spans="1:17" ht="16.5">
      <c r="A22" s="979"/>
      <c r="B22" s="979"/>
      <c r="C22" s="979"/>
      <c r="D22" s="979"/>
      <c r="E22" s="979"/>
      <c r="F22" s="979"/>
      <c r="G22" s="979"/>
      <c r="H22" s="979"/>
      <c r="I22" s="979"/>
      <c r="J22" s="979"/>
      <c r="K22" s="979"/>
      <c r="L22" s="979"/>
      <c r="M22" s="979"/>
      <c r="N22" s="979"/>
      <c r="O22" s="980"/>
      <c r="P22" s="979"/>
    </row>
    <row r="23" spans="1:17" ht="16.5">
      <c r="A23" s="979"/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83"/>
      <c r="P23" s="2016"/>
    </row>
    <row r="24" spans="1:17" ht="16.5">
      <c r="A24" s="985"/>
      <c r="B24" s="985"/>
      <c r="C24" s="985"/>
      <c r="D24" s="985"/>
      <c r="E24" s="985"/>
      <c r="F24" s="985"/>
      <c r="G24" s="985"/>
      <c r="H24" s="985"/>
      <c r="I24" s="985"/>
      <c r="J24" s="985"/>
      <c r="K24" s="985"/>
      <c r="L24" s="985"/>
      <c r="M24" s="985"/>
      <c r="N24" s="985"/>
      <c r="O24" s="987"/>
      <c r="P24" s="2014"/>
    </row>
    <row r="25" spans="1:17" ht="16.5">
      <c r="A25" s="979"/>
      <c r="B25" s="979"/>
      <c r="C25" s="979"/>
      <c r="D25" s="979"/>
      <c r="E25" s="979"/>
      <c r="F25" s="979"/>
      <c r="G25" s="979"/>
      <c r="H25" s="979"/>
      <c r="I25" s="979"/>
      <c r="J25" s="979"/>
      <c r="K25" s="979"/>
      <c r="L25" s="979"/>
      <c r="M25" s="979"/>
      <c r="N25" s="979"/>
      <c r="O25" s="983"/>
      <c r="P25" s="983"/>
    </row>
    <row r="26" spans="1:17" ht="16.5">
      <c r="A26" s="979"/>
      <c r="B26" s="979"/>
      <c r="C26" s="979"/>
      <c r="D26" s="979"/>
      <c r="E26" s="979"/>
      <c r="F26" s="979"/>
      <c r="G26" s="979"/>
      <c r="H26" s="979"/>
      <c r="I26" s="979"/>
      <c r="J26" s="979"/>
      <c r="K26" s="979"/>
      <c r="L26" s="979"/>
      <c r="M26" s="979"/>
      <c r="N26" s="979"/>
      <c r="O26" s="983"/>
      <c r="P26" s="983"/>
    </row>
  </sheetData>
  <mergeCells count="19">
    <mergeCell ref="H9:M9"/>
    <mergeCell ref="O9:O10"/>
    <mergeCell ref="P9:P10"/>
    <mergeCell ref="E9:G10"/>
    <mergeCell ref="A21:C21"/>
    <mergeCell ref="A9:A10"/>
    <mergeCell ref="B9:B10"/>
    <mergeCell ref="C9:C10"/>
    <mergeCell ref="D9:D10"/>
    <mergeCell ref="C19:L19"/>
    <mergeCell ref="C20:L20"/>
    <mergeCell ref="M20:P20"/>
    <mergeCell ref="D21:E21"/>
    <mergeCell ref="H21:K21"/>
    <mergeCell ref="A1:P1"/>
    <mergeCell ref="A2:P2"/>
    <mergeCell ref="A3:G3"/>
    <mergeCell ref="A4:G4"/>
    <mergeCell ref="A6:P6"/>
  </mergeCells>
  <pageMargins left="0.31496062992125984" right="0.27559055118110237" top="0.74803149606299213" bottom="0.74803149606299213" header="0.31496062992125984" footer="0.31496062992125984"/>
  <pageSetup scale="85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192"/>
  <sheetViews>
    <sheetView topLeftCell="A24" zoomScale="70" zoomScaleNormal="70" workbookViewId="0">
      <selection activeCell="A12" sqref="A12:XFD169"/>
    </sheetView>
  </sheetViews>
  <sheetFormatPr defaultColWidth="9.140625" defaultRowHeight="16.5"/>
  <cols>
    <col min="1" max="1" width="5.7109375" style="2951" customWidth="1"/>
    <col min="2" max="2" width="3.7109375" style="2951" customWidth="1"/>
    <col min="3" max="3" width="27.28515625" style="2951" customWidth="1"/>
    <col min="4" max="4" width="7.85546875" style="2951" hidden="1" customWidth="1"/>
    <col min="5" max="5" width="7.42578125" style="2951" customWidth="1"/>
    <col min="6" max="34" width="6.7109375" style="2951" customWidth="1"/>
    <col min="35" max="35" width="8.5703125" style="2951" customWidth="1"/>
    <col min="36" max="36" width="9.5703125" style="2951" customWidth="1"/>
    <col min="37" max="39" width="11.42578125" style="2951" customWidth="1"/>
    <col min="40" max="40" width="12.85546875" style="2951" customWidth="1"/>
    <col min="41" max="41" width="11.140625" style="2951" hidden="1" customWidth="1"/>
    <col min="42" max="42" width="0" style="2951" hidden="1" customWidth="1"/>
    <col min="43" max="43" width="11.140625" style="2951" hidden="1" customWidth="1"/>
    <col min="44" max="44" width="11.28515625" style="2951" hidden="1" customWidth="1"/>
    <col min="45" max="45" width="11.140625" style="2951" hidden="1" customWidth="1"/>
    <col min="46" max="46" width="0" style="2951" hidden="1" customWidth="1"/>
    <col min="47" max="47" width="1.7109375" style="2951" customWidth="1"/>
    <col min="48" max="48" width="9.140625" style="2951"/>
    <col min="49" max="49" width="10.7109375" style="2951" bestFit="1" customWidth="1"/>
    <col min="50" max="16384" width="9.140625" style="2951"/>
  </cols>
  <sheetData>
    <row r="1" spans="1:53" s="2944" customFormat="1" ht="28.5" customHeight="1">
      <c r="A1" s="4088" t="s">
        <v>23</v>
      </c>
      <c r="B1" s="4088"/>
      <c r="C1" s="4088"/>
      <c r="D1" s="4088"/>
      <c r="E1" s="4088"/>
      <c r="F1" s="4088"/>
      <c r="G1" s="4088"/>
      <c r="H1" s="4088"/>
      <c r="I1" s="4088"/>
      <c r="J1" s="4088"/>
      <c r="K1" s="4088"/>
      <c r="L1" s="4088"/>
      <c r="M1" s="4088"/>
      <c r="N1" s="4088"/>
      <c r="O1" s="4088"/>
      <c r="P1" s="4088"/>
      <c r="Q1" s="4088"/>
      <c r="R1" s="4088"/>
      <c r="S1" s="4088"/>
      <c r="T1" s="4088"/>
      <c r="U1" s="4088"/>
      <c r="V1" s="4088"/>
      <c r="W1" s="4088"/>
      <c r="X1" s="4088"/>
      <c r="Y1" s="4088"/>
      <c r="Z1" s="4088"/>
      <c r="AA1" s="4088"/>
      <c r="AB1" s="4088"/>
      <c r="AC1" s="4088"/>
      <c r="AD1" s="4088"/>
      <c r="AE1" s="4088"/>
      <c r="AF1" s="4088"/>
      <c r="AG1" s="4088"/>
      <c r="AH1" s="4088"/>
      <c r="AI1" s="4088"/>
      <c r="AJ1" s="4088"/>
      <c r="AK1" s="4088"/>
      <c r="AL1" s="4088"/>
      <c r="AM1" s="4088"/>
      <c r="AN1" s="4088"/>
    </row>
    <row r="2" spans="1:53" s="2944" customFormat="1" ht="25.5" customHeight="1">
      <c r="A2" s="4088" t="s">
        <v>45</v>
      </c>
      <c r="B2" s="4088"/>
      <c r="C2" s="4088"/>
      <c r="D2" s="4088"/>
      <c r="E2" s="4088"/>
      <c r="F2" s="4088"/>
      <c r="G2" s="4088"/>
      <c r="H2" s="4088"/>
      <c r="I2" s="4088"/>
      <c r="J2" s="4088"/>
      <c r="K2" s="4088"/>
      <c r="L2" s="4088"/>
      <c r="M2" s="4088"/>
      <c r="N2" s="4088"/>
      <c r="O2" s="4088"/>
      <c r="P2" s="4088"/>
      <c r="Q2" s="4088"/>
      <c r="R2" s="4088"/>
      <c r="S2" s="4088"/>
      <c r="T2" s="4088"/>
      <c r="U2" s="4088"/>
      <c r="V2" s="4088"/>
      <c r="W2" s="4088"/>
      <c r="X2" s="4088"/>
      <c r="Y2" s="4088"/>
      <c r="Z2" s="4088"/>
      <c r="AA2" s="4088"/>
      <c r="AB2" s="4088"/>
      <c r="AC2" s="4088"/>
      <c r="AD2" s="4088"/>
      <c r="AE2" s="4088"/>
      <c r="AF2" s="4088"/>
      <c r="AG2" s="4088"/>
      <c r="AH2" s="4088"/>
      <c r="AI2" s="4088"/>
      <c r="AJ2" s="4088"/>
      <c r="AK2" s="4088"/>
      <c r="AL2" s="4088"/>
      <c r="AM2" s="4088"/>
      <c r="AN2" s="4088"/>
    </row>
    <row r="3" spans="1:53" s="2944" customFormat="1" ht="18.75">
      <c r="A3" s="4724" t="s">
        <v>1580</v>
      </c>
      <c r="B3" s="4724"/>
      <c r="C3" s="4724"/>
      <c r="D3" s="4724"/>
      <c r="E3" s="4724"/>
      <c r="F3" s="4724"/>
      <c r="G3" s="4724"/>
      <c r="H3" s="4724"/>
      <c r="I3" s="4724"/>
      <c r="J3" s="4724"/>
      <c r="K3" s="4724"/>
      <c r="L3" s="4724"/>
      <c r="M3" s="4724"/>
      <c r="N3" s="4724"/>
      <c r="O3" s="4724"/>
      <c r="P3" s="4724"/>
      <c r="Q3" s="4724"/>
      <c r="R3" s="4724"/>
      <c r="S3" s="4724"/>
      <c r="T3" s="4724"/>
      <c r="U3" s="4724"/>
      <c r="V3" s="4724"/>
      <c r="W3" s="4724"/>
      <c r="X3" s="4724"/>
      <c r="Y3" s="4724"/>
      <c r="Z3" s="4724"/>
      <c r="AA3" s="4724"/>
      <c r="AB3" s="4724"/>
      <c r="AC3" s="4724"/>
      <c r="AD3" s="4724"/>
      <c r="AE3" s="4724"/>
      <c r="AF3" s="4724"/>
      <c r="AG3" s="4724"/>
      <c r="AH3" s="4724"/>
      <c r="AI3" s="4724"/>
      <c r="AJ3" s="4724"/>
      <c r="AK3" s="4724"/>
      <c r="AL3" s="4724"/>
      <c r="AM3" s="4724"/>
      <c r="AN3" s="4724"/>
    </row>
    <row r="4" spans="1:53" s="2944" customFormat="1" ht="23.25" customHeight="1">
      <c r="A4" s="4725" t="s">
        <v>1889</v>
      </c>
      <c r="B4" s="4725"/>
      <c r="C4" s="4725"/>
      <c r="D4" s="4725"/>
      <c r="E4" s="4725"/>
      <c r="F4" s="4725"/>
      <c r="G4" s="4725"/>
      <c r="H4" s="4725"/>
      <c r="I4" s="4725"/>
      <c r="J4" s="2941"/>
      <c r="K4" s="2941"/>
      <c r="L4" s="2941"/>
      <c r="M4" s="2941"/>
      <c r="N4" s="2941"/>
      <c r="O4" s="2941"/>
      <c r="P4" s="2941"/>
      <c r="Q4" s="2941"/>
      <c r="R4" s="2941"/>
      <c r="S4" s="2941"/>
      <c r="T4" s="2941"/>
      <c r="U4" s="2941"/>
      <c r="V4" s="2941"/>
      <c r="W4" s="2941"/>
      <c r="X4" s="2941"/>
      <c r="Y4" s="2941"/>
      <c r="Z4" s="3186"/>
      <c r="AA4" s="3186"/>
      <c r="AB4" s="3186"/>
      <c r="AC4" s="3186"/>
      <c r="AD4" s="3186"/>
      <c r="AE4" s="3186"/>
      <c r="AF4" s="3186"/>
      <c r="AG4" s="3186"/>
      <c r="AH4" s="3186"/>
      <c r="AI4" s="3186"/>
      <c r="AJ4" s="3186"/>
      <c r="AK4" s="3186"/>
      <c r="AL4" s="3186"/>
      <c r="AM4" s="2945"/>
      <c r="AN4" s="2946"/>
    </row>
    <row r="5" spans="1:53" s="2944" customFormat="1" ht="23.25" customHeight="1">
      <c r="A5" s="4726" t="s">
        <v>90</v>
      </c>
      <c r="B5" s="4726"/>
      <c r="C5" s="4726"/>
      <c r="D5" s="4726"/>
      <c r="E5" s="4726"/>
      <c r="F5" s="4726"/>
      <c r="G5" s="4726"/>
      <c r="H5" s="4726"/>
      <c r="I5" s="4726"/>
      <c r="J5" s="2941"/>
      <c r="K5" s="2941"/>
      <c r="L5" s="2941"/>
      <c r="M5" s="2941"/>
      <c r="N5" s="2941"/>
      <c r="O5" s="2941"/>
      <c r="P5" s="2941"/>
      <c r="Q5" s="2941"/>
      <c r="R5" s="2941"/>
      <c r="S5" s="2941"/>
      <c r="T5" s="2941"/>
      <c r="U5" s="2941"/>
      <c r="V5" s="2941"/>
      <c r="W5" s="2941"/>
      <c r="X5" s="2941"/>
      <c r="Y5" s="2941"/>
      <c r="Z5" s="3186"/>
      <c r="AA5" s="3186"/>
      <c r="AB5" s="3186"/>
      <c r="AC5" s="3186"/>
      <c r="AD5" s="3186"/>
      <c r="AE5" s="3186"/>
      <c r="AF5" s="3186"/>
      <c r="AG5" s="3186"/>
      <c r="AH5" s="3186"/>
      <c r="AI5" s="3186"/>
      <c r="AJ5" s="3186"/>
      <c r="AK5" s="3186"/>
      <c r="AL5" s="3186"/>
      <c r="AM5" s="2945"/>
      <c r="AN5" s="2946"/>
    </row>
    <row r="6" spans="1:53" s="2944" customFormat="1" ht="18.75">
      <c r="A6" s="2942"/>
      <c r="B6" s="2942"/>
      <c r="C6" s="2941"/>
      <c r="D6" s="2941"/>
      <c r="E6" s="2941"/>
      <c r="F6" s="2941"/>
      <c r="G6" s="2941"/>
      <c r="H6" s="2941"/>
      <c r="I6" s="2941"/>
      <c r="J6" s="2941"/>
      <c r="K6" s="2943"/>
      <c r="L6" s="2941"/>
      <c r="M6" s="2941"/>
      <c r="N6" s="2941"/>
      <c r="O6" s="2941"/>
      <c r="P6" s="2941"/>
      <c r="Q6" s="2941"/>
      <c r="R6" s="2943"/>
      <c r="S6" s="2941"/>
      <c r="T6" s="2941"/>
      <c r="U6" s="2941"/>
      <c r="V6" s="2941"/>
      <c r="W6" s="2941"/>
      <c r="X6" s="2941"/>
      <c r="Y6" s="2943"/>
      <c r="Z6" s="2941"/>
      <c r="AA6" s="2941"/>
      <c r="AB6" s="2941"/>
      <c r="AC6" s="2941"/>
      <c r="AD6" s="2943"/>
      <c r="AE6" s="2941"/>
      <c r="AF6" s="2943"/>
      <c r="AG6" s="2941"/>
      <c r="AH6" s="2941"/>
      <c r="AI6" s="2941"/>
      <c r="AJ6" s="2941"/>
      <c r="AK6" s="2941"/>
      <c r="AL6" s="3187"/>
      <c r="AM6" s="2945"/>
      <c r="AN6" s="2946"/>
    </row>
    <row r="7" spans="1:53" s="2944" customFormat="1" ht="20.25">
      <c r="A7" s="4723" t="s">
        <v>1941</v>
      </c>
      <c r="B7" s="4723"/>
      <c r="C7" s="4723"/>
      <c r="D7" s="4723"/>
      <c r="E7" s="4723"/>
      <c r="F7" s="4723"/>
      <c r="G7" s="4723"/>
      <c r="H7" s="4723"/>
      <c r="I7" s="4723"/>
      <c r="J7" s="4723"/>
      <c r="K7" s="4723"/>
      <c r="L7" s="4723"/>
      <c r="M7" s="4723"/>
      <c r="N7" s="4723"/>
      <c r="O7" s="4723"/>
      <c r="P7" s="4723"/>
      <c r="Q7" s="4723"/>
      <c r="R7" s="4723"/>
      <c r="S7" s="4723"/>
      <c r="T7" s="4723"/>
      <c r="U7" s="4723"/>
      <c r="V7" s="4723"/>
      <c r="W7" s="4723"/>
      <c r="X7" s="4723"/>
      <c r="Y7" s="4723"/>
      <c r="Z7" s="4723"/>
      <c r="AA7" s="4723"/>
      <c r="AB7" s="4723"/>
      <c r="AC7" s="4723"/>
      <c r="AD7" s="4723"/>
      <c r="AE7" s="4723"/>
      <c r="AF7" s="4723"/>
      <c r="AG7" s="4723"/>
      <c r="AH7" s="4723"/>
      <c r="AI7" s="4723"/>
      <c r="AJ7" s="4723"/>
      <c r="AK7" s="4723"/>
      <c r="AL7" s="4723"/>
      <c r="AM7" s="4723"/>
      <c r="AN7" s="4723"/>
    </row>
    <row r="8" spans="1:53">
      <c r="A8" s="2939"/>
      <c r="B8" s="2939"/>
      <c r="C8" s="2947"/>
      <c r="D8" s="2947"/>
      <c r="E8" s="2947"/>
      <c r="F8" s="2947"/>
      <c r="G8" s="2947"/>
      <c r="H8" s="2947"/>
      <c r="I8" s="2947"/>
      <c r="J8" s="2947"/>
      <c r="K8" s="2947"/>
      <c r="L8" s="2947"/>
      <c r="M8" s="2947"/>
      <c r="N8" s="2947"/>
      <c r="O8" s="2947"/>
      <c r="P8" s="2947"/>
      <c r="Q8" s="2947"/>
      <c r="R8" s="2947"/>
      <c r="S8" s="2947"/>
      <c r="T8" s="2947"/>
      <c r="U8" s="2947"/>
      <c r="V8" s="2947"/>
      <c r="W8" s="2947"/>
      <c r="X8" s="2947"/>
      <c r="Y8" s="2947"/>
      <c r="Z8" s="2947"/>
      <c r="AA8" s="2947"/>
      <c r="AB8" s="2947"/>
      <c r="AC8" s="2947"/>
      <c r="AD8" s="2948"/>
      <c r="AE8" s="2947"/>
      <c r="AF8" s="2947"/>
      <c r="AG8" s="2947"/>
      <c r="AH8" s="2947"/>
      <c r="AI8" s="2947"/>
      <c r="AJ8" s="2947"/>
      <c r="AK8" s="2947"/>
      <c r="AL8" s="2949"/>
      <c r="AM8" s="2950"/>
      <c r="AN8" s="2947"/>
    </row>
    <row r="9" spans="1:53" ht="33.75" customHeight="1">
      <c r="A9" s="4731" t="s">
        <v>932</v>
      </c>
      <c r="B9" s="4731" t="s">
        <v>932</v>
      </c>
      <c r="C9" s="4731" t="s">
        <v>1</v>
      </c>
      <c r="D9" s="4731" t="s">
        <v>163</v>
      </c>
      <c r="E9" s="4727" t="s">
        <v>3</v>
      </c>
      <c r="F9" s="4731" t="s">
        <v>1857</v>
      </c>
      <c r="G9" s="4731"/>
      <c r="H9" s="4731"/>
      <c r="I9" s="4731"/>
      <c r="J9" s="4731"/>
      <c r="K9" s="4731"/>
      <c r="L9" s="4731"/>
      <c r="M9" s="4731"/>
      <c r="N9" s="4731"/>
      <c r="O9" s="4731"/>
      <c r="P9" s="4731"/>
      <c r="Q9" s="4731"/>
      <c r="R9" s="4731"/>
      <c r="S9" s="4731"/>
      <c r="T9" s="4731"/>
      <c r="U9" s="4731"/>
      <c r="V9" s="4731"/>
      <c r="W9" s="4731"/>
      <c r="X9" s="4731"/>
      <c r="Y9" s="4731"/>
      <c r="Z9" s="4731"/>
      <c r="AA9" s="4731"/>
      <c r="AB9" s="4731"/>
      <c r="AC9" s="4731"/>
      <c r="AD9" s="4731"/>
      <c r="AE9" s="4731"/>
      <c r="AF9" s="4731"/>
      <c r="AG9" s="4731"/>
      <c r="AH9" s="4731"/>
      <c r="AI9" s="4731"/>
      <c r="AJ9" s="4731"/>
      <c r="AK9" s="4732" t="s">
        <v>1886</v>
      </c>
      <c r="AL9" s="4727" t="s">
        <v>1940</v>
      </c>
      <c r="AM9" s="4728" t="s">
        <v>1887</v>
      </c>
      <c r="AN9" s="4729" t="s">
        <v>1861</v>
      </c>
      <c r="AW9" s="2951" t="s">
        <v>1939</v>
      </c>
      <c r="AX9" s="2951" t="s">
        <v>817</v>
      </c>
      <c r="AY9" s="2951" t="s">
        <v>819</v>
      </c>
    </row>
    <row r="10" spans="1:53" ht="50.25" customHeight="1">
      <c r="A10" s="4731"/>
      <c r="B10" s="4731"/>
      <c r="C10" s="4731"/>
      <c r="D10" s="4731"/>
      <c r="E10" s="4731"/>
      <c r="F10" s="3188">
        <v>1</v>
      </c>
      <c r="G10" s="3188">
        <v>2</v>
      </c>
      <c r="H10" s="3188">
        <v>3</v>
      </c>
      <c r="I10" s="2940">
        <v>4</v>
      </c>
      <c r="J10" s="3188">
        <v>5</v>
      </c>
      <c r="K10" s="3188">
        <v>6</v>
      </c>
      <c r="L10" s="3188">
        <v>7</v>
      </c>
      <c r="M10" s="3188">
        <v>8</v>
      </c>
      <c r="N10" s="3188">
        <v>9</v>
      </c>
      <c r="O10" s="3188">
        <v>10</v>
      </c>
      <c r="P10" s="2940">
        <v>11</v>
      </c>
      <c r="Q10" s="3188">
        <v>12</v>
      </c>
      <c r="R10" s="3188">
        <v>13</v>
      </c>
      <c r="S10" s="3188">
        <v>14</v>
      </c>
      <c r="T10" s="3188">
        <v>15</v>
      </c>
      <c r="U10" s="3188">
        <v>16</v>
      </c>
      <c r="V10" s="3188">
        <v>17</v>
      </c>
      <c r="W10" s="2940">
        <v>18</v>
      </c>
      <c r="X10" s="3188">
        <v>19</v>
      </c>
      <c r="Y10" s="3188">
        <v>20</v>
      </c>
      <c r="Z10" s="3188">
        <v>21</v>
      </c>
      <c r="AA10" s="3188">
        <v>22</v>
      </c>
      <c r="AB10" s="3188">
        <v>23</v>
      </c>
      <c r="AC10" s="3188">
        <v>24</v>
      </c>
      <c r="AD10" s="2940">
        <v>25</v>
      </c>
      <c r="AE10" s="3188">
        <v>26</v>
      </c>
      <c r="AF10" s="3188">
        <v>27</v>
      </c>
      <c r="AG10" s="3188">
        <v>28</v>
      </c>
      <c r="AH10" s="3188">
        <v>29</v>
      </c>
      <c r="AI10" s="3188">
        <v>30</v>
      </c>
      <c r="AJ10" s="3188">
        <v>31</v>
      </c>
      <c r="AK10" s="4733"/>
      <c r="AL10" s="4727"/>
      <c r="AM10" s="4728"/>
      <c r="AN10" s="4730"/>
      <c r="AW10" s="3189">
        <f>+AK170</f>
        <v>14246</v>
      </c>
      <c r="AX10" s="2951">
        <v>488.61669999999998</v>
      </c>
      <c r="AY10" s="3190">
        <f>+AX10/AW10</f>
        <v>3.4298518882493328E-2</v>
      </c>
    </row>
    <row r="11" spans="1:53" s="2989" customFormat="1" ht="36.75" customHeight="1">
      <c r="A11" s="3188" t="s">
        <v>141</v>
      </c>
      <c r="B11" s="4772" t="s">
        <v>1862</v>
      </c>
      <c r="C11" s="4773"/>
      <c r="D11" s="3188"/>
      <c r="E11" s="2987"/>
      <c r="F11" s="2952">
        <f t="shared" ref="F11:AM11" si="0">SUM(F12:F40)</f>
        <v>0</v>
      </c>
      <c r="G11" s="2952">
        <f t="shared" si="0"/>
        <v>0</v>
      </c>
      <c r="H11" s="2952">
        <f t="shared" si="0"/>
        <v>0</v>
      </c>
      <c r="I11" s="2952">
        <f t="shared" si="0"/>
        <v>0</v>
      </c>
      <c r="J11" s="2952">
        <f t="shared" si="0"/>
        <v>0</v>
      </c>
      <c r="K11" s="2952">
        <f t="shared" si="0"/>
        <v>0</v>
      </c>
      <c r="L11" s="2952">
        <f t="shared" si="0"/>
        <v>0</v>
      </c>
      <c r="M11" s="2952">
        <f t="shared" si="0"/>
        <v>0</v>
      </c>
      <c r="N11" s="2952">
        <f t="shared" si="0"/>
        <v>0</v>
      </c>
      <c r="O11" s="2952">
        <f t="shared" si="0"/>
        <v>0</v>
      </c>
      <c r="P11" s="2952">
        <f t="shared" si="0"/>
        <v>0</v>
      </c>
      <c r="Q11" s="2952">
        <f t="shared" si="0"/>
        <v>0</v>
      </c>
      <c r="R11" s="2952">
        <f t="shared" si="0"/>
        <v>0</v>
      </c>
      <c r="S11" s="2952">
        <f t="shared" si="0"/>
        <v>0</v>
      </c>
      <c r="T11" s="2952">
        <f t="shared" si="0"/>
        <v>0</v>
      </c>
      <c r="U11" s="2952">
        <f t="shared" si="0"/>
        <v>0</v>
      </c>
      <c r="V11" s="2952">
        <f t="shared" si="0"/>
        <v>0</v>
      </c>
      <c r="W11" s="2952">
        <f t="shared" si="0"/>
        <v>0</v>
      </c>
      <c r="X11" s="2952">
        <f t="shared" si="0"/>
        <v>0</v>
      </c>
      <c r="Y11" s="2952">
        <f t="shared" si="0"/>
        <v>0</v>
      </c>
      <c r="Z11" s="2952">
        <f t="shared" si="0"/>
        <v>0</v>
      </c>
      <c r="AA11" s="2952">
        <f t="shared" si="0"/>
        <v>0</v>
      </c>
      <c r="AB11" s="2952">
        <f t="shared" si="0"/>
        <v>0</v>
      </c>
      <c r="AC11" s="2952">
        <f t="shared" si="0"/>
        <v>0</v>
      </c>
      <c r="AD11" s="2952">
        <f t="shared" si="0"/>
        <v>0</v>
      </c>
      <c r="AE11" s="2952">
        <f t="shared" si="0"/>
        <v>0</v>
      </c>
      <c r="AF11" s="2952">
        <f t="shared" si="0"/>
        <v>0</v>
      </c>
      <c r="AG11" s="2952">
        <f t="shared" si="0"/>
        <v>0</v>
      </c>
      <c r="AH11" s="2952">
        <f t="shared" si="0"/>
        <v>0</v>
      </c>
      <c r="AI11" s="2952">
        <f t="shared" si="0"/>
        <v>1117</v>
      </c>
      <c r="AJ11" s="2952">
        <f t="shared" si="0"/>
        <v>1814</v>
      </c>
      <c r="AK11" s="2952">
        <f t="shared" si="0"/>
        <v>2931</v>
      </c>
      <c r="AL11" s="2952">
        <f t="shared" si="0"/>
        <v>100.52895884458796</v>
      </c>
      <c r="AM11" s="2953">
        <f t="shared" si="0"/>
        <v>0</v>
      </c>
      <c r="AN11" s="2988"/>
    </row>
    <row r="12" spans="1:53" s="2989" customFormat="1" ht="33.75" customHeight="1">
      <c r="A12" s="2440">
        <v>1</v>
      </c>
      <c r="B12" s="2440">
        <v>1</v>
      </c>
      <c r="C12" s="2990" t="s">
        <v>1551</v>
      </c>
      <c r="D12" s="2991"/>
      <c r="E12" s="2991" t="s">
        <v>451</v>
      </c>
      <c r="F12" s="2955"/>
      <c r="G12" s="2955"/>
      <c r="H12" s="2955"/>
      <c r="I12" s="2955"/>
      <c r="J12" s="2955"/>
      <c r="K12" s="2955"/>
      <c r="L12" s="2955"/>
      <c r="M12" s="2955"/>
      <c r="N12" s="2955"/>
      <c r="O12" s="2955"/>
      <c r="P12" s="2955"/>
      <c r="Q12" s="2955"/>
      <c r="R12" s="2955"/>
      <c r="S12" s="2955"/>
      <c r="T12" s="2955"/>
      <c r="U12" s="2955"/>
      <c r="V12" s="2955"/>
      <c r="W12" s="2955"/>
      <c r="X12" s="2955"/>
      <c r="Y12" s="2955"/>
      <c r="Z12" s="2955"/>
      <c r="AA12" s="2955"/>
      <c r="AB12" s="2955"/>
      <c r="AC12" s="2955"/>
      <c r="AD12" s="2955"/>
      <c r="AE12" s="2955"/>
      <c r="AF12" s="2955"/>
      <c r="AG12" s="2955"/>
      <c r="AH12" s="2955"/>
      <c r="AI12" s="2955">
        <v>51</v>
      </c>
      <c r="AJ12" s="2955">
        <v>0</v>
      </c>
      <c r="AK12" s="2955">
        <f t="shared" ref="AK12:AK57" si="1">+SUM(F12:AJ12)</f>
        <v>51</v>
      </c>
      <c r="AL12" s="2955">
        <f>+AK12*$AY$10</f>
        <v>1.7492244630071598</v>
      </c>
      <c r="AM12" s="2981" t="s">
        <v>141</v>
      </c>
      <c r="AN12" s="2957"/>
      <c r="AO12" s="2989" t="e">
        <f>+VLOOKUP(C12,'[28]BẢNG CHẤM CÔNG + Lương KT'!$B$9:$AQ$41,42,0)</f>
        <v>#N/A</v>
      </c>
      <c r="AP12" s="2992" t="e">
        <f>+AO12-AM12</f>
        <v>#N/A</v>
      </c>
    </row>
    <row r="13" spans="1:53" s="2989" customFormat="1" ht="33.75" customHeight="1">
      <c r="A13" s="2440">
        <v>2</v>
      </c>
      <c r="B13" s="2440">
        <v>2</v>
      </c>
      <c r="C13" s="2990" t="s">
        <v>1670</v>
      </c>
      <c r="D13" s="2991"/>
      <c r="E13" s="2991" t="s">
        <v>451</v>
      </c>
      <c r="F13" s="2955"/>
      <c r="G13" s="2955"/>
      <c r="H13" s="2955"/>
      <c r="I13" s="2955"/>
      <c r="J13" s="2955"/>
      <c r="K13" s="2955"/>
      <c r="L13" s="2955"/>
      <c r="M13" s="2955"/>
      <c r="N13" s="2955"/>
      <c r="O13" s="2955"/>
      <c r="P13" s="2955"/>
      <c r="Q13" s="2955"/>
      <c r="R13" s="2955"/>
      <c r="S13" s="2955"/>
      <c r="T13" s="2955"/>
      <c r="U13" s="2955"/>
      <c r="V13" s="2955"/>
      <c r="W13" s="2955"/>
      <c r="X13" s="2955"/>
      <c r="Y13" s="2955"/>
      <c r="Z13" s="2955"/>
      <c r="AA13" s="2955"/>
      <c r="AB13" s="2955"/>
      <c r="AC13" s="2955"/>
      <c r="AD13" s="2955"/>
      <c r="AE13" s="2955"/>
      <c r="AF13" s="2955"/>
      <c r="AG13" s="2955"/>
      <c r="AH13" s="2955"/>
      <c r="AI13" s="2955">
        <v>54</v>
      </c>
      <c r="AJ13" s="2955">
        <v>49</v>
      </c>
      <c r="AK13" s="2955">
        <f t="shared" si="1"/>
        <v>103</v>
      </c>
      <c r="AL13" s="2955">
        <f t="shared" ref="AL13:AL40" si="2">+AK13*$AY$10</f>
        <v>3.5327474448968128</v>
      </c>
      <c r="AM13" s="2981" t="s">
        <v>138</v>
      </c>
      <c r="AN13" s="2957"/>
      <c r="AO13" s="2989" t="e">
        <f>+VLOOKUP(C13,'[28]BẢNG CHẤM CÔNG + Lương KT'!$B$9:$AQ$41,42,0)</f>
        <v>#N/A</v>
      </c>
      <c r="AP13" s="2992" t="e">
        <f>+AO13-AM13</f>
        <v>#N/A</v>
      </c>
    </row>
    <row r="14" spans="1:53" s="2989" customFormat="1" ht="33.75" customHeight="1">
      <c r="A14" s="2440">
        <v>3</v>
      </c>
      <c r="B14" s="2440">
        <v>3</v>
      </c>
      <c r="C14" s="2990" t="s">
        <v>490</v>
      </c>
      <c r="D14" s="2991"/>
      <c r="E14" s="2991" t="s">
        <v>451</v>
      </c>
      <c r="F14" s="2955"/>
      <c r="G14" s="2955"/>
      <c r="H14" s="2955"/>
      <c r="I14" s="2955"/>
      <c r="J14" s="2955"/>
      <c r="K14" s="2955"/>
      <c r="L14" s="2955"/>
      <c r="M14" s="2955"/>
      <c r="N14" s="2955"/>
      <c r="O14" s="2955"/>
      <c r="P14" s="2955"/>
      <c r="Q14" s="2955"/>
      <c r="R14" s="2955"/>
      <c r="S14" s="2955"/>
      <c r="T14" s="2955"/>
      <c r="U14" s="2955"/>
      <c r="V14" s="2955"/>
      <c r="W14" s="2955"/>
      <c r="X14" s="2955"/>
      <c r="Y14" s="2955"/>
      <c r="Z14" s="2955"/>
      <c r="AA14" s="2955"/>
      <c r="AB14" s="2955"/>
      <c r="AC14" s="2955"/>
      <c r="AD14" s="2955"/>
      <c r="AE14" s="2955"/>
      <c r="AF14" s="2955"/>
      <c r="AG14" s="2955"/>
      <c r="AH14" s="2955"/>
      <c r="AI14" s="2955">
        <v>0</v>
      </c>
      <c r="AJ14" s="2955">
        <v>52</v>
      </c>
      <c r="AK14" s="2955">
        <f t="shared" si="1"/>
        <v>52</v>
      </c>
      <c r="AL14" s="2955">
        <f t="shared" si="2"/>
        <v>1.7835229818896532</v>
      </c>
      <c r="AM14" s="2981" t="s">
        <v>138</v>
      </c>
      <c r="AN14" s="2957"/>
      <c r="AO14" s="2989">
        <f>+VLOOKUP(C14,'[28]BẢNG CHẤM CÔNG + Lương KT'!$B$9:$AQ$41,42,0)</f>
        <v>28.8</v>
      </c>
      <c r="AP14" s="2992" t="e">
        <f>+AO14-AM14</f>
        <v>#VALUE!</v>
      </c>
    </row>
    <row r="15" spans="1:53" s="2989" customFormat="1" ht="33.75" customHeight="1">
      <c r="A15" s="2440">
        <v>4</v>
      </c>
      <c r="B15" s="2440">
        <v>4</v>
      </c>
      <c r="C15" s="2990" t="s">
        <v>1552</v>
      </c>
      <c r="D15" s="2991"/>
      <c r="E15" s="2991" t="s">
        <v>451</v>
      </c>
      <c r="F15" s="2955"/>
      <c r="G15" s="2955"/>
      <c r="H15" s="2955"/>
      <c r="I15" s="2955"/>
      <c r="J15" s="2955"/>
      <c r="K15" s="2955"/>
      <c r="L15" s="2955"/>
      <c r="M15" s="2955"/>
      <c r="N15" s="2955"/>
      <c r="O15" s="2955"/>
      <c r="P15" s="2955"/>
      <c r="Q15" s="2955"/>
      <c r="R15" s="2955"/>
      <c r="S15" s="2955"/>
      <c r="T15" s="2955"/>
      <c r="U15" s="2955"/>
      <c r="V15" s="2955"/>
      <c r="W15" s="2955"/>
      <c r="X15" s="2955"/>
      <c r="Y15" s="2955"/>
      <c r="Z15" s="2955"/>
      <c r="AA15" s="2955"/>
      <c r="AB15" s="2955"/>
      <c r="AC15" s="2955"/>
      <c r="AD15" s="2955"/>
      <c r="AE15" s="2955"/>
      <c r="AF15" s="2955"/>
      <c r="AG15" s="2955"/>
      <c r="AH15" s="2955"/>
      <c r="AI15" s="2955">
        <v>0</v>
      </c>
      <c r="AJ15" s="2955">
        <v>48</v>
      </c>
      <c r="AK15" s="2955">
        <f t="shared" si="1"/>
        <v>48</v>
      </c>
      <c r="AL15" s="2955">
        <f t="shared" si="2"/>
        <v>1.6463289063596798</v>
      </c>
      <c r="AM15" s="2981" t="s">
        <v>141</v>
      </c>
      <c r="AN15" s="2957"/>
      <c r="AP15" s="2992"/>
    </row>
    <row r="16" spans="1:53" s="2989" customFormat="1" ht="33.75" customHeight="1">
      <c r="A16" s="2440">
        <v>5</v>
      </c>
      <c r="B16" s="2440">
        <v>5</v>
      </c>
      <c r="C16" s="2990" t="s">
        <v>1671</v>
      </c>
      <c r="D16" s="2991"/>
      <c r="E16" s="2991" t="s">
        <v>451</v>
      </c>
      <c r="F16" s="2955"/>
      <c r="G16" s="2955"/>
      <c r="H16" s="2955"/>
      <c r="I16" s="2955"/>
      <c r="J16" s="2955"/>
      <c r="K16" s="2955"/>
      <c r="L16" s="2955"/>
      <c r="M16" s="2955"/>
      <c r="N16" s="2955"/>
      <c r="O16" s="2955"/>
      <c r="P16" s="2955"/>
      <c r="Q16" s="2955"/>
      <c r="R16" s="2955"/>
      <c r="S16" s="2955"/>
      <c r="T16" s="2955"/>
      <c r="U16" s="2955"/>
      <c r="V16" s="2955"/>
      <c r="W16" s="2955"/>
      <c r="X16" s="2955"/>
      <c r="Y16" s="2955"/>
      <c r="Z16" s="2955"/>
      <c r="AA16" s="2955"/>
      <c r="AB16" s="2955"/>
      <c r="AC16" s="2955"/>
      <c r="AD16" s="2955"/>
      <c r="AE16" s="2955"/>
      <c r="AF16" s="2955"/>
      <c r="AG16" s="2955"/>
      <c r="AH16" s="2955"/>
      <c r="AI16" s="2955">
        <v>63</v>
      </c>
      <c r="AJ16" s="2955">
        <v>64</v>
      </c>
      <c r="AK16" s="2955">
        <f t="shared" si="1"/>
        <v>127</v>
      </c>
      <c r="AL16" s="2955">
        <f t="shared" si="2"/>
        <v>4.3559118980766529</v>
      </c>
      <c r="AM16" s="2981" t="s">
        <v>141</v>
      </c>
      <c r="AN16" s="2957"/>
      <c r="AP16" s="2992"/>
      <c r="BA16" s="3008">
        <f>+AK11+AK41</f>
        <v>5804</v>
      </c>
    </row>
    <row r="17" spans="1:53" s="2989" customFormat="1" ht="33.75" customHeight="1">
      <c r="A17" s="2440">
        <v>6</v>
      </c>
      <c r="B17" s="2440">
        <v>6</v>
      </c>
      <c r="C17" s="2990" t="s">
        <v>1261</v>
      </c>
      <c r="D17" s="2991"/>
      <c r="E17" s="2991" t="s">
        <v>451</v>
      </c>
      <c r="F17" s="2955"/>
      <c r="G17" s="2955"/>
      <c r="H17" s="2955"/>
      <c r="I17" s="2955"/>
      <c r="J17" s="2955"/>
      <c r="K17" s="2955"/>
      <c r="L17" s="2955"/>
      <c r="M17" s="2955"/>
      <c r="N17" s="2955"/>
      <c r="O17" s="2955"/>
      <c r="P17" s="2955"/>
      <c r="Q17" s="2955"/>
      <c r="R17" s="2955"/>
      <c r="S17" s="2955"/>
      <c r="T17" s="2955"/>
      <c r="U17" s="2955"/>
      <c r="V17" s="2955"/>
      <c r="W17" s="2955"/>
      <c r="X17" s="2955"/>
      <c r="Y17" s="2955"/>
      <c r="Z17" s="2955"/>
      <c r="AA17" s="2955"/>
      <c r="AB17" s="2955"/>
      <c r="AC17" s="2955"/>
      <c r="AD17" s="2955"/>
      <c r="AE17" s="2955"/>
      <c r="AF17" s="2955"/>
      <c r="AG17" s="2955"/>
      <c r="AH17" s="2955"/>
      <c r="AI17" s="2955">
        <v>46</v>
      </c>
      <c r="AJ17" s="2955">
        <v>50</v>
      </c>
      <c r="AK17" s="2955">
        <f t="shared" si="1"/>
        <v>96</v>
      </c>
      <c r="AL17" s="2955">
        <f t="shared" si="2"/>
        <v>3.2926578127193595</v>
      </c>
      <c r="AM17" s="2981" t="s">
        <v>141</v>
      </c>
      <c r="AN17" s="2957"/>
      <c r="AP17" s="2992"/>
      <c r="BA17" s="3008">
        <f>+AL11+AL41</f>
        <v>199.0686035939913</v>
      </c>
    </row>
    <row r="18" spans="1:53" s="2989" customFormat="1" ht="33.75" customHeight="1">
      <c r="A18" s="2440">
        <v>7</v>
      </c>
      <c r="B18" s="2440">
        <v>7</v>
      </c>
      <c r="C18" s="2990" t="s">
        <v>1672</v>
      </c>
      <c r="D18" s="2991"/>
      <c r="E18" s="2991" t="s">
        <v>451</v>
      </c>
      <c r="F18" s="2955"/>
      <c r="G18" s="2955"/>
      <c r="H18" s="2955"/>
      <c r="I18" s="2955"/>
      <c r="J18" s="2955"/>
      <c r="K18" s="2955"/>
      <c r="L18" s="2955"/>
      <c r="M18" s="2955"/>
      <c r="N18" s="2955"/>
      <c r="O18" s="2955"/>
      <c r="P18" s="2955"/>
      <c r="Q18" s="2955"/>
      <c r="R18" s="2955"/>
      <c r="S18" s="2955"/>
      <c r="T18" s="2955"/>
      <c r="U18" s="2955"/>
      <c r="V18" s="2955"/>
      <c r="W18" s="2955"/>
      <c r="X18" s="2955"/>
      <c r="Y18" s="2955"/>
      <c r="Z18" s="2955"/>
      <c r="AA18" s="2955"/>
      <c r="AB18" s="2955"/>
      <c r="AC18" s="2955"/>
      <c r="AD18" s="2955"/>
      <c r="AE18" s="2955"/>
      <c r="AF18" s="2955"/>
      <c r="AG18" s="2955"/>
      <c r="AH18" s="2955"/>
      <c r="AI18" s="2955">
        <v>67</v>
      </c>
      <c r="AJ18" s="2955">
        <v>100</v>
      </c>
      <c r="AK18" s="2955">
        <f t="shared" si="1"/>
        <v>167</v>
      </c>
      <c r="AL18" s="2955">
        <f t="shared" si="2"/>
        <v>5.7278526533763863</v>
      </c>
      <c r="AM18" s="2981" t="s">
        <v>141</v>
      </c>
      <c r="AN18" s="2957"/>
      <c r="AO18" s="2989">
        <f>+'[29]Báo cáo đội'!$H$43</f>
        <v>212.2</v>
      </c>
      <c r="AP18" s="2992" t="e">
        <f>+AO18-#REF!</f>
        <v>#REF!</v>
      </c>
    </row>
    <row r="19" spans="1:53" s="2989" customFormat="1" ht="33.75" customHeight="1">
      <c r="A19" s="2440">
        <v>8</v>
      </c>
      <c r="B19" s="2440">
        <v>8</v>
      </c>
      <c r="C19" s="2990" t="s">
        <v>1553</v>
      </c>
      <c r="D19" s="2991"/>
      <c r="E19" s="2991" t="s">
        <v>451</v>
      </c>
      <c r="F19" s="2955"/>
      <c r="G19" s="2955"/>
      <c r="H19" s="2955"/>
      <c r="I19" s="2955"/>
      <c r="J19" s="2955"/>
      <c r="K19" s="2955"/>
      <c r="L19" s="2955"/>
      <c r="M19" s="2955"/>
      <c r="N19" s="2955"/>
      <c r="O19" s="2955"/>
      <c r="P19" s="2955"/>
      <c r="Q19" s="2955"/>
      <c r="R19" s="2955"/>
      <c r="S19" s="2955"/>
      <c r="T19" s="2955"/>
      <c r="U19" s="2955"/>
      <c r="V19" s="2955"/>
      <c r="W19" s="2955"/>
      <c r="X19" s="2955"/>
      <c r="Y19" s="2955"/>
      <c r="Z19" s="2955"/>
      <c r="AA19" s="2955"/>
      <c r="AB19" s="2955"/>
      <c r="AC19" s="2955"/>
      <c r="AD19" s="2955"/>
      <c r="AE19" s="2955"/>
      <c r="AF19" s="2955"/>
      <c r="AG19" s="2955"/>
      <c r="AH19" s="2955"/>
      <c r="AI19" s="2955">
        <v>0</v>
      </c>
      <c r="AJ19" s="2955">
        <v>57</v>
      </c>
      <c r="AK19" s="2955">
        <f t="shared" si="1"/>
        <v>57</v>
      </c>
      <c r="AL19" s="2955">
        <f t="shared" si="2"/>
        <v>1.9550155763021198</v>
      </c>
      <c r="AM19" s="2981" t="s">
        <v>141</v>
      </c>
      <c r="AN19" s="2957"/>
      <c r="AP19" s="2992"/>
    </row>
    <row r="20" spans="1:53" s="2989" customFormat="1" ht="33.75" customHeight="1">
      <c r="A20" s="2440">
        <v>9</v>
      </c>
      <c r="B20" s="2440">
        <v>9</v>
      </c>
      <c r="C20" s="2990" t="s">
        <v>1525</v>
      </c>
      <c r="D20" s="2991"/>
      <c r="E20" s="2991" t="s">
        <v>451</v>
      </c>
      <c r="F20" s="2955"/>
      <c r="G20" s="2955"/>
      <c r="H20" s="2955"/>
      <c r="I20" s="2955"/>
      <c r="J20" s="2955"/>
      <c r="K20" s="2955"/>
      <c r="L20" s="2955"/>
      <c r="M20" s="2955"/>
      <c r="N20" s="2955"/>
      <c r="O20" s="2955"/>
      <c r="P20" s="2955"/>
      <c r="Q20" s="2955"/>
      <c r="R20" s="2955"/>
      <c r="S20" s="2955"/>
      <c r="T20" s="2955"/>
      <c r="U20" s="2955"/>
      <c r="V20" s="2955"/>
      <c r="W20" s="2955"/>
      <c r="X20" s="2955"/>
      <c r="Y20" s="2955"/>
      <c r="Z20" s="2955"/>
      <c r="AA20" s="2955"/>
      <c r="AB20" s="2955"/>
      <c r="AC20" s="2955"/>
      <c r="AD20" s="2955"/>
      <c r="AE20" s="2955"/>
      <c r="AF20" s="2955"/>
      <c r="AG20" s="2955"/>
      <c r="AH20" s="2955"/>
      <c r="AI20" s="2955">
        <v>45</v>
      </c>
      <c r="AJ20" s="2955">
        <v>69</v>
      </c>
      <c r="AK20" s="2955">
        <f t="shared" si="1"/>
        <v>114</v>
      </c>
      <c r="AL20" s="2955">
        <f t="shared" si="2"/>
        <v>3.9100311526042395</v>
      </c>
      <c r="AM20" s="2981" t="s">
        <v>141</v>
      </c>
      <c r="AN20" s="2957"/>
      <c r="AP20" s="2992"/>
    </row>
    <row r="21" spans="1:53" s="2989" customFormat="1" ht="33.75" customHeight="1">
      <c r="A21" s="2440">
        <v>10</v>
      </c>
      <c r="B21" s="2440">
        <v>10</v>
      </c>
      <c r="C21" s="2990" t="s">
        <v>1554</v>
      </c>
      <c r="D21" s="2991"/>
      <c r="E21" s="2991" t="s">
        <v>451</v>
      </c>
      <c r="F21" s="2955"/>
      <c r="G21" s="2955"/>
      <c r="H21" s="2955"/>
      <c r="I21" s="2955"/>
      <c r="J21" s="2955"/>
      <c r="K21" s="2955"/>
      <c r="L21" s="2955"/>
      <c r="M21" s="2955"/>
      <c r="N21" s="2955"/>
      <c r="O21" s="2955"/>
      <c r="P21" s="2955"/>
      <c r="Q21" s="2955"/>
      <c r="R21" s="2955"/>
      <c r="S21" s="2955"/>
      <c r="T21" s="2955"/>
      <c r="U21" s="2955"/>
      <c r="V21" s="2955"/>
      <c r="W21" s="2955"/>
      <c r="X21" s="2955"/>
      <c r="Y21" s="2955"/>
      <c r="Z21" s="2955"/>
      <c r="AA21" s="2955"/>
      <c r="AB21" s="2955"/>
      <c r="AC21" s="2955"/>
      <c r="AD21" s="2955"/>
      <c r="AE21" s="2955"/>
      <c r="AF21" s="2955"/>
      <c r="AG21" s="2955"/>
      <c r="AH21" s="2955"/>
      <c r="AI21" s="2955">
        <v>0</v>
      </c>
      <c r="AJ21" s="2955">
        <v>55</v>
      </c>
      <c r="AK21" s="2955">
        <f t="shared" si="1"/>
        <v>55</v>
      </c>
      <c r="AL21" s="2955">
        <f t="shared" si="2"/>
        <v>1.886418538537133</v>
      </c>
      <c r="AM21" s="2981" t="s">
        <v>141</v>
      </c>
      <c r="AN21" s="2957"/>
      <c r="AP21" s="2992"/>
    </row>
    <row r="22" spans="1:53" s="2989" customFormat="1" ht="33.75" customHeight="1">
      <c r="A22" s="2440">
        <v>11</v>
      </c>
      <c r="B22" s="2440">
        <v>11</v>
      </c>
      <c r="C22" s="2990" t="s">
        <v>1674</v>
      </c>
      <c r="D22" s="2991"/>
      <c r="E22" s="2991" t="s">
        <v>451</v>
      </c>
      <c r="F22" s="2955"/>
      <c r="G22" s="2955"/>
      <c r="H22" s="2955"/>
      <c r="I22" s="2955"/>
      <c r="J22" s="2955"/>
      <c r="K22" s="2955"/>
      <c r="L22" s="2955"/>
      <c r="M22" s="2955"/>
      <c r="N22" s="2955"/>
      <c r="O22" s="2955"/>
      <c r="P22" s="2955"/>
      <c r="Q22" s="2955"/>
      <c r="R22" s="2955"/>
      <c r="S22" s="2955"/>
      <c r="T22" s="2955"/>
      <c r="U22" s="2955"/>
      <c r="V22" s="2955"/>
      <c r="W22" s="2955"/>
      <c r="X22" s="2955"/>
      <c r="Y22" s="2955"/>
      <c r="Z22" s="2955"/>
      <c r="AA22" s="2955"/>
      <c r="AB22" s="2955"/>
      <c r="AC22" s="2955"/>
      <c r="AD22" s="2955"/>
      <c r="AE22" s="2955"/>
      <c r="AF22" s="2955"/>
      <c r="AG22" s="2955"/>
      <c r="AH22" s="2955"/>
      <c r="AI22" s="2955">
        <v>47</v>
      </c>
      <c r="AJ22" s="2955">
        <v>38</v>
      </c>
      <c r="AK22" s="2955">
        <f t="shared" si="1"/>
        <v>85</v>
      </c>
      <c r="AL22" s="2955">
        <f t="shared" si="2"/>
        <v>2.9153741050119328</v>
      </c>
      <c r="AM22" s="2981" t="s">
        <v>141</v>
      </c>
      <c r="AN22" s="2957"/>
      <c r="AP22" s="2992"/>
    </row>
    <row r="23" spans="1:53" s="2989" customFormat="1" ht="33.75" customHeight="1">
      <c r="A23" s="2440">
        <v>12</v>
      </c>
      <c r="B23" s="2440">
        <v>12</v>
      </c>
      <c r="C23" s="2990" t="s">
        <v>1555</v>
      </c>
      <c r="D23" s="2991"/>
      <c r="E23" s="2991" t="s">
        <v>451</v>
      </c>
      <c r="F23" s="2955"/>
      <c r="G23" s="2955"/>
      <c r="H23" s="2955"/>
      <c r="I23" s="2955"/>
      <c r="J23" s="2955"/>
      <c r="K23" s="2955"/>
      <c r="L23" s="2955"/>
      <c r="M23" s="2955"/>
      <c r="N23" s="2955"/>
      <c r="O23" s="2955"/>
      <c r="P23" s="2955"/>
      <c r="Q23" s="2955"/>
      <c r="R23" s="2955"/>
      <c r="S23" s="2955"/>
      <c r="T23" s="2955"/>
      <c r="U23" s="2955"/>
      <c r="V23" s="2955"/>
      <c r="W23" s="2955"/>
      <c r="X23" s="2955"/>
      <c r="Y23" s="2955"/>
      <c r="Z23" s="2955"/>
      <c r="AA23" s="2955"/>
      <c r="AB23" s="2955"/>
      <c r="AC23" s="2955"/>
      <c r="AD23" s="2955"/>
      <c r="AE23" s="2955"/>
      <c r="AF23" s="2955"/>
      <c r="AG23" s="2955"/>
      <c r="AH23" s="2955"/>
      <c r="AI23" s="2955">
        <v>86</v>
      </c>
      <c r="AJ23" s="2955">
        <v>77</v>
      </c>
      <c r="AK23" s="2955">
        <f t="shared" si="1"/>
        <v>163</v>
      </c>
      <c r="AL23" s="2955">
        <f t="shared" si="2"/>
        <v>5.5906585778464128</v>
      </c>
      <c r="AM23" s="2981" t="s">
        <v>141</v>
      </c>
      <c r="AN23" s="2957"/>
      <c r="AP23" s="2992"/>
    </row>
    <row r="24" spans="1:53" s="2989" customFormat="1" ht="33.75" customHeight="1">
      <c r="A24" s="2440">
        <v>13</v>
      </c>
      <c r="B24" s="2440">
        <v>13</v>
      </c>
      <c r="C24" s="2990" t="s">
        <v>552</v>
      </c>
      <c r="D24" s="2991"/>
      <c r="E24" s="2991" t="s">
        <v>451</v>
      </c>
      <c r="F24" s="2955"/>
      <c r="G24" s="2955"/>
      <c r="H24" s="2955"/>
      <c r="I24" s="2955"/>
      <c r="J24" s="2955"/>
      <c r="K24" s="2955"/>
      <c r="L24" s="2955"/>
      <c r="M24" s="2955"/>
      <c r="N24" s="2955"/>
      <c r="O24" s="2955"/>
      <c r="P24" s="2955"/>
      <c r="Q24" s="2955"/>
      <c r="R24" s="2955"/>
      <c r="S24" s="2955"/>
      <c r="T24" s="2955"/>
      <c r="U24" s="2955"/>
      <c r="V24" s="2955"/>
      <c r="W24" s="2955"/>
      <c r="X24" s="2955"/>
      <c r="Y24" s="2955"/>
      <c r="Z24" s="2955"/>
      <c r="AA24" s="2955"/>
      <c r="AB24" s="2955"/>
      <c r="AC24" s="2955"/>
      <c r="AD24" s="2955"/>
      <c r="AE24" s="2955"/>
      <c r="AF24" s="2955"/>
      <c r="AG24" s="2955"/>
      <c r="AH24" s="2955"/>
      <c r="AI24" s="2955">
        <v>63</v>
      </c>
      <c r="AJ24" s="2955">
        <v>31</v>
      </c>
      <c r="AK24" s="2955">
        <f t="shared" si="1"/>
        <v>94</v>
      </c>
      <c r="AL24" s="2955">
        <f t="shared" si="2"/>
        <v>3.2240607749543728</v>
      </c>
      <c r="AM24" s="2981" t="s">
        <v>141</v>
      </c>
      <c r="AN24" s="2957"/>
      <c r="AP24" s="2992"/>
    </row>
    <row r="25" spans="1:53" s="2989" customFormat="1" ht="33.75" customHeight="1">
      <c r="A25" s="2440">
        <v>14</v>
      </c>
      <c r="B25" s="2440">
        <v>14</v>
      </c>
      <c r="C25" s="2990" t="s">
        <v>1526</v>
      </c>
      <c r="D25" s="2991"/>
      <c r="E25" s="2991" t="s">
        <v>451</v>
      </c>
      <c r="F25" s="2955"/>
      <c r="G25" s="2955"/>
      <c r="H25" s="2955"/>
      <c r="I25" s="2955"/>
      <c r="J25" s="2955"/>
      <c r="K25" s="2955"/>
      <c r="L25" s="2955"/>
      <c r="M25" s="2955"/>
      <c r="N25" s="2955"/>
      <c r="O25" s="2955"/>
      <c r="P25" s="2955"/>
      <c r="Q25" s="2955"/>
      <c r="R25" s="2955"/>
      <c r="S25" s="2955"/>
      <c r="T25" s="2955"/>
      <c r="U25" s="2955"/>
      <c r="V25" s="2955"/>
      <c r="W25" s="2955"/>
      <c r="X25" s="2955"/>
      <c r="Y25" s="2955"/>
      <c r="Z25" s="2955"/>
      <c r="AA25" s="2955"/>
      <c r="AB25" s="2955"/>
      <c r="AC25" s="2955"/>
      <c r="AD25" s="2955"/>
      <c r="AE25" s="2955"/>
      <c r="AF25" s="2955"/>
      <c r="AG25" s="2955"/>
      <c r="AH25" s="2955"/>
      <c r="AI25" s="2955">
        <v>0</v>
      </c>
      <c r="AJ25" s="2955">
        <v>79</v>
      </c>
      <c r="AK25" s="2955">
        <f t="shared" si="1"/>
        <v>79</v>
      </c>
      <c r="AL25" s="2955">
        <f t="shared" si="2"/>
        <v>2.7095829917169731</v>
      </c>
      <c r="AM25" s="2981" t="s">
        <v>141</v>
      </c>
      <c r="AN25" s="2957"/>
      <c r="AP25" s="2992"/>
    </row>
    <row r="26" spans="1:53" s="2989" customFormat="1" ht="33.75" customHeight="1">
      <c r="A26" s="2440">
        <v>15</v>
      </c>
      <c r="B26" s="2440">
        <v>15</v>
      </c>
      <c r="C26" s="2990" t="s">
        <v>1236</v>
      </c>
      <c r="D26" s="2991"/>
      <c r="E26" s="2991" t="s">
        <v>451</v>
      </c>
      <c r="F26" s="2955"/>
      <c r="G26" s="2955"/>
      <c r="H26" s="2955"/>
      <c r="I26" s="2955"/>
      <c r="J26" s="2955"/>
      <c r="K26" s="2955"/>
      <c r="L26" s="2955"/>
      <c r="M26" s="2955"/>
      <c r="N26" s="2955"/>
      <c r="O26" s="2955"/>
      <c r="P26" s="2955"/>
      <c r="Q26" s="2955"/>
      <c r="R26" s="2955"/>
      <c r="S26" s="2955"/>
      <c r="T26" s="2955"/>
      <c r="U26" s="2955"/>
      <c r="V26" s="2955"/>
      <c r="W26" s="2955"/>
      <c r="X26" s="2955"/>
      <c r="Y26" s="2955"/>
      <c r="Z26" s="2955"/>
      <c r="AA26" s="2955"/>
      <c r="AB26" s="2955"/>
      <c r="AC26" s="2955"/>
      <c r="AD26" s="2955"/>
      <c r="AE26" s="2955"/>
      <c r="AF26" s="2955"/>
      <c r="AG26" s="2955"/>
      <c r="AH26" s="2955"/>
      <c r="AI26" s="2955">
        <v>0</v>
      </c>
      <c r="AJ26" s="2955">
        <v>80</v>
      </c>
      <c r="AK26" s="2955">
        <f t="shared" si="1"/>
        <v>80</v>
      </c>
      <c r="AL26" s="2955">
        <f t="shared" si="2"/>
        <v>2.7438815105994663</v>
      </c>
      <c r="AM26" s="2981" t="s">
        <v>141</v>
      </c>
      <c r="AN26" s="2957"/>
      <c r="AP26" s="2992"/>
    </row>
    <row r="27" spans="1:53" s="2989" customFormat="1" ht="33.75" customHeight="1">
      <c r="A27" s="2440">
        <v>16</v>
      </c>
      <c r="B27" s="2440">
        <v>16</v>
      </c>
      <c r="C27" s="2990" t="s">
        <v>1676</v>
      </c>
      <c r="D27" s="2991"/>
      <c r="E27" s="2991" t="s">
        <v>451</v>
      </c>
      <c r="F27" s="2955"/>
      <c r="G27" s="2955"/>
      <c r="H27" s="2955"/>
      <c r="I27" s="2955"/>
      <c r="J27" s="2955"/>
      <c r="K27" s="2955"/>
      <c r="L27" s="2955"/>
      <c r="M27" s="2955"/>
      <c r="N27" s="2955"/>
      <c r="O27" s="2955"/>
      <c r="P27" s="2955"/>
      <c r="Q27" s="2955"/>
      <c r="R27" s="2955"/>
      <c r="S27" s="2955"/>
      <c r="T27" s="2955"/>
      <c r="U27" s="2955"/>
      <c r="V27" s="2955"/>
      <c r="W27" s="2955"/>
      <c r="X27" s="2955"/>
      <c r="Y27" s="2955"/>
      <c r="Z27" s="2955"/>
      <c r="AA27" s="2955"/>
      <c r="AB27" s="2955"/>
      <c r="AC27" s="2955"/>
      <c r="AD27" s="2955"/>
      <c r="AE27" s="2955"/>
      <c r="AF27" s="2955"/>
      <c r="AG27" s="2955"/>
      <c r="AH27" s="2955"/>
      <c r="AI27" s="2955">
        <v>38</v>
      </c>
      <c r="AJ27" s="2955">
        <v>39</v>
      </c>
      <c r="AK27" s="2955">
        <f t="shared" si="1"/>
        <v>77</v>
      </c>
      <c r="AL27" s="2955">
        <f t="shared" si="2"/>
        <v>2.6409859539519864</v>
      </c>
      <c r="AM27" s="2981" t="s">
        <v>141</v>
      </c>
      <c r="AN27" s="2957"/>
      <c r="AP27" s="2992"/>
    </row>
    <row r="28" spans="1:53" s="2989" customFormat="1" ht="33.75" customHeight="1">
      <c r="A28" s="2440">
        <v>17</v>
      </c>
      <c r="B28" s="2440">
        <v>17</v>
      </c>
      <c r="C28" s="2990" t="s">
        <v>1557</v>
      </c>
      <c r="D28" s="2991"/>
      <c r="E28" s="2991" t="s">
        <v>451</v>
      </c>
      <c r="F28" s="2955"/>
      <c r="G28" s="2955"/>
      <c r="H28" s="2955"/>
      <c r="I28" s="2955"/>
      <c r="J28" s="2955"/>
      <c r="K28" s="2955"/>
      <c r="L28" s="2955"/>
      <c r="M28" s="2955"/>
      <c r="N28" s="2955"/>
      <c r="O28" s="2955"/>
      <c r="P28" s="2955"/>
      <c r="Q28" s="2955"/>
      <c r="R28" s="2955"/>
      <c r="S28" s="2955"/>
      <c r="T28" s="2955"/>
      <c r="U28" s="2955"/>
      <c r="V28" s="2955"/>
      <c r="W28" s="2955"/>
      <c r="X28" s="2955"/>
      <c r="Y28" s="2955"/>
      <c r="Z28" s="2955"/>
      <c r="AA28" s="2955"/>
      <c r="AB28" s="2955"/>
      <c r="AC28" s="2955"/>
      <c r="AD28" s="2955"/>
      <c r="AE28" s="2955"/>
      <c r="AF28" s="2955"/>
      <c r="AG28" s="2955"/>
      <c r="AH28" s="2955"/>
      <c r="AI28" s="2955">
        <v>50</v>
      </c>
      <c r="AJ28" s="2955">
        <v>77</v>
      </c>
      <c r="AK28" s="2955">
        <f t="shared" si="1"/>
        <v>127</v>
      </c>
      <c r="AL28" s="2955">
        <f t="shared" si="2"/>
        <v>4.3559118980766529</v>
      </c>
      <c r="AM28" s="2981" t="s">
        <v>141</v>
      </c>
      <c r="AN28" s="2957"/>
      <c r="AP28" s="2992"/>
    </row>
    <row r="29" spans="1:53" s="2989" customFormat="1" ht="33.75" customHeight="1">
      <c r="A29" s="2440">
        <v>18</v>
      </c>
      <c r="B29" s="2440">
        <v>18</v>
      </c>
      <c r="C29" s="2990" t="s">
        <v>1558</v>
      </c>
      <c r="D29" s="2991"/>
      <c r="E29" s="2991" t="s">
        <v>451</v>
      </c>
      <c r="F29" s="2955"/>
      <c r="G29" s="2955"/>
      <c r="H29" s="2955"/>
      <c r="I29" s="2955"/>
      <c r="J29" s="2955"/>
      <c r="K29" s="2955"/>
      <c r="L29" s="2955"/>
      <c r="M29" s="2955"/>
      <c r="N29" s="2955"/>
      <c r="O29" s="2955"/>
      <c r="P29" s="2955"/>
      <c r="Q29" s="2955"/>
      <c r="R29" s="2955"/>
      <c r="S29" s="2955"/>
      <c r="T29" s="2955"/>
      <c r="U29" s="2955"/>
      <c r="V29" s="2955"/>
      <c r="W29" s="2955"/>
      <c r="X29" s="2955"/>
      <c r="Y29" s="2955"/>
      <c r="Z29" s="2955"/>
      <c r="AA29" s="2955"/>
      <c r="AB29" s="2955"/>
      <c r="AC29" s="2955"/>
      <c r="AD29" s="2955"/>
      <c r="AE29" s="2955"/>
      <c r="AF29" s="2955"/>
      <c r="AG29" s="2955"/>
      <c r="AH29" s="2955"/>
      <c r="AI29" s="2955">
        <v>103</v>
      </c>
      <c r="AJ29" s="2955">
        <v>62</v>
      </c>
      <c r="AK29" s="2955">
        <f t="shared" si="1"/>
        <v>165</v>
      </c>
      <c r="AL29" s="2955">
        <f t="shared" si="2"/>
        <v>5.6592556156113991</v>
      </c>
      <c r="AM29" s="2981" t="s">
        <v>141</v>
      </c>
      <c r="AN29" s="2957"/>
      <c r="AP29" s="2992"/>
    </row>
    <row r="30" spans="1:53" s="2989" customFormat="1" ht="33.75" customHeight="1">
      <c r="A30" s="2440">
        <v>19</v>
      </c>
      <c r="B30" s="2440">
        <v>19</v>
      </c>
      <c r="C30" s="2990" t="s">
        <v>1524</v>
      </c>
      <c r="D30" s="2991"/>
      <c r="E30" s="2991" t="s">
        <v>451</v>
      </c>
      <c r="F30" s="2955"/>
      <c r="G30" s="2955"/>
      <c r="H30" s="2955"/>
      <c r="I30" s="2955"/>
      <c r="J30" s="2955"/>
      <c r="K30" s="2955"/>
      <c r="L30" s="2955"/>
      <c r="M30" s="2955"/>
      <c r="N30" s="2955"/>
      <c r="O30" s="2955"/>
      <c r="P30" s="2955"/>
      <c r="Q30" s="2955"/>
      <c r="R30" s="2955"/>
      <c r="S30" s="2955"/>
      <c r="T30" s="2955"/>
      <c r="U30" s="2955"/>
      <c r="V30" s="2955"/>
      <c r="W30" s="2955"/>
      <c r="X30" s="2955"/>
      <c r="Y30" s="2955"/>
      <c r="Z30" s="2955"/>
      <c r="AA30" s="2955"/>
      <c r="AB30" s="2955"/>
      <c r="AC30" s="2955"/>
      <c r="AD30" s="2955"/>
      <c r="AE30" s="2955"/>
      <c r="AF30" s="2955"/>
      <c r="AG30" s="2955"/>
      <c r="AH30" s="2955"/>
      <c r="AI30" s="2955">
        <v>64</v>
      </c>
      <c r="AJ30" s="2955">
        <v>50</v>
      </c>
      <c r="AK30" s="2955">
        <f t="shared" si="1"/>
        <v>114</v>
      </c>
      <c r="AL30" s="2955">
        <f t="shared" si="2"/>
        <v>3.9100311526042395</v>
      </c>
      <c r="AM30" s="2981" t="s">
        <v>141</v>
      </c>
      <c r="AN30" s="2957"/>
      <c r="AP30" s="2992"/>
    </row>
    <row r="31" spans="1:53" s="2989" customFormat="1" ht="33.75" customHeight="1">
      <c r="A31" s="2440">
        <v>20</v>
      </c>
      <c r="B31" s="2440">
        <v>20</v>
      </c>
      <c r="C31" s="2990" t="s">
        <v>289</v>
      </c>
      <c r="D31" s="2991"/>
      <c r="E31" s="2991" t="s">
        <v>451</v>
      </c>
      <c r="F31" s="2955"/>
      <c r="G31" s="2955"/>
      <c r="H31" s="2955"/>
      <c r="I31" s="2955"/>
      <c r="J31" s="2955"/>
      <c r="K31" s="2955"/>
      <c r="L31" s="2955"/>
      <c r="M31" s="2955"/>
      <c r="N31" s="2955"/>
      <c r="O31" s="2955"/>
      <c r="P31" s="2955"/>
      <c r="Q31" s="2955"/>
      <c r="R31" s="2955"/>
      <c r="S31" s="2955"/>
      <c r="T31" s="2955"/>
      <c r="U31" s="2955"/>
      <c r="V31" s="2955"/>
      <c r="W31" s="2955"/>
      <c r="X31" s="2955"/>
      <c r="Y31" s="2955"/>
      <c r="Z31" s="2955"/>
      <c r="AA31" s="2955"/>
      <c r="AB31" s="2955"/>
      <c r="AC31" s="2955"/>
      <c r="AD31" s="2955"/>
      <c r="AE31" s="2955"/>
      <c r="AF31" s="2955"/>
      <c r="AG31" s="2955"/>
      <c r="AH31" s="2955"/>
      <c r="AI31" s="2955">
        <v>40</v>
      </c>
      <c r="AJ31" s="2955">
        <v>100</v>
      </c>
      <c r="AK31" s="2955">
        <f t="shared" si="1"/>
        <v>140</v>
      </c>
      <c r="AL31" s="2955">
        <f t="shared" si="2"/>
        <v>4.8017926435490663</v>
      </c>
      <c r="AM31" s="2981" t="s">
        <v>138</v>
      </c>
      <c r="AN31" s="2957"/>
      <c r="AP31" s="2992"/>
    </row>
    <row r="32" spans="1:53" s="2989" customFormat="1" ht="33.75" customHeight="1">
      <c r="A32" s="2440">
        <v>21</v>
      </c>
      <c r="B32" s="2440">
        <v>21</v>
      </c>
      <c r="C32" s="2990" t="s">
        <v>1678</v>
      </c>
      <c r="D32" s="2991"/>
      <c r="E32" s="2991" t="s">
        <v>451</v>
      </c>
      <c r="F32" s="2955"/>
      <c r="G32" s="2955"/>
      <c r="H32" s="2955"/>
      <c r="I32" s="2955"/>
      <c r="J32" s="2955"/>
      <c r="K32" s="2955"/>
      <c r="L32" s="2955"/>
      <c r="M32" s="2955"/>
      <c r="N32" s="2955"/>
      <c r="O32" s="2955"/>
      <c r="P32" s="2955"/>
      <c r="Q32" s="2955"/>
      <c r="R32" s="2955"/>
      <c r="S32" s="2955"/>
      <c r="T32" s="2955"/>
      <c r="U32" s="2955"/>
      <c r="V32" s="2955"/>
      <c r="W32" s="2955"/>
      <c r="X32" s="2955"/>
      <c r="Y32" s="2955"/>
      <c r="Z32" s="2955"/>
      <c r="AA32" s="2955"/>
      <c r="AB32" s="2955"/>
      <c r="AC32" s="2955"/>
      <c r="AD32" s="2955"/>
      <c r="AE32" s="2955"/>
      <c r="AF32" s="2955"/>
      <c r="AG32" s="2955"/>
      <c r="AH32" s="2955"/>
      <c r="AI32" s="2955">
        <v>48</v>
      </c>
      <c r="AJ32" s="2955">
        <v>78</v>
      </c>
      <c r="AK32" s="2955">
        <f t="shared" si="1"/>
        <v>126</v>
      </c>
      <c r="AL32" s="2955">
        <f t="shared" si="2"/>
        <v>4.3216133791941598</v>
      </c>
      <c r="AM32" s="2981" t="s">
        <v>141</v>
      </c>
      <c r="AN32" s="2957"/>
      <c r="AP32" s="2992"/>
    </row>
    <row r="33" spans="1:49" s="2989" customFormat="1" ht="33.75" customHeight="1">
      <c r="A33" s="2440">
        <v>22</v>
      </c>
      <c r="B33" s="2440">
        <v>22</v>
      </c>
      <c r="C33" s="2990" t="s">
        <v>1528</v>
      </c>
      <c r="D33" s="2991"/>
      <c r="E33" s="2991" t="s">
        <v>451</v>
      </c>
      <c r="F33" s="2955"/>
      <c r="G33" s="2955"/>
      <c r="H33" s="2955"/>
      <c r="I33" s="2955"/>
      <c r="J33" s="2955"/>
      <c r="K33" s="2955"/>
      <c r="L33" s="2955"/>
      <c r="M33" s="2955"/>
      <c r="N33" s="2955"/>
      <c r="O33" s="2955"/>
      <c r="P33" s="2955"/>
      <c r="Q33" s="2955"/>
      <c r="R33" s="2955"/>
      <c r="S33" s="2955"/>
      <c r="T33" s="2955"/>
      <c r="U33" s="2955"/>
      <c r="V33" s="2955"/>
      <c r="W33" s="2955"/>
      <c r="X33" s="2955"/>
      <c r="Y33" s="2955"/>
      <c r="Z33" s="2955"/>
      <c r="AA33" s="2955"/>
      <c r="AB33" s="2955"/>
      <c r="AC33" s="2955"/>
      <c r="AD33" s="2955"/>
      <c r="AE33" s="2955"/>
      <c r="AF33" s="2955"/>
      <c r="AG33" s="2955"/>
      <c r="AH33" s="2955"/>
      <c r="AI33" s="2955">
        <v>0</v>
      </c>
      <c r="AJ33" s="2955">
        <v>110</v>
      </c>
      <c r="AK33" s="2955">
        <f t="shared" si="1"/>
        <v>110</v>
      </c>
      <c r="AL33" s="2955">
        <f t="shared" si="2"/>
        <v>3.7728370770742661</v>
      </c>
      <c r="AM33" s="2981" t="s">
        <v>141</v>
      </c>
      <c r="AN33" s="2957"/>
      <c r="AP33" s="2992"/>
    </row>
    <row r="34" spans="1:49" s="2989" customFormat="1" ht="33.75" customHeight="1">
      <c r="A34" s="2440">
        <v>23</v>
      </c>
      <c r="B34" s="2440">
        <v>23</v>
      </c>
      <c r="C34" s="2990" t="s">
        <v>1679</v>
      </c>
      <c r="D34" s="2991"/>
      <c r="E34" s="2991" t="s">
        <v>451</v>
      </c>
      <c r="F34" s="2955"/>
      <c r="G34" s="2955"/>
      <c r="H34" s="2955"/>
      <c r="I34" s="2955"/>
      <c r="J34" s="2955"/>
      <c r="K34" s="2955"/>
      <c r="L34" s="2955"/>
      <c r="M34" s="2955"/>
      <c r="N34" s="2955"/>
      <c r="O34" s="2955"/>
      <c r="P34" s="2955"/>
      <c r="Q34" s="2955"/>
      <c r="R34" s="2955"/>
      <c r="S34" s="2955"/>
      <c r="T34" s="2955"/>
      <c r="U34" s="2955"/>
      <c r="V34" s="2955"/>
      <c r="W34" s="2955"/>
      <c r="X34" s="2955"/>
      <c r="Y34" s="2955"/>
      <c r="Z34" s="2955"/>
      <c r="AA34" s="2955"/>
      <c r="AB34" s="2955"/>
      <c r="AC34" s="2955"/>
      <c r="AD34" s="2955"/>
      <c r="AE34" s="2955"/>
      <c r="AF34" s="2955"/>
      <c r="AG34" s="2955"/>
      <c r="AH34" s="2955"/>
      <c r="AI34" s="2955">
        <v>28</v>
      </c>
      <c r="AJ34" s="2955">
        <v>63</v>
      </c>
      <c r="AK34" s="2955">
        <f t="shared" si="1"/>
        <v>91</v>
      </c>
      <c r="AL34" s="2955">
        <f t="shared" si="2"/>
        <v>3.121165218306893</v>
      </c>
      <c r="AM34" s="2981" t="s">
        <v>141</v>
      </c>
      <c r="AN34" s="2957"/>
      <c r="AP34" s="2992"/>
      <c r="AQ34" s="2989">
        <f>+COUNTIF(AM12:AM40,"A")</f>
        <v>26</v>
      </c>
    </row>
    <row r="35" spans="1:49" s="2989" customFormat="1" ht="33.75" customHeight="1">
      <c r="A35" s="2440">
        <v>24</v>
      </c>
      <c r="B35" s="2440">
        <v>24</v>
      </c>
      <c r="C35" s="2990" t="s">
        <v>1529</v>
      </c>
      <c r="D35" s="2991"/>
      <c r="E35" s="2991" t="s">
        <v>451</v>
      </c>
      <c r="F35" s="2955"/>
      <c r="G35" s="2955"/>
      <c r="H35" s="2955"/>
      <c r="I35" s="2955"/>
      <c r="J35" s="2955"/>
      <c r="K35" s="2955"/>
      <c r="L35" s="2955"/>
      <c r="M35" s="2955"/>
      <c r="N35" s="2955"/>
      <c r="O35" s="2955"/>
      <c r="P35" s="2955"/>
      <c r="Q35" s="2955"/>
      <c r="R35" s="2955"/>
      <c r="S35" s="2955"/>
      <c r="T35" s="2955"/>
      <c r="U35" s="2955"/>
      <c r="V35" s="2955"/>
      <c r="W35" s="2955"/>
      <c r="X35" s="2955"/>
      <c r="Y35" s="2955"/>
      <c r="Z35" s="2955"/>
      <c r="AA35" s="2955"/>
      <c r="AB35" s="2955"/>
      <c r="AC35" s="2955"/>
      <c r="AD35" s="2955"/>
      <c r="AE35" s="2955"/>
      <c r="AF35" s="2955"/>
      <c r="AG35" s="2955"/>
      <c r="AH35" s="2955"/>
      <c r="AI35" s="2955">
        <v>41</v>
      </c>
      <c r="AJ35" s="2955">
        <v>62</v>
      </c>
      <c r="AK35" s="2955">
        <f t="shared" si="1"/>
        <v>103</v>
      </c>
      <c r="AL35" s="2955">
        <f t="shared" si="2"/>
        <v>3.5327474448968128</v>
      </c>
      <c r="AM35" s="2981" t="s">
        <v>141</v>
      </c>
      <c r="AN35" s="2957"/>
      <c r="AP35" s="2992"/>
    </row>
    <row r="36" spans="1:49" s="2989" customFormat="1" ht="33.75" customHeight="1">
      <c r="A36" s="2440">
        <v>25</v>
      </c>
      <c r="B36" s="2440">
        <v>25</v>
      </c>
      <c r="C36" s="2990" t="s">
        <v>1487</v>
      </c>
      <c r="D36" s="2991"/>
      <c r="E36" s="2991" t="s">
        <v>451</v>
      </c>
      <c r="F36" s="2955"/>
      <c r="G36" s="2955"/>
      <c r="H36" s="2955"/>
      <c r="I36" s="2955"/>
      <c r="J36" s="2955"/>
      <c r="K36" s="2955"/>
      <c r="L36" s="2955"/>
      <c r="M36" s="2955"/>
      <c r="N36" s="2955"/>
      <c r="O36" s="2955"/>
      <c r="P36" s="2955"/>
      <c r="Q36" s="2955"/>
      <c r="R36" s="2955"/>
      <c r="S36" s="2955"/>
      <c r="T36" s="2955"/>
      <c r="U36" s="2955"/>
      <c r="V36" s="2955"/>
      <c r="W36" s="2955"/>
      <c r="X36" s="2955"/>
      <c r="Y36" s="2955"/>
      <c r="Z36" s="2955"/>
      <c r="AA36" s="2955"/>
      <c r="AB36" s="2955"/>
      <c r="AC36" s="2955"/>
      <c r="AD36" s="2955"/>
      <c r="AE36" s="2955"/>
      <c r="AF36" s="2955"/>
      <c r="AG36" s="2955"/>
      <c r="AH36" s="2955"/>
      <c r="AI36" s="2955">
        <v>0</v>
      </c>
      <c r="AJ36" s="2955">
        <v>55</v>
      </c>
      <c r="AK36" s="2955">
        <f t="shared" si="1"/>
        <v>55</v>
      </c>
      <c r="AL36" s="2955">
        <f t="shared" si="2"/>
        <v>1.886418538537133</v>
      </c>
      <c r="AM36" s="2981" t="s">
        <v>141</v>
      </c>
      <c r="AN36" s="2957"/>
      <c r="AP36" s="2992"/>
    </row>
    <row r="37" spans="1:49" s="2989" customFormat="1" ht="33.75" customHeight="1">
      <c r="A37" s="2440">
        <v>26</v>
      </c>
      <c r="B37" s="2440">
        <v>26</v>
      </c>
      <c r="C37" s="2990" t="s">
        <v>1559</v>
      </c>
      <c r="D37" s="2991"/>
      <c r="E37" s="2991" t="s">
        <v>451</v>
      </c>
      <c r="F37" s="2955"/>
      <c r="G37" s="2955"/>
      <c r="H37" s="2955"/>
      <c r="I37" s="2955"/>
      <c r="J37" s="2955"/>
      <c r="K37" s="2955"/>
      <c r="L37" s="2955"/>
      <c r="M37" s="2955"/>
      <c r="N37" s="2955"/>
      <c r="O37" s="2955"/>
      <c r="P37" s="2955"/>
      <c r="Q37" s="2955"/>
      <c r="R37" s="2955"/>
      <c r="S37" s="2955"/>
      <c r="T37" s="2955"/>
      <c r="U37" s="2955"/>
      <c r="V37" s="2955"/>
      <c r="W37" s="2955"/>
      <c r="X37" s="2955"/>
      <c r="Y37" s="2955"/>
      <c r="Z37" s="2955"/>
      <c r="AA37" s="2955"/>
      <c r="AB37" s="2955"/>
      <c r="AC37" s="2955"/>
      <c r="AD37" s="2955"/>
      <c r="AE37" s="2955"/>
      <c r="AF37" s="2955"/>
      <c r="AG37" s="2955"/>
      <c r="AH37" s="2955"/>
      <c r="AI37" s="2955">
        <v>45</v>
      </c>
      <c r="AJ37" s="2955">
        <v>50</v>
      </c>
      <c r="AK37" s="2955">
        <f t="shared" si="1"/>
        <v>95</v>
      </c>
      <c r="AL37" s="2955">
        <f t="shared" si="2"/>
        <v>3.2583592938368664</v>
      </c>
      <c r="AM37" s="2981" t="s">
        <v>141</v>
      </c>
      <c r="AN37" s="2957"/>
      <c r="AP37" s="2992"/>
    </row>
    <row r="38" spans="1:49" s="2989" customFormat="1" ht="33.75" customHeight="1">
      <c r="A38" s="2440">
        <v>27</v>
      </c>
      <c r="B38" s="2440">
        <v>27</v>
      </c>
      <c r="C38" s="2990" t="s">
        <v>1238</v>
      </c>
      <c r="D38" s="2991"/>
      <c r="E38" s="2991" t="s">
        <v>451</v>
      </c>
      <c r="F38" s="2955"/>
      <c r="G38" s="2955"/>
      <c r="H38" s="2955"/>
      <c r="I38" s="2955"/>
      <c r="J38" s="2955"/>
      <c r="K38" s="2955"/>
      <c r="L38" s="2955"/>
      <c r="M38" s="2955"/>
      <c r="N38" s="2955"/>
      <c r="O38" s="2955"/>
      <c r="P38" s="2955"/>
      <c r="Q38" s="2955"/>
      <c r="R38" s="2955"/>
      <c r="S38" s="2955"/>
      <c r="T38" s="2955"/>
      <c r="U38" s="2955"/>
      <c r="V38" s="2955"/>
      <c r="W38" s="2955"/>
      <c r="X38" s="2955"/>
      <c r="Y38" s="2955"/>
      <c r="Z38" s="2955"/>
      <c r="AA38" s="2955"/>
      <c r="AB38" s="2955"/>
      <c r="AC38" s="2955"/>
      <c r="AD38" s="2955"/>
      <c r="AE38" s="2955"/>
      <c r="AF38" s="2955"/>
      <c r="AG38" s="2955"/>
      <c r="AH38" s="2955"/>
      <c r="AI38" s="2955">
        <v>44</v>
      </c>
      <c r="AJ38" s="2955">
        <v>67</v>
      </c>
      <c r="AK38" s="2955">
        <f t="shared" si="1"/>
        <v>111</v>
      </c>
      <c r="AL38" s="2955">
        <f t="shared" si="2"/>
        <v>3.8071355959567597</v>
      </c>
      <c r="AM38" s="2956" t="s">
        <v>141</v>
      </c>
      <c r="AN38" s="2957"/>
      <c r="AP38" s="2992"/>
    </row>
    <row r="39" spans="1:49" s="2989" customFormat="1" ht="33.75" customHeight="1">
      <c r="A39" s="2440">
        <v>28</v>
      </c>
      <c r="B39" s="2440">
        <v>28</v>
      </c>
      <c r="C39" s="2990" t="s">
        <v>1488</v>
      </c>
      <c r="D39" s="2991"/>
      <c r="E39" s="2991" t="s">
        <v>451</v>
      </c>
      <c r="F39" s="2955"/>
      <c r="G39" s="2955"/>
      <c r="H39" s="2955"/>
      <c r="I39" s="2955"/>
      <c r="J39" s="2955"/>
      <c r="K39" s="2955"/>
      <c r="L39" s="2955"/>
      <c r="M39" s="2955"/>
      <c r="N39" s="2955"/>
      <c r="O39" s="2955"/>
      <c r="P39" s="2955"/>
      <c r="Q39" s="2955"/>
      <c r="R39" s="2955"/>
      <c r="S39" s="2955"/>
      <c r="T39" s="2955"/>
      <c r="U39" s="2955"/>
      <c r="V39" s="2955"/>
      <c r="W39" s="2955"/>
      <c r="X39" s="2955"/>
      <c r="Y39" s="2955"/>
      <c r="Z39" s="2955"/>
      <c r="AA39" s="2955"/>
      <c r="AB39" s="2955"/>
      <c r="AC39" s="2955"/>
      <c r="AD39" s="2955"/>
      <c r="AE39" s="2955"/>
      <c r="AF39" s="2955"/>
      <c r="AG39" s="2955"/>
      <c r="AH39" s="2955"/>
      <c r="AI39" s="2955">
        <v>31</v>
      </c>
      <c r="AJ39" s="2955">
        <v>52</v>
      </c>
      <c r="AK39" s="2955">
        <f t="shared" si="1"/>
        <v>83</v>
      </c>
      <c r="AL39" s="2955">
        <f t="shared" si="2"/>
        <v>2.8467770672469461</v>
      </c>
      <c r="AM39" s="2981" t="s">
        <v>141</v>
      </c>
      <c r="AN39" s="2957"/>
      <c r="AP39" s="2992"/>
    </row>
    <row r="40" spans="1:49" s="2989" customFormat="1" ht="33.75" customHeight="1">
      <c r="A40" s="2440">
        <v>29</v>
      </c>
      <c r="B40" s="2440">
        <v>29</v>
      </c>
      <c r="C40" s="2990" t="s">
        <v>1680</v>
      </c>
      <c r="D40" s="2991"/>
      <c r="E40" s="2991" t="s">
        <v>451</v>
      </c>
      <c r="F40" s="2955"/>
      <c r="G40" s="2955"/>
      <c r="H40" s="2955"/>
      <c r="I40" s="2955"/>
      <c r="J40" s="2955"/>
      <c r="K40" s="2955"/>
      <c r="L40" s="2955"/>
      <c r="M40" s="2955"/>
      <c r="N40" s="2955"/>
      <c r="O40" s="2955"/>
      <c r="P40" s="2955"/>
      <c r="Q40" s="2955"/>
      <c r="R40" s="2955"/>
      <c r="S40" s="2955"/>
      <c r="T40" s="2955"/>
      <c r="U40" s="2955"/>
      <c r="V40" s="2955"/>
      <c r="W40" s="2955"/>
      <c r="X40" s="2955"/>
      <c r="Y40" s="2955"/>
      <c r="Z40" s="2955"/>
      <c r="AA40" s="2955"/>
      <c r="AB40" s="2955"/>
      <c r="AC40" s="2955"/>
      <c r="AD40" s="2955"/>
      <c r="AE40" s="2955"/>
      <c r="AF40" s="2955"/>
      <c r="AG40" s="2955"/>
      <c r="AH40" s="2955"/>
      <c r="AI40" s="2955">
        <v>63</v>
      </c>
      <c r="AJ40" s="2955">
        <v>100</v>
      </c>
      <c r="AK40" s="2955">
        <f t="shared" si="1"/>
        <v>163</v>
      </c>
      <c r="AL40" s="2955">
        <f t="shared" si="2"/>
        <v>5.5906585778464128</v>
      </c>
      <c r="AM40" s="2981" t="s">
        <v>141</v>
      </c>
      <c r="AN40" s="2957"/>
      <c r="AP40" s="2992"/>
    </row>
    <row r="41" spans="1:49" s="2989" customFormat="1" ht="33.75" customHeight="1">
      <c r="A41" s="2987" t="s">
        <v>138</v>
      </c>
      <c r="B41" s="4772" t="s">
        <v>1863</v>
      </c>
      <c r="C41" s="4773"/>
      <c r="D41" s="2987"/>
      <c r="E41" s="2987"/>
      <c r="F41" s="2952">
        <f t="shared" ref="F41:AM41" si="3">SUBTOTAL(9,F42:F57)</f>
        <v>0</v>
      </c>
      <c r="G41" s="2952">
        <f t="shared" si="3"/>
        <v>0</v>
      </c>
      <c r="H41" s="2952">
        <f t="shared" si="3"/>
        <v>0</v>
      </c>
      <c r="I41" s="2952">
        <f t="shared" si="3"/>
        <v>0</v>
      </c>
      <c r="J41" s="2952">
        <f t="shared" si="3"/>
        <v>0</v>
      </c>
      <c r="K41" s="2952">
        <f t="shared" si="3"/>
        <v>0</v>
      </c>
      <c r="L41" s="2952">
        <f t="shared" si="3"/>
        <v>0</v>
      </c>
      <c r="M41" s="2952">
        <f t="shared" si="3"/>
        <v>0</v>
      </c>
      <c r="N41" s="2952">
        <f t="shared" si="3"/>
        <v>0</v>
      </c>
      <c r="O41" s="2952">
        <f t="shared" si="3"/>
        <v>0</v>
      </c>
      <c r="P41" s="2952">
        <f t="shared" si="3"/>
        <v>0</v>
      </c>
      <c r="Q41" s="2952">
        <f t="shared" si="3"/>
        <v>0</v>
      </c>
      <c r="R41" s="2952">
        <f t="shared" si="3"/>
        <v>0</v>
      </c>
      <c r="S41" s="2952">
        <f t="shared" si="3"/>
        <v>0</v>
      </c>
      <c r="T41" s="2952">
        <f t="shared" si="3"/>
        <v>0</v>
      </c>
      <c r="U41" s="2952">
        <f t="shared" si="3"/>
        <v>0</v>
      </c>
      <c r="V41" s="2952">
        <f t="shared" si="3"/>
        <v>0</v>
      </c>
      <c r="W41" s="2952">
        <f t="shared" si="3"/>
        <v>0</v>
      </c>
      <c r="X41" s="2952">
        <f t="shared" si="3"/>
        <v>0</v>
      </c>
      <c r="Y41" s="2952">
        <f t="shared" si="3"/>
        <v>0</v>
      </c>
      <c r="Z41" s="2952">
        <f t="shared" si="3"/>
        <v>0</v>
      </c>
      <c r="AA41" s="2952">
        <f t="shared" si="3"/>
        <v>0</v>
      </c>
      <c r="AB41" s="2952">
        <f t="shared" si="3"/>
        <v>0</v>
      </c>
      <c r="AC41" s="2952">
        <f t="shared" si="3"/>
        <v>0</v>
      </c>
      <c r="AD41" s="2952">
        <f t="shared" si="3"/>
        <v>0</v>
      </c>
      <c r="AE41" s="2952">
        <f t="shared" si="3"/>
        <v>0</v>
      </c>
      <c r="AF41" s="2952">
        <f t="shared" si="3"/>
        <v>0</v>
      </c>
      <c r="AG41" s="2952">
        <f t="shared" si="3"/>
        <v>0</v>
      </c>
      <c r="AH41" s="2952">
        <f t="shared" si="3"/>
        <v>0</v>
      </c>
      <c r="AI41" s="2952">
        <f t="shared" si="3"/>
        <v>1589</v>
      </c>
      <c r="AJ41" s="2952">
        <f t="shared" si="3"/>
        <v>1284</v>
      </c>
      <c r="AK41" s="2952">
        <f t="shared" si="3"/>
        <v>2873</v>
      </c>
      <c r="AL41" s="2952">
        <f t="shared" si="3"/>
        <v>98.539644749403337</v>
      </c>
      <c r="AM41" s="2954">
        <f t="shared" si="3"/>
        <v>0</v>
      </c>
      <c r="AN41" s="2958"/>
      <c r="AO41" s="2992"/>
      <c r="AP41" s="2992"/>
      <c r="AQ41" s="2992"/>
      <c r="AR41" s="2992"/>
      <c r="AS41" s="2993"/>
      <c r="AW41" s="3008">
        <f>+AK41+AK11</f>
        <v>5804</v>
      </c>
    </row>
    <row r="42" spans="1:49" s="2989" customFormat="1" ht="33.75" customHeight="1">
      <c r="A42" s="2440">
        <v>30</v>
      </c>
      <c r="B42" s="2440">
        <v>1</v>
      </c>
      <c r="C42" s="2994" t="s">
        <v>1081</v>
      </c>
      <c r="D42" s="2994"/>
      <c r="E42" s="2994" t="s">
        <v>451</v>
      </c>
      <c r="F42" s="2955"/>
      <c r="G42" s="2955"/>
      <c r="H42" s="2955"/>
      <c r="I42" s="2955"/>
      <c r="J42" s="2955"/>
      <c r="K42" s="2955"/>
      <c r="L42" s="2955"/>
      <c r="M42" s="2955"/>
      <c r="N42" s="2955"/>
      <c r="O42" s="2955"/>
      <c r="P42" s="2955"/>
      <c r="Q42" s="2955"/>
      <c r="R42" s="2955"/>
      <c r="S42" s="2955"/>
      <c r="T42" s="2955"/>
      <c r="U42" s="2955"/>
      <c r="V42" s="2955"/>
      <c r="W42" s="2955"/>
      <c r="X42" s="2955"/>
      <c r="Y42" s="2955"/>
      <c r="Z42" s="2955"/>
      <c r="AA42" s="2955"/>
      <c r="AB42" s="2955"/>
      <c r="AC42" s="2955"/>
      <c r="AD42" s="2955"/>
      <c r="AE42" s="2955"/>
      <c r="AF42" s="2955"/>
      <c r="AG42" s="2955"/>
      <c r="AH42" s="2955"/>
      <c r="AI42" s="2955">
        <v>46</v>
      </c>
      <c r="AJ42" s="2955">
        <v>51</v>
      </c>
      <c r="AK42" s="2955">
        <f t="shared" si="1"/>
        <v>97</v>
      </c>
      <c r="AL42" s="2955">
        <f>+AK42*$AY$10</f>
        <v>3.3269563316018527</v>
      </c>
      <c r="AM42" s="2982" t="s">
        <v>141</v>
      </c>
      <c r="AN42" s="2995"/>
      <c r="AO42" s="2989">
        <f>191*0.5</f>
        <v>95.5</v>
      </c>
    </row>
    <row r="43" spans="1:49" s="2989" customFormat="1" ht="33.75" customHeight="1">
      <c r="A43" s="2440">
        <v>31</v>
      </c>
      <c r="B43" s="2440">
        <v>2</v>
      </c>
      <c r="C43" s="2991" t="s">
        <v>1682</v>
      </c>
      <c r="D43" s="2991"/>
      <c r="E43" s="2991" t="s">
        <v>451</v>
      </c>
      <c r="F43" s="2955"/>
      <c r="G43" s="2955"/>
      <c r="H43" s="2955"/>
      <c r="I43" s="2955"/>
      <c r="J43" s="2955"/>
      <c r="K43" s="2955"/>
      <c r="L43" s="2955"/>
      <c r="M43" s="2955"/>
      <c r="N43" s="2955"/>
      <c r="O43" s="2955"/>
      <c r="P43" s="2955"/>
      <c r="Q43" s="2955"/>
      <c r="R43" s="2955"/>
      <c r="S43" s="2955"/>
      <c r="T43" s="2955"/>
      <c r="U43" s="2955"/>
      <c r="V43" s="2955"/>
      <c r="W43" s="2955"/>
      <c r="X43" s="2955"/>
      <c r="Y43" s="2955"/>
      <c r="Z43" s="2955"/>
      <c r="AA43" s="2955"/>
      <c r="AB43" s="2955"/>
      <c r="AC43" s="2955"/>
      <c r="AD43" s="2955"/>
      <c r="AE43" s="2955"/>
      <c r="AF43" s="2955"/>
      <c r="AG43" s="2955"/>
      <c r="AH43" s="2955"/>
      <c r="AI43" s="2955">
        <v>76</v>
      </c>
      <c r="AJ43" s="2955">
        <v>34</v>
      </c>
      <c r="AK43" s="2955">
        <f t="shared" si="1"/>
        <v>110</v>
      </c>
      <c r="AL43" s="2955">
        <f t="shared" ref="AL43:AL106" si="4">+AK43*$AY$10</f>
        <v>3.7728370770742661</v>
      </c>
      <c r="AM43" s="2981" t="s">
        <v>141</v>
      </c>
      <c r="AN43" s="2957"/>
    </row>
    <row r="44" spans="1:49" s="2989" customFormat="1" ht="33.75" customHeight="1">
      <c r="A44" s="2440">
        <v>32</v>
      </c>
      <c r="B44" s="2440">
        <v>3</v>
      </c>
      <c r="C44" s="2991" t="s">
        <v>1530</v>
      </c>
      <c r="D44" s="2991"/>
      <c r="E44" s="2994" t="s">
        <v>451</v>
      </c>
      <c r="F44" s="2955"/>
      <c r="G44" s="2955"/>
      <c r="H44" s="2955"/>
      <c r="I44" s="2955"/>
      <c r="J44" s="2955"/>
      <c r="K44" s="2955"/>
      <c r="L44" s="2955"/>
      <c r="M44" s="2955"/>
      <c r="N44" s="2955"/>
      <c r="O44" s="2955"/>
      <c r="P44" s="2955"/>
      <c r="Q44" s="2955"/>
      <c r="R44" s="2955"/>
      <c r="S44" s="2955"/>
      <c r="T44" s="2955"/>
      <c r="U44" s="2955"/>
      <c r="V44" s="2955"/>
      <c r="W44" s="2955"/>
      <c r="X44" s="2955"/>
      <c r="Y44" s="2955"/>
      <c r="Z44" s="2955"/>
      <c r="AA44" s="2955"/>
      <c r="AB44" s="2955"/>
      <c r="AC44" s="2955"/>
      <c r="AD44" s="2955"/>
      <c r="AE44" s="2955"/>
      <c r="AF44" s="2955"/>
      <c r="AG44" s="2955"/>
      <c r="AH44" s="2955"/>
      <c r="AI44" s="2955">
        <v>45</v>
      </c>
      <c r="AJ44" s="2955">
        <v>51</v>
      </c>
      <c r="AK44" s="2955">
        <f t="shared" si="1"/>
        <v>96</v>
      </c>
      <c r="AL44" s="2955">
        <f t="shared" si="4"/>
        <v>3.2926578127193595</v>
      </c>
      <c r="AM44" s="2981" t="s">
        <v>141</v>
      </c>
      <c r="AN44" s="2957"/>
    </row>
    <row r="45" spans="1:49" s="2989" customFormat="1" ht="33.75" customHeight="1">
      <c r="A45" s="2440">
        <v>33</v>
      </c>
      <c r="B45" s="2440">
        <v>4</v>
      </c>
      <c r="C45" s="2991" t="s">
        <v>1243</v>
      </c>
      <c r="D45" s="2991"/>
      <c r="E45" s="2991" t="s">
        <v>451</v>
      </c>
      <c r="F45" s="2955"/>
      <c r="G45" s="2955"/>
      <c r="H45" s="2955"/>
      <c r="I45" s="2955"/>
      <c r="J45" s="2955"/>
      <c r="K45" s="2955"/>
      <c r="L45" s="2955"/>
      <c r="M45" s="2955"/>
      <c r="N45" s="2955"/>
      <c r="O45" s="2955"/>
      <c r="P45" s="2955"/>
      <c r="Q45" s="2955"/>
      <c r="R45" s="2955"/>
      <c r="S45" s="2955"/>
      <c r="T45" s="2955"/>
      <c r="U45" s="2955"/>
      <c r="V45" s="2955"/>
      <c r="W45" s="2955"/>
      <c r="X45" s="2955"/>
      <c r="Y45" s="2955"/>
      <c r="Z45" s="2955"/>
      <c r="AA45" s="2955"/>
      <c r="AB45" s="2955"/>
      <c r="AC45" s="2955"/>
      <c r="AD45" s="2955"/>
      <c r="AE45" s="2955"/>
      <c r="AF45" s="2955"/>
      <c r="AG45" s="2955"/>
      <c r="AH45" s="2955"/>
      <c r="AI45" s="2955">
        <v>30</v>
      </c>
      <c r="AJ45" s="2955">
        <v>35</v>
      </c>
      <c r="AK45" s="2955">
        <f t="shared" si="1"/>
        <v>65</v>
      </c>
      <c r="AL45" s="2955">
        <f t="shared" si="4"/>
        <v>2.2294037273620662</v>
      </c>
      <c r="AM45" s="2981" t="s">
        <v>141</v>
      </c>
      <c r="AN45" s="2957"/>
    </row>
    <row r="46" spans="1:49" s="2989" customFormat="1" ht="33.75" customHeight="1">
      <c r="A46" s="2440">
        <v>34</v>
      </c>
      <c r="B46" s="2440">
        <v>5</v>
      </c>
      <c r="C46" s="2991" t="s">
        <v>1179</v>
      </c>
      <c r="D46" s="2991"/>
      <c r="E46" s="2991" t="s">
        <v>451</v>
      </c>
      <c r="F46" s="2955"/>
      <c r="G46" s="2955"/>
      <c r="H46" s="2955"/>
      <c r="I46" s="2955"/>
      <c r="J46" s="2955"/>
      <c r="K46" s="2955"/>
      <c r="L46" s="2955"/>
      <c r="M46" s="2955"/>
      <c r="N46" s="2955"/>
      <c r="O46" s="2955"/>
      <c r="P46" s="2955"/>
      <c r="Q46" s="2955"/>
      <c r="R46" s="2955"/>
      <c r="S46" s="2955"/>
      <c r="T46" s="2955"/>
      <c r="U46" s="2955"/>
      <c r="V46" s="2955"/>
      <c r="W46" s="2955"/>
      <c r="X46" s="2955"/>
      <c r="Y46" s="2955"/>
      <c r="Z46" s="2955"/>
      <c r="AA46" s="2955"/>
      <c r="AB46" s="2955"/>
      <c r="AC46" s="2955"/>
      <c r="AD46" s="2955"/>
      <c r="AE46" s="2955"/>
      <c r="AF46" s="2955"/>
      <c r="AG46" s="2955"/>
      <c r="AH46" s="2955"/>
      <c r="AI46" s="2955">
        <v>154</v>
      </c>
      <c r="AJ46" s="2955">
        <v>167</v>
      </c>
      <c r="AK46" s="2955">
        <f t="shared" si="1"/>
        <v>321</v>
      </c>
      <c r="AL46" s="2955">
        <f t="shared" si="4"/>
        <v>11.009824561280359</v>
      </c>
      <c r="AM46" s="2981" t="s">
        <v>141</v>
      </c>
      <c r="AN46" s="2957"/>
    </row>
    <row r="47" spans="1:49" s="2989" customFormat="1" ht="33.75" customHeight="1">
      <c r="A47" s="2440">
        <v>35</v>
      </c>
      <c r="B47" s="2440">
        <v>6</v>
      </c>
      <c r="C47" s="2991" t="s">
        <v>1560</v>
      </c>
      <c r="D47" s="2991"/>
      <c r="E47" s="2994" t="s">
        <v>451</v>
      </c>
      <c r="F47" s="2955"/>
      <c r="G47" s="2955"/>
      <c r="H47" s="2955"/>
      <c r="I47" s="2955"/>
      <c r="J47" s="2955"/>
      <c r="K47" s="2955"/>
      <c r="L47" s="2955"/>
      <c r="M47" s="2955"/>
      <c r="N47" s="2955"/>
      <c r="O47" s="2955"/>
      <c r="P47" s="2955"/>
      <c r="Q47" s="2955"/>
      <c r="R47" s="2955"/>
      <c r="S47" s="2955"/>
      <c r="T47" s="2955"/>
      <c r="U47" s="2955"/>
      <c r="V47" s="2955"/>
      <c r="W47" s="2955"/>
      <c r="X47" s="2955"/>
      <c r="Y47" s="2955"/>
      <c r="Z47" s="2955"/>
      <c r="AA47" s="2955"/>
      <c r="AB47" s="2955"/>
      <c r="AC47" s="2955"/>
      <c r="AD47" s="2955"/>
      <c r="AE47" s="2955"/>
      <c r="AF47" s="2955"/>
      <c r="AG47" s="2955"/>
      <c r="AH47" s="2955"/>
      <c r="AI47" s="2955">
        <v>211</v>
      </c>
      <c r="AJ47" s="2955">
        <v>108</v>
      </c>
      <c r="AK47" s="2955">
        <f t="shared" si="1"/>
        <v>319</v>
      </c>
      <c r="AL47" s="2955">
        <f t="shared" si="4"/>
        <v>10.941227523515371</v>
      </c>
      <c r="AM47" s="2981" t="s">
        <v>141</v>
      </c>
      <c r="AN47" s="2957"/>
    </row>
    <row r="48" spans="1:49" s="2989" customFormat="1" ht="33.75" customHeight="1">
      <c r="A48" s="2440">
        <v>36</v>
      </c>
      <c r="B48" s="2440">
        <v>7</v>
      </c>
      <c r="C48" s="2991" t="s">
        <v>1561</v>
      </c>
      <c r="D48" s="2991"/>
      <c r="E48" s="2991" t="s">
        <v>451</v>
      </c>
      <c r="F48" s="2955"/>
      <c r="G48" s="2955"/>
      <c r="H48" s="2955"/>
      <c r="I48" s="2955"/>
      <c r="J48" s="2955"/>
      <c r="K48" s="2955"/>
      <c r="L48" s="2955"/>
      <c r="M48" s="2955"/>
      <c r="N48" s="2955"/>
      <c r="O48" s="2955"/>
      <c r="P48" s="2955"/>
      <c r="Q48" s="2955"/>
      <c r="R48" s="2955"/>
      <c r="S48" s="2955"/>
      <c r="T48" s="2955"/>
      <c r="U48" s="2955"/>
      <c r="V48" s="2955"/>
      <c r="W48" s="2955"/>
      <c r="X48" s="2955"/>
      <c r="Y48" s="2955"/>
      <c r="Z48" s="2955"/>
      <c r="AA48" s="2955"/>
      <c r="AB48" s="2955"/>
      <c r="AC48" s="2955"/>
      <c r="AD48" s="2955"/>
      <c r="AE48" s="2955"/>
      <c r="AF48" s="2955"/>
      <c r="AG48" s="2955"/>
      <c r="AH48" s="2955"/>
      <c r="AI48" s="2955">
        <v>211</v>
      </c>
      <c r="AJ48" s="2955">
        <v>108</v>
      </c>
      <c r="AK48" s="2955">
        <f t="shared" si="1"/>
        <v>319</v>
      </c>
      <c r="AL48" s="2955">
        <f t="shared" si="4"/>
        <v>10.941227523515371</v>
      </c>
      <c r="AM48" s="2981" t="s">
        <v>141</v>
      </c>
      <c r="AN48" s="2957"/>
    </row>
    <row r="49" spans="1:40" s="2989" customFormat="1" ht="33.75" customHeight="1">
      <c r="A49" s="2440">
        <v>37</v>
      </c>
      <c r="B49" s="2440">
        <v>8</v>
      </c>
      <c r="C49" s="2991" t="s">
        <v>1683</v>
      </c>
      <c r="D49" s="2991"/>
      <c r="E49" s="2994" t="s">
        <v>451</v>
      </c>
      <c r="F49" s="2955"/>
      <c r="G49" s="2955"/>
      <c r="H49" s="2955"/>
      <c r="I49" s="2955"/>
      <c r="J49" s="2955"/>
      <c r="K49" s="2955"/>
      <c r="L49" s="2955"/>
      <c r="M49" s="2955"/>
      <c r="N49" s="2955"/>
      <c r="O49" s="2955"/>
      <c r="P49" s="2955"/>
      <c r="Q49" s="2955"/>
      <c r="R49" s="2955"/>
      <c r="S49" s="2955"/>
      <c r="T49" s="2955"/>
      <c r="U49" s="2955"/>
      <c r="V49" s="2955"/>
      <c r="W49" s="2955"/>
      <c r="X49" s="2955"/>
      <c r="Y49" s="2955"/>
      <c r="Z49" s="2955"/>
      <c r="AA49" s="2955"/>
      <c r="AB49" s="2955"/>
      <c r="AC49" s="2955"/>
      <c r="AD49" s="2955"/>
      <c r="AE49" s="2955"/>
      <c r="AF49" s="2955"/>
      <c r="AG49" s="2955"/>
      <c r="AH49" s="2955"/>
      <c r="AI49" s="2955">
        <v>122</v>
      </c>
      <c r="AJ49" s="2955">
        <v>75</v>
      </c>
      <c r="AK49" s="2955">
        <f t="shared" si="1"/>
        <v>197</v>
      </c>
      <c r="AL49" s="2955">
        <f t="shared" si="4"/>
        <v>6.7568082198511856</v>
      </c>
      <c r="AM49" s="2981" t="s">
        <v>138</v>
      </c>
      <c r="AN49" s="2957"/>
    </row>
    <row r="50" spans="1:40" s="2989" customFormat="1" ht="33.75" customHeight="1">
      <c r="A50" s="2440">
        <v>38</v>
      </c>
      <c r="B50" s="2440">
        <v>9</v>
      </c>
      <c r="C50" s="2991" t="s">
        <v>1307</v>
      </c>
      <c r="D50" s="2991"/>
      <c r="E50" s="2991" t="s">
        <v>451</v>
      </c>
      <c r="F50" s="2955"/>
      <c r="G50" s="2955"/>
      <c r="H50" s="2955"/>
      <c r="I50" s="2955"/>
      <c r="J50" s="2955"/>
      <c r="K50" s="2955"/>
      <c r="L50" s="2955"/>
      <c r="M50" s="2955"/>
      <c r="N50" s="2955"/>
      <c r="O50" s="2955"/>
      <c r="P50" s="2955"/>
      <c r="Q50" s="2955"/>
      <c r="R50" s="2955"/>
      <c r="S50" s="2955"/>
      <c r="T50" s="2955"/>
      <c r="U50" s="2955"/>
      <c r="V50" s="2955"/>
      <c r="W50" s="2955"/>
      <c r="X50" s="2955"/>
      <c r="Y50" s="2955"/>
      <c r="Z50" s="2955"/>
      <c r="AA50" s="2955"/>
      <c r="AB50" s="2955"/>
      <c r="AC50" s="2955"/>
      <c r="AD50" s="2955"/>
      <c r="AE50" s="2955"/>
      <c r="AF50" s="2955"/>
      <c r="AG50" s="2955"/>
      <c r="AH50" s="2955"/>
      <c r="AI50" s="2955">
        <v>211</v>
      </c>
      <c r="AJ50" s="2955">
        <v>109</v>
      </c>
      <c r="AK50" s="2955">
        <f t="shared" si="1"/>
        <v>320</v>
      </c>
      <c r="AL50" s="2955">
        <f t="shared" si="4"/>
        <v>10.975526042397865</v>
      </c>
      <c r="AM50" s="2981" t="s">
        <v>141</v>
      </c>
      <c r="AN50" s="2957"/>
    </row>
    <row r="51" spans="1:40" s="2989" customFormat="1" ht="33.75" customHeight="1">
      <c r="A51" s="2440">
        <v>39</v>
      </c>
      <c r="B51" s="2440">
        <v>10</v>
      </c>
      <c r="C51" s="2991" t="s">
        <v>1177</v>
      </c>
      <c r="D51" s="2991"/>
      <c r="E51" s="2994" t="s">
        <v>451</v>
      </c>
      <c r="F51" s="2955"/>
      <c r="G51" s="2955"/>
      <c r="H51" s="2955"/>
      <c r="I51" s="2955"/>
      <c r="J51" s="2955"/>
      <c r="K51" s="2955"/>
      <c r="L51" s="2955"/>
      <c r="M51" s="2955"/>
      <c r="N51" s="2955"/>
      <c r="O51" s="2955"/>
      <c r="P51" s="2955"/>
      <c r="Q51" s="2955"/>
      <c r="R51" s="2955"/>
      <c r="S51" s="2955"/>
      <c r="T51" s="2955"/>
      <c r="U51" s="2955"/>
      <c r="V51" s="2955"/>
      <c r="W51" s="2955"/>
      <c r="X51" s="2955"/>
      <c r="Y51" s="2955"/>
      <c r="Z51" s="2955"/>
      <c r="AA51" s="2955"/>
      <c r="AB51" s="2955"/>
      <c r="AC51" s="2955"/>
      <c r="AD51" s="2955"/>
      <c r="AE51" s="2955"/>
      <c r="AF51" s="2955"/>
      <c r="AG51" s="2955"/>
      <c r="AH51" s="2955"/>
      <c r="AI51" s="2955">
        <v>49</v>
      </c>
      <c r="AJ51" s="2955">
        <v>42</v>
      </c>
      <c r="AK51" s="2955">
        <f t="shared" si="1"/>
        <v>91</v>
      </c>
      <c r="AL51" s="2955">
        <f t="shared" si="4"/>
        <v>3.121165218306893</v>
      </c>
      <c r="AM51" s="2981" t="s">
        <v>138</v>
      </c>
      <c r="AN51" s="2957"/>
    </row>
    <row r="52" spans="1:40" s="2989" customFormat="1" ht="33.75" customHeight="1">
      <c r="A52" s="2440">
        <v>40</v>
      </c>
      <c r="B52" s="2440">
        <v>11</v>
      </c>
      <c r="C52" s="2991" t="s">
        <v>1272</v>
      </c>
      <c r="D52" s="2991"/>
      <c r="E52" s="2991" t="s">
        <v>451</v>
      </c>
      <c r="F52" s="2955"/>
      <c r="G52" s="2955"/>
      <c r="H52" s="2955"/>
      <c r="I52" s="2955"/>
      <c r="J52" s="2955"/>
      <c r="K52" s="2955"/>
      <c r="L52" s="2955"/>
      <c r="M52" s="2955"/>
      <c r="N52" s="2955"/>
      <c r="O52" s="2955"/>
      <c r="P52" s="2955"/>
      <c r="Q52" s="2955"/>
      <c r="R52" s="2955"/>
      <c r="S52" s="2955"/>
      <c r="T52" s="2955"/>
      <c r="U52" s="2955"/>
      <c r="V52" s="2955"/>
      <c r="W52" s="2955"/>
      <c r="X52" s="2955"/>
      <c r="Y52" s="2955"/>
      <c r="Z52" s="2955"/>
      <c r="AA52" s="2955"/>
      <c r="AB52" s="2955"/>
      <c r="AC52" s="2955"/>
      <c r="AD52" s="2955"/>
      <c r="AE52" s="2955"/>
      <c r="AF52" s="2955"/>
      <c r="AG52" s="2955"/>
      <c r="AH52" s="2955"/>
      <c r="AI52" s="2955">
        <v>0</v>
      </c>
      <c r="AJ52" s="2955">
        <v>299</v>
      </c>
      <c r="AK52" s="2955">
        <f t="shared" si="1"/>
        <v>299</v>
      </c>
      <c r="AL52" s="2955">
        <f t="shared" si="4"/>
        <v>10.255257145865505</v>
      </c>
      <c r="AM52" s="2981" t="s">
        <v>138</v>
      </c>
      <c r="AN52" s="2957"/>
    </row>
    <row r="53" spans="1:40" s="2989" customFormat="1" ht="33.75" customHeight="1">
      <c r="A53" s="2440">
        <v>41</v>
      </c>
      <c r="B53" s="2440">
        <v>12</v>
      </c>
      <c r="C53" s="2991" t="s">
        <v>1563</v>
      </c>
      <c r="D53" s="2991"/>
      <c r="E53" s="2991" t="s">
        <v>451</v>
      </c>
      <c r="F53" s="2955"/>
      <c r="G53" s="2955"/>
      <c r="H53" s="2955"/>
      <c r="I53" s="2955"/>
      <c r="J53" s="2955"/>
      <c r="K53" s="2955"/>
      <c r="L53" s="2955"/>
      <c r="M53" s="2955"/>
      <c r="N53" s="2955"/>
      <c r="O53" s="2955"/>
      <c r="P53" s="2955"/>
      <c r="Q53" s="2955"/>
      <c r="R53" s="2955"/>
      <c r="S53" s="2955"/>
      <c r="T53" s="2955"/>
      <c r="U53" s="2955"/>
      <c r="V53" s="2955"/>
      <c r="W53" s="2955"/>
      <c r="X53" s="2955"/>
      <c r="Y53" s="2955"/>
      <c r="Z53" s="2955"/>
      <c r="AA53" s="2955"/>
      <c r="AB53" s="2955"/>
      <c r="AC53" s="2955"/>
      <c r="AD53" s="2955"/>
      <c r="AE53" s="2955"/>
      <c r="AF53" s="2955"/>
      <c r="AG53" s="2955"/>
      <c r="AH53" s="2955"/>
      <c r="AI53" s="2955">
        <v>78</v>
      </c>
      <c r="AJ53" s="2955">
        <v>56</v>
      </c>
      <c r="AK53" s="2955">
        <f t="shared" si="1"/>
        <v>134</v>
      </c>
      <c r="AL53" s="2955">
        <f t="shared" si="4"/>
        <v>4.5960015302541057</v>
      </c>
      <c r="AM53" s="2981" t="s">
        <v>138</v>
      </c>
      <c r="AN53" s="2957"/>
    </row>
    <row r="54" spans="1:40" s="2989" customFormat="1" ht="33.75" customHeight="1">
      <c r="A54" s="2440">
        <v>42</v>
      </c>
      <c r="B54" s="2440">
        <v>13</v>
      </c>
      <c r="C54" s="2991" t="s">
        <v>1564</v>
      </c>
      <c r="D54" s="2991"/>
      <c r="E54" s="2991" t="s">
        <v>451</v>
      </c>
      <c r="F54" s="2955"/>
      <c r="G54" s="2955"/>
      <c r="H54" s="2955"/>
      <c r="I54" s="2955"/>
      <c r="J54" s="2955"/>
      <c r="K54" s="2955"/>
      <c r="L54" s="2955"/>
      <c r="M54" s="2955"/>
      <c r="N54" s="2955"/>
      <c r="O54" s="2955"/>
      <c r="P54" s="2955"/>
      <c r="Q54" s="2955"/>
      <c r="R54" s="2955"/>
      <c r="S54" s="2955"/>
      <c r="T54" s="2955"/>
      <c r="U54" s="2955"/>
      <c r="V54" s="2955"/>
      <c r="W54" s="2955"/>
      <c r="X54" s="2955"/>
      <c r="Y54" s="2955"/>
      <c r="Z54" s="2955"/>
      <c r="AA54" s="2955"/>
      <c r="AB54" s="2955"/>
      <c r="AC54" s="2955"/>
      <c r="AD54" s="2955"/>
      <c r="AE54" s="2955"/>
      <c r="AF54" s="2955"/>
      <c r="AG54" s="2955"/>
      <c r="AH54" s="2955"/>
      <c r="AI54" s="2955">
        <v>125</v>
      </c>
      <c r="AJ54" s="2955">
        <v>81</v>
      </c>
      <c r="AK54" s="2955">
        <f t="shared" si="1"/>
        <v>206</v>
      </c>
      <c r="AL54" s="2955">
        <f t="shared" si="4"/>
        <v>7.0654948897936256</v>
      </c>
      <c r="AM54" s="2981" t="s">
        <v>138</v>
      </c>
      <c r="AN54" s="2957"/>
    </row>
    <row r="55" spans="1:40" s="2989" customFormat="1" ht="33.75" customHeight="1">
      <c r="A55" s="2440">
        <v>43</v>
      </c>
      <c r="B55" s="2440">
        <v>14</v>
      </c>
      <c r="C55" s="2991" t="s">
        <v>1566</v>
      </c>
      <c r="D55" s="2991"/>
      <c r="E55" s="2991" t="s">
        <v>451</v>
      </c>
      <c r="F55" s="2955"/>
      <c r="G55" s="2955"/>
      <c r="H55" s="2955"/>
      <c r="I55" s="2955"/>
      <c r="J55" s="2955"/>
      <c r="K55" s="2955"/>
      <c r="L55" s="2955"/>
      <c r="M55" s="2955"/>
      <c r="N55" s="2955"/>
      <c r="O55" s="2955"/>
      <c r="P55" s="2955"/>
      <c r="Q55" s="2955"/>
      <c r="R55" s="2955"/>
      <c r="S55" s="2955"/>
      <c r="T55" s="2955"/>
      <c r="U55" s="2955"/>
      <c r="V55" s="2955"/>
      <c r="W55" s="2955"/>
      <c r="X55" s="2955"/>
      <c r="Y55" s="2955"/>
      <c r="Z55" s="2955"/>
      <c r="AA55" s="2955"/>
      <c r="AB55" s="2955"/>
      <c r="AC55" s="2955"/>
      <c r="AD55" s="2955"/>
      <c r="AE55" s="2955"/>
      <c r="AF55" s="2955"/>
      <c r="AG55" s="2955"/>
      <c r="AH55" s="2955"/>
      <c r="AI55" s="2955">
        <v>65</v>
      </c>
      <c r="AJ55" s="2955">
        <v>0</v>
      </c>
      <c r="AK55" s="2955">
        <f t="shared" si="1"/>
        <v>65</v>
      </c>
      <c r="AL55" s="2955">
        <f t="shared" si="4"/>
        <v>2.2294037273620662</v>
      </c>
      <c r="AM55" s="2981" t="s">
        <v>141</v>
      </c>
      <c r="AN55" s="2957"/>
    </row>
    <row r="56" spans="1:40" s="2989" customFormat="1" ht="33.75" customHeight="1">
      <c r="A56" s="2440">
        <v>44</v>
      </c>
      <c r="B56" s="2440">
        <v>15</v>
      </c>
      <c r="C56" s="2991" t="s">
        <v>1686</v>
      </c>
      <c r="D56" s="2991"/>
      <c r="E56" s="2994" t="s">
        <v>451</v>
      </c>
      <c r="F56" s="2955"/>
      <c r="G56" s="2955"/>
      <c r="H56" s="2955"/>
      <c r="I56" s="2955"/>
      <c r="J56" s="2955"/>
      <c r="K56" s="2955"/>
      <c r="L56" s="2955"/>
      <c r="M56" s="2955"/>
      <c r="N56" s="2955"/>
      <c r="O56" s="2955"/>
      <c r="P56" s="2955"/>
      <c r="Q56" s="2955"/>
      <c r="R56" s="2955"/>
      <c r="S56" s="2955"/>
      <c r="T56" s="2955"/>
      <c r="U56" s="2955"/>
      <c r="V56" s="2955"/>
      <c r="W56" s="2955"/>
      <c r="X56" s="2955"/>
      <c r="Y56" s="2955"/>
      <c r="Z56" s="2955"/>
      <c r="AA56" s="2955"/>
      <c r="AB56" s="2955"/>
      <c r="AC56" s="2955"/>
      <c r="AD56" s="2955"/>
      <c r="AE56" s="2955"/>
      <c r="AF56" s="2955"/>
      <c r="AG56" s="2955"/>
      <c r="AH56" s="2955"/>
      <c r="AI56" s="2955">
        <v>116</v>
      </c>
      <c r="AJ56" s="2955">
        <v>68</v>
      </c>
      <c r="AK56" s="2955">
        <f t="shared" si="1"/>
        <v>184</v>
      </c>
      <c r="AL56" s="2955">
        <f t="shared" si="4"/>
        <v>6.3109274743787722</v>
      </c>
      <c r="AM56" s="2981" t="s">
        <v>141</v>
      </c>
      <c r="AN56" s="2957"/>
    </row>
    <row r="57" spans="1:40" s="2989" customFormat="1" ht="33.75" customHeight="1">
      <c r="A57" s="2440">
        <v>45</v>
      </c>
      <c r="B57" s="2440">
        <v>16</v>
      </c>
      <c r="C57" s="2991" t="s">
        <v>1687</v>
      </c>
      <c r="D57" s="2991"/>
      <c r="E57" s="2991" t="s">
        <v>451</v>
      </c>
      <c r="F57" s="2955"/>
      <c r="G57" s="2955"/>
      <c r="H57" s="2955"/>
      <c r="I57" s="2955"/>
      <c r="J57" s="2955"/>
      <c r="K57" s="2955"/>
      <c r="L57" s="2955"/>
      <c r="M57" s="2955"/>
      <c r="N57" s="2955"/>
      <c r="O57" s="2955"/>
      <c r="P57" s="2955"/>
      <c r="Q57" s="2955"/>
      <c r="R57" s="2955"/>
      <c r="S57" s="2955"/>
      <c r="T57" s="2955"/>
      <c r="U57" s="2955"/>
      <c r="V57" s="2955"/>
      <c r="W57" s="2955"/>
      <c r="X57" s="2955"/>
      <c r="Y57" s="2955"/>
      <c r="Z57" s="2955"/>
      <c r="AA57" s="2955"/>
      <c r="AB57" s="2955"/>
      <c r="AC57" s="2955"/>
      <c r="AD57" s="2955"/>
      <c r="AE57" s="2955"/>
      <c r="AF57" s="2955"/>
      <c r="AG57" s="2955"/>
      <c r="AH57" s="2955"/>
      <c r="AI57" s="2955">
        <v>50</v>
      </c>
      <c r="AJ57" s="2955">
        <v>0</v>
      </c>
      <c r="AK57" s="2955">
        <f t="shared" si="1"/>
        <v>50</v>
      </c>
      <c r="AL57" s="2955">
        <f t="shared" si="4"/>
        <v>1.7149259441246665</v>
      </c>
      <c r="AM57" s="2981" t="s">
        <v>141</v>
      </c>
      <c r="AN57" s="2957"/>
    </row>
    <row r="58" spans="1:40" s="2997" customFormat="1" ht="33.75" customHeight="1">
      <c r="A58" s="2987" t="s">
        <v>168</v>
      </c>
      <c r="B58" s="4774" t="s">
        <v>1864</v>
      </c>
      <c r="C58" s="4775"/>
      <c r="D58" s="2987"/>
      <c r="E58" s="2987"/>
      <c r="F58" s="2979">
        <f t="shared" ref="F58:AM58" si="5">SUM(F59:F118)</f>
        <v>0</v>
      </c>
      <c r="G58" s="2979">
        <f t="shared" si="5"/>
        <v>0</v>
      </c>
      <c r="H58" s="2979">
        <f t="shared" si="5"/>
        <v>0</v>
      </c>
      <c r="I58" s="2979">
        <f t="shared" si="5"/>
        <v>0</v>
      </c>
      <c r="J58" s="2979">
        <f t="shared" si="5"/>
        <v>0</v>
      </c>
      <c r="K58" s="2979">
        <f t="shared" si="5"/>
        <v>0</v>
      </c>
      <c r="L58" s="2979">
        <f t="shared" si="5"/>
        <v>0</v>
      </c>
      <c r="M58" s="2979">
        <f t="shared" si="5"/>
        <v>0</v>
      </c>
      <c r="N58" s="2979">
        <f t="shared" si="5"/>
        <v>0</v>
      </c>
      <c r="O58" s="2979">
        <f t="shared" si="5"/>
        <v>0</v>
      </c>
      <c r="P58" s="2979">
        <f t="shared" si="5"/>
        <v>0</v>
      </c>
      <c r="Q58" s="2979">
        <f t="shared" si="5"/>
        <v>0</v>
      </c>
      <c r="R58" s="2979">
        <f t="shared" si="5"/>
        <v>0</v>
      </c>
      <c r="S58" s="2979">
        <f t="shared" si="5"/>
        <v>0</v>
      </c>
      <c r="T58" s="2979">
        <f t="shared" si="5"/>
        <v>0</v>
      </c>
      <c r="U58" s="2979">
        <f t="shared" si="5"/>
        <v>0</v>
      </c>
      <c r="V58" s="2979">
        <f t="shared" si="5"/>
        <v>0</v>
      </c>
      <c r="W58" s="2979">
        <f t="shared" si="5"/>
        <v>0</v>
      </c>
      <c r="X58" s="2979">
        <f t="shared" si="5"/>
        <v>0</v>
      </c>
      <c r="Y58" s="2979">
        <f t="shared" si="5"/>
        <v>0</v>
      </c>
      <c r="Z58" s="2979">
        <f t="shared" si="5"/>
        <v>0</v>
      </c>
      <c r="AA58" s="2979">
        <f t="shared" si="5"/>
        <v>0</v>
      </c>
      <c r="AB58" s="2979">
        <f t="shared" si="5"/>
        <v>0</v>
      </c>
      <c r="AC58" s="2979">
        <f t="shared" si="5"/>
        <v>0</v>
      </c>
      <c r="AD58" s="2979">
        <f t="shared" si="5"/>
        <v>0</v>
      </c>
      <c r="AE58" s="2979">
        <f t="shared" si="5"/>
        <v>0</v>
      </c>
      <c r="AF58" s="2979">
        <f t="shared" si="5"/>
        <v>0</v>
      </c>
      <c r="AG58" s="2979">
        <f t="shared" si="5"/>
        <v>0</v>
      </c>
      <c r="AH58" s="2979">
        <f t="shared" si="5"/>
        <v>0</v>
      </c>
      <c r="AI58" s="2979">
        <f t="shared" si="5"/>
        <v>253</v>
      </c>
      <c r="AJ58" s="2979">
        <f t="shared" si="5"/>
        <v>4981</v>
      </c>
      <c r="AK58" s="2979">
        <f t="shared" si="5"/>
        <v>5234</v>
      </c>
      <c r="AL58" s="2979">
        <f t="shared" si="5"/>
        <v>179.51844783097005</v>
      </c>
      <c r="AM58" s="2953">
        <f t="shared" si="5"/>
        <v>0</v>
      </c>
      <c r="AN58" s="2996"/>
    </row>
    <row r="59" spans="1:40" s="2989" customFormat="1" ht="33.75" customHeight="1">
      <c r="A59" s="2998">
        <v>46</v>
      </c>
      <c r="B59" s="2998">
        <v>1</v>
      </c>
      <c r="C59" s="2990" t="s">
        <v>1489</v>
      </c>
      <c r="D59" s="2999"/>
      <c r="E59" s="2999" t="s">
        <v>452</v>
      </c>
      <c r="F59" s="2955"/>
      <c r="G59" s="2955"/>
      <c r="H59" s="2955"/>
      <c r="I59" s="2955"/>
      <c r="J59" s="2955"/>
      <c r="K59" s="2955"/>
      <c r="L59" s="2955"/>
      <c r="M59" s="2955"/>
      <c r="N59" s="2955"/>
      <c r="O59" s="2955"/>
      <c r="P59" s="2955"/>
      <c r="Q59" s="2955"/>
      <c r="R59" s="2955"/>
      <c r="S59" s="2955"/>
      <c r="T59" s="2955"/>
      <c r="U59" s="2955"/>
      <c r="V59" s="2955"/>
      <c r="W59" s="2955"/>
      <c r="X59" s="2955"/>
      <c r="Y59" s="2955"/>
      <c r="Z59" s="2955"/>
      <c r="AA59" s="2955"/>
      <c r="AB59" s="2955"/>
      <c r="AC59" s="2955"/>
      <c r="AD59" s="2955"/>
      <c r="AE59" s="2955"/>
      <c r="AF59" s="2955"/>
      <c r="AG59" s="2955"/>
      <c r="AH59" s="2955"/>
      <c r="AI59" s="2955"/>
      <c r="AJ59" s="2955">
        <v>94</v>
      </c>
      <c r="AK59" s="2955">
        <f>+SUM(F59:AJ59)</f>
        <v>94</v>
      </c>
      <c r="AL59" s="2955">
        <f t="shared" si="4"/>
        <v>3.2240607749543728</v>
      </c>
      <c r="AM59" s="2983" t="s">
        <v>141</v>
      </c>
      <c r="AN59" s="2999"/>
    </row>
    <row r="60" spans="1:40" s="2989" customFormat="1" ht="33.75" customHeight="1">
      <c r="A60" s="2504">
        <v>47</v>
      </c>
      <c r="B60" s="2504">
        <v>2</v>
      </c>
      <c r="C60" s="2990" t="s">
        <v>1532</v>
      </c>
      <c r="D60" s="2990"/>
      <c r="E60" s="2990" t="s">
        <v>452</v>
      </c>
      <c r="F60" s="2955"/>
      <c r="G60" s="2955"/>
      <c r="H60" s="2955"/>
      <c r="I60" s="2955"/>
      <c r="J60" s="2955"/>
      <c r="K60" s="2955"/>
      <c r="L60" s="2955"/>
      <c r="M60" s="2955"/>
      <c r="N60" s="2955"/>
      <c r="O60" s="2955"/>
      <c r="P60" s="2955"/>
      <c r="Q60" s="2955"/>
      <c r="R60" s="2955"/>
      <c r="S60" s="2955"/>
      <c r="T60" s="2955"/>
      <c r="U60" s="2955"/>
      <c r="V60" s="2955"/>
      <c r="W60" s="2955"/>
      <c r="X60" s="2955"/>
      <c r="Y60" s="2955"/>
      <c r="Z60" s="2955"/>
      <c r="AA60" s="2955"/>
      <c r="AB60" s="2955"/>
      <c r="AC60" s="2955"/>
      <c r="AD60" s="2955"/>
      <c r="AE60" s="2955"/>
      <c r="AF60" s="2955"/>
      <c r="AG60" s="2955"/>
      <c r="AH60" s="2955"/>
      <c r="AI60" s="2955"/>
      <c r="AJ60" s="2955">
        <v>94</v>
      </c>
      <c r="AK60" s="2955">
        <f t="shared" ref="AK60:AK118" si="6">+SUM(F60:AJ60)</f>
        <v>94</v>
      </c>
      <c r="AL60" s="2955">
        <f t="shared" si="4"/>
        <v>3.2240607749543728</v>
      </c>
      <c r="AM60" s="2984" t="s">
        <v>141</v>
      </c>
      <c r="AN60" s="2957"/>
    </row>
    <row r="61" spans="1:40" s="2989" customFormat="1" ht="33.75" customHeight="1">
      <c r="A61" s="2998">
        <v>48</v>
      </c>
      <c r="B61" s="2998">
        <v>3</v>
      </c>
      <c r="C61" s="2990" t="s">
        <v>1691</v>
      </c>
      <c r="D61" s="2990"/>
      <c r="E61" s="2990" t="s">
        <v>452</v>
      </c>
      <c r="F61" s="2955"/>
      <c r="G61" s="2955"/>
      <c r="H61" s="2955"/>
      <c r="I61" s="2955"/>
      <c r="J61" s="2955"/>
      <c r="K61" s="2955"/>
      <c r="L61" s="2955"/>
      <c r="M61" s="2955"/>
      <c r="N61" s="2955"/>
      <c r="O61" s="2955"/>
      <c r="P61" s="2955"/>
      <c r="Q61" s="2955"/>
      <c r="R61" s="2955"/>
      <c r="S61" s="2955"/>
      <c r="T61" s="2955"/>
      <c r="U61" s="2955"/>
      <c r="V61" s="2955"/>
      <c r="W61" s="2955"/>
      <c r="X61" s="2955"/>
      <c r="Y61" s="2955"/>
      <c r="Z61" s="2955"/>
      <c r="AA61" s="2955"/>
      <c r="AB61" s="2955"/>
      <c r="AC61" s="2955"/>
      <c r="AD61" s="2955"/>
      <c r="AE61" s="2955"/>
      <c r="AF61" s="2955"/>
      <c r="AG61" s="2955"/>
      <c r="AH61" s="2955"/>
      <c r="AI61" s="2955"/>
      <c r="AJ61" s="2955">
        <v>94</v>
      </c>
      <c r="AK61" s="2955">
        <f t="shared" si="6"/>
        <v>94</v>
      </c>
      <c r="AL61" s="2955">
        <f t="shared" si="4"/>
        <v>3.2240607749543728</v>
      </c>
      <c r="AM61" s="2984" t="s">
        <v>141</v>
      </c>
      <c r="AN61" s="2957"/>
    </row>
    <row r="62" spans="1:40" s="2989" customFormat="1" ht="33.75" customHeight="1">
      <c r="A62" s="2504">
        <v>49</v>
      </c>
      <c r="B62" s="2504">
        <v>4</v>
      </c>
      <c r="C62" s="2990" t="s">
        <v>1692</v>
      </c>
      <c r="D62" s="2990"/>
      <c r="E62" s="2990" t="s">
        <v>452</v>
      </c>
      <c r="F62" s="2955"/>
      <c r="G62" s="2955"/>
      <c r="H62" s="2955"/>
      <c r="I62" s="2955"/>
      <c r="J62" s="2955"/>
      <c r="K62" s="2955"/>
      <c r="L62" s="2955"/>
      <c r="M62" s="2955"/>
      <c r="N62" s="2955"/>
      <c r="O62" s="2955"/>
      <c r="P62" s="2955"/>
      <c r="Q62" s="2955"/>
      <c r="R62" s="2955"/>
      <c r="S62" s="2955"/>
      <c r="T62" s="2955"/>
      <c r="U62" s="2955"/>
      <c r="V62" s="2955"/>
      <c r="W62" s="2955"/>
      <c r="X62" s="2955"/>
      <c r="Y62" s="2955"/>
      <c r="Z62" s="2955"/>
      <c r="AA62" s="2955"/>
      <c r="AB62" s="2955"/>
      <c r="AC62" s="2955"/>
      <c r="AD62" s="2955"/>
      <c r="AE62" s="2955"/>
      <c r="AF62" s="2955"/>
      <c r="AG62" s="2955"/>
      <c r="AH62" s="2955"/>
      <c r="AI62" s="2955"/>
      <c r="AJ62" s="2955">
        <v>90</v>
      </c>
      <c r="AK62" s="2955">
        <f t="shared" si="6"/>
        <v>90</v>
      </c>
      <c r="AL62" s="2955">
        <f t="shared" si="4"/>
        <v>3.0868666994243994</v>
      </c>
      <c r="AM62" s="2984" t="s">
        <v>138</v>
      </c>
      <c r="AN62" s="2957"/>
    </row>
    <row r="63" spans="1:40" s="2989" customFormat="1" ht="33.75" customHeight="1">
      <c r="A63" s="2998">
        <v>50</v>
      </c>
      <c r="B63" s="2998">
        <v>5</v>
      </c>
      <c r="C63" s="2990" t="s">
        <v>1693</v>
      </c>
      <c r="D63" s="2990"/>
      <c r="E63" s="2990" t="s">
        <v>452</v>
      </c>
      <c r="F63" s="2955"/>
      <c r="G63" s="2955"/>
      <c r="H63" s="2955"/>
      <c r="I63" s="2955"/>
      <c r="J63" s="2955"/>
      <c r="K63" s="2955"/>
      <c r="L63" s="2955"/>
      <c r="M63" s="2955"/>
      <c r="N63" s="2955"/>
      <c r="O63" s="2955"/>
      <c r="P63" s="2955"/>
      <c r="Q63" s="2955"/>
      <c r="R63" s="2955"/>
      <c r="S63" s="2955"/>
      <c r="T63" s="2955"/>
      <c r="U63" s="2955"/>
      <c r="V63" s="2955"/>
      <c r="W63" s="2955"/>
      <c r="X63" s="2955"/>
      <c r="Y63" s="2955"/>
      <c r="Z63" s="2955"/>
      <c r="AA63" s="2955"/>
      <c r="AB63" s="2955"/>
      <c r="AC63" s="2955"/>
      <c r="AD63" s="2955"/>
      <c r="AE63" s="2955"/>
      <c r="AF63" s="2955"/>
      <c r="AG63" s="2955"/>
      <c r="AH63" s="2955"/>
      <c r="AI63" s="2955"/>
      <c r="AJ63" s="2955">
        <v>93</v>
      </c>
      <c r="AK63" s="2955">
        <f t="shared" si="6"/>
        <v>93</v>
      </c>
      <c r="AL63" s="2955">
        <f t="shared" si="4"/>
        <v>3.1897622560718797</v>
      </c>
      <c r="AM63" s="2984" t="s">
        <v>141</v>
      </c>
      <c r="AN63" s="2957"/>
    </row>
    <row r="64" spans="1:40" s="2989" customFormat="1" ht="33.75" customHeight="1">
      <c r="A64" s="2504">
        <v>51</v>
      </c>
      <c r="B64" s="2504">
        <v>6</v>
      </c>
      <c r="C64" s="2990" t="s">
        <v>281</v>
      </c>
      <c r="D64" s="2990"/>
      <c r="E64" s="2990" t="s">
        <v>452</v>
      </c>
      <c r="F64" s="2955"/>
      <c r="G64" s="2955"/>
      <c r="H64" s="2955"/>
      <c r="I64" s="2955"/>
      <c r="J64" s="2955"/>
      <c r="K64" s="2955"/>
      <c r="L64" s="2955"/>
      <c r="M64" s="2955"/>
      <c r="N64" s="2955"/>
      <c r="O64" s="2955"/>
      <c r="P64" s="2955"/>
      <c r="Q64" s="2955"/>
      <c r="R64" s="2955"/>
      <c r="S64" s="2955"/>
      <c r="T64" s="2955"/>
      <c r="U64" s="2955"/>
      <c r="V64" s="2955"/>
      <c r="W64" s="2955"/>
      <c r="X64" s="2955"/>
      <c r="Y64" s="2955"/>
      <c r="Z64" s="2955"/>
      <c r="AA64" s="2955"/>
      <c r="AB64" s="2955"/>
      <c r="AC64" s="2955"/>
      <c r="AD64" s="2955"/>
      <c r="AE64" s="2955"/>
      <c r="AF64" s="2955"/>
      <c r="AG64" s="2955"/>
      <c r="AH64" s="2955"/>
      <c r="AI64" s="2955"/>
      <c r="AJ64" s="2955">
        <v>110</v>
      </c>
      <c r="AK64" s="2955">
        <f t="shared" si="6"/>
        <v>110</v>
      </c>
      <c r="AL64" s="2955">
        <f t="shared" si="4"/>
        <v>3.7728370770742661</v>
      </c>
      <c r="AM64" s="2984" t="s">
        <v>138</v>
      </c>
      <c r="AN64" s="2957"/>
    </row>
    <row r="65" spans="1:40" s="2989" customFormat="1" ht="33.75" customHeight="1">
      <c r="A65" s="2998">
        <v>52</v>
      </c>
      <c r="B65" s="2998">
        <v>7</v>
      </c>
      <c r="C65" s="2990" t="s">
        <v>1183</v>
      </c>
      <c r="D65" s="2990"/>
      <c r="E65" s="2990" t="s">
        <v>452</v>
      </c>
      <c r="F65" s="2955"/>
      <c r="G65" s="2955"/>
      <c r="H65" s="2955"/>
      <c r="I65" s="2955"/>
      <c r="J65" s="2955"/>
      <c r="K65" s="2955"/>
      <c r="L65" s="2955"/>
      <c r="M65" s="2955"/>
      <c r="N65" s="2955"/>
      <c r="O65" s="2955"/>
      <c r="P65" s="2955"/>
      <c r="Q65" s="2955"/>
      <c r="R65" s="2955"/>
      <c r="S65" s="2955"/>
      <c r="T65" s="2955"/>
      <c r="U65" s="2955"/>
      <c r="V65" s="2955"/>
      <c r="W65" s="2955"/>
      <c r="X65" s="2955"/>
      <c r="Y65" s="2955"/>
      <c r="Z65" s="2955"/>
      <c r="AA65" s="2955"/>
      <c r="AB65" s="2955"/>
      <c r="AC65" s="2955"/>
      <c r="AD65" s="2955"/>
      <c r="AE65" s="2955"/>
      <c r="AF65" s="2955"/>
      <c r="AG65" s="2955"/>
      <c r="AH65" s="2955"/>
      <c r="AI65" s="2955"/>
      <c r="AJ65" s="2955">
        <v>90</v>
      </c>
      <c r="AK65" s="2955">
        <f t="shared" si="6"/>
        <v>90</v>
      </c>
      <c r="AL65" s="2955">
        <f t="shared" si="4"/>
        <v>3.0868666994243994</v>
      </c>
      <c r="AM65" s="2984" t="s">
        <v>141</v>
      </c>
      <c r="AN65" s="2957"/>
    </row>
    <row r="66" spans="1:40" s="2989" customFormat="1" ht="33.75" customHeight="1">
      <c r="A66" s="2504">
        <v>53</v>
      </c>
      <c r="B66" s="2504">
        <v>8</v>
      </c>
      <c r="C66" s="2990" t="s">
        <v>1184</v>
      </c>
      <c r="D66" s="2990"/>
      <c r="E66" s="2990" t="s">
        <v>452</v>
      </c>
      <c r="F66" s="2955"/>
      <c r="G66" s="2955"/>
      <c r="H66" s="2955"/>
      <c r="I66" s="2955"/>
      <c r="J66" s="2955"/>
      <c r="K66" s="2955"/>
      <c r="L66" s="2955"/>
      <c r="M66" s="2955"/>
      <c r="N66" s="2955"/>
      <c r="O66" s="2955"/>
      <c r="P66" s="2955"/>
      <c r="Q66" s="2955"/>
      <c r="R66" s="2955"/>
      <c r="S66" s="2955"/>
      <c r="T66" s="2955"/>
      <c r="U66" s="2955"/>
      <c r="V66" s="2955"/>
      <c r="W66" s="2955"/>
      <c r="X66" s="2955"/>
      <c r="Y66" s="2955"/>
      <c r="Z66" s="2955"/>
      <c r="AA66" s="2955"/>
      <c r="AB66" s="2955"/>
      <c r="AC66" s="2955"/>
      <c r="AD66" s="2955"/>
      <c r="AE66" s="2955"/>
      <c r="AF66" s="2955"/>
      <c r="AG66" s="2955"/>
      <c r="AH66" s="2955"/>
      <c r="AI66" s="2955"/>
      <c r="AJ66" s="2955">
        <v>90</v>
      </c>
      <c r="AK66" s="2955">
        <f t="shared" si="6"/>
        <v>90</v>
      </c>
      <c r="AL66" s="2955">
        <f t="shared" si="4"/>
        <v>3.0868666994243994</v>
      </c>
      <c r="AM66" s="2984" t="s">
        <v>141</v>
      </c>
      <c r="AN66" s="2957"/>
    </row>
    <row r="67" spans="1:40" s="2989" customFormat="1" ht="33.75" customHeight="1">
      <c r="A67" s="2998">
        <v>54</v>
      </c>
      <c r="B67" s="2998">
        <v>9</v>
      </c>
      <c r="C67" s="2990" t="s">
        <v>1615</v>
      </c>
      <c r="D67" s="2990"/>
      <c r="E67" s="2990" t="s">
        <v>452</v>
      </c>
      <c r="F67" s="2955"/>
      <c r="G67" s="2955"/>
      <c r="H67" s="2955"/>
      <c r="I67" s="2955"/>
      <c r="J67" s="2955"/>
      <c r="K67" s="2955"/>
      <c r="L67" s="2955"/>
      <c r="M67" s="2955"/>
      <c r="N67" s="2955"/>
      <c r="O67" s="2955"/>
      <c r="P67" s="2955"/>
      <c r="Q67" s="2955"/>
      <c r="R67" s="2955"/>
      <c r="S67" s="2955"/>
      <c r="T67" s="2955"/>
      <c r="U67" s="2955"/>
      <c r="V67" s="2955"/>
      <c r="W67" s="2955"/>
      <c r="X67" s="2955"/>
      <c r="Y67" s="2955"/>
      <c r="Z67" s="2955"/>
      <c r="AA67" s="2955"/>
      <c r="AB67" s="2955"/>
      <c r="AC67" s="2955"/>
      <c r="AD67" s="2955"/>
      <c r="AE67" s="2955"/>
      <c r="AF67" s="2955"/>
      <c r="AG67" s="2955"/>
      <c r="AH67" s="2955"/>
      <c r="AI67" s="2955"/>
      <c r="AJ67" s="2955">
        <v>114</v>
      </c>
      <c r="AK67" s="2955">
        <f t="shared" si="6"/>
        <v>114</v>
      </c>
      <c r="AL67" s="2955">
        <f t="shared" si="4"/>
        <v>3.9100311526042395</v>
      </c>
      <c r="AM67" s="2984" t="s">
        <v>141</v>
      </c>
      <c r="AN67" s="2957"/>
    </row>
    <row r="68" spans="1:40" s="2989" customFormat="1" ht="33.75" customHeight="1">
      <c r="A68" s="2504">
        <v>55</v>
      </c>
      <c r="B68" s="2504">
        <v>10</v>
      </c>
      <c r="C68" s="2990" t="s">
        <v>1490</v>
      </c>
      <c r="D68" s="2990"/>
      <c r="E68" s="2990" t="s">
        <v>452</v>
      </c>
      <c r="F68" s="2955"/>
      <c r="G68" s="2955"/>
      <c r="H68" s="2955"/>
      <c r="I68" s="2955"/>
      <c r="J68" s="2955"/>
      <c r="K68" s="2955"/>
      <c r="L68" s="2955"/>
      <c r="M68" s="2955"/>
      <c r="N68" s="2955"/>
      <c r="O68" s="2955"/>
      <c r="P68" s="2955"/>
      <c r="Q68" s="2955"/>
      <c r="R68" s="2955"/>
      <c r="S68" s="2955"/>
      <c r="T68" s="2955"/>
      <c r="U68" s="2955"/>
      <c r="V68" s="2955"/>
      <c r="W68" s="2955"/>
      <c r="X68" s="2955"/>
      <c r="Y68" s="2955"/>
      <c r="Z68" s="2955"/>
      <c r="AA68" s="2955"/>
      <c r="AB68" s="2955"/>
      <c r="AC68" s="2955"/>
      <c r="AD68" s="2955"/>
      <c r="AE68" s="2955"/>
      <c r="AF68" s="2955"/>
      <c r="AG68" s="2955"/>
      <c r="AH68" s="2955"/>
      <c r="AI68" s="2955"/>
      <c r="AJ68" s="2955">
        <v>114</v>
      </c>
      <c r="AK68" s="2955">
        <f t="shared" si="6"/>
        <v>114</v>
      </c>
      <c r="AL68" s="2955">
        <f t="shared" si="4"/>
        <v>3.9100311526042395</v>
      </c>
      <c r="AM68" s="2984" t="s">
        <v>141</v>
      </c>
      <c r="AN68" s="2957"/>
    </row>
    <row r="69" spans="1:40" s="2989" customFormat="1" ht="33.75" customHeight="1">
      <c r="A69" s="2998">
        <v>56</v>
      </c>
      <c r="B69" s="2998">
        <v>11</v>
      </c>
      <c r="C69" s="2990" t="s">
        <v>1694</v>
      </c>
      <c r="D69" s="2990"/>
      <c r="E69" s="2990" t="s">
        <v>452</v>
      </c>
      <c r="F69" s="2955"/>
      <c r="G69" s="2955"/>
      <c r="H69" s="2955"/>
      <c r="I69" s="2955"/>
      <c r="J69" s="2955"/>
      <c r="K69" s="2955"/>
      <c r="L69" s="2955"/>
      <c r="M69" s="2955"/>
      <c r="N69" s="2955"/>
      <c r="O69" s="2955"/>
      <c r="P69" s="2955"/>
      <c r="Q69" s="2955"/>
      <c r="R69" s="2955"/>
      <c r="S69" s="2955"/>
      <c r="T69" s="2955"/>
      <c r="U69" s="2955"/>
      <c r="V69" s="2955"/>
      <c r="W69" s="2955"/>
      <c r="X69" s="2955"/>
      <c r="Y69" s="2955"/>
      <c r="Z69" s="2955"/>
      <c r="AA69" s="2955"/>
      <c r="AB69" s="2955"/>
      <c r="AC69" s="2955"/>
      <c r="AD69" s="2955"/>
      <c r="AE69" s="2955"/>
      <c r="AF69" s="2955"/>
      <c r="AG69" s="2955"/>
      <c r="AH69" s="2955"/>
      <c r="AI69" s="2955"/>
      <c r="AJ69" s="2955">
        <v>77</v>
      </c>
      <c r="AK69" s="2955">
        <f t="shared" si="6"/>
        <v>77</v>
      </c>
      <c r="AL69" s="2955">
        <f t="shared" si="4"/>
        <v>2.6409859539519864</v>
      </c>
      <c r="AM69" s="2984" t="s">
        <v>141</v>
      </c>
      <c r="AN69" s="2957"/>
    </row>
    <row r="70" spans="1:40" s="2989" customFormat="1" ht="33.75" customHeight="1">
      <c r="A70" s="2504">
        <v>57</v>
      </c>
      <c r="B70" s="2504">
        <v>12</v>
      </c>
      <c r="C70" s="2990" t="s">
        <v>1616</v>
      </c>
      <c r="D70" s="2990"/>
      <c r="E70" s="2990" t="s">
        <v>452</v>
      </c>
      <c r="F70" s="2955"/>
      <c r="G70" s="2955"/>
      <c r="H70" s="2955"/>
      <c r="I70" s="2955"/>
      <c r="J70" s="2955"/>
      <c r="K70" s="2955"/>
      <c r="L70" s="2955"/>
      <c r="M70" s="2955"/>
      <c r="N70" s="2955"/>
      <c r="O70" s="2955"/>
      <c r="P70" s="2955"/>
      <c r="Q70" s="2955"/>
      <c r="R70" s="2955"/>
      <c r="S70" s="2955"/>
      <c r="T70" s="2955"/>
      <c r="U70" s="2955"/>
      <c r="V70" s="2955"/>
      <c r="W70" s="2955"/>
      <c r="X70" s="2955"/>
      <c r="Y70" s="2955"/>
      <c r="Z70" s="2955"/>
      <c r="AA70" s="2955"/>
      <c r="AB70" s="2955"/>
      <c r="AC70" s="2955"/>
      <c r="AD70" s="2955"/>
      <c r="AE70" s="2955"/>
      <c r="AF70" s="2955"/>
      <c r="AG70" s="2955"/>
      <c r="AH70" s="2955"/>
      <c r="AI70" s="2955"/>
      <c r="AJ70" s="2955">
        <v>78</v>
      </c>
      <c r="AK70" s="2955">
        <f t="shared" si="6"/>
        <v>78</v>
      </c>
      <c r="AL70" s="2955">
        <f t="shared" si="4"/>
        <v>2.6752844728344796</v>
      </c>
      <c r="AM70" s="2984" t="s">
        <v>141</v>
      </c>
      <c r="AN70" s="2957"/>
    </row>
    <row r="71" spans="1:40" s="2989" customFormat="1" ht="33.75" customHeight="1">
      <c r="A71" s="2998">
        <v>58</v>
      </c>
      <c r="B71" s="2998">
        <v>13</v>
      </c>
      <c r="C71" s="2990" t="s">
        <v>1229</v>
      </c>
      <c r="D71" s="2990"/>
      <c r="E71" s="2990" t="s">
        <v>452</v>
      </c>
      <c r="F71" s="2955"/>
      <c r="G71" s="2955"/>
      <c r="H71" s="2955"/>
      <c r="I71" s="2955"/>
      <c r="J71" s="2955"/>
      <c r="K71" s="2955"/>
      <c r="L71" s="2955"/>
      <c r="M71" s="2955"/>
      <c r="N71" s="2955"/>
      <c r="O71" s="2955"/>
      <c r="P71" s="2955"/>
      <c r="Q71" s="2955"/>
      <c r="R71" s="2955"/>
      <c r="S71" s="2955"/>
      <c r="T71" s="2955"/>
      <c r="U71" s="2955"/>
      <c r="V71" s="2955"/>
      <c r="W71" s="2955"/>
      <c r="X71" s="2955"/>
      <c r="Y71" s="2955"/>
      <c r="Z71" s="2955"/>
      <c r="AA71" s="2955"/>
      <c r="AB71" s="2955"/>
      <c r="AC71" s="2955"/>
      <c r="AD71" s="2955"/>
      <c r="AE71" s="2955"/>
      <c r="AF71" s="2955"/>
      <c r="AG71" s="2955"/>
      <c r="AH71" s="2955"/>
      <c r="AI71" s="2955"/>
      <c r="AJ71" s="2955">
        <v>44</v>
      </c>
      <c r="AK71" s="2955">
        <f t="shared" si="6"/>
        <v>44</v>
      </c>
      <c r="AL71" s="2955">
        <f t="shared" si="4"/>
        <v>1.5091348308297063</v>
      </c>
      <c r="AM71" s="2984" t="s">
        <v>141</v>
      </c>
      <c r="AN71" s="2957"/>
    </row>
    <row r="72" spans="1:40" s="2989" customFormat="1" ht="33.75" customHeight="1">
      <c r="A72" s="2504">
        <v>59</v>
      </c>
      <c r="B72" s="2504">
        <v>14</v>
      </c>
      <c r="C72" s="2990" t="s">
        <v>1494</v>
      </c>
      <c r="D72" s="2990"/>
      <c r="E72" s="2990" t="s">
        <v>452</v>
      </c>
      <c r="F72" s="2955"/>
      <c r="G72" s="2955"/>
      <c r="H72" s="2955"/>
      <c r="I72" s="2955"/>
      <c r="J72" s="2955"/>
      <c r="K72" s="2955"/>
      <c r="L72" s="2955"/>
      <c r="M72" s="2955"/>
      <c r="N72" s="2955"/>
      <c r="O72" s="2955"/>
      <c r="P72" s="2955"/>
      <c r="Q72" s="2955"/>
      <c r="R72" s="2955"/>
      <c r="S72" s="2955"/>
      <c r="T72" s="2955"/>
      <c r="U72" s="2955"/>
      <c r="V72" s="2955"/>
      <c r="W72" s="2955"/>
      <c r="X72" s="2955"/>
      <c r="Y72" s="2955"/>
      <c r="Z72" s="2955"/>
      <c r="AA72" s="2955"/>
      <c r="AB72" s="2955"/>
      <c r="AC72" s="2955"/>
      <c r="AD72" s="2955"/>
      <c r="AE72" s="2955"/>
      <c r="AF72" s="2955"/>
      <c r="AG72" s="2955"/>
      <c r="AH72" s="2955"/>
      <c r="AI72" s="2955"/>
      <c r="AJ72" s="2955">
        <v>74</v>
      </c>
      <c r="AK72" s="2955">
        <f t="shared" si="6"/>
        <v>74</v>
      </c>
      <c r="AL72" s="2955">
        <f t="shared" si="4"/>
        <v>2.5380903973045061</v>
      </c>
      <c r="AM72" s="2984" t="s">
        <v>141</v>
      </c>
      <c r="AN72" s="2957"/>
    </row>
    <row r="73" spans="1:40" s="2989" customFormat="1" ht="33.75" customHeight="1">
      <c r="A73" s="2998">
        <v>60</v>
      </c>
      <c r="B73" s="2998">
        <v>15</v>
      </c>
      <c r="C73" s="2990" t="s">
        <v>243</v>
      </c>
      <c r="D73" s="2990"/>
      <c r="E73" s="2990" t="s">
        <v>452</v>
      </c>
      <c r="F73" s="2955"/>
      <c r="G73" s="2955"/>
      <c r="H73" s="2955"/>
      <c r="I73" s="2955"/>
      <c r="J73" s="2955"/>
      <c r="K73" s="2955"/>
      <c r="L73" s="2955"/>
      <c r="M73" s="2955"/>
      <c r="N73" s="2955"/>
      <c r="O73" s="2955"/>
      <c r="P73" s="2955"/>
      <c r="Q73" s="2955"/>
      <c r="R73" s="2955"/>
      <c r="S73" s="2955"/>
      <c r="T73" s="2955"/>
      <c r="U73" s="2955"/>
      <c r="V73" s="2955"/>
      <c r="W73" s="2955"/>
      <c r="X73" s="2955"/>
      <c r="Y73" s="2955"/>
      <c r="Z73" s="2955"/>
      <c r="AA73" s="2955"/>
      <c r="AB73" s="2955"/>
      <c r="AC73" s="2955"/>
      <c r="AD73" s="2955"/>
      <c r="AE73" s="2955"/>
      <c r="AF73" s="2955"/>
      <c r="AG73" s="2955"/>
      <c r="AH73" s="2955"/>
      <c r="AI73" s="2955"/>
      <c r="AJ73" s="2955">
        <v>63</v>
      </c>
      <c r="AK73" s="2955">
        <f t="shared" si="6"/>
        <v>63</v>
      </c>
      <c r="AL73" s="2955">
        <f t="shared" si="4"/>
        <v>2.1608066895970799</v>
      </c>
      <c r="AM73" s="2984" t="s">
        <v>138</v>
      </c>
      <c r="AN73" s="2957"/>
    </row>
    <row r="74" spans="1:40" s="2989" customFormat="1" ht="33.75" customHeight="1">
      <c r="A74" s="2504">
        <v>61</v>
      </c>
      <c r="B74" s="2504">
        <v>16</v>
      </c>
      <c r="C74" s="2990" t="s">
        <v>1533</v>
      </c>
      <c r="D74" s="2990"/>
      <c r="E74" s="2990" t="s">
        <v>452</v>
      </c>
      <c r="F74" s="2955"/>
      <c r="G74" s="2955"/>
      <c r="H74" s="2955"/>
      <c r="I74" s="2955"/>
      <c r="J74" s="2955"/>
      <c r="K74" s="2955"/>
      <c r="L74" s="2955"/>
      <c r="M74" s="2955"/>
      <c r="N74" s="2955"/>
      <c r="O74" s="2955"/>
      <c r="P74" s="2955"/>
      <c r="Q74" s="2955"/>
      <c r="R74" s="2955"/>
      <c r="S74" s="2955"/>
      <c r="T74" s="2955"/>
      <c r="U74" s="2955"/>
      <c r="V74" s="2955"/>
      <c r="W74" s="2955"/>
      <c r="X74" s="2955"/>
      <c r="Y74" s="2955"/>
      <c r="Z74" s="2955"/>
      <c r="AA74" s="2955"/>
      <c r="AB74" s="2955"/>
      <c r="AC74" s="2955"/>
      <c r="AD74" s="2955"/>
      <c r="AE74" s="2955"/>
      <c r="AF74" s="2955"/>
      <c r="AG74" s="2955"/>
      <c r="AH74" s="2955"/>
      <c r="AI74" s="2955"/>
      <c r="AJ74" s="2955">
        <v>75</v>
      </c>
      <c r="AK74" s="2955">
        <f t="shared" si="6"/>
        <v>75</v>
      </c>
      <c r="AL74" s="2955">
        <f t="shared" si="4"/>
        <v>2.5723889161869997</v>
      </c>
      <c r="AM74" s="2984" t="s">
        <v>141</v>
      </c>
      <c r="AN74" s="2957"/>
    </row>
    <row r="75" spans="1:40" s="2989" customFormat="1" ht="33.75" customHeight="1">
      <c r="A75" s="2998">
        <v>62</v>
      </c>
      <c r="B75" s="2998">
        <v>17</v>
      </c>
      <c r="C75" s="2990" t="s">
        <v>1534</v>
      </c>
      <c r="D75" s="2990"/>
      <c r="E75" s="2990" t="s">
        <v>452</v>
      </c>
      <c r="F75" s="2955"/>
      <c r="G75" s="2955"/>
      <c r="H75" s="2955"/>
      <c r="I75" s="2955"/>
      <c r="J75" s="2955"/>
      <c r="K75" s="2955"/>
      <c r="L75" s="2955"/>
      <c r="M75" s="2955"/>
      <c r="N75" s="2955"/>
      <c r="O75" s="2955"/>
      <c r="P75" s="2955"/>
      <c r="Q75" s="2955"/>
      <c r="R75" s="2955"/>
      <c r="S75" s="2955"/>
      <c r="T75" s="2955"/>
      <c r="U75" s="2955"/>
      <c r="V75" s="2955"/>
      <c r="W75" s="2955"/>
      <c r="X75" s="2955"/>
      <c r="Y75" s="2955"/>
      <c r="Z75" s="2955"/>
      <c r="AA75" s="2955"/>
      <c r="AB75" s="2955"/>
      <c r="AC75" s="2955"/>
      <c r="AD75" s="2955"/>
      <c r="AE75" s="2955"/>
      <c r="AF75" s="2955"/>
      <c r="AG75" s="2955"/>
      <c r="AH75" s="2955"/>
      <c r="AI75" s="2955"/>
      <c r="AJ75" s="2955">
        <v>74</v>
      </c>
      <c r="AK75" s="2955">
        <f t="shared" si="6"/>
        <v>74</v>
      </c>
      <c r="AL75" s="2955">
        <f t="shared" si="4"/>
        <v>2.5380903973045061</v>
      </c>
      <c r="AM75" s="2984" t="s">
        <v>141</v>
      </c>
      <c r="AN75" s="2957"/>
    </row>
    <row r="76" spans="1:40" s="2989" customFormat="1" ht="33.75" customHeight="1">
      <c r="A76" s="2504">
        <v>63</v>
      </c>
      <c r="B76" s="2504">
        <v>18</v>
      </c>
      <c r="C76" s="2990" t="s">
        <v>1695</v>
      </c>
      <c r="D76" s="2990"/>
      <c r="E76" s="2990" t="s">
        <v>452</v>
      </c>
      <c r="F76" s="2955"/>
      <c r="G76" s="2955"/>
      <c r="H76" s="2955"/>
      <c r="I76" s="2955"/>
      <c r="J76" s="2955"/>
      <c r="K76" s="2955"/>
      <c r="L76" s="2955"/>
      <c r="M76" s="2955"/>
      <c r="N76" s="2955"/>
      <c r="O76" s="2955"/>
      <c r="P76" s="2955"/>
      <c r="Q76" s="2955"/>
      <c r="R76" s="2955"/>
      <c r="S76" s="2955"/>
      <c r="T76" s="2955"/>
      <c r="U76" s="2955"/>
      <c r="V76" s="2955"/>
      <c r="W76" s="2955"/>
      <c r="X76" s="2955"/>
      <c r="Y76" s="2955"/>
      <c r="Z76" s="2955"/>
      <c r="AA76" s="2955"/>
      <c r="AB76" s="2955"/>
      <c r="AC76" s="2955"/>
      <c r="AD76" s="2955"/>
      <c r="AE76" s="2955"/>
      <c r="AF76" s="2955"/>
      <c r="AG76" s="2955"/>
      <c r="AH76" s="2955"/>
      <c r="AI76" s="2955"/>
      <c r="AJ76" s="2955">
        <v>74</v>
      </c>
      <c r="AK76" s="2955">
        <f t="shared" si="6"/>
        <v>74</v>
      </c>
      <c r="AL76" s="2955">
        <f t="shared" si="4"/>
        <v>2.5380903973045061</v>
      </c>
      <c r="AM76" s="2984" t="s">
        <v>141</v>
      </c>
      <c r="AN76" s="2957"/>
    </row>
    <row r="77" spans="1:40" s="2989" customFormat="1" ht="33.75" customHeight="1">
      <c r="A77" s="2998">
        <v>64</v>
      </c>
      <c r="B77" s="2998">
        <v>19</v>
      </c>
      <c r="C77" s="2990" t="s">
        <v>1535</v>
      </c>
      <c r="D77" s="2990"/>
      <c r="E77" s="2990" t="s">
        <v>452</v>
      </c>
      <c r="F77" s="2955"/>
      <c r="G77" s="2955"/>
      <c r="H77" s="2955"/>
      <c r="I77" s="2955"/>
      <c r="J77" s="2955"/>
      <c r="K77" s="2955"/>
      <c r="L77" s="2955"/>
      <c r="M77" s="2955"/>
      <c r="N77" s="2955"/>
      <c r="O77" s="2955"/>
      <c r="P77" s="2955"/>
      <c r="Q77" s="2955"/>
      <c r="R77" s="2955"/>
      <c r="S77" s="2955"/>
      <c r="T77" s="2955"/>
      <c r="U77" s="2955"/>
      <c r="V77" s="2955"/>
      <c r="W77" s="2955"/>
      <c r="X77" s="2955"/>
      <c r="Y77" s="2955"/>
      <c r="Z77" s="2955"/>
      <c r="AA77" s="2955"/>
      <c r="AB77" s="2955"/>
      <c r="AC77" s="2955"/>
      <c r="AD77" s="2955"/>
      <c r="AE77" s="2955"/>
      <c r="AF77" s="2955"/>
      <c r="AG77" s="2955"/>
      <c r="AH77" s="2955"/>
      <c r="AI77" s="2955"/>
      <c r="AJ77" s="2955">
        <v>58</v>
      </c>
      <c r="AK77" s="2955">
        <f t="shared" si="6"/>
        <v>58</v>
      </c>
      <c r="AL77" s="2955">
        <f t="shared" si="4"/>
        <v>1.9893140951846131</v>
      </c>
      <c r="AM77" s="2984" t="s">
        <v>141</v>
      </c>
      <c r="AN77" s="2957"/>
    </row>
    <row r="78" spans="1:40" s="2989" customFormat="1" ht="33.75" customHeight="1">
      <c r="A78" s="2504">
        <v>65</v>
      </c>
      <c r="B78" s="2504">
        <v>20</v>
      </c>
      <c r="C78" s="2990" t="s">
        <v>1696</v>
      </c>
      <c r="D78" s="2990"/>
      <c r="E78" s="2990" t="s">
        <v>452</v>
      </c>
      <c r="F78" s="2955"/>
      <c r="G78" s="2955"/>
      <c r="H78" s="2955"/>
      <c r="I78" s="2955"/>
      <c r="J78" s="2955"/>
      <c r="K78" s="2955"/>
      <c r="L78" s="2955"/>
      <c r="M78" s="2955"/>
      <c r="N78" s="2955"/>
      <c r="O78" s="2955"/>
      <c r="P78" s="2955"/>
      <c r="Q78" s="2955"/>
      <c r="R78" s="2955"/>
      <c r="S78" s="2955"/>
      <c r="T78" s="2955"/>
      <c r="U78" s="2955"/>
      <c r="V78" s="2955"/>
      <c r="W78" s="2955"/>
      <c r="X78" s="2955"/>
      <c r="Y78" s="2955"/>
      <c r="Z78" s="2955"/>
      <c r="AA78" s="2955"/>
      <c r="AB78" s="2955"/>
      <c r="AC78" s="2955"/>
      <c r="AD78" s="2955"/>
      <c r="AE78" s="2955"/>
      <c r="AF78" s="2955"/>
      <c r="AG78" s="2955"/>
      <c r="AH78" s="2955"/>
      <c r="AI78" s="2955"/>
      <c r="AJ78" s="2955">
        <v>74</v>
      </c>
      <c r="AK78" s="2955">
        <f t="shared" si="6"/>
        <v>74</v>
      </c>
      <c r="AL78" s="2955">
        <f t="shared" si="4"/>
        <v>2.5380903973045061</v>
      </c>
      <c r="AM78" s="2984" t="s">
        <v>141</v>
      </c>
      <c r="AN78" s="2957"/>
    </row>
    <row r="79" spans="1:40" s="2989" customFormat="1" ht="33.75" customHeight="1">
      <c r="A79" s="2998">
        <v>66</v>
      </c>
      <c r="B79" s="2998">
        <v>21</v>
      </c>
      <c r="C79" s="2990" t="s">
        <v>1495</v>
      </c>
      <c r="D79" s="2990"/>
      <c r="E79" s="2990" t="s">
        <v>452</v>
      </c>
      <c r="F79" s="2955"/>
      <c r="G79" s="2955"/>
      <c r="H79" s="2955"/>
      <c r="I79" s="2955"/>
      <c r="J79" s="2955"/>
      <c r="K79" s="2955"/>
      <c r="L79" s="2955"/>
      <c r="M79" s="2955"/>
      <c r="N79" s="2955"/>
      <c r="O79" s="2955"/>
      <c r="P79" s="2955"/>
      <c r="Q79" s="2955"/>
      <c r="R79" s="2955"/>
      <c r="S79" s="2955"/>
      <c r="T79" s="2955"/>
      <c r="U79" s="2955"/>
      <c r="V79" s="2955"/>
      <c r="W79" s="2955"/>
      <c r="X79" s="2955"/>
      <c r="Y79" s="2955"/>
      <c r="Z79" s="2955"/>
      <c r="AA79" s="2955"/>
      <c r="AB79" s="2955"/>
      <c r="AC79" s="2955"/>
      <c r="AD79" s="2955"/>
      <c r="AE79" s="2955"/>
      <c r="AF79" s="2955"/>
      <c r="AG79" s="2955"/>
      <c r="AH79" s="2955"/>
      <c r="AI79" s="2955"/>
      <c r="AJ79" s="2955">
        <v>107</v>
      </c>
      <c r="AK79" s="2955">
        <f t="shared" si="6"/>
        <v>107</v>
      </c>
      <c r="AL79" s="2955">
        <f t="shared" si="4"/>
        <v>3.6699415204267862</v>
      </c>
      <c r="AM79" s="2984" t="s">
        <v>141</v>
      </c>
      <c r="AN79" s="2957"/>
    </row>
    <row r="80" spans="1:40" s="2989" customFormat="1" ht="33.75" customHeight="1">
      <c r="A80" s="2504">
        <v>67</v>
      </c>
      <c r="B80" s="2504">
        <v>22</v>
      </c>
      <c r="C80" s="2990" t="s">
        <v>1496</v>
      </c>
      <c r="D80" s="2990"/>
      <c r="E80" s="2990" t="s">
        <v>452</v>
      </c>
      <c r="F80" s="2955"/>
      <c r="G80" s="2955"/>
      <c r="H80" s="2955"/>
      <c r="I80" s="2955"/>
      <c r="J80" s="2955"/>
      <c r="K80" s="2955"/>
      <c r="L80" s="2955"/>
      <c r="M80" s="2955"/>
      <c r="N80" s="2955"/>
      <c r="O80" s="2955"/>
      <c r="P80" s="2955"/>
      <c r="Q80" s="2955"/>
      <c r="R80" s="2955"/>
      <c r="S80" s="2955"/>
      <c r="T80" s="2955"/>
      <c r="U80" s="2955"/>
      <c r="V80" s="2955"/>
      <c r="W80" s="2955"/>
      <c r="X80" s="2955"/>
      <c r="Y80" s="2955"/>
      <c r="Z80" s="2955"/>
      <c r="AA80" s="2955"/>
      <c r="AB80" s="2955"/>
      <c r="AC80" s="2955"/>
      <c r="AD80" s="2955"/>
      <c r="AE80" s="2955"/>
      <c r="AF80" s="2955"/>
      <c r="AG80" s="2955"/>
      <c r="AH80" s="2955"/>
      <c r="AI80" s="2955"/>
      <c r="AJ80" s="2955">
        <v>107</v>
      </c>
      <c r="AK80" s="2955">
        <f t="shared" si="6"/>
        <v>107</v>
      </c>
      <c r="AL80" s="2955">
        <f t="shared" si="4"/>
        <v>3.6699415204267862</v>
      </c>
      <c r="AM80" s="2984" t="s">
        <v>141</v>
      </c>
      <c r="AN80" s="2957"/>
    </row>
    <row r="81" spans="1:43" s="2989" customFormat="1" ht="33.75" customHeight="1">
      <c r="A81" s="2998">
        <v>68</v>
      </c>
      <c r="B81" s="2998">
        <v>23</v>
      </c>
      <c r="C81" s="2990" t="s">
        <v>1697</v>
      </c>
      <c r="D81" s="2990"/>
      <c r="E81" s="2990" t="s">
        <v>452</v>
      </c>
      <c r="F81" s="2955"/>
      <c r="G81" s="2955"/>
      <c r="H81" s="2955"/>
      <c r="I81" s="2955"/>
      <c r="J81" s="2955"/>
      <c r="K81" s="2955"/>
      <c r="L81" s="2955"/>
      <c r="M81" s="2955"/>
      <c r="N81" s="2955"/>
      <c r="O81" s="2955"/>
      <c r="P81" s="2955"/>
      <c r="Q81" s="2955"/>
      <c r="R81" s="2955"/>
      <c r="S81" s="2955"/>
      <c r="T81" s="2955"/>
      <c r="U81" s="2955"/>
      <c r="V81" s="2955"/>
      <c r="W81" s="2955"/>
      <c r="X81" s="2955"/>
      <c r="Y81" s="2955"/>
      <c r="Z81" s="2955"/>
      <c r="AA81" s="2955"/>
      <c r="AB81" s="2955"/>
      <c r="AC81" s="2955"/>
      <c r="AD81" s="2955"/>
      <c r="AE81" s="2955"/>
      <c r="AF81" s="2955"/>
      <c r="AG81" s="2955"/>
      <c r="AH81" s="2955"/>
      <c r="AI81" s="2955"/>
      <c r="AJ81" s="2955">
        <v>55</v>
      </c>
      <c r="AK81" s="2955">
        <f t="shared" si="6"/>
        <v>55</v>
      </c>
      <c r="AL81" s="2955">
        <f t="shared" si="4"/>
        <v>1.886418538537133</v>
      </c>
      <c r="AM81" s="2984" t="s">
        <v>141</v>
      </c>
      <c r="AN81" s="2957"/>
    </row>
    <row r="82" spans="1:43" s="2989" customFormat="1" ht="33.75" customHeight="1">
      <c r="A82" s="2504">
        <v>69</v>
      </c>
      <c r="B82" s="2504">
        <v>24</v>
      </c>
      <c r="C82" s="2990" t="s">
        <v>1698</v>
      </c>
      <c r="D82" s="2990"/>
      <c r="E82" s="2990" t="s">
        <v>452</v>
      </c>
      <c r="F82" s="2955"/>
      <c r="G82" s="2955"/>
      <c r="H82" s="2955"/>
      <c r="I82" s="2955"/>
      <c r="J82" s="2955"/>
      <c r="K82" s="2955"/>
      <c r="L82" s="2955"/>
      <c r="M82" s="2955"/>
      <c r="N82" s="2955"/>
      <c r="O82" s="2955"/>
      <c r="P82" s="2955"/>
      <c r="Q82" s="2955"/>
      <c r="R82" s="2955"/>
      <c r="S82" s="2955"/>
      <c r="T82" s="2955"/>
      <c r="U82" s="2955"/>
      <c r="V82" s="2955"/>
      <c r="W82" s="2955"/>
      <c r="X82" s="2955"/>
      <c r="Y82" s="2955"/>
      <c r="Z82" s="2955"/>
      <c r="AA82" s="2955"/>
      <c r="AB82" s="2955"/>
      <c r="AC82" s="2955"/>
      <c r="AD82" s="2955"/>
      <c r="AE82" s="2955"/>
      <c r="AF82" s="2955"/>
      <c r="AG82" s="2955"/>
      <c r="AH82" s="2955"/>
      <c r="AI82" s="2955"/>
      <c r="AJ82" s="2955">
        <v>41</v>
      </c>
      <c r="AK82" s="2955">
        <f t="shared" si="6"/>
        <v>41</v>
      </c>
      <c r="AL82" s="2955">
        <f t="shared" si="4"/>
        <v>1.4062392741822265</v>
      </c>
      <c r="AM82" s="2984" t="s">
        <v>141</v>
      </c>
      <c r="AN82" s="2957"/>
    </row>
    <row r="83" spans="1:43" s="2989" customFormat="1" ht="33.75" customHeight="1">
      <c r="A83" s="2998">
        <v>70</v>
      </c>
      <c r="B83" s="2998">
        <v>25</v>
      </c>
      <c r="C83" s="2990" t="s">
        <v>1699</v>
      </c>
      <c r="D83" s="2990"/>
      <c r="E83" s="2990" t="s">
        <v>452</v>
      </c>
      <c r="F83" s="2955"/>
      <c r="G83" s="2955"/>
      <c r="H83" s="2955"/>
      <c r="I83" s="2955"/>
      <c r="J83" s="2955"/>
      <c r="K83" s="2955"/>
      <c r="L83" s="2955"/>
      <c r="M83" s="2955"/>
      <c r="N83" s="2955"/>
      <c r="O83" s="2955"/>
      <c r="P83" s="2955"/>
      <c r="Q83" s="2955"/>
      <c r="R83" s="2955"/>
      <c r="S83" s="2955"/>
      <c r="T83" s="2955"/>
      <c r="U83" s="2955"/>
      <c r="V83" s="2955"/>
      <c r="W83" s="2955"/>
      <c r="X83" s="2955"/>
      <c r="Y83" s="2955"/>
      <c r="Z83" s="2955"/>
      <c r="AA83" s="2955"/>
      <c r="AB83" s="2955"/>
      <c r="AC83" s="2955"/>
      <c r="AD83" s="2955"/>
      <c r="AE83" s="2955"/>
      <c r="AF83" s="2955"/>
      <c r="AG83" s="2955"/>
      <c r="AH83" s="2955"/>
      <c r="AI83" s="2955"/>
      <c r="AJ83" s="2955">
        <v>55</v>
      </c>
      <c r="AK83" s="2955">
        <f t="shared" si="6"/>
        <v>55</v>
      </c>
      <c r="AL83" s="2955">
        <f t="shared" si="4"/>
        <v>1.886418538537133</v>
      </c>
      <c r="AM83" s="2984" t="s">
        <v>141</v>
      </c>
      <c r="AN83" s="2957"/>
    </row>
    <row r="84" spans="1:43" s="2989" customFormat="1" ht="33.75" customHeight="1">
      <c r="A84" s="2504">
        <v>71</v>
      </c>
      <c r="B84" s="2504">
        <v>26</v>
      </c>
      <c r="C84" s="2990" t="s">
        <v>1700</v>
      </c>
      <c r="D84" s="2990"/>
      <c r="E84" s="2990" t="s">
        <v>452</v>
      </c>
      <c r="F84" s="2955"/>
      <c r="G84" s="2955"/>
      <c r="H84" s="2955"/>
      <c r="I84" s="2955"/>
      <c r="J84" s="2955"/>
      <c r="K84" s="2955"/>
      <c r="L84" s="2955"/>
      <c r="M84" s="2955"/>
      <c r="N84" s="2955"/>
      <c r="O84" s="2955"/>
      <c r="P84" s="2955"/>
      <c r="Q84" s="2955"/>
      <c r="R84" s="2955"/>
      <c r="S84" s="2955"/>
      <c r="T84" s="2955"/>
      <c r="U84" s="2955"/>
      <c r="V84" s="2955"/>
      <c r="W84" s="2955"/>
      <c r="X84" s="2955"/>
      <c r="Y84" s="2955"/>
      <c r="Z84" s="2955"/>
      <c r="AA84" s="2955"/>
      <c r="AB84" s="2955"/>
      <c r="AC84" s="2955"/>
      <c r="AD84" s="2955"/>
      <c r="AE84" s="2955"/>
      <c r="AF84" s="2955"/>
      <c r="AG84" s="2955"/>
      <c r="AH84" s="2955"/>
      <c r="AI84" s="2955"/>
      <c r="AJ84" s="2955">
        <v>56</v>
      </c>
      <c r="AK84" s="2955">
        <f t="shared" si="6"/>
        <v>56</v>
      </c>
      <c r="AL84" s="2955">
        <f t="shared" si="4"/>
        <v>1.9207170574196264</v>
      </c>
      <c r="AM84" s="2984" t="s">
        <v>141</v>
      </c>
      <c r="AN84" s="2957"/>
    </row>
    <row r="85" spans="1:43" s="2989" customFormat="1" ht="33.75" customHeight="1">
      <c r="A85" s="2998">
        <v>72</v>
      </c>
      <c r="B85" s="2998">
        <v>27</v>
      </c>
      <c r="C85" s="2990" t="s">
        <v>1701</v>
      </c>
      <c r="D85" s="2990"/>
      <c r="E85" s="2990" t="s">
        <v>452</v>
      </c>
      <c r="F85" s="2955"/>
      <c r="G85" s="2955"/>
      <c r="H85" s="2955"/>
      <c r="I85" s="2955"/>
      <c r="J85" s="2955"/>
      <c r="K85" s="2955"/>
      <c r="L85" s="2955"/>
      <c r="M85" s="2955"/>
      <c r="N85" s="2955"/>
      <c r="O85" s="2955"/>
      <c r="P85" s="2955"/>
      <c r="Q85" s="2955"/>
      <c r="R85" s="2955"/>
      <c r="S85" s="2955"/>
      <c r="T85" s="2955"/>
      <c r="U85" s="2955"/>
      <c r="V85" s="2955"/>
      <c r="W85" s="2955"/>
      <c r="X85" s="2955"/>
      <c r="Y85" s="2955"/>
      <c r="Z85" s="2955"/>
      <c r="AA85" s="2955"/>
      <c r="AB85" s="2955"/>
      <c r="AC85" s="2955"/>
      <c r="AD85" s="2955"/>
      <c r="AE85" s="2955"/>
      <c r="AF85" s="2955"/>
      <c r="AG85" s="2955"/>
      <c r="AH85" s="2955"/>
      <c r="AI85" s="2955"/>
      <c r="AJ85" s="2955">
        <v>96</v>
      </c>
      <c r="AK85" s="2955">
        <f t="shared" si="6"/>
        <v>96</v>
      </c>
      <c r="AL85" s="2955">
        <f t="shared" si="4"/>
        <v>3.2926578127193595</v>
      </c>
      <c r="AM85" s="2984" t="s">
        <v>138</v>
      </c>
      <c r="AN85" s="2957"/>
    </row>
    <row r="86" spans="1:43" s="2989" customFormat="1" ht="33.75" customHeight="1">
      <c r="A86" s="2504">
        <v>73</v>
      </c>
      <c r="B86" s="2504">
        <v>28</v>
      </c>
      <c r="C86" s="2990" t="s">
        <v>1702</v>
      </c>
      <c r="D86" s="2990"/>
      <c r="E86" s="2990" t="s">
        <v>452</v>
      </c>
      <c r="F86" s="2955"/>
      <c r="G86" s="2955"/>
      <c r="H86" s="2955"/>
      <c r="I86" s="2955"/>
      <c r="J86" s="2955"/>
      <c r="K86" s="2955"/>
      <c r="L86" s="2955"/>
      <c r="M86" s="2955"/>
      <c r="N86" s="2955"/>
      <c r="O86" s="2955"/>
      <c r="P86" s="2955"/>
      <c r="Q86" s="2955"/>
      <c r="R86" s="2955"/>
      <c r="S86" s="2955"/>
      <c r="T86" s="2955"/>
      <c r="U86" s="2955"/>
      <c r="V86" s="2955"/>
      <c r="W86" s="2955"/>
      <c r="X86" s="2955"/>
      <c r="Y86" s="2955"/>
      <c r="Z86" s="2955"/>
      <c r="AA86" s="2955"/>
      <c r="AB86" s="2955"/>
      <c r="AC86" s="2955"/>
      <c r="AD86" s="2955"/>
      <c r="AE86" s="2955"/>
      <c r="AF86" s="2955"/>
      <c r="AG86" s="2955"/>
      <c r="AH86" s="2955"/>
      <c r="AI86" s="2955"/>
      <c r="AJ86" s="2955">
        <v>210</v>
      </c>
      <c r="AK86" s="2955">
        <f t="shared" si="6"/>
        <v>210</v>
      </c>
      <c r="AL86" s="2955">
        <f t="shared" si="4"/>
        <v>7.202688965323599</v>
      </c>
      <c r="AM86" s="2984" t="s">
        <v>141</v>
      </c>
      <c r="AN86" s="2957"/>
    </row>
    <row r="87" spans="1:43" s="2989" customFormat="1" ht="33.75" customHeight="1">
      <c r="A87" s="2998">
        <v>74</v>
      </c>
      <c r="B87" s="2998">
        <v>29</v>
      </c>
      <c r="C87" s="2990" t="s">
        <v>1536</v>
      </c>
      <c r="D87" s="2990"/>
      <c r="E87" s="2990" t="s">
        <v>452</v>
      </c>
      <c r="F87" s="2955"/>
      <c r="G87" s="2955"/>
      <c r="H87" s="2955"/>
      <c r="I87" s="2955"/>
      <c r="J87" s="2955"/>
      <c r="K87" s="2955"/>
      <c r="L87" s="2955"/>
      <c r="M87" s="2955"/>
      <c r="N87" s="2955"/>
      <c r="O87" s="2955"/>
      <c r="P87" s="2955"/>
      <c r="Q87" s="2955"/>
      <c r="R87" s="2955"/>
      <c r="S87" s="2955"/>
      <c r="T87" s="2955"/>
      <c r="U87" s="2955"/>
      <c r="V87" s="2955"/>
      <c r="W87" s="2955"/>
      <c r="X87" s="2955"/>
      <c r="Y87" s="2955"/>
      <c r="Z87" s="2955"/>
      <c r="AA87" s="2955"/>
      <c r="AB87" s="2955"/>
      <c r="AC87" s="2955"/>
      <c r="AD87" s="2955"/>
      <c r="AE87" s="2955"/>
      <c r="AF87" s="2955"/>
      <c r="AG87" s="2955"/>
      <c r="AH87" s="2955"/>
      <c r="AI87" s="2955"/>
      <c r="AJ87" s="2955">
        <v>104</v>
      </c>
      <c r="AK87" s="2955">
        <f t="shared" si="6"/>
        <v>104</v>
      </c>
      <c r="AL87" s="2955">
        <f t="shared" si="4"/>
        <v>3.5670459637793064</v>
      </c>
      <c r="AM87" s="2984" t="s">
        <v>138</v>
      </c>
      <c r="AN87" s="2957"/>
    </row>
    <row r="88" spans="1:43" s="2989" customFormat="1" ht="33.75" customHeight="1">
      <c r="A88" s="2504">
        <v>75</v>
      </c>
      <c r="B88" s="2504">
        <v>30</v>
      </c>
      <c r="C88" s="2990" t="s">
        <v>1703</v>
      </c>
      <c r="D88" s="2990"/>
      <c r="E88" s="2990" t="s">
        <v>452</v>
      </c>
      <c r="F88" s="2955"/>
      <c r="G88" s="2955"/>
      <c r="H88" s="2955"/>
      <c r="I88" s="2955"/>
      <c r="J88" s="2955"/>
      <c r="K88" s="2955"/>
      <c r="L88" s="2955"/>
      <c r="M88" s="2955"/>
      <c r="N88" s="2955"/>
      <c r="O88" s="2955"/>
      <c r="P88" s="2955"/>
      <c r="Q88" s="2955"/>
      <c r="R88" s="2955"/>
      <c r="S88" s="2955"/>
      <c r="T88" s="2955"/>
      <c r="U88" s="2955"/>
      <c r="V88" s="2955"/>
      <c r="W88" s="2955"/>
      <c r="X88" s="2955"/>
      <c r="Y88" s="2955"/>
      <c r="Z88" s="2955"/>
      <c r="AA88" s="2955"/>
      <c r="AB88" s="2955"/>
      <c r="AC88" s="2955"/>
      <c r="AD88" s="2955"/>
      <c r="AE88" s="2955"/>
      <c r="AF88" s="2955"/>
      <c r="AG88" s="2955"/>
      <c r="AH88" s="2955"/>
      <c r="AI88" s="2955"/>
      <c r="AJ88" s="2955">
        <v>104</v>
      </c>
      <c r="AK88" s="2955">
        <f t="shared" si="6"/>
        <v>104</v>
      </c>
      <c r="AL88" s="2955">
        <f t="shared" si="4"/>
        <v>3.5670459637793064</v>
      </c>
      <c r="AM88" s="2984" t="s">
        <v>141</v>
      </c>
      <c r="AN88" s="2957"/>
    </row>
    <row r="89" spans="1:43" s="2989" customFormat="1" ht="33.75" customHeight="1">
      <c r="A89" s="2998">
        <v>76</v>
      </c>
      <c r="B89" s="2998">
        <v>31</v>
      </c>
      <c r="C89" s="2990" t="s">
        <v>1500</v>
      </c>
      <c r="D89" s="2990"/>
      <c r="E89" s="2990" t="s">
        <v>452</v>
      </c>
      <c r="F89" s="2955"/>
      <c r="G89" s="2955"/>
      <c r="H89" s="2955"/>
      <c r="I89" s="2955"/>
      <c r="J89" s="2955"/>
      <c r="K89" s="2955"/>
      <c r="L89" s="2955"/>
      <c r="M89" s="2955"/>
      <c r="N89" s="2955"/>
      <c r="O89" s="2955"/>
      <c r="P89" s="2955"/>
      <c r="Q89" s="2955"/>
      <c r="R89" s="2955"/>
      <c r="S89" s="2955"/>
      <c r="T89" s="2955"/>
      <c r="U89" s="2955"/>
      <c r="V89" s="2955"/>
      <c r="W89" s="2955"/>
      <c r="X89" s="2955"/>
      <c r="Y89" s="2955"/>
      <c r="Z89" s="2955"/>
      <c r="AA89" s="2955"/>
      <c r="AB89" s="2955"/>
      <c r="AC89" s="2955"/>
      <c r="AD89" s="2955"/>
      <c r="AE89" s="2955"/>
      <c r="AF89" s="2955"/>
      <c r="AG89" s="2955"/>
      <c r="AH89" s="2955"/>
      <c r="AI89" s="2955"/>
      <c r="AJ89" s="2955">
        <v>104</v>
      </c>
      <c r="AK89" s="2955">
        <f t="shared" si="6"/>
        <v>104</v>
      </c>
      <c r="AL89" s="2955">
        <f t="shared" si="4"/>
        <v>3.5670459637793064</v>
      </c>
      <c r="AM89" s="2984" t="s">
        <v>141</v>
      </c>
      <c r="AN89" s="2957"/>
    </row>
    <row r="90" spans="1:43" s="2989" customFormat="1" ht="33.75" customHeight="1">
      <c r="A90" s="2504">
        <v>77</v>
      </c>
      <c r="B90" s="2504">
        <v>32</v>
      </c>
      <c r="C90" s="2990" t="s">
        <v>1704</v>
      </c>
      <c r="D90" s="2990"/>
      <c r="E90" s="2990" t="s">
        <v>452</v>
      </c>
      <c r="F90" s="2955"/>
      <c r="G90" s="2955"/>
      <c r="H90" s="2955"/>
      <c r="I90" s="2955"/>
      <c r="J90" s="2955"/>
      <c r="K90" s="2955"/>
      <c r="L90" s="2955"/>
      <c r="M90" s="2955"/>
      <c r="N90" s="2955"/>
      <c r="O90" s="2955"/>
      <c r="P90" s="2955"/>
      <c r="Q90" s="2955"/>
      <c r="R90" s="2955"/>
      <c r="S90" s="2955"/>
      <c r="T90" s="2955"/>
      <c r="U90" s="2955"/>
      <c r="V90" s="2955"/>
      <c r="W90" s="2955"/>
      <c r="X90" s="2955"/>
      <c r="Y90" s="2955"/>
      <c r="Z90" s="2955"/>
      <c r="AA90" s="2955"/>
      <c r="AB90" s="2955"/>
      <c r="AC90" s="2955"/>
      <c r="AD90" s="2955"/>
      <c r="AE90" s="2955"/>
      <c r="AF90" s="2955"/>
      <c r="AG90" s="2955"/>
      <c r="AH90" s="2955"/>
      <c r="AI90" s="2955"/>
      <c r="AJ90" s="2955">
        <v>75</v>
      </c>
      <c r="AK90" s="2955">
        <f t="shared" si="6"/>
        <v>75</v>
      </c>
      <c r="AL90" s="2955">
        <f t="shared" si="4"/>
        <v>2.5723889161869997</v>
      </c>
      <c r="AM90" s="2984" t="s">
        <v>138</v>
      </c>
      <c r="AN90" s="2957"/>
    </row>
    <row r="91" spans="1:43" s="2989" customFormat="1" ht="33.75" customHeight="1">
      <c r="A91" s="2998">
        <v>78</v>
      </c>
      <c r="B91" s="2998">
        <v>33</v>
      </c>
      <c r="C91" s="2990" t="s">
        <v>1504</v>
      </c>
      <c r="D91" s="2990"/>
      <c r="E91" s="2990" t="s">
        <v>452</v>
      </c>
      <c r="F91" s="2955"/>
      <c r="G91" s="2955"/>
      <c r="H91" s="2955"/>
      <c r="I91" s="2955"/>
      <c r="J91" s="2955"/>
      <c r="K91" s="2955"/>
      <c r="L91" s="2955"/>
      <c r="M91" s="2955"/>
      <c r="N91" s="2955"/>
      <c r="O91" s="2955"/>
      <c r="P91" s="2955"/>
      <c r="Q91" s="2955"/>
      <c r="R91" s="2955"/>
      <c r="S91" s="2955"/>
      <c r="T91" s="2955"/>
      <c r="U91" s="2955"/>
      <c r="V91" s="2955"/>
      <c r="W91" s="2955"/>
      <c r="X91" s="2955"/>
      <c r="Y91" s="2955"/>
      <c r="Z91" s="2955"/>
      <c r="AA91" s="2955"/>
      <c r="AB91" s="2955"/>
      <c r="AC91" s="2955"/>
      <c r="AD91" s="2955"/>
      <c r="AE91" s="2955"/>
      <c r="AF91" s="2955"/>
      <c r="AG91" s="2955"/>
      <c r="AH91" s="2955"/>
      <c r="AI91" s="2955"/>
      <c r="AJ91" s="2955">
        <v>103</v>
      </c>
      <c r="AK91" s="2955">
        <f t="shared" si="6"/>
        <v>103</v>
      </c>
      <c r="AL91" s="2955">
        <f t="shared" si="4"/>
        <v>3.5327474448968128</v>
      </c>
      <c r="AM91" s="2984" t="s">
        <v>141</v>
      </c>
      <c r="AN91" s="2957"/>
    </row>
    <row r="92" spans="1:43" s="2989" customFormat="1" ht="33.75" customHeight="1">
      <c r="A92" s="2504">
        <v>79</v>
      </c>
      <c r="B92" s="2504">
        <v>34</v>
      </c>
      <c r="C92" s="2990" t="s">
        <v>1537</v>
      </c>
      <c r="D92" s="2990"/>
      <c r="E92" s="2990" t="s">
        <v>452</v>
      </c>
      <c r="F92" s="2955"/>
      <c r="G92" s="2955"/>
      <c r="H92" s="2955"/>
      <c r="I92" s="2955"/>
      <c r="J92" s="2955"/>
      <c r="K92" s="2955"/>
      <c r="L92" s="2955"/>
      <c r="M92" s="2955"/>
      <c r="N92" s="2955"/>
      <c r="O92" s="2955"/>
      <c r="P92" s="2955"/>
      <c r="Q92" s="2955"/>
      <c r="R92" s="2955"/>
      <c r="S92" s="2955"/>
      <c r="T92" s="2955"/>
      <c r="U92" s="2955"/>
      <c r="V92" s="2955"/>
      <c r="W92" s="2955"/>
      <c r="X92" s="2955"/>
      <c r="Y92" s="2955"/>
      <c r="Z92" s="2955"/>
      <c r="AA92" s="2955"/>
      <c r="AB92" s="2955"/>
      <c r="AC92" s="2955"/>
      <c r="AD92" s="2955"/>
      <c r="AE92" s="2955"/>
      <c r="AF92" s="2955"/>
      <c r="AG92" s="2955"/>
      <c r="AH92" s="2955"/>
      <c r="AI92" s="2955"/>
      <c r="AJ92" s="2955">
        <v>75</v>
      </c>
      <c r="AK92" s="2955">
        <f t="shared" si="6"/>
        <v>75</v>
      </c>
      <c r="AL92" s="2955">
        <f t="shared" si="4"/>
        <v>2.5723889161869997</v>
      </c>
      <c r="AM92" s="2984" t="s">
        <v>141</v>
      </c>
      <c r="AN92" s="2957"/>
    </row>
    <row r="93" spans="1:43" s="2989" customFormat="1" ht="33.75" customHeight="1">
      <c r="A93" s="2998">
        <v>80</v>
      </c>
      <c r="B93" s="2998">
        <v>35</v>
      </c>
      <c r="C93" s="2990" t="s">
        <v>1501</v>
      </c>
      <c r="D93" s="2990"/>
      <c r="E93" s="2990" t="s">
        <v>452</v>
      </c>
      <c r="F93" s="2955"/>
      <c r="G93" s="2955"/>
      <c r="H93" s="2955"/>
      <c r="I93" s="2955"/>
      <c r="J93" s="2955"/>
      <c r="K93" s="2955"/>
      <c r="L93" s="2955"/>
      <c r="M93" s="2955"/>
      <c r="N93" s="2955"/>
      <c r="O93" s="2955"/>
      <c r="P93" s="2955"/>
      <c r="Q93" s="2955"/>
      <c r="R93" s="2955"/>
      <c r="S93" s="2955"/>
      <c r="T93" s="2955"/>
      <c r="U93" s="2955"/>
      <c r="V93" s="2955"/>
      <c r="W93" s="2955"/>
      <c r="X93" s="2955"/>
      <c r="Y93" s="2955"/>
      <c r="Z93" s="2955"/>
      <c r="AA93" s="2955"/>
      <c r="AB93" s="2955"/>
      <c r="AC93" s="2955"/>
      <c r="AD93" s="2955"/>
      <c r="AE93" s="2955"/>
      <c r="AF93" s="2955"/>
      <c r="AG93" s="2955"/>
      <c r="AH93" s="2955"/>
      <c r="AI93" s="2955"/>
      <c r="AJ93" s="2955">
        <v>75</v>
      </c>
      <c r="AK93" s="2955">
        <f t="shared" si="6"/>
        <v>75</v>
      </c>
      <c r="AL93" s="2955">
        <f t="shared" si="4"/>
        <v>2.5723889161869997</v>
      </c>
      <c r="AM93" s="2984" t="s">
        <v>141</v>
      </c>
      <c r="AN93" s="2957"/>
    </row>
    <row r="94" spans="1:43" s="2989" customFormat="1" ht="33.75" customHeight="1">
      <c r="A94" s="2504">
        <v>81</v>
      </c>
      <c r="B94" s="2504">
        <v>36</v>
      </c>
      <c r="C94" s="2990" t="s">
        <v>1502</v>
      </c>
      <c r="D94" s="2990"/>
      <c r="E94" s="2990" t="s">
        <v>452</v>
      </c>
      <c r="F94" s="2955"/>
      <c r="G94" s="2955"/>
      <c r="H94" s="2955"/>
      <c r="I94" s="2955"/>
      <c r="J94" s="2955"/>
      <c r="K94" s="2955"/>
      <c r="L94" s="2955"/>
      <c r="M94" s="2955"/>
      <c r="N94" s="2955"/>
      <c r="O94" s="2955"/>
      <c r="P94" s="2955"/>
      <c r="Q94" s="2955"/>
      <c r="R94" s="2955"/>
      <c r="S94" s="2955"/>
      <c r="T94" s="2955"/>
      <c r="U94" s="2955"/>
      <c r="V94" s="2955"/>
      <c r="W94" s="2955"/>
      <c r="X94" s="2955"/>
      <c r="Y94" s="2955"/>
      <c r="Z94" s="2955"/>
      <c r="AA94" s="2955"/>
      <c r="AB94" s="2955"/>
      <c r="AC94" s="2955"/>
      <c r="AD94" s="2955"/>
      <c r="AE94" s="2955"/>
      <c r="AF94" s="2955"/>
      <c r="AG94" s="2955"/>
      <c r="AH94" s="2955"/>
      <c r="AI94" s="2955"/>
      <c r="AJ94" s="2955">
        <v>46</v>
      </c>
      <c r="AK94" s="2955">
        <f t="shared" si="6"/>
        <v>46</v>
      </c>
      <c r="AL94" s="2955">
        <f t="shared" si="4"/>
        <v>1.5777318685946931</v>
      </c>
      <c r="AM94" s="2984" t="s">
        <v>141</v>
      </c>
      <c r="AN94" s="2957"/>
      <c r="AQ94" s="2989">
        <f>+COUNTIF(AM59:AM118,"A")</f>
        <v>51</v>
      </c>
    </row>
    <row r="95" spans="1:43" s="2989" customFormat="1" ht="33.75" customHeight="1">
      <c r="A95" s="2998">
        <v>82</v>
      </c>
      <c r="B95" s="2998">
        <v>37</v>
      </c>
      <c r="C95" s="2990" t="s">
        <v>1705</v>
      </c>
      <c r="D95" s="2990"/>
      <c r="E95" s="2990" t="s">
        <v>452</v>
      </c>
      <c r="F95" s="2955"/>
      <c r="G95" s="2955"/>
      <c r="H95" s="2955"/>
      <c r="I95" s="2955"/>
      <c r="J95" s="2955"/>
      <c r="K95" s="2955"/>
      <c r="L95" s="2955"/>
      <c r="M95" s="2955"/>
      <c r="N95" s="2955"/>
      <c r="O95" s="2955"/>
      <c r="P95" s="2955"/>
      <c r="Q95" s="2955"/>
      <c r="R95" s="2955"/>
      <c r="S95" s="2955"/>
      <c r="T95" s="2955"/>
      <c r="U95" s="2955"/>
      <c r="V95" s="2955"/>
      <c r="W95" s="2955"/>
      <c r="X95" s="2955"/>
      <c r="Y95" s="2955"/>
      <c r="Z95" s="2955"/>
      <c r="AA95" s="2955"/>
      <c r="AB95" s="2955"/>
      <c r="AC95" s="2955"/>
      <c r="AD95" s="2955"/>
      <c r="AE95" s="2955"/>
      <c r="AF95" s="2955"/>
      <c r="AG95" s="2955"/>
      <c r="AH95" s="2955"/>
      <c r="AI95" s="2955"/>
      <c r="AJ95" s="2955">
        <v>61</v>
      </c>
      <c r="AK95" s="2955">
        <f t="shared" si="6"/>
        <v>61</v>
      </c>
      <c r="AL95" s="2955">
        <f t="shared" si="4"/>
        <v>2.0922096518320932</v>
      </c>
      <c r="AM95" s="2984" t="s">
        <v>141</v>
      </c>
      <c r="AN95" s="2957"/>
    </row>
    <row r="96" spans="1:43" s="2989" customFormat="1" ht="33.75" customHeight="1">
      <c r="A96" s="2504">
        <v>83</v>
      </c>
      <c r="B96" s="2504">
        <v>38</v>
      </c>
      <c r="C96" s="2990" t="s">
        <v>1706</v>
      </c>
      <c r="D96" s="2990"/>
      <c r="E96" s="2990" t="s">
        <v>452</v>
      </c>
      <c r="F96" s="2955"/>
      <c r="G96" s="2955"/>
      <c r="H96" s="2955"/>
      <c r="I96" s="2955"/>
      <c r="J96" s="2955"/>
      <c r="K96" s="2955"/>
      <c r="L96" s="2955"/>
      <c r="M96" s="2955"/>
      <c r="N96" s="2955"/>
      <c r="O96" s="2955"/>
      <c r="P96" s="2955"/>
      <c r="Q96" s="2955"/>
      <c r="R96" s="2955"/>
      <c r="S96" s="2955"/>
      <c r="T96" s="2955"/>
      <c r="U96" s="2955"/>
      <c r="V96" s="2955"/>
      <c r="W96" s="2955"/>
      <c r="X96" s="2955"/>
      <c r="Y96" s="2955"/>
      <c r="Z96" s="2955"/>
      <c r="AA96" s="2955"/>
      <c r="AB96" s="2955"/>
      <c r="AC96" s="2955"/>
      <c r="AD96" s="2955"/>
      <c r="AE96" s="2955"/>
      <c r="AF96" s="2955"/>
      <c r="AG96" s="2955"/>
      <c r="AH96" s="2955"/>
      <c r="AI96" s="2955"/>
      <c r="AJ96" s="2955">
        <v>60</v>
      </c>
      <c r="AK96" s="2955">
        <f t="shared" si="6"/>
        <v>60</v>
      </c>
      <c r="AL96" s="2955">
        <f t="shared" si="4"/>
        <v>2.0579111329495996</v>
      </c>
      <c r="AM96" s="2984" t="s">
        <v>141</v>
      </c>
      <c r="AN96" s="2957"/>
    </row>
    <row r="97" spans="1:40" s="2989" customFormat="1" ht="33.75" customHeight="1">
      <c r="A97" s="2998">
        <v>84</v>
      </c>
      <c r="B97" s="2998">
        <v>39</v>
      </c>
      <c r="C97" s="2990" t="s">
        <v>1707</v>
      </c>
      <c r="D97" s="2990"/>
      <c r="E97" s="2990" t="s">
        <v>452</v>
      </c>
      <c r="F97" s="2955"/>
      <c r="G97" s="2955"/>
      <c r="H97" s="2955"/>
      <c r="I97" s="2955"/>
      <c r="J97" s="2955"/>
      <c r="K97" s="2955"/>
      <c r="L97" s="2955"/>
      <c r="M97" s="2955"/>
      <c r="N97" s="2955"/>
      <c r="O97" s="2955"/>
      <c r="P97" s="2955"/>
      <c r="Q97" s="2955"/>
      <c r="R97" s="2955"/>
      <c r="S97" s="2955"/>
      <c r="T97" s="2955"/>
      <c r="U97" s="2955"/>
      <c r="V97" s="2955"/>
      <c r="W97" s="2955"/>
      <c r="X97" s="2955"/>
      <c r="Y97" s="2955"/>
      <c r="Z97" s="2955"/>
      <c r="AA97" s="2955"/>
      <c r="AB97" s="2955"/>
      <c r="AC97" s="2955"/>
      <c r="AD97" s="2955"/>
      <c r="AE97" s="2955"/>
      <c r="AF97" s="2955"/>
      <c r="AG97" s="2955"/>
      <c r="AH97" s="2955"/>
      <c r="AI97" s="2955"/>
      <c r="AJ97" s="2955">
        <v>58</v>
      </c>
      <c r="AK97" s="2955">
        <f t="shared" si="6"/>
        <v>58</v>
      </c>
      <c r="AL97" s="2955">
        <f t="shared" si="4"/>
        <v>1.9893140951846131</v>
      </c>
      <c r="AM97" s="2984" t="s">
        <v>141</v>
      </c>
      <c r="AN97" s="2957"/>
    </row>
    <row r="98" spans="1:40" s="2989" customFormat="1" ht="33.75" customHeight="1">
      <c r="A98" s="2504">
        <v>85</v>
      </c>
      <c r="B98" s="2504">
        <v>40</v>
      </c>
      <c r="C98" s="2990" t="s">
        <v>1708</v>
      </c>
      <c r="D98" s="2990"/>
      <c r="E98" s="2990" t="s">
        <v>452</v>
      </c>
      <c r="F98" s="2955"/>
      <c r="G98" s="2955"/>
      <c r="H98" s="2955"/>
      <c r="I98" s="2955"/>
      <c r="J98" s="2955"/>
      <c r="K98" s="2955"/>
      <c r="L98" s="2955"/>
      <c r="M98" s="2955"/>
      <c r="N98" s="2955"/>
      <c r="O98" s="2955"/>
      <c r="P98" s="2955"/>
      <c r="Q98" s="2955"/>
      <c r="R98" s="2955"/>
      <c r="S98" s="2955"/>
      <c r="T98" s="2955"/>
      <c r="U98" s="2955"/>
      <c r="V98" s="2955"/>
      <c r="W98" s="2955"/>
      <c r="X98" s="2955"/>
      <c r="Y98" s="2955"/>
      <c r="Z98" s="2955"/>
      <c r="AA98" s="2955"/>
      <c r="AB98" s="2955"/>
      <c r="AC98" s="2955"/>
      <c r="AD98" s="2955"/>
      <c r="AE98" s="2955"/>
      <c r="AF98" s="2955"/>
      <c r="AG98" s="2955"/>
      <c r="AH98" s="2955"/>
      <c r="AI98" s="2955"/>
      <c r="AJ98" s="2955">
        <v>49</v>
      </c>
      <c r="AK98" s="2955">
        <f t="shared" si="6"/>
        <v>49</v>
      </c>
      <c r="AL98" s="2955">
        <f t="shared" si="4"/>
        <v>1.6806274252421731</v>
      </c>
      <c r="AM98" s="2984" t="s">
        <v>138</v>
      </c>
      <c r="AN98" s="2957"/>
    </row>
    <row r="99" spans="1:40" s="2989" customFormat="1" ht="33.75" customHeight="1">
      <c r="A99" s="2998">
        <v>86</v>
      </c>
      <c r="B99" s="2998">
        <v>41</v>
      </c>
      <c r="C99" s="2990" t="s">
        <v>1505</v>
      </c>
      <c r="D99" s="2990"/>
      <c r="E99" s="2990" t="s">
        <v>452</v>
      </c>
      <c r="F99" s="2955"/>
      <c r="G99" s="2955"/>
      <c r="H99" s="2955"/>
      <c r="I99" s="2955"/>
      <c r="J99" s="2955"/>
      <c r="K99" s="2955"/>
      <c r="L99" s="2955"/>
      <c r="M99" s="2955"/>
      <c r="N99" s="2955"/>
      <c r="O99" s="2955"/>
      <c r="P99" s="2955"/>
      <c r="Q99" s="2955"/>
      <c r="R99" s="2955"/>
      <c r="S99" s="2955"/>
      <c r="T99" s="2955"/>
      <c r="U99" s="2955"/>
      <c r="V99" s="2955"/>
      <c r="W99" s="2955"/>
      <c r="X99" s="2955"/>
      <c r="Y99" s="2955"/>
      <c r="Z99" s="2955"/>
      <c r="AA99" s="2955"/>
      <c r="AB99" s="2955"/>
      <c r="AC99" s="2955"/>
      <c r="AD99" s="2955"/>
      <c r="AE99" s="2955"/>
      <c r="AF99" s="2955"/>
      <c r="AG99" s="2955"/>
      <c r="AH99" s="2955"/>
      <c r="AI99" s="2955"/>
      <c r="AJ99" s="2955">
        <v>97</v>
      </c>
      <c r="AK99" s="2955">
        <f t="shared" si="6"/>
        <v>97</v>
      </c>
      <c r="AL99" s="2955">
        <f t="shared" si="4"/>
        <v>3.3269563316018527</v>
      </c>
      <c r="AM99" s="2984" t="s">
        <v>141</v>
      </c>
      <c r="AN99" s="2957"/>
    </row>
    <row r="100" spans="1:40" s="2989" customFormat="1" ht="33.75" customHeight="1">
      <c r="A100" s="2504">
        <v>87</v>
      </c>
      <c r="B100" s="2504">
        <v>42</v>
      </c>
      <c r="C100" s="2990" t="s">
        <v>1075</v>
      </c>
      <c r="D100" s="2990"/>
      <c r="E100" s="2990" t="s">
        <v>452</v>
      </c>
      <c r="F100" s="2955"/>
      <c r="G100" s="2955"/>
      <c r="H100" s="2955"/>
      <c r="I100" s="2955"/>
      <c r="J100" s="2955"/>
      <c r="K100" s="2955"/>
      <c r="L100" s="2955"/>
      <c r="M100" s="2955"/>
      <c r="N100" s="2955"/>
      <c r="O100" s="2955"/>
      <c r="P100" s="2955"/>
      <c r="Q100" s="2955"/>
      <c r="R100" s="2955"/>
      <c r="S100" s="2955"/>
      <c r="T100" s="2955"/>
      <c r="U100" s="2955"/>
      <c r="V100" s="2955"/>
      <c r="W100" s="2955"/>
      <c r="X100" s="2955"/>
      <c r="Y100" s="2955"/>
      <c r="Z100" s="2955"/>
      <c r="AA100" s="2955"/>
      <c r="AB100" s="2955"/>
      <c r="AC100" s="2955"/>
      <c r="AD100" s="2955"/>
      <c r="AE100" s="2955"/>
      <c r="AF100" s="2955"/>
      <c r="AG100" s="2955"/>
      <c r="AH100" s="2955"/>
      <c r="AI100" s="2955"/>
      <c r="AJ100" s="2955">
        <v>107</v>
      </c>
      <c r="AK100" s="2955">
        <f t="shared" si="6"/>
        <v>107</v>
      </c>
      <c r="AL100" s="2955">
        <f t="shared" si="4"/>
        <v>3.6699415204267862</v>
      </c>
      <c r="AM100" s="2984" t="s">
        <v>141</v>
      </c>
      <c r="AN100" s="2957"/>
    </row>
    <row r="101" spans="1:40" s="2989" customFormat="1" ht="33.75" customHeight="1">
      <c r="A101" s="2998">
        <v>88</v>
      </c>
      <c r="B101" s="2998">
        <v>43</v>
      </c>
      <c r="C101" s="2990" t="s">
        <v>1506</v>
      </c>
      <c r="D101" s="2990"/>
      <c r="E101" s="2990" t="s">
        <v>452</v>
      </c>
      <c r="F101" s="2955"/>
      <c r="G101" s="2955"/>
      <c r="H101" s="2955"/>
      <c r="I101" s="2955"/>
      <c r="J101" s="2955"/>
      <c r="K101" s="2955"/>
      <c r="L101" s="2955"/>
      <c r="M101" s="2955"/>
      <c r="N101" s="2955"/>
      <c r="O101" s="2955"/>
      <c r="P101" s="2955"/>
      <c r="Q101" s="2955"/>
      <c r="R101" s="2955"/>
      <c r="S101" s="2955"/>
      <c r="T101" s="2955"/>
      <c r="U101" s="2955"/>
      <c r="V101" s="2955"/>
      <c r="W101" s="2955"/>
      <c r="X101" s="2955"/>
      <c r="Y101" s="2955"/>
      <c r="Z101" s="2955"/>
      <c r="AA101" s="2955"/>
      <c r="AB101" s="2955"/>
      <c r="AC101" s="2955"/>
      <c r="AD101" s="2955"/>
      <c r="AE101" s="2955"/>
      <c r="AF101" s="2955"/>
      <c r="AG101" s="2955"/>
      <c r="AH101" s="2955"/>
      <c r="AI101" s="2955"/>
      <c r="AJ101" s="2955">
        <v>113</v>
      </c>
      <c r="AK101" s="2955">
        <f t="shared" si="6"/>
        <v>113</v>
      </c>
      <c r="AL101" s="2955">
        <f t="shared" si="4"/>
        <v>3.8757326337217459</v>
      </c>
      <c r="AM101" s="2984" t="s">
        <v>141</v>
      </c>
      <c r="AN101" s="2957"/>
    </row>
    <row r="102" spans="1:40" s="2989" customFormat="1" ht="33.75" customHeight="1">
      <c r="A102" s="2504">
        <v>89</v>
      </c>
      <c r="B102" s="2504">
        <v>44</v>
      </c>
      <c r="C102" s="2990" t="s">
        <v>1622</v>
      </c>
      <c r="D102" s="2990"/>
      <c r="E102" s="2990" t="s">
        <v>452</v>
      </c>
      <c r="F102" s="2955"/>
      <c r="G102" s="2955"/>
      <c r="H102" s="2955"/>
      <c r="I102" s="2955"/>
      <c r="J102" s="2955"/>
      <c r="K102" s="2955"/>
      <c r="L102" s="2955"/>
      <c r="M102" s="2955"/>
      <c r="N102" s="2955"/>
      <c r="O102" s="2955"/>
      <c r="P102" s="2955"/>
      <c r="Q102" s="2955"/>
      <c r="R102" s="2955"/>
      <c r="S102" s="2955"/>
      <c r="T102" s="2955"/>
      <c r="U102" s="2955"/>
      <c r="V102" s="2955"/>
      <c r="W102" s="2955"/>
      <c r="X102" s="2955"/>
      <c r="Y102" s="2955"/>
      <c r="Z102" s="2955"/>
      <c r="AA102" s="2955"/>
      <c r="AB102" s="2955"/>
      <c r="AC102" s="2955"/>
      <c r="AD102" s="2955"/>
      <c r="AE102" s="2955"/>
      <c r="AF102" s="2955"/>
      <c r="AG102" s="2955"/>
      <c r="AH102" s="2955"/>
      <c r="AI102" s="2955"/>
      <c r="AJ102" s="2955">
        <v>57</v>
      </c>
      <c r="AK102" s="2955">
        <f t="shared" si="6"/>
        <v>57</v>
      </c>
      <c r="AL102" s="2955">
        <f t="shared" si="4"/>
        <v>1.9550155763021198</v>
      </c>
      <c r="AM102" s="2984" t="s">
        <v>141</v>
      </c>
      <c r="AN102" s="2957"/>
    </row>
    <row r="103" spans="1:40" s="2989" customFormat="1" ht="33.75" customHeight="1">
      <c r="A103" s="2998">
        <v>90</v>
      </c>
      <c r="B103" s="2998">
        <v>45</v>
      </c>
      <c r="C103" s="2990" t="s">
        <v>1507</v>
      </c>
      <c r="D103" s="2990"/>
      <c r="E103" s="2990" t="s">
        <v>452</v>
      </c>
      <c r="F103" s="2955"/>
      <c r="G103" s="2955"/>
      <c r="H103" s="2955"/>
      <c r="I103" s="2955"/>
      <c r="J103" s="2955"/>
      <c r="K103" s="2955"/>
      <c r="L103" s="2955"/>
      <c r="M103" s="2955"/>
      <c r="N103" s="2955"/>
      <c r="O103" s="2955"/>
      <c r="P103" s="2955"/>
      <c r="Q103" s="2955"/>
      <c r="R103" s="2955"/>
      <c r="S103" s="2955"/>
      <c r="T103" s="2955"/>
      <c r="U103" s="2955"/>
      <c r="V103" s="2955"/>
      <c r="W103" s="2955"/>
      <c r="X103" s="2955"/>
      <c r="Y103" s="2955"/>
      <c r="Z103" s="2955"/>
      <c r="AA103" s="2955"/>
      <c r="AB103" s="2955"/>
      <c r="AC103" s="2955"/>
      <c r="AD103" s="2955"/>
      <c r="AE103" s="2955"/>
      <c r="AF103" s="2955"/>
      <c r="AG103" s="2955"/>
      <c r="AH103" s="2955"/>
      <c r="AI103" s="2955"/>
      <c r="AJ103" s="2955">
        <v>86</v>
      </c>
      <c r="AK103" s="2955">
        <f t="shared" si="6"/>
        <v>86</v>
      </c>
      <c r="AL103" s="2955">
        <f t="shared" si="4"/>
        <v>2.9496726238944264</v>
      </c>
      <c r="AM103" s="2984" t="s">
        <v>141</v>
      </c>
      <c r="AN103" s="2957"/>
    </row>
    <row r="104" spans="1:40" s="2989" customFormat="1" ht="33.75" customHeight="1">
      <c r="A104" s="2504">
        <v>91</v>
      </c>
      <c r="B104" s="2504">
        <v>46</v>
      </c>
      <c r="C104" s="2990" t="s">
        <v>1538</v>
      </c>
      <c r="D104" s="2990"/>
      <c r="E104" s="2990" t="s">
        <v>452</v>
      </c>
      <c r="F104" s="2955"/>
      <c r="G104" s="2955"/>
      <c r="H104" s="2955"/>
      <c r="I104" s="2955"/>
      <c r="J104" s="2955"/>
      <c r="K104" s="2955"/>
      <c r="L104" s="2955"/>
      <c r="M104" s="2955"/>
      <c r="N104" s="2955"/>
      <c r="O104" s="2955"/>
      <c r="P104" s="2955"/>
      <c r="Q104" s="2955"/>
      <c r="R104" s="2955"/>
      <c r="S104" s="2955"/>
      <c r="T104" s="2955"/>
      <c r="U104" s="2955"/>
      <c r="V104" s="2955"/>
      <c r="W104" s="2955"/>
      <c r="X104" s="2955"/>
      <c r="Y104" s="2955"/>
      <c r="Z104" s="2955"/>
      <c r="AA104" s="2955"/>
      <c r="AB104" s="2955"/>
      <c r="AC104" s="2955"/>
      <c r="AD104" s="2955"/>
      <c r="AE104" s="2955"/>
      <c r="AF104" s="2955"/>
      <c r="AG104" s="2955"/>
      <c r="AH104" s="2955"/>
      <c r="AI104" s="2955">
        <f>134-7</f>
        <v>127</v>
      </c>
      <c r="AJ104" s="2955">
        <v>110</v>
      </c>
      <c r="AK104" s="2955">
        <f t="shared" si="6"/>
        <v>237</v>
      </c>
      <c r="AL104" s="2955">
        <f t="shared" si="4"/>
        <v>8.1287489751509181</v>
      </c>
      <c r="AM104" s="2984" t="s">
        <v>141</v>
      </c>
      <c r="AN104" s="2957"/>
    </row>
    <row r="105" spans="1:40" s="2989" customFormat="1" ht="33.75" customHeight="1">
      <c r="A105" s="2998">
        <v>92</v>
      </c>
      <c r="B105" s="2998">
        <v>47</v>
      </c>
      <c r="C105" s="2990" t="s">
        <v>1539</v>
      </c>
      <c r="D105" s="2990"/>
      <c r="E105" s="2990" t="s">
        <v>452</v>
      </c>
      <c r="F105" s="2955"/>
      <c r="G105" s="2955"/>
      <c r="H105" s="2955"/>
      <c r="I105" s="2955"/>
      <c r="J105" s="2955"/>
      <c r="K105" s="2955"/>
      <c r="L105" s="2955"/>
      <c r="M105" s="2955"/>
      <c r="N105" s="2955"/>
      <c r="O105" s="2955"/>
      <c r="P105" s="2955"/>
      <c r="Q105" s="2955"/>
      <c r="R105" s="2955"/>
      <c r="S105" s="2955"/>
      <c r="T105" s="2955"/>
      <c r="U105" s="2955"/>
      <c r="V105" s="2955"/>
      <c r="W105" s="2955"/>
      <c r="X105" s="2955"/>
      <c r="Y105" s="2955"/>
      <c r="Z105" s="2955"/>
      <c r="AA105" s="2955"/>
      <c r="AB105" s="2955"/>
      <c r="AC105" s="2955"/>
      <c r="AD105" s="2955"/>
      <c r="AE105" s="2955"/>
      <c r="AF105" s="2955"/>
      <c r="AG105" s="2955"/>
      <c r="AH105" s="2955"/>
      <c r="AI105" s="2955">
        <f>134-8</f>
        <v>126</v>
      </c>
      <c r="AJ105" s="2955">
        <v>111</v>
      </c>
      <c r="AK105" s="2955">
        <f t="shared" si="6"/>
        <v>237</v>
      </c>
      <c r="AL105" s="2955">
        <f t="shared" si="4"/>
        <v>8.1287489751509181</v>
      </c>
      <c r="AM105" s="2984" t="s">
        <v>141</v>
      </c>
      <c r="AN105" s="2957"/>
    </row>
    <row r="106" spans="1:40" s="2989" customFormat="1" ht="33.75" customHeight="1">
      <c r="A106" s="2504">
        <v>93</v>
      </c>
      <c r="B106" s="2504">
        <v>48</v>
      </c>
      <c r="C106" s="2990" t="s">
        <v>1508</v>
      </c>
      <c r="D106" s="2990"/>
      <c r="E106" s="2990" t="s">
        <v>452</v>
      </c>
      <c r="F106" s="2955"/>
      <c r="G106" s="2955"/>
      <c r="H106" s="2955"/>
      <c r="I106" s="2955"/>
      <c r="J106" s="2955"/>
      <c r="K106" s="2955"/>
      <c r="L106" s="2955"/>
      <c r="M106" s="2955"/>
      <c r="N106" s="2955"/>
      <c r="O106" s="2955"/>
      <c r="P106" s="2955"/>
      <c r="Q106" s="2955"/>
      <c r="R106" s="2955"/>
      <c r="S106" s="2955"/>
      <c r="T106" s="2955"/>
      <c r="U106" s="2955"/>
      <c r="V106" s="2955"/>
      <c r="W106" s="2955"/>
      <c r="X106" s="2955"/>
      <c r="Y106" s="2955"/>
      <c r="Z106" s="2955"/>
      <c r="AA106" s="2955"/>
      <c r="AB106" s="2955"/>
      <c r="AC106" s="2955"/>
      <c r="AD106" s="2955"/>
      <c r="AE106" s="2955"/>
      <c r="AF106" s="2955"/>
      <c r="AG106" s="2955"/>
      <c r="AH106" s="2955"/>
      <c r="AI106" s="2955"/>
      <c r="AJ106" s="2955">
        <v>91</v>
      </c>
      <c r="AK106" s="2955">
        <f t="shared" si="6"/>
        <v>91</v>
      </c>
      <c r="AL106" s="2955">
        <f t="shared" si="4"/>
        <v>3.121165218306893</v>
      </c>
      <c r="AM106" s="2984" t="s">
        <v>141</v>
      </c>
      <c r="AN106" s="2957"/>
    </row>
    <row r="107" spans="1:40" s="2989" customFormat="1" ht="33.75" customHeight="1">
      <c r="A107" s="2998">
        <v>94</v>
      </c>
      <c r="B107" s="2998">
        <v>49</v>
      </c>
      <c r="C107" s="2990" t="s">
        <v>1540</v>
      </c>
      <c r="D107" s="2990"/>
      <c r="E107" s="2990" t="s">
        <v>452</v>
      </c>
      <c r="F107" s="2955"/>
      <c r="G107" s="2955"/>
      <c r="H107" s="2955"/>
      <c r="I107" s="2955"/>
      <c r="J107" s="2955"/>
      <c r="K107" s="2955"/>
      <c r="L107" s="2955"/>
      <c r="M107" s="2955"/>
      <c r="N107" s="2955"/>
      <c r="O107" s="2955"/>
      <c r="P107" s="2955"/>
      <c r="Q107" s="2955"/>
      <c r="R107" s="2955"/>
      <c r="S107" s="2955"/>
      <c r="T107" s="2955"/>
      <c r="U107" s="2955"/>
      <c r="V107" s="2955"/>
      <c r="W107" s="2955"/>
      <c r="X107" s="2955"/>
      <c r="Y107" s="2955"/>
      <c r="Z107" s="2955"/>
      <c r="AA107" s="2955"/>
      <c r="AB107" s="2955"/>
      <c r="AC107" s="2955"/>
      <c r="AD107" s="2955"/>
      <c r="AE107" s="2955"/>
      <c r="AF107" s="2955"/>
      <c r="AG107" s="2955"/>
      <c r="AH107" s="2955"/>
      <c r="AI107" s="2955"/>
      <c r="AJ107" s="2955">
        <v>81</v>
      </c>
      <c r="AK107" s="2955">
        <f t="shared" si="6"/>
        <v>81</v>
      </c>
      <c r="AL107" s="2955">
        <f t="shared" ref="AL107:AL169" si="7">+AK107*$AY$10</f>
        <v>2.7781800294819594</v>
      </c>
      <c r="AM107" s="2984" t="s">
        <v>141</v>
      </c>
      <c r="AN107" s="2957"/>
    </row>
    <row r="108" spans="1:40" s="2989" customFormat="1" ht="33.75" customHeight="1">
      <c r="A108" s="2504">
        <v>95</v>
      </c>
      <c r="B108" s="2504">
        <v>50</v>
      </c>
      <c r="C108" s="2990" t="s">
        <v>1709</v>
      </c>
      <c r="D108" s="2990"/>
      <c r="E108" s="2990" t="s">
        <v>452</v>
      </c>
      <c r="F108" s="2955"/>
      <c r="G108" s="2955"/>
      <c r="H108" s="2955"/>
      <c r="I108" s="2955"/>
      <c r="J108" s="2955"/>
      <c r="K108" s="2955"/>
      <c r="L108" s="2955"/>
      <c r="M108" s="2955"/>
      <c r="N108" s="2955"/>
      <c r="O108" s="2955"/>
      <c r="P108" s="2955"/>
      <c r="Q108" s="2955"/>
      <c r="R108" s="2955"/>
      <c r="S108" s="2955"/>
      <c r="T108" s="2955"/>
      <c r="U108" s="2955"/>
      <c r="V108" s="2955"/>
      <c r="W108" s="2955"/>
      <c r="X108" s="2955"/>
      <c r="Y108" s="2955"/>
      <c r="Z108" s="2955"/>
      <c r="AA108" s="2955"/>
      <c r="AB108" s="2955"/>
      <c r="AC108" s="2955"/>
      <c r="AD108" s="2955"/>
      <c r="AE108" s="2955"/>
      <c r="AF108" s="2955"/>
      <c r="AG108" s="2955"/>
      <c r="AH108" s="2955"/>
      <c r="AI108" s="2955"/>
      <c r="AJ108" s="2955">
        <v>82</v>
      </c>
      <c r="AK108" s="2955">
        <f t="shared" si="6"/>
        <v>82</v>
      </c>
      <c r="AL108" s="2955">
        <f t="shared" si="7"/>
        <v>2.812478548364453</v>
      </c>
      <c r="AM108" s="2984" t="s">
        <v>141</v>
      </c>
      <c r="AN108" s="2957"/>
    </row>
    <row r="109" spans="1:40" s="2989" customFormat="1" ht="33.75" customHeight="1">
      <c r="A109" s="2998">
        <v>96</v>
      </c>
      <c r="B109" s="2998">
        <v>51</v>
      </c>
      <c r="C109" s="2990" t="s">
        <v>1710</v>
      </c>
      <c r="D109" s="2990"/>
      <c r="E109" s="2990" t="s">
        <v>452</v>
      </c>
      <c r="F109" s="2955"/>
      <c r="G109" s="2955"/>
      <c r="H109" s="2955"/>
      <c r="I109" s="2955"/>
      <c r="J109" s="2955"/>
      <c r="K109" s="2955"/>
      <c r="L109" s="2955"/>
      <c r="M109" s="2955"/>
      <c r="N109" s="2955"/>
      <c r="O109" s="2955"/>
      <c r="P109" s="2955"/>
      <c r="Q109" s="2955"/>
      <c r="R109" s="2955"/>
      <c r="S109" s="2955"/>
      <c r="T109" s="2955"/>
      <c r="U109" s="2955"/>
      <c r="V109" s="2955"/>
      <c r="W109" s="2955"/>
      <c r="X109" s="2955"/>
      <c r="Y109" s="2955"/>
      <c r="Z109" s="2955"/>
      <c r="AA109" s="2955"/>
      <c r="AB109" s="2955"/>
      <c r="AC109" s="2955"/>
      <c r="AD109" s="2955"/>
      <c r="AE109" s="2955"/>
      <c r="AF109" s="2955"/>
      <c r="AG109" s="2955"/>
      <c r="AH109" s="2955"/>
      <c r="AI109" s="2955"/>
      <c r="AJ109" s="2955">
        <v>57</v>
      </c>
      <c r="AK109" s="2955">
        <f t="shared" si="6"/>
        <v>57</v>
      </c>
      <c r="AL109" s="2955">
        <f t="shared" si="7"/>
        <v>1.9550155763021198</v>
      </c>
      <c r="AM109" s="2984" t="s">
        <v>138</v>
      </c>
      <c r="AN109" s="2957"/>
    </row>
    <row r="110" spans="1:40" s="2989" customFormat="1" ht="33.75" customHeight="1">
      <c r="A110" s="2504">
        <v>97</v>
      </c>
      <c r="B110" s="2504">
        <v>52</v>
      </c>
      <c r="C110" s="2990" t="s">
        <v>1201</v>
      </c>
      <c r="D110" s="2990"/>
      <c r="E110" s="2990" t="s">
        <v>452</v>
      </c>
      <c r="F110" s="2955"/>
      <c r="G110" s="2955"/>
      <c r="H110" s="2955"/>
      <c r="I110" s="2955"/>
      <c r="J110" s="2955"/>
      <c r="K110" s="2955"/>
      <c r="L110" s="2955"/>
      <c r="M110" s="2955"/>
      <c r="N110" s="2955"/>
      <c r="O110" s="2955"/>
      <c r="P110" s="2955"/>
      <c r="Q110" s="2955"/>
      <c r="R110" s="2955"/>
      <c r="S110" s="2955"/>
      <c r="T110" s="2955"/>
      <c r="U110" s="2955"/>
      <c r="V110" s="2955"/>
      <c r="W110" s="2955"/>
      <c r="X110" s="2955"/>
      <c r="Y110" s="2955"/>
      <c r="Z110" s="2955"/>
      <c r="AA110" s="2955"/>
      <c r="AB110" s="2955"/>
      <c r="AC110" s="2955"/>
      <c r="AD110" s="2955"/>
      <c r="AE110" s="2955"/>
      <c r="AF110" s="2955"/>
      <c r="AG110" s="2955"/>
      <c r="AH110" s="2955"/>
      <c r="AI110" s="2955"/>
      <c r="AJ110" s="2955">
        <v>83</v>
      </c>
      <c r="AK110" s="2955">
        <f t="shared" si="6"/>
        <v>83</v>
      </c>
      <c r="AL110" s="2955">
        <f t="shared" si="7"/>
        <v>2.8467770672469461</v>
      </c>
      <c r="AM110" s="2984" t="s">
        <v>138</v>
      </c>
      <c r="AN110" s="2957"/>
    </row>
    <row r="111" spans="1:40" s="2989" customFormat="1" ht="33.75" customHeight="1">
      <c r="A111" s="2998">
        <v>98</v>
      </c>
      <c r="B111" s="2998">
        <v>53</v>
      </c>
      <c r="C111" s="2990" t="s">
        <v>1711</v>
      </c>
      <c r="D111" s="2990"/>
      <c r="E111" s="2990" t="s">
        <v>452</v>
      </c>
      <c r="F111" s="2955"/>
      <c r="G111" s="2955"/>
      <c r="H111" s="2955"/>
      <c r="I111" s="2955"/>
      <c r="J111" s="2955"/>
      <c r="K111" s="2955"/>
      <c r="L111" s="2955"/>
      <c r="M111" s="2955"/>
      <c r="N111" s="2955"/>
      <c r="O111" s="2955"/>
      <c r="P111" s="2955"/>
      <c r="Q111" s="2955"/>
      <c r="R111" s="2955"/>
      <c r="S111" s="2955"/>
      <c r="T111" s="2955"/>
      <c r="U111" s="2955"/>
      <c r="V111" s="2955"/>
      <c r="W111" s="2955"/>
      <c r="X111" s="2955"/>
      <c r="Y111" s="2955"/>
      <c r="Z111" s="2955"/>
      <c r="AA111" s="2955"/>
      <c r="AB111" s="2955"/>
      <c r="AC111" s="2955"/>
      <c r="AD111" s="2955"/>
      <c r="AE111" s="2955"/>
      <c r="AF111" s="2955"/>
      <c r="AG111" s="2955"/>
      <c r="AH111" s="2955"/>
      <c r="AI111" s="2955"/>
      <c r="AJ111" s="2955">
        <v>115</v>
      </c>
      <c r="AK111" s="2955">
        <f t="shared" si="6"/>
        <v>115</v>
      </c>
      <c r="AL111" s="2955">
        <f t="shared" si="7"/>
        <v>3.9443296714867326</v>
      </c>
      <c r="AM111" s="2984" t="s">
        <v>141</v>
      </c>
      <c r="AN111" s="2957"/>
    </row>
    <row r="112" spans="1:40" s="2989" customFormat="1" ht="33.75" customHeight="1">
      <c r="A112" s="2504">
        <v>99</v>
      </c>
      <c r="B112" s="2504">
        <v>54</v>
      </c>
      <c r="C112" s="2990" t="s">
        <v>1624</v>
      </c>
      <c r="D112" s="2990"/>
      <c r="E112" s="2990" t="s">
        <v>452</v>
      </c>
      <c r="F112" s="2955"/>
      <c r="G112" s="2955"/>
      <c r="H112" s="2955"/>
      <c r="I112" s="2955"/>
      <c r="J112" s="2955"/>
      <c r="K112" s="2955"/>
      <c r="L112" s="2955"/>
      <c r="M112" s="2955"/>
      <c r="N112" s="2955"/>
      <c r="O112" s="2955"/>
      <c r="P112" s="2955"/>
      <c r="Q112" s="2955"/>
      <c r="R112" s="2955"/>
      <c r="S112" s="2955"/>
      <c r="T112" s="2955"/>
      <c r="U112" s="2955"/>
      <c r="V112" s="2955"/>
      <c r="W112" s="2955"/>
      <c r="X112" s="2955"/>
      <c r="Y112" s="2955"/>
      <c r="Z112" s="2955"/>
      <c r="AA112" s="2955"/>
      <c r="AB112" s="2955"/>
      <c r="AC112" s="2955"/>
      <c r="AD112" s="2955"/>
      <c r="AE112" s="2955"/>
      <c r="AF112" s="2955"/>
      <c r="AG112" s="2955"/>
      <c r="AH112" s="2955"/>
      <c r="AI112" s="2955"/>
      <c r="AJ112" s="2955">
        <v>61</v>
      </c>
      <c r="AK112" s="2955">
        <f t="shared" si="6"/>
        <v>61</v>
      </c>
      <c r="AL112" s="2955">
        <f t="shared" si="7"/>
        <v>2.0922096518320932</v>
      </c>
      <c r="AM112" s="2984" t="s">
        <v>141</v>
      </c>
      <c r="AN112" s="2957"/>
    </row>
    <row r="113" spans="1:43" s="2989" customFormat="1" ht="33.75" customHeight="1">
      <c r="A113" s="2998">
        <v>100</v>
      </c>
      <c r="B113" s="2998">
        <v>55</v>
      </c>
      <c r="C113" s="2990" t="s">
        <v>1625</v>
      </c>
      <c r="D113" s="2990"/>
      <c r="E113" s="2990" t="s">
        <v>452</v>
      </c>
      <c r="F113" s="2955"/>
      <c r="G113" s="2955"/>
      <c r="H113" s="2955"/>
      <c r="I113" s="2955"/>
      <c r="J113" s="2955"/>
      <c r="K113" s="2955"/>
      <c r="L113" s="2955"/>
      <c r="M113" s="2955"/>
      <c r="N113" s="2955"/>
      <c r="O113" s="2955"/>
      <c r="P113" s="2955"/>
      <c r="Q113" s="2955"/>
      <c r="R113" s="2955"/>
      <c r="S113" s="2955"/>
      <c r="T113" s="2955"/>
      <c r="U113" s="2955"/>
      <c r="V113" s="2955"/>
      <c r="W113" s="2955"/>
      <c r="X113" s="2955"/>
      <c r="Y113" s="2955"/>
      <c r="Z113" s="2955"/>
      <c r="AA113" s="2955"/>
      <c r="AB113" s="2955"/>
      <c r="AC113" s="2955"/>
      <c r="AD113" s="2955"/>
      <c r="AE113" s="2955"/>
      <c r="AF113" s="2955"/>
      <c r="AG113" s="2955"/>
      <c r="AH113" s="2955"/>
      <c r="AI113" s="2955"/>
      <c r="AJ113" s="2955">
        <v>61</v>
      </c>
      <c r="AK113" s="2955">
        <f t="shared" si="6"/>
        <v>61</v>
      </c>
      <c r="AL113" s="2955">
        <f t="shared" si="7"/>
        <v>2.0922096518320932</v>
      </c>
      <c r="AM113" s="2984" t="s">
        <v>141</v>
      </c>
      <c r="AN113" s="2957"/>
    </row>
    <row r="114" spans="1:43" s="2989" customFormat="1" ht="33.75" customHeight="1">
      <c r="A114" s="2504">
        <v>101</v>
      </c>
      <c r="B114" s="2504">
        <v>56</v>
      </c>
      <c r="C114" s="2990" t="s">
        <v>1509</v>
      </c>
      <c r="D114" s="2990"/>
      <c r="E114" s="2990" t="s">
        <v>452</v>
      </c>
      <c r="F114" s="2955"/>
      <c r="G114" s="2955"/>
      <c r="H114" s="2955"/>
      <c r="I114" s="2955"/>
      <c r="J114" s="2955"/>
      <c r="K114" s="2955"/>
      <c r="L114" s="2955"/>
      <c r="M114" s="2955"/>
      <c r="N114" s="2955"/>
      <c r="O114" s="2955"/>
      <c r="P114" s="2955"/>
      <c r="Q114" s="2955"/>
      <c r="R114" s="2955"/>
      <c r="S114" s="2955"/>
      <c r="T114" s="2955"/>
      <c r="U114" s="2955"/>
      <c r="V114" s="2955"/>
      <c r="W114" s="2955"/>
      <c r="X114" s="2955"/>
      <c r="Y114" s="2955"/>
      <c r="Z114" s="2955"/>
      <c r="AA114" s="2955"/>
      <c r="AB114" s="2955"/>
      <c r="AC114" s="2955"/>
      <c r="AD114" s="2955"/>
      <c r="AE114" s="2955"/>
      <c r="AF114" s="2955"/>
      <c r="AG114" s="2955"/>
      <c r="AH114" s="2955"/>
      <c r="AI114" s="2955"/>
      <c r="AJ114" s="2955">
        <v>83</v>
      </c>
      <c r="AK114" s="2955">
        <f t="shared" si="6"/>
        <v>83</v>
      </c>
      <c r="AL114" s="2955">
        <f t="shared" si="7"/>
        <v>2.8467770672469461</v>
      </c>
      <c r="AM114" s="2984" t="s">
        <v>141</v>
      </c>
      <c r="AN114" s="2957"/>
    </row>
    <row r="115" spans="1:43" s="2989" customFormat="1" ht="33.75" customHeight="1">
      <c r="A115" s="2998">
        <v>102</v>
      </c>
      <c r="B115" s="2998">
        <v>57</v>
      </c>
      <c r="C115" s="2990" t="s">
        <v>1510</v>
      </c>
      <c r="D115" s="2990"/>
      <c r="E115" s="2990" t="s">
        <v>452</v>
      </c>
      <c r="F115" s="2955"/>
      <c r="G115" s="2955"/>
      <c r="H115" s="2955"/>
      <c r="I115" s="2955"/>
      <c r="J115" s="2955"/>
      <c r="K115" s="2955"/>
      <c r="L115" s="2955"/>
      <c r="M115" s="2955"/>
      <c r="N115" s="2955"/>
      <c r="O115" s="2955"/>
      <c r="P115" s="2955"/>
      <c r="Q115" s="2955"/>
      <c r="R115" s="2955"/>
      <c r="S115" s="2955"/>
      <c r="T115" s="2955"/>
      <c r="U115" s="2955"/>
      <c r="V115" s="2955"/>
      <c r="W115" s="2955"/>
      <c r="X115" s="2955"/>
      <c r="Y115" s="2955"/>
      <c r="Z115" s="2955"/>
      <c r="AA115" s="2955"/>
      <c r="AB115" s="2955"/>
      <c r="AC115" s="2955"/>
      <c r="AD115" s="2955"/>
      <c r="AE115" s="2955"/>
      <c r="AF115" s="2955"/>
      <c r="AG115" s="2955"/>
      <c r="AH115" s="2955"/>
      <c r="AI115" s="2955"/>
      <c r="AJ115" s="2955">
        <v>83</v>
      </c>
      <c r="AK115" s="2955">
        <f t="shared" si="6"/>
        <v>83</v>
      </c>
      <c r="AL115" s="2955">
        <f t="shared" si="7"/>
        <v>2.8467770672469461</v>
      </c>
      <c r="AM115" s="2984" t="s">
        <v>141</v>
      </c>
      <c r="AN115" s="2957"/>
    </row>
    <row r="116" spans="1:43" s="2989" customFormat="1" ht="33.75" customHeight="1">
      <c r="A116" s="2504">
        <v>103</v>
      </c>
      <c r="B116" s="2504">
        <v>58</v>
      </c>
      <c r="C116" s="2990" t="s">
        <v>1712</v>
      </c>
      <c r="D116" s="2990"/>
      <c r="E116" s="2990" t="s">
        <v>452</v>
      </c>
      <c r="F116" s="2955"/>
      <c r="G116" s="2955"/>
      <c r="H116" s="2955"/>
      <c r="I116" s="2955"/>
      <c r="J116" s="2955"/>
      <c r="K116" s="2955"/>
      <c r="L116" s="2955"/>
      <c r="M116" s="2955"/>
      <c r="N116" s="2955"/>
      <c r="O116" s="2955"/>
      <c r="P116" s="2955"/>
      <c r="Q116" s="2955"/>
      <c r="R116" s="2955"/>
      <c r="S116" s="2955"/>
      <c r="T116" s="2955"/>
      <c r="U116" s="2955"/>
      <c r="V116" s="2955"/>
      <c r="W116" s="2955"/>
      <c r="X116" s="2955"/>
      <c r="Y116" s="2955"/>
      <c r="Z116" s="2955"/>
      <c r="AA116" s="2955"/>
      <c r="AB116" s="2955"/>
      <c r="AC116" s="2955"/>
      <c r="AD116" s="2955"/>
      <c r="AE116" s="2955"/>
      <c r="AF116" s="2955"/>
      <c r="AG116" s="2955"/>
      <c r="AH116" s="2955"/>
      <c r="AI116" s="2955"/>
      <c r="AJ116" s="2955">
        <v>115</v>
      </c>
      <c r="AK116" s="2955">
        <f t="shared" si="6"/>
        <v>115</v>
      </c>
      <c r="AL116" s="2955">
        <f t="shared" si="7"/>
        <v>3.9443296714867326</v>
      </c>
      <c r="AM116" s="2984" t="s">
        <v>141</v>
      </c>
      <c r="AN116" s="2957"/>
    </row>
    <row r="117" spans="1:43" s="2989" customFormat="1" ht="33.75" customHeight="1">
      <c r="A117" s="2998">
        <v>104</v>
      </c>
      <c r="B117" s="2998">
        <v>59</v>
      </c>
      <c r="C117" s="2990" t="s">
        <v>1713</v>
      </c>
      <c r="D117" s="2990"/>
      <c r="E117" s="2990" t="s">
        <v>452</v>
      </c>
      <c r="F117" s="2955"/>
      <c r="G117" s="2955"/>
      <c r="H117" s="2955"/>
      <c r="I117" s="2955"/>
      <c r="J117" s="2955"/>
      <c r="K117" s="2955"/>
      <c r="L117" s="2955"/>
      <c r="M117" s="2955"/>
      <c r="N117" s="2955"/>
      <c r="O117" s="2955"/>
      <c r="P117" s="2955"/>
      <c r="Q117" s="2955"/>
      <c r="R117" s="2955"/>
      <c r="S117" s="2955"/>
      <c r="T117" s="2955"/>
      <c r="U117" s="2955"/>
      <c r="V117" s="2955"/>
      <c r="W117" s="2955"/>
      <c r="X117" s="2955"/>
      <c r="Y117" s="2955"/>
      <c r="Z117" s="2955"/>
      <c r="AA117" s="2955"/>
      <c r="AB117" s="2955"/>
      <c r="AC117" s="2955"/>
      <c r="AD117" s="2955"/>
      <c r="AE117" s="2955"/>
      <c r="AF117" s="2955"/>
      <c r="AG117" s="2955"/>
      <c r="AH117" s="2955"/>
      <c r="AI117" s="2955"/>
      <c r="AJ117" s="2955">
        <v>36</v>
      </c>
      <c r="AK117" s="2955">
        <f t="shared" si="6"/>
        <v>36</v>
      </c>
      <c r="AL117" s="2955">
        <f t="shared" si="7"/>
        <v>1.2347466797697599</v>
      </c>
      <c r="AM117" s="2984" t="s">
        <v>141</v>
      </c>
      <c r="AN117" s="2957"/>
    </row>
    <row r="118" spans="1:43" s="2989" customFormat="1" ht="33.75" customHeight="1">
      <c r="A118" s="2504">
        <v>105</v>
      </c>
      <c r="B118" s="2504">
        <v>60</v>
      </c>
      <c r="C118" s="2990" t="s">
        <v>523</v>
      </c>
      <c r="D118" s="2990"/>
      <c r="E118" s="2990" t="s">
        <v>452</v>
      </c>
      <c r="F118" s="2955"/>
      <c r="G118" s="2955"/>
      <c r="H118" s="2955"/>
      <c r="I118" s="2955"/>
      <c r="J118" s="2955"/>
      <c r="K118" s="2955"/>
      <c r="L118" s="2955"/>
      <c r="M118" s="2955"/>
      <c r="N118" s="2955"/>
      <c r="O118" s="2955"/>
      <c r="P118" s="2955"/>
      <c r="Q118" s="2955"/>
      <c r="R118" s="2955"/>
      <c r="S118" s="2955"/>
      <c r="T118" s="2955"/>
      <c r="U118" s="2955"/>
      <c r="V118" s="2955"/>
      <c r="W118" s="2955"/>
      <c r="X118" s="2955"/>
      <c r="Y118" s="2955"/>
      <c r="Z118" s="2955"/>
      <c r="AA118" s="2955"/>
      <c r="AB118" s="2955"/>
      <c r="AC118" s="2955"/>
      <c r="AD118" s="2955"/>
      <c r="AE118" s="2955"/>
      <c r="AF118" s="2955"/>
      <c r="AG118" s="2955"/>
      <c r="AH118" s="2955"/>
      <c r="AI118" s="2955"/>
      <c r="AJ118" s="2955">
        <v>37</v>
      </c>
      <c r="AK118" s="2955">
        <f t="shared" si="6"/>
        <v>37</v>
      </c>
      <c r="AL118" s="2955">
        <f t="shared" si="7"/>
        <v>1.2690451986522531</v>
      </c>
      <c r="AM118" s="2984" t="s">
        <v>141</v>
      </c>
      <c r="AN118" s="2957"/>
    </row>
    <row r="119" spans="1:43" s="2997" customFormat="1" ht="33.75" customHeight="1">
      <c r="A119" s="2985" t="s">
        <v>224</v>
      </c>
      <c r="B119" s="4772" t="s">
        <v>1865</v>
      </c>
      <c r="C119" s="4773"/>
      <c r="D119" s="2985"/>
      <c r="E119" s="2985"/>
      <c r="F119" s="2979">
        <f t="shared" ref="F119:AM119" si="8">SUBTOTAL(9,F120:F141)</f>
        <v>0</v>
      </c>
      <c r="G119" s="2979">
        <f t="shared" si="8"/>
        <v>0</v>
      </c>
      <c r="H119" s="2979">
        <f t="shared" si="8"/>
        <v>0</v>
      </c>
      <c r="I119" s="2979">
        <f t="shared" si="8"/>
        <v>0</v>
      </c>
      <c r="J119" s="2979">
        <f t="shared" si="8"/>
        <v>0</v>
      </c>
      <c r="K119" s="2979">
        <f t="shared" si="8"/>
        <v>0</v>
      </c>
      <c r="L119" s="2979">
        <f t="shared" si="8"/>
        <v>0</v>
      </c>
      <c r="M119" s="2979">
        <f t="shared" si="8"/>
        <v>0</v>
      </c>
      <c r="N119" s="2979">
        <f t="shared" si="8"/>
        <v>0</v>
      </c>
      <c r="O119" s="2979">
        <f t="shared" si="8"/>
        <v>0</v>
      </c>
      <c r="P119" s="2979">
        <f t="shared" si="8"/>
        <v>0</v>
      </c>
      <c r="Q119" s="2979">
        <f t="shared" si="8"/>
        <v>0</v>
      </c>
      <c r="R119" s="2979">
        <f t="shared" si="8"/>
        <v>0</v>
      </c>
      <c r="S119" s="2979">
        <f t="shared" si="8"/>
        <v>0</v>
      </c>
      <c r="T119" s="2979">
        <f t="shared" si="8"/>
        <v>0</v>
      </c>
      <c r="U119" s="2979">
        <f t="shared" si="8"/>
        <v>0</v>
      </c>
      <c r="V119" s="2979">
        <f t="shared" si="8"/>
        <v>0</v>
      </c>
      <c r="W119" s="2979">
        <f t="shared" si="8"/>
        <v>0</v>
      </c>
      <c r="X119" s="2979">
        <f t="shared" si="8"/>
        <v>0</v>
      </c>
      <c r="Y119" s="2979">
        <f t="shared" si="8"/>
        <v>0</v>
      </c>
      <c r="Z119" s="2979">
        <f t="shared" si="8"/>
        <v>0</v>
      </c>
      <c r="AA119" s="2979">
        <f t="shared" si="8"/>
        <v>0</v>
      </c>
      <c r="AB119" s="2979">
        <f t="shared" si="8"/>
        <v>0</v>
      </c>
      <c r="AC119" s="2979">
        <f t="shared" si="8"/>
        <v>0</v>
      </c>
      <c r="AD119" s="2979">
        <f t="shared" si="8"/>
        <v>0</v>
      </c>
      <c r="AE119" s="2979">
        <f t="shared" si="8"/>
        <v>0</v>
      </c>
      <c r="AF119" s="2979">
        <f t="shared" si="8"/>
        <v>0</v>
      </c>
      <c r="AG119" s="2979">
        <f t="shared" si="8"/>
        <v>0</v>
      </c>
      <c r="AH119" s="2979">
        <f t="shared" si="8"/>
        <v>0</v>
      </c>
      <c r="AI119" s="2979">
        <f t="shared" si="8"/>
        <v>0</v>
      </c>
      <c r="AJ119" s="2979">
        <f t="shared" si="8"/>
        <v>1508</v>
      </c>
      <c r="AK119" s="2979">
        <f t="shared" si="8"/>
        <v>1508</v>
      </c>
      <c r="AL119" s="2979">
        <f t="shared" si="8"/>
        <v>51.722166474799941</v>
      </c>
      <c r="AM119" s="2980">
        <f t="shared" si="8"/>
        <v>0</v>
      </c>
      <c r="AN119" s="2958"/>
      <c r="AO119" s="3000"/>
      <c r="AP119" s="3000"/>
      <c r="AQ119" s="3000"/>
    </row>
    <row r="120" spans="1:43" s="2989" customFormat="1" ht="33.75" customHeight="1">
      <c r="A120" s="2504">
        <v>106</v>
      </c>
      <c r="B120" s="2504">
        <v>1</v>
      </c>
      <c r="C120" s="3001" t="s">
        <v>1511</v>
      </c>
      <c r="D120" s="3001"/>
      <c r="E120" s="3001" t="s">
        <v>452</v>
      </c>
      <c r="F120" s="2955"/>
      <c r="G120" s="2955"/>
      <c r="H120" s="2955"/>
      <c r="I120" s="2955"/>
      <c r="J120" s="2955"/>
      <c r="K120" s="2955"/>
      <c r="L120" s="2955"/>
      <c r="M120" s="2955"/>
      <c r="N120" s="2955"/>
      <c r="O120" s="2955"/>
      <c r="P120" s="2955"/>
      <c r="Q120" s="2955"/>
      <c r="R120" s="2955"/>
      <c r="S120" s="2955"/>
      <c r="T120" s="2955"/>
      <c r="U120" s="2955"/>
      <c r="V120" s="2955"/>
      <c r="W120" s="2955"/>
      <c r="X120" s="2955"/>
      <c r="Y120" s="2955"/>
      <c r="Z120" s="2955"/>
      <c r="AA120" s="2955"/>
      <c r="AB120" s="2955"/>
      <c r="AC120" s="2955"/>
      <c r="AD120" s="2955"/>
      <c r="AE120" s="2955"/>
      <c r="AF120" s="2955"/>
      <c r="AG120" s="2955"/>
      <c r="AH120" s="2955"/>
      <c r="AI120" s="2955"/>
      <c r="AJ120" s="2955">
        <v>58</v>
      </c>
      <c r="AK120" s="2955">
        <f>+SUM(F120:AJ120)</f>
        <v>58</v>
      </c>
      <c r="AL120" s="2955">
        <f t="shared" si="7"/>
        <v>1.9893140951846131</v>
      </c>
      <c r="AM120" s="2982" t="s">
        <v>141</v>
      </c>
      <c r="AN120" s="3001"/>
    </row>
    <row r="121" spans="1:43" s="2989" customFormat="1" ht="33.75" customHeight="1">
      <c r="A121" s="2504">
        <v>107</v>
      </c>
      <c r="B121" s="2504">
        <v>2</v>
      </c>
      <c r="C121" s="2990" t="s">
        <v>1268</v>
      </c>
      <c r="D121" s="2990"/>
      <c r="E121" s="2990" t="s">
        <v>452</v>
      </c>
      <c r="F121" s="2955"/>
      <c r="G121" s="2955"/>
      <c r="H121" s="2955"/>
      <c r="I121" s="2955"/>
      <c r="J121" s="2955"/>
      <c r="K121" s="2955"/>
      <c r="L121" s="2955"/>
      <c r="M121" s="2955"/>
      <c r="N121" s="2955"/>
      <c r="O121" s="2955"/>
      <c r="P121" s="2955"/>
      <c r="Q121" s="2955"/>
      <c r="R121" s="2955"/>
      <c r="S121" s="2955"/>
      <c r="T121" s="2955"/>
      <c r="U121" s="2955"/>
      <c r="V121" s="2955"/>
      <c r="W121" s="2955"/>
      <c r="X121" s="2955"/>
      <c r="Y121" s="2955"/>
      <c r="Z121" s="2955"/>
      <c r="AA121" s="2955"/>
      <c r="AB121" s="2955"/>
      <c r="AC121" s="2955"/>
      <c r="AD121" s="2955"/>
      <c r="AE121" s="2955"/>
      <c r="AF121" s="2955"/>
      <c r="AG121" s="2955"/>
      <c r="AH121" s="2955"/>
      <c r="AI121" s="2955"/>
      <c r="AJ121" s="2955">
        <v>64</v>
      </c>
      <c r="AK121" s="2955">
        <f t="shared" ref="AK121:AK141" si="9">+SUM(F121:AJ121)</f>
        <v>64</v>
      </c>
      <c r="AL121" s="2955">
        <f t="shared" si="7"/>
        <v>2.195105208479573</v>
      </c>
      <c r="AM121" s="2984" t="s">
        <v>141</v>
      </c>
      <c r="AN121" s="2957"/>
      <c r="AO121" s="2989">
        <f>190.7*0.5</f>
        <v>95.35</v>
      </c>
    </row>
    <row r="122" spans="1:43" s="2989" customFormat="1" ht="33.75" customHeight="1">
      <c r="A122" s="2504">
        <v>108</v>
      </c>
      <c r="B122" s="2504">
        <v>3</v>
      </c>
      <c r="C122" s="2990" t="s">
        <v>847</v>
      </c>
      <c r="D122" s="2990"/>
      <c r="E122" s="2990" t="s">
        <v>452</v>
      </c>
      <c r="F122" s="2955"/>
      <c r="G122" s="2955"/>
      <c r="H122" s="2955"/>
      <c r="I122" s="2955"/>
      <c r="J122" s="2955"/>
      <c r="K122" s="2955"/>
      <c r="L122" s="2955"/>
      <c r="M122" s="2955"/>
      <c r="N122" s="2955"/>
      <c r="O122" s="2955"/>
      <c r="P122" s="2955"/>
      <c r="Q122" s="2955"/>
      <c r="R122" s="2955"/>
      <c r="S122" s="2955"/>
      <c r="T122" s="2955"/>
      <c r="U122" s="2955"/>
      <c r="V122" s="2955"/>
      <c r="W122" s="2955"/>
      <c r="X122" s="2955"/>
      <c r="Y122" s="2955"/>
      <c r="Z122" s="2955"/>
      <c r="AA122" s="2955"/>
      <c r="AB122" s="2955"/>
      <c r="AC122" s="2955"/>
      <c r="AD122" s="2955"/>
      <c r="AE122" s="2955"/>
      <c r="AF122" s="2955"/>
      <c r="AG122" s="2955"/>
      <c r="AH122" s="2955"/>
      <c r="AI122" s="2955"/>
      <c r="AJ122" s="2955">
        <v>77</v>
      </c>
      <c r="AK122" s="2955">
        <f t="shared" si="9"/>
        <v>77</v>
      </c>
      <c r="AL122" s="2955">
        <f t="shared" si="7"/>
        <v>2.6409859539519864</v>
      </c>
      <c r="AM122" s="2984" t="s">
        <v>141</v>
      </c>
      <c r="AN122" s="2957"/>
    </row>
    <row r="123" spans="1:43" s="2989" customFormat="1" ht="33.75" customHeight="1">
      <c r="A123" s="2504">
        <v>109</v>
      </c>
      <c r="B123" s="2504">
        <v>4</v>
      </c>
      <c r="C123" s="2990" t="s">
        <v>1205</v>
      </c>
      <c r="D123" s="2990"/>
      <c r="E123" s="2990" t="s">
        <v>452</v>
      </c>
      <c r="F123" s="2955"/>
      <c r="G123" s="2955"/>
      <c r="H123" s="2955"/>
      <c r="I123" s="2955"/>
      <c r="J123" s="2955"/>
      <c r="K123" s="2955"/>
      <c r="L123" s="2955"/>
      <c r="M123" s="2955"/>
      <c r="N123" s="2955"/>
      <c r="O123" s="2955"/>
      <c r="P123" s="2955"/>
      <c r="Q123" s="2955"/>
      <c r="R123" s="2955"/>
      <c r="S123" s="2955"/>
      <c r="T123" s="2955"/>
      <c r="U123" s="2955"/>
      <c r="V123" s="2955"/>
      <c r="W123" s="2955"/>
      <c r="X123" s="2955"/>
      <c r="Y123" s="2955"/>
      <c r="Z123" s="2955"/>
      <c r="AA123" s="2955"/>
      <c r="AB123" s="2955"/>
      <c r="AC123" s="2955"/>
      <c r="AD123" s="2955"/>
      <c r="AE123" s="2955"/>
      <c r="AF123" s="2955"/>
      <c r="AG123" s="2955"/>
      <c r="AH123" s="2955"/>
      <c r="AI123" s="2955"/>
      <c r="AJ123" s="2955">
        <v>72</v>
      </c>
      <c r="AK123" s="2955">
        <f t="shared" si="9"/>
        <v>72</v>
      </c>
      <c r="AL123" s="2955">
        <f t="shared" si="7"/>
        <v>2.4694933595395199</v>
      </c>
      <c r="AM123" s="2984" t="s">
        <v>138</v>
      </c>
      <c r="AN123" s="2957"/>
    </row>
    <row r="124" spans="1:43" s="2989" customFormat="1" ht="33.75" customHeight="1">
      <c r="A124" s="2504">
        <v>110</v>
      </c>
      <c r="B124" s="2504">
        <v>5</v>
      </c>
      <c r="C124" s="2990" t="s">
        <v>1206</v>
      </c>
      <c r="D124" s="2990"/>
      <c r="E124" s="2990" t="s">
        <v>452</v>
      </c>
      <c r="F124" s="2955"/>
      <c r="G124" s="2955"/>
      <c r="H124" s="2955"/>
      <c r="I124" s="2955"/>
      <c r="J124" s="2955"/>
      <c r="K124" s="2955"/>
      <c r="L124" s="2955"/>
      <c r="M124" s="2955"/>
      <c r="N124" s="2955"/>
      <c r="O124" s="2955"/>
      <c r="P124" s="2955"/>
      <c r="Q124" s="2955"/>
      <c r="R124" s="2955"/>
      <c r="S124" s="2955"/>
      <c r="T124" s="2955"/>
      <c r="U124" s="2955"/>
      <c r="V124" s="2955"/>
      <c r="W124" s="2955"/>
      <c r="X124" s="2955"/>
      <c r="Y124" s="2955"/>
      <c r="Z124" s="2955"/>
      <c r="AA124" s="2955"/>
      <c r="AB124" s="2955"/>
      <c r="AC124" s="2955"/>
      <c r="AD124" s="2955"/>
      <c r="AE124" s="2955"/>
      <c r="AF124" s="2955"/>
      <c r="AG124" s="2955"/>
      <c r="AH124" s="2955"/>
      <c r="AI124" s="2955"/>
      <c r="AJ124" s="2955">
        <v>59</v>
      </c>
      <c r="AK124" s="2955">
        <f t="shared" si="9"/>
        <v>59</v>
      </c>
      <c r="AL124" s="2955">
        <f t="shared" si="7"/>
        <v>2.0236126140671065</v>
      </c>
      <c r="AM124" s="2984" t="s">
        <v>141</v>
      </c>
      <c r="AN124" s="2957"/>
      <c r="AO124" s="2989">
        <f>304*0.5</f>
        <v>152</v>
      </c>
    </row>
    <row r="125" spans="1:43" s="2989" customFormat="1" ht="33.75" customHeight="1">
      <c r="A125" s="2504">
        <v>111</v>
      </c>
      <c r="B125" s="2504">
        <v>6</v>
      </c>
      <c r="C125" s="2990" t="s">
        <v>1207</v>
      </c>
      <c r="D125" s="2990"/>
      <c r="E125" s="2990" t="s">
        <v>452</v>
      </c>
      <c r="F125" s="2955"/>
      <c r="G125" s="2955"/>
      <c r="H125" s="2955"/>
      <c r="I125" s="2955"/>
      <c r="J125" s="2955"/>
      <c r="K125" s="2955"/>
      <c r="L125" s="2955"/>
      <c r="M125" s="2955"/>
      <c r="N125" s="2955"/>
      <c r="O125" s="2955"/>
      <c r="P125" s="2955"/>
      <c r="Q125" s="2955"/>
      <c r="R125" s="2955"/>
      <c r="S125" s="2955"/>
      <c r="T125" s="2955"/>
      <c r="U125" s="2955"/>
      <c r="V125" s="2955"/>
      <c r="W125" s="2955"/>
      <c r="X125" s="2955"/>
      <c r="Y125" s="2955"/>
      <c r="Z125" s="2955"/>
      <c r="AA125" s="2955"/>
      <c r="AB125" s="2955"/>
      <c r="AC125" s="2955"/>
      <c r="AD125" s="2955"/>
      <c r="AE125" s="2955"/>
      <c r="AF125" s="2955"/>
      <c r="AG125" s="2955"/>
      <c r="AH125" s="2955"/>
      <c r="AI125" s="2955"/>
      <c r="AJ125" s="2955">
        <v>59</v>
      </c>
      <c r="AK125" s="2955">
        <f t="shared" si="9"/>
        <v>59</v>
      </c>
      <c r="AL125" s="2955">
        <f t="shared" si="7"/>
        <v>2.0236126140671065</v>
      </c>
      <c r="AM125" s="2984" t="s">
        <v>141</v>
      </c>
      <c r="AN125" s="2957"/>
    </row>
    <row r="126" spans="1:43" s="2989" customFormat="1" ht="33.75" customHeight="1">
      <c r="A126" s="2504">
        <v>112</v>
      </c>
      <c r="B126" s="2504">
        <v>7</v>
      </c>
      <c r="C126" s="2990" t="s">
        <v>567</v>
      </c>
      <c r="D126" s="2990"/>
      <c r="E126" s="2990" t="s">
        <v>452</v>
      </c>
      <c r="F126" s="2955"/>
      <c r="G126" s="2955"/>
      <c r="H126" s="2955"/>
      <c r="I126" s="2955"/>
      <c r="J126" s="2955"/>
      <c r="K126" s="2955"/>
      <c r="L126" s="2955"/>
      <c r="M126" s="2955"/>
      <c r="N126" s="2955"/>
      <c r="O126" s="2955"/>
      <c r="P126" s="2955"/>
      <c r="Q126" s="2955"/>
      <c r="R126" s="2955"/>
      <c r="S126" s="2955"/>
      <c r="T126" s="2955"/>
      <c r="U126" s="2955"/>
      <c r="V126" s="2955"/>
      <c r="W126" s="2955"/>
      <c r="X126" s="2955"/>
      <c r="Y126" s="2955"/>
      <c r="Z126" s="2955"/>
      <c r="AA126" s="2955"/>
      <c r="AB126" s="2955"/>
      <c r="AC126" s="2955"/>
      <c r="AD126" s="2955"/>
      <c r="AE126" s="2955"/>
      <c r="AF126" s="2955"/>
      <c r="AG126" s="2955"/>
      <c r="AH126" s="2955"/>
      <c r="AI126" s="2955"/>
      <c r="AJ126" s="2955">
        <v>44</v>
      </c>
      <c r="AK126" s="2955">
        <f t="shared" si="9"/>
        <v>44</v>
      </c>
      <c r="AL126" s="2955">
        <f t="shared" si="7"/>
        <v>1.5091348308297063</v>
      </c>
      <c r="AM126" s="2984" t="s">
        <v>141</v>
      </c>
      <c r="AN126" s="2957"/>
    </row>
    <row r="127" spans="1:43" s="2989" customFormat="1" ht="33.75" customHeight="1">
      <c r="A127" s="2504">
        <v>113</v>
      </c>
      <c r="B127" s="2504">
        <v>8</v>
      </c>
      <c r="C127" s="2990" t="s">
        <v>1512</v>
      </c>
      <c r="D127" s="2990"/>
      <c r="E127" s="2990" t="s">
        <v>452</v>
      </c>
      <c r="F127" s="2955"/>
      <c r="G127" s="2955"/>
      <c r="H127" s="2955"/>
      <c r="I127" s="2955"/>
      <c r="J127" s="2955"/>
      <c r="K127" s="2955"/>
      <c r="L127" s="2955"/>
      <c r="M127" s="2955"/>
      <c r="N127" s="2955"/>
      <c r="O127" s="2955"/>
      <c r="P127" s="2955"/>
      <c r="Q127" s="2955"/>
      <c r="R127" s="2955"/>
      <c r="S127" s="2955"/>
      <c r="T127" s="2955"/>
      <c r="U127" s="2955"/>
      <c r="V127" s="2955"/>
      <c r="W127" s="2955"/>
      <c r="X127" s="2955"/>
      <c r="Y127" s="2955"/>
      <c r="Z127" s="2955"/>
      <c r="AA127" s="2955"/>
      <c r="AB127" s="2955"/>
      <c r="AC127" s="2955"/>
      <c r="AD127" s="2955"/>
      <c r="AE127" s="2955"/>
      <c r="AF127" s="2955"/>
      <c r="AG127" s="2955"/>
      <c r="AH127" s="2955"/>
      <c r="AI127" s="2955"/>
      <c r="AJ127" s="2955">
        <v>88</v>
      </c>
      <c r="AK127" s="2955">
        <f t="shared" si="9"/>
        <v>88</v>
      </c>
      <c r="AL127" s="2955">
        <f t="shared" si="7"/>
        <v>3.0182696616594127</v>
      </c>
      <c r="AM127" s="2984" t="s">
        <v>138</v>
      </c>
      <c r="AN127" s="2957"/>
    </row>
    <row r="128" spans="1:43" s="2989" customFormat="1" ht="33.75" customHeight="1">
      <c r="A128" s="2504">
        <v>114</v>
      </c>
      <c r="B128" s="2504">
        <v>9</v>
      </c>
      <c r="C128" s="2990" t="s">
        <v>1210</v>
      </c>
      <c r="D128" s="2990"/>
      <c r="E128" s="2990" t="s">
        <v>452</v>
      </c>
      <c r="F128" s="2955"/>
      <c r="G128" s="2955"/>
      <c r="H128" s="2955"/>
      <c r="I128" s="2955"/>
      <c r="J128" s="2955"/>
      <c r="K128" s="2955"/>
      <c r="L128" s="2955"/>
      <c r="M128" s="2955"/>
      <c r="N128" s="2955"/>
      <c r="O128" s="2955"/>
      <c r="P128" s="2955"/>
      <c r="Q128" s="2955"/>
      <c r="R128" s="2955"/>
      <c r="S128" s="2955"/>
      <c r="T128" s="2955"/>
      <c r="U128" s="2955"/>
      <c r="V128" s="2955"/>
      <c r="W128" s="2955"/>
      <c r="X128" s="2955"/>
      <c r="Y128" s="2955"/>
      <c r="Z128" s="2955"/>
      <c r="AA128" s="2955"/>
      <c r="AB128" s="2955"/>
      <c r="AC128" s="2955"/>
      <c r="AD128" s="2955"/>
      <c r="AE128" s="2955"/>
      <c r="AF128" s="2955"/>
      <c r="AG128" s="2955"/>
      <c r="AH128" s="2955"/>
      <c r="AI128" s="2955"/>
      <c r="AJ128" s="2955">
        <v>40</v>
      </c>
      <c r="AK128" s="2955">
        <f t="shared" si="9"/>
        <v>40</v>
      </c>
      <c r="AL128" s="2955">
        <f t="shared" si="7"/>
        <v>1.3719407552997331</v>
      </c>
      <c r="AM128" s="2984" t="s">
        <v>141</v>
      </c>
      <c r="AN128" s="2957"/>
    </row>
    <row r="129" spans="1:43" s="2989" customFormat="1" ht="33.75" customHeight="1">
      <c r="A129" s="2504">
        <v>115</v>
      </c>
      <c r="B129" s="2504">
        <v>10</v>
      </c>
      <c r="C129" s="2990" t="s">
        <v>1541</v>
      </c>
      <c r="D129" s="2990"/>
      <c r="E129" s="2990" t="s">
        <v>452</v>
      </c>
      <c r="F129" s="2955"/>
      <c r="G129" s="2955"/>
      <c r="H129" s="2955"/>
      <c r="I129" s="2955"/>
      <c r="J129" s="2955"/>
      <c r="K129" s="2955"/>
      <c r="L129" s="2955"/>
      <c r="M129" s="2955"/>
      <c r="N129" s="2955"/>
      <c r="O129" s="2955"/>
      <c r="P129" s="2955"/>
      <c r="Q129" s="2955"/>
      <c r="R129" s="2955"/>
      <c r="S129" s="2955"/>
      <c r="T129" s="2955"/>
      <c r="U129" s="2955"/>
      <c r="V129" s="2955"/>
      <c r="W129" s="2955"/>
      <c r="X129" s="2955"/>
      <c r="Y129" s="2955"/>
      <c r="Z129" s="2955"/>
      <c r="AA129" s="2955"/>
      <c r="AB129" s="2955"/>
      <c r="AC129" s="2955"/>
      <c r="AD129" s="2955"/>
      <c r="AE129" s="2955"/>
      <c r="AF129" s="2955"/>
      <c r="AG129" s="2955"/>
      <c r="AH129" s="2955"/>
      <c r="AI129" s="2955"/>
      <c r="AJ129" s="2955">
        <v>40</v>
      </c>
      <c r="AK129" s="2955">
        <f t="shared" si="9"/>
        <v>40</v>
      </c>
      <c r="AL129" s="2955">
        <f t="shared" si="7"/>
        <v>1.3719407552997331</v>
      </c>
      <c r="AM129" s="2984" t="s">
        <v>141</v>
      </c>
      <c r="AN129" s="2957"/>
    </row>
    <row r="130" spans="1:43" s="2989" customFormat="1" ht="33.75" customHeight="1">
      <c r="A130" s="2504">
        <v>116</v>
      </c>
      <c r="B130" s="2504">
        <v>11</v>
      </c>
      <c r="C130" s="2990" t="s">
        <v>1513</v>
      </c>
      <c r="D130" s="2990"/>
      <c r="E130" s="2990" t="s">
        <v>452</v>
      </c>
      <c r="F130" s="2955"/>
      <c r="G130" s="2955"/>
      <c r="H130" s="2955"/>
      <c r="I130" s="2955"/>
      <c r="J130" s="2955"/>
      <c r="K130" s="2955"/>
      <c r="L130" s="2955"/>
      <c r="M130" s="2955"/>
      <c r="N130" s="2955"/>
      <c r="O130" s="2955"/>
      <c r="P130" s="2955"/>
      <c r="Q130" s="2955"/>
      <c r="R130" s="2955"/>
      <c r="S130" s="2955"/>
      <c r="T130" s="2955"/>
      <c r="U130" s="2955"/>
      <c r="V130" s="2955"/>
      <c r="W130" s="2955"/>
      <c r="X130" s="2955"/>
      <c r="Y130" s="2955"/>
      <c r="Z130" s="2955"/>
      <c r="AA130" s="2955"/>
      <c r="AB130" s="2955"/>
      <c r="AC130" s="2955"/>
      <c r="AD130" s="2955"/>
      <c r="AE130" s="2955"/>
      <c r="AF130" s="2955"/>
      <c r="AG130" s="2955"/>
      <c r="AH130" s="2955"/>
      <c r="AI130" s="2955"/>
      <c r="AJ130" s="2955">
        <v>57</v>
      </c>
      <c r="AK130" s="2955">
        <f t="shared" si="9"/>
        <v>57</v>
      </c>
      <c r="AL130" s="2955">
        <f t="shared" si="7"/>
        <v>1.9550155763021198</v>
      </c>
      <c r="AM130" s="2984" t="s">
        <v>141</v>
      </c>
      <c r="AN130" s="2957"/>
    </row>
    <row r="131" spans="1:43" s="2989" customFormat="1" ht="33.75" customHeight="1">
      <c r="A131" s="2504">
        <v>117</v>
      </c>
      <c r="B131" s="2504">
        <v>12</v>
      </c>
      <c r="C131" s="2990" t="s">
        <v>1514</v>
      </c>
      <c r="D131" s="2990"/>
      <c r="E131" s="2990" t="s">
        <v>452</v>
      </c>
      <c r="F131" s="2955"/>
      <c r="G131" s="2955"/>
      <c r="H131" s="2955"/>
      <c r="I131" s="2955"/>
      <c r="J131" s="2955"/>
      <c r="K131" s="2955"/>
      <c r="L131" s="2955"/>
      <c r="M131" s="2955"/>
      <c r="N131" s="2955"/>
      <c r="O131" s="2955"/>
      <c r="P131" s="2955"/>
      <c r="Q131" s="2955"/>
      <c r="R131" s="2955"/>
      <c r="S131" s="2955"/>
      <c r="T131" s="2955"/>
      <c r="U131" s="2955"/>
      <c r="V131" s="2955"/>
      <c r="W131" s="2955"/>
      <c r="X131" s="2955"/>
      <c r="Y131" s="2955"/>
      <c r="Z131" s="2955"/>
      <c r="AA131" s="2955"/>
      <c r="AB131" s="2955"/>
      <c r="AC131" s="2955"/>
      <c r="AD131" s="2955"/>
      <c r="AE131" s="2955"/>
      <c r="AF131" s="2955"/>
      <c r="AG131" s="2955"/>
      <c r="AH131" s="2955"/>
      <c r="AI131" s="2955"/>
      <c r="AJ131" s="2955">
        <v>59</v>
      </c>
      <c r="AK131" s="2955">
        <f t="shared" si="9"/>
        <v>59</v>
      </c>
      <c r="AL131" s="2955">
        <f t="shared" si="7"/>
        <v>2.0236126140671065</v>
      </c>
      <c r="AM131" s="2984" t="s">
        <v>138</v>
      </c>
      <c r="AN131" s="2957"/>
    </row>
    <row r="132" spans="1:43" s="2989" customFormat="1" ht="33.75" customHeight="1">
      <c r="A132" s="2504">
        <v>118</v>
      </c>
      <c r="B132" s="2504">
        <v>13</v>
      </c>
      <c r="C132" s="2990" t="s">
        <v>1303</v>
      </c>
      <c r="D132" s="2990"/>
      <c r="E132" s="2990" t="s">
        <v>452</v>
      </c>
      <c r="F132" s="2955"/>
      <c r="G132" s="2955"/>
      <c r="H132" s="2955"/>
      <c r="I132" s="2955"/>
      <c r="J132" s="2955"/>
      <c r="K132" s="2955"/>
      <c r="L132" s="2955"/>
      <c r="M132" s="2955"/>
      <c r="N132" s="2955"/>
      <c r="O132" s="2955"/>
      <c r="P132" s="2955"/>
      <c r="Q132" s="2955"/>
      <c r="R132" s="2955"/>
      <c r="S132" s="2955"/>
      <c r="T132" s="2955"/>
      <c r="U132" s="2955"/>
      <c r="V132" s="2955"/>
      <c r="W132" s="2955"/>
      <c r="X132" s="2955"/>
      <c r="Y132" s="2955"/>
      <c r="Z132" s="2955"/>
      <c r="AA132" s="2955"/>
      <c r="AB132" s="2955"/>
      <c r="AC132" s="2955"/>
      <c r="AD132" s="2955"/>
      <c r="AE132" s="2955"/>
      <c r="AF132" s="2955"/>
      <c r="AG132" s="2955"/>
      <c r="AH132" s="2955"/>
      <c r="AI132" s="2955"/>
      <c r="AJ132" s="2955">
        <v>83</v>
      </c>
      <c r="AK132" s="2955">
        <f t="shared" si="9"/>
        <v>83</v>
      </c>
      <c r="AL132" s="2955">
        <f t="shared" si="7"/>
        <v>2.8467770672469461</v>
      </c>
      <c r="AM132" s="2984" t="s">
        <v>138</v>
      </c>
      <c r="AN132" s="2957"/>
    </row>
    <row r="133" spans="1:43" s="2989" customFormat="1" ht="33.75" customHeight="1">
      <c r="A133" s="2504">
        <v>119</v>
      </c>
      <c r="B133" s="2504">
        <v>14</v>
      </c>
      <c r="C133" s="2990" t="s">
        <v>850</v>
      </c>
      <c r="D133" s="2990"/>
      <c r="E133" s="2990" t="s">
        <v>452</v>
      </c>
      <c r="F133" s="2955"/>
      <c r="G133" s="2955"/>
      <c r="H133" s="2955"/>
      <c r="I133" s="2955"/>
      <c r="J133" s="2955"/>
      <c r="K133" s="2955"/>
      <c r="L133" s="2955"/>
      <c r="M133" s="2955"/>
      <c r="N133" s="2955"/>
      <c r="O133" s="2955"/>
      <c r="P133" s="2955"/>
      <c r="Q133" s="2955"/>
      <c r="R133" s="2955"/>
      <c r="S133" s="2955"/>
      <c r="T133" s="2955"/>
      <c r="U133" s="2955"/>
      <c r="V133" s="2955"/>
      <c r="W133" s="2955"/>
      <c r="X133" s="2955"/>
      <c r="Y133" s="2955"/>
      <c r="Z133" s="2955"/>
      <c r="AA133" s="2955"/>
      <c r="AB133" s="2955"/>
      <c r="AC133" s="2955"/>
      <c r="AD133" s="2955"/>
      <c r="AE133" s="2955"/>
      <c r="AF133" s="2955"/>
      <c r="AG133" s="2955"/>
      <c r="AH133" s="2955"/>
      <c r="AI133" s="2955"/>
      <c r="AJ133" s="2955">
        <v>61</v>
      </c>
      <c r="AK133" s="2955">
        <f t="shared" si="9"/>
        <v>61</v>
      </c>
      <c r="AL133" s="2955">
        <f t="shared" si="7"/>
        <v>2.0922096518320932</v>
      </c>
      <c r="AM133" s="2984" t="s">
        <v>141</v>
      </c>
      <c r="AN133" s="2957"/>
      <c r="AQ133" s="2989">
        <f>+COUNTIF(AM120:AM141,"A")</f>
        <v>15</v>
      </c>
    </row>
    <row r="134" spans="1:43" s="2989" customFormat="1" ht="33.75" customHeight="1">
      <c r="A134" s="2504">
        <v>120</v>
      </c>
      <c r="B134" s="2504">
        <v>15</v>
      </c>
      <c r="C134" s="2990" t="s">
        <v>1515</v>
      </c>
      <c r="D134" s="2990"/>
      <c r="E134" s="2990" t="s">
        <v>452</v>
      </c>
      <c r="F134" s="2955"/>
      <c r="G134" s="2955"/>
      <c r="H134" s="2955"/>
      <c r="I134" s="2955"/>
      <c r="J134" s="2955"/>
      <c r="K134" s="2955"/>
      <c r="L134" s="2955"/>
      <c r="M134" s="2955"/>
      <c r="N134" s="2955"/>
      <c r="O134" s="2955"/>
      <c r="P134" s="2955"/>
      <c r="Q134" s="2955"/>
      <c r="R134" s="2955"/>
      <c r="S134" s="2955"/>
      <c r="T134" s="2955"/>
      <c r="U134" s="2955"/>
      <c r="V134" s="2955"/>
      <c r="W134" s="2955"/>
      <c r="X134" s="2955"/>
      <c r="Y134" s="2955"/>
      <c r="Z134" s="2955"/>
      <c r="AA134" s="2955"/>
      <c r="AB134" s="2955"/>
      <c r="AC134" s="2955"/>
      <c r="AD134" s="2955"/>
      <c r="AE134" s="2955"/>
      <c r="AF134" s="2955"/>
      <c r="AG134" s="2955"/>
      <c r="AH134" s="2955"/>
      <c r="AI134" s="2955"/>
      <c r="AJ134" s="2955">
        <v>40</v>
      </c>
      <c r="AK134" s="2955">
        <f t="shared" si="9"/>
        <v>40</v>
      </c>
      <c r="AL134" s="2955">
        <f t="shared" si="7"/>
        <v>1.3719407552997331</v>
      </c>
      <c r="AM134" s="2984" t="s">
        <v>138</v>
      </c>
      <c r="AN134" s="2957"/>
    </row>
    <row r="135" spans="1:43" s="2989" customFormat="1" ht="33.75" customHeight="1">
      <c r="A135" s="2504">
        <v>121</v>
      </c>
      <c r="B135" s="2504">
        <v>16</v>
      </c>
      <c r="C135" s="2990" t="s">
        <v>1516</v>
      </c>
      <c r="D135" s="2990"/>
      <c r="E135" s="2990" t="s">
        <v>452</v>
      </c>
      <c r="F135" s="2955"/>
      <c r="G135" s="2955"/>
      <c r="H135" s="2955"/>
      <c r="I135" s="2955"/>
      <c r="J135" s="2955"/>
      <c r="K135" s="2955"/>
      <c r="L135" s="2955"/>
      <c r="M135" s="2955"/>
      <c r="N135" s="2955"/>
      <c r="O135" s="2955"/>
      <c r="P135" s="2955"/>
      <c r="Q135" s="2955"/>
      <c r="R135" s="2955"/>
      <c r="S135" s="2955"/>
      <c r="T135" s="2955"/>
      <c r="U135" s="2955"/>
      <c r="V135" s="2955"/>
      <c r="W135" s="2955"/>
      <c r="X135" s="2955"/>
      <c r="Y135" s="2955"/>
      <c r="Z135" s="2955"/>
      <c r="AA135" s="2955"/>
      <c r="AB135" s="2955"/>
      <c r="AC135" s="2955"/>
      <c r="AD135" s="2955"/>
      <c r="AE135" s="2955"/>
      <c r="AF135" s="2955"/>
      <c r="AG135" s="2955"/>
      <c r="AH135" s="2955"/>
      <c r="AI135" s="2955"/>
      <c r="AJ135" s="2955">
        <v>40</v>
      </c>
      <c r="AK135" s="2955">
        <f t="shared" si="9"/>
        <v>40</v>
      </c>
      <c r="AL135" s="2955">
        <f t="shared" si="7"/>
        <v>1.3719407552997331</v>
      </c>
      <c r="AM135" s="2984" t="s">
        <v>141</v>
      </c>
      <c r="AN135" s="2957"/>
    </row>
    <row r="136" spans="1:43" s="2989" customFormat="1" ht="33.75" customHeight="1">
      <c r="A136" s="2504">
        <v>122</v>
      </c>
      <c r="B136" s="2504">
        <v>17</v>
      </c>
      <c r="C136" s="2990" t="s">
        <v>288</v>
      </c>
      <c r="D136" s="2990"/>
      <c r="E136" s="2990" t="s">
        <v>452</v>
      </c>
      <c r="F136" s="2955"/>
      <c r="G136" s="2955"/>
      <c r="H136" s="2955"/>
      <c r="I136" s="2955"/>
      <c r="J136" s="2955"/>
      <c r="K136" s="2955"/>
      <c r="L136" s="2955"/>
      <c r="M136" s="2955"/>
      <c r="N136" s="2955"/>
      <c r="O136" s="2955"/>
      <c r="P136" s="2955"/>
      <c r="Q136" s="2955"/>
      <c r="R136" s="2955"/>
      <c r="S136" s="2955"/>
      <c r="T136" s="2955"/>
      <c r="U136" s="2955"/>
      <c r="V136" s="2955"/>
      <c r="W136" s="2955"/>
      <c r="X136" s="2955"/>
      <c r="Y136" s="2955"/>
      <c r="Z136" s="2955"/>
      <c r="AA136" s="2955"/>
      <c r="AB136" s="2955"/>
      <c r="AC136" s="2955"/>
      <c r="AD136" s="2955"/>
      <c r="AE136" s="2955"/>
      <c r="AF136" s="2955"/>
      <c r="AG136" s="2955"/>
      <c r="AH136" s="2955"/>
      <c r="AI136" s="2955"/>
      <c r="AJ136" s="2955">
        <v>57</v>
      </c>
      <c r="AK136" s="2955">
        <f t="shared" si="9"/>
        <v>57</v>
      </c>
      <c r="AL136" s="2955">
        <f t="shared" si="7"/>
        <v>1.9550155763021198</v>
      </c>
      <c r="AM136" s="2984" t="s">
        <v>141</v>
      </c>
      <c r="AN136" s="2957"/>
    </row>
    <row r="137" spans="1:43" s="2989" customFormat="1" ht="33.75" customHeight="1">
      <c r="A137" s="2504">
        <v>123</v>
      </c>
      <c r="B137" s="2504">
        <v>18</v>
      </c>
      <c r="C137" s="2990" t="s">
        <v>1215</v>
      </c>
      <c r="D137" s="2990"/>
      <c r="E137" s="2990" t="s">
        <v>452</v>
      </c>
      <c r="F137" s="2955"/>
      <c r="G137" s="2955"/>
      <c r="H137" s="2955"/>
      <c r="I137" s="2955"/>
      <c r="J137" s="2955"/>
      <c r="K137" s="2955"/>
      <c r="L137" s="2955"/>
      <c r="M137" s="2955"/>
      <c r="N137" s="2955"/>
      <c r="O137" s="2955"/>
      <c r="P137" s="2955"/>
      <c r="Q137" s="2955"/>
      <c r="R137" s="2955"/>
      <c r="S137" s="2955"/>
      <c r="T137" s="2955"/>
      <c r="U137" s="2955"/>
      <c r="V137" s="2955"/>
      <c r="W137" s="2955"/>
      <c r="X137" s="2955"/>
      <c r="Y137" s="2955"/>
      <c r="Z137" s="2955"/>
      <c r="AA137" s="2955"/>
      <c r="AB137" s="2955"/>
      <c r="AC137" s="2955"/>
      <c r="AD137" s="2955"/>
      <c r="AE137" s="2955"/>
      <c r="AF137" s="2955"/>
      <c r="AG137" s="2955"/>
      <c r="AH137" s="2955"/>
      <c r="AI137" s="2955"/>
      <c r="AJ137" s="2955">
        <v>51</v>
      </c>
      <c r="AK137" s="2955">
        <f t="shared" si="9"/>
        <v>51</v>
      </c>
      <c r="AL137" s="2955">
        <f t="shared" si="7"/>
        <v>1.7492244630071598</v>
      </c>
      <c r="AM137" s="2984" t="s">
        <v>138</v>
      </c>
      <c r="AN137" s="2957"/>
    </row>
    <row r="138" spans="1:43" s="2989" customFormat="1" ht="33.75" customHeight="1">
      <c r="A138" s="2504">
        <v>124</v>
      </c>
      <c r="B138" s="2504">
        <v>19</v>
      </c>
      <c r="C138" s="2990" t="s">
        <v>1189</v>
      </c>
      <c r="D138" s="2990"/>
      <c r="E138" s="2990" t="s">
        <v>452</v>
      </c>
      <c r="F138" s="2955"/>
      <c r="G138" s="2955"/>
      <c r="H138" s="2955"/>
      <c r="I138" s="2955"/>
      <c r="J138" s="2955"/>
      <c r="K138" s="2955"/>
      <c r="L138" s="2955"/>
      <c r="M138" s="2955"/>
      <c r="N138" s="2955"/>
      <c r="O138" s="2955"/>
      <c r="P138" s="2955"/>
      <c r="Q138" s="2955"/>
      <c r="R138" s="2955"/>
      <c r="S138" s="2955"/>
      <c r="T138" s="2955"/>
      <c r="U138" s="2955"/>
      <c r="V138" s="2955"/>
      <c r="W138" s="2955"/>
      <c r="X138" s="2955"/>
      <c r="Y138" s="2955"/>
      <c r="Z138" s="2955"/>
      <c r="AA138" s="2955"/>
      <c r="AB138" s="2955"/>
      <c r="AC138" s="2955"/>
      <c r="AD138" s="2955"/>
      <c r="AE138" s="2955"/>
      <c r="AF138" s="2955"/>
      <c r="AG138" s="2955"/>
      <c r="AH138" s="2955"/>
      <c r="AI138" s="2955"/>
      <c r="AJ138" s="2955">
        <v>142</v>
      </c>
      <c r="AK138" s="2955">
        <f t="shared" si="9"/>
        <v>142</v>
      </c>
      <c r="AL138" s="2955">
        <f t="shared" si="7"/>
        <v>4.8703896813140526</v>
      </c>
      <c r="AM138" s="2984" t="s">
        <v>138</v>
      </c>
      <c r="AN138" s="2957"/>
    </row>
    <row r="139" spans="1:43" s="2989" customFormat="1" ht="33.75" customHeight="1">
      <c r="A139" s="2504">
        <v>125</v>
      </c>
      <c r="B139" s="2504">
        <v>20</v>
      </c>
      <c r="C139" s="2990" t="s">
        <v>1542</v>
      </c>
      <c r="D139" s="2990"/>
      <c r="E139" s="2990" t="s">
        <v>452</v>
      </c>
      <c r="F139" s="2955"/>
      <c r="G139" s="2955"/>
      <c r="H139" s="2955"/>
      <c r="I139" s="2955"/>
      <c r="J139" s="2955"/>
      <c r="K139" s="2955"/>
      <c r="L139" s="2955"/>
      <c r="M139" s="2955"/>
      <c r="N139" s="2955"/>
      <c r="O139" s="2955"/>
      <c r="P139" s="2955"/>
      <c r="Q139" s="2955"/>
      <c r="R139" s="2955"/>
      <c r="S139" s="2955"/>
      <c r="T139" s="2955"/>
      <c r="U139" s="2955"/>
      <c r="V139" s="2955"/>
      <c r="W139" s="2955"/>
      <c r="X139" s="2955"/>
      <c r="Y139" s="2955"/>
      <c r="Z139" s="2955"/>
      <c r="AA139" s="2955"/>
      <c r="AB139" s="2955"/>
      <c r="AC139" s="2955"/>
      <c r="AD139" s="2955"/>
      <c r="AE139" s="2955"/>
      <c r="AF139" s="2955"/>
      <c r="AG139" s="2955"/>
      <c r="AH139" s="2955"/>
      <c r="AI139" s="2955"/>
      <c r="AJ139" s="2955">
        <v>74</v>
      </c>
      <c r="AK139" s="2955">
        <f t="shared" si="9"/>
        <v>74</v>
      </c>
      <c r="AL139" s="2955">
        <f t="shared" si="7"/>
        <v>2.5380903973045061</v>
      </c>
      <c r="AM139" s="2984" t="s">
        <v>141</v>
      </c>
      <c r="AN139" s="2957"/>
    </row>
    <row r="140" spans="1:43" s="2989" customFormat="1" ht="33.75" customHeight="1">
      <c r="A140" s="2504">
        <v>126</v>
      </c>
      <c r="B140" s="2504">
        <v>21</v>
      </c>
      <c r="C140" s="2990" t="s">
        <v>1543</v>
      </c>
      <c r="D140" s="2990"/>
      <c r="E140" s="2990" t="s">
        <v>452</v>
      </c>
      <c r="F140" s="2955"/>
      <c r="G140" s="2955"/>
      <c r="H140" s="2955"/>
      <c r="I140" s="2955"/>
      <c r="J140" s="2955"/>
      <c r="K140" s="2955"/>
      <c r="L140" s="2955"/>
      <c r="M140" s="2955"/>
      <c r="N140" s="2955"/>
      <c r="O140" s="2955"/>
      <c r="P140" s="2955"/>
      <c r="Q140" s="2955"/>
      <c r="R140" s="2955"/>
      <c r="S140" s="2955"/>
      <c r="T140" s="2955"/>
      <c r="U140" s="2955"/>
      <c r="V140" s="2955"/>
      <c r="W140" s="2955"/>
      <c r="X140" s="2955"/>
      <c r="Y140" s="2955"/>
      <c r="Z140" s="2955"/>
      <c r="AA140" s="2955"/>
      <c r="AB140" s="2955"/>
      <c r="AC140" s="2955"/>
      <c r="AD140" s="2955"/>
      <c r="AE140" s="2955"/>
      <c r="AF140" s="2955"/>
      <c r="AG140" s="2955"/>
      <c r="AH140" s="2955"/>
      <c r="AI140" s="2955"/>
      <c r="AJ140" s="2955">
        <v>116</v>
      </c>
      <c r="AK140" s="2955">
        <f t="shared" si="9"/>
        <v>116</v>
      </c>
      <c r="AL140" s="2955">
        <f t="shared" si="7"/>
        <v>3.9786281903692262</v>
      </c>
      <c r="AM140" s="2984" t="s">
        <v>141</v>
      </c>
      <c r="AN140" s="2957"/>
    </row>
    <row r="141" spans="1:43" s="2989" customFormat="1" ht="33.75" customHeight="1">
      <c r="A141" s="2504">
        <v>127</v>
      </c>
      <c r="B141" s="2504">
        <v>22</v>
      </c>
      <c r="C141" s="2990" t="s">
        <v>1544</v>
      </c>
      <c r="D141" s="2990"/>
      <c r="E141" s="2990" t="s">
        <v>452</v>
      </c>
      <c r="F141" s="2955"/>
      <c r="G141" s="2955"/>
      <c r="H141" s="2955"/>
      <c r="I141" s="2955"/>
      <c r="J141" s="2955"/>
      <c r="K141" s="2955"/>
      <c r="L141" s="2955"/>
      <c r="M141" s="2955"/>
      <c r="N141" s="2955"/>
      <c r="O141" s="2955"/>
      <c r="P141" s="2955"/>
      <c r="Q141" s="2955"/>
      <c r="R141" s="2955"/>
      <c r="S141" s="2955"/>
      <c r="T141" s="2955"/>
      <c r="U141" s="2955"/>
      <c r="V141" s="2955"/>
      <c r="W141" s="2955"/>
      <c r="X141" s="2955"/>
      <c r="Y141" s="2955"/>
      <c r="Z141" s="2955"/>
      <c r="AA141" s="2955"/>
      <c r="AB141" s="2955"/>
      <c r="AC141" s="2955"/>
      <c r="AD141" s="2955"/>
      <c r="AE141" s="2955"/>
      <c r="AF141" s="2955"/>
      <c r="AG141" s="2955"/>
      <c r="AH141" s="2955"/>
      <c r="AI141" s="2955"/>
      <c r="AJ141" s="2955">
        <v>127</v>
      </c>
      <c r="AK141" s="2955">
        <f t="shared" si="9"/>
        <v>127</v>
      </c>
      <c r="AL141" s="2955">
        <f t="shared" si="7"/>
        <v>4.3559118980766529</v>
      </c>
      <c r="AM141" s="2984" t="s">
        <v>141</v>
      </c>
      <c r="AN141" s="2957"/>
    </row>
    <row r="142" spans="1:43" s="2997" customFormat="1" ht="33.75" customHeight="1">
      <c r="A142" s="2985" t="s">
        <v>1149</v>
      </c>
      <c r="B142" s="4772" t="s">
        <v>453</v>
      </c>
      <c r="C142" s="4773"/>
      <c r="D142" s="2985"/>
      <c r="E142" s="2985"/>
      <c r="F142" s="2952">
        <f t="shared" ref="F142:AM142" si="10">SUBTOTAL(9,F143:F169)</f>
        <v>0</v>
      </c>
      <c r="G142" s="2952">
        <f t="shared" si="10"/>
        <v>0</v>
      </c>
      <c r="H142" s="2952">
        <f t="shared" si="10"/>
        <v>0</v>
      </c>
      <c r="I142" s="2952">
        <f t="shared" si="10"/>
        <v>0</v>
      </c>
      <c r="J142" s="2952">
        <f t="shared" si="10"/>
        <v>0</v>
      </c>
      <c r="K142" s="2952">
        <f t="shared" si="10"/>
        <v>0</v>
      </c>
      <c r="L142" s="2952">
        <f t="shared" si="10"/>
        <v>0</v>
      </c>
      <c r="M142" s="2952">
        <f t="shared" si="10"/>
        <v>0</v>
      </c>
      <c r="N142" s="2952">
        <f t="shared" si="10"/>
        <v>0</v>
      </c>
      <c r="O142" s="2952">
        <f t="shared" si="10"/>
        <v>0</v>
      </c>
      <c r="P142" s="2952">
        <f t="shared" si="10"/>
        <v>0</v>
      </c>
      <c r="Q142" s="2952">
        <f t="shared" si="10"/>
        <v>0</v>
      </c>
      <c r="R142" s="2952">
        <f t="shared" si="10"/>
        <v>0</v>
      </c>
      <c r="S142" s="2952">
        <f t="shared" si="10"/>
        <v>0</v>
      </c>
      <c r="T142" s="2952">
        <f t="shared" si="10"/>
        <v>0</v>
      </c>
      <c r="U142" s="2952">
        <f t="shared" si="10"/>
        <v>0</v>
      </c>
      <c r="V142" s="2952">
        <f t="shared" si="10"/>
        <v>0</v>
      </c>
      <c r="W142" s="2952">
        <f t="shared" si="10"/>
        <v>0</v>
      </c>
      <c r="X142" s="2952">
        <f t="shared" si="10"/>
        <v>0</v>
      </c>
      <c r="Y142" s="2952">
        <f t="shared" si="10"/>
        <v>0</v>
      </c>
      <c r="Z142" s="2952">
        <f t="shared" si="10"/>
        <v>0</v>
      </c>
      <c r="AA142" s="2952">
        <f t="shared" si="10"/>
        <v>0</v>
      </c>
      <c r="AB142" s="2952">
        <f t="shared" si="10"/>
        <v>0</v>
      </c>
      <c r="AC142" s="2952">
        <f t="shared" si="10"/>
        <v>0</v>
      </c>
      <c r="AD142" s="2952">
        <f t="shared" si="10"/>
        <v>0</v>
      </c>
      <c r="AE142" s="2952">
        <f t="shared" si="10"/>
        <v>0</v>
      </c>
      <c r="AF142" s="2952">
        <f t="shared" si="10"/>
        <v>0</v>
      </c>
      <c r="AG142" s="2952">
        <f t="shared" si="10"/>
        <v>0</v>
      </c>
      <c r="AH142" s="2952">
        <f t="shared" si="10"/>
        <v>0</v>
      </c>
      <c r="AI142" s="2952">
        <f t="shared" si="10"/>
        <v>0</v>
      </c>
      <c r="AJ142" s="2952">
        <f t="shared" si="10"/>
        <v>1700</v>
      </c>
      <c r="AK142" s="2952">
        <f t="shared" si="10"/>
        <v>1700</v>
      </c>
      <c r="AL142" s="2952">
        <f t="shared" si="10"/>
        <v>58.307482100238651</v>
      </c>
      <c r="AM142" s="2952">
        <f t="shared" si="10"/>
        <v>0</v>
      </c>
      <c r="AN142" s="2958"/>
    </row>
    <row r="143" spans="1:43" s="2989" customFormat="1" ht="33.75" customHeight="1">
      <c r="A143" s="3002">
        <v>128</v>
      </c>
      <c r="B143" s="3002">
        <v>1</v>
      </c>
      <c r="C143" s="3003" t="s">
        <v>1216</v>
      </c>
      <c r="D143" s="2986"/>
      <c r="E143" s="2986" t="s">
        <v>453</v>
      </c>
      <c r="F143" s="2955"/>
      <c r="G143" s="2955"/>
      <c r="H143" s="2955"/>
      <c r="I143" s="2955"/>
      <c r="J143" s="2955"/>
      <c r="K143" s="2955"/>
      <c r="L143" s="2955"/>
      <c r="M143" s="2955"/>
      <c r="N143" s="2955"/>
      <c r="O143" s="2955"/>
      <c r="P143" s="2955"/>
      <c r="Q143" s="2955"/>
      <c r="R143" s="2955"/>
      <c r="S143" s="2955"/>
      <c r="T143" s="2955"/>
      <c r="U143" s="2955"/>
      <c r="V143" s="2955"/>
      <c r="W143" s="2955"/>
      <c r="X143" s="2955"/>
      <c r="Y143" s="2955"/>
      <c r="Z143" s="2955"/>
      <c r="AA143" s="2955"/>
      <c r="AB143" s="2955"/>
      <c r="AC143" s="2955"/>
      <c r="AD143" s="2955"/>
      <c r="AE143" s="2955"/>
      <c r="AF143" s="2955"/>
      <c r="AG143" s="2955"/>
      <c r="AH143" s="2955"/>
      <c r="AI143" s="2955"/>
      <c r="AJ143" s="2955">
        <v>80</v>
      </c>
      <c r="AK143" s="2955">
        <f t="shared" ref="AK143:AK153" si="11">+SUM(F143:AJ143)</f>
        <v>80</v>
      </c>
      <c r="AL143" s="2955">
        <f t="shared" si="7"/>
        <v>2.7438815105994663</v>
      </c>
      <c r="AM143" s="2986" t="s">
        <v>141</v>
      </c>
      <c r="AN143" s="3004"/>
      <c r="AO143" s="2989">
        <f>+VLOOKUP(C143,'[30]MỦ TẠP'!$B$9:$AH$37,33,0)</f>
        <v>1386</v>
      </c>
      <c r="AP143" s="2992">
        <f t="shared" ref="AP143:AP153" si="12">+AO143-AK143</f>
        <v>1306</v>
      </c>
    </row>
    <row r="144" spans="1:43" s="2989" customFormat="1" ht="33.75" customHeight="1">
      <c r="A144" s="3002">
        <v>129</v>
      </c>
      <c r="B144" s="3002">
        <v>2</v>
      </c>
      <c r="C144" s="3003" t="s">
        <v>351</v>
      </c>
      <c r="D144" s="2986"/>
      <c r="E144" s="2986" t="s">
        <v>453</v>
      </c>
      <c r="F144" s="2955"/>
      <c r="G144" s="2955"/>
      <c r="H144" s="2955"/>
      <c r="I144" s="2955"/>
      <c r="J144" s="2955"/>
      <c r="K144" s="2955"/>
      <c r="L144" s="2955"/>
      <c r="M144" s="2955"/>
      <c r="N144" s="2955"/>
      <c r="O144" s="2955"/>
      <c r="P144" s="2955"/>
      <c r="Q144" s="2955"/>
      <c r="R144" s="2955"/>
      <c r="S144" s="2955"/>
      <c r="T144" s="2955"/>
      <c r="U144" s="2955"/>
      <c r="V144" s="2955"/>
      <c r="W144" s="2955"/>
      <c r="X144" s="2955"/>
      <c r="Y144" s="2955"/>
      <c r="Z144" s="2955"/>
      <c r="AA144" s="2955"/>
      <c r="AB144" s="2955"/>
      <c r="AC144" s="2955"/>
      <c r="AD144" s="2955"/>
      <c r="AE144" s="2955"/>
      <c r="AF144" s="2955"/>
      <c r="AG144" s="2955"/>
      <c r="AH144" s="2955"/>
      <c r="AI144" s="2955"/>
      <c r="AJ144" s="2955">
        <v>45</v>
      </c>
      <c r="AK144" s="2955">
        <f t="shared" si="11"/>
        <v>45</v>
      </c>
      <c r="AL144" s="2955">
        <f t="shared" si="7"/>
        <v>1.5434333497121997</v>
      </c>
      <c r="AM144" s="2986" t="s">
        <v>138</v>
      </c>
      <c r="AN144" s="2957"/>
      <c r="AO144" s="2989">
        <f>+VLOOKUP(C144,'[30]MỦ TẠP'!$B$9:$AH$37,33,0)</f>
        <v>2831</v>
      </c>
      <c r="AP144" s="2992">
        <f t="shared" si="12"/>
        <v>2786</v>
      </c>
    </row>
    <row r="145" spans="1:42" s="2989" customFormat="1" ht="33.75" customHeight="1">
      <c r="A145" s="3002">
        <v>130</v>
      </c>
      <c r="B145" s="3002">
        <v>3</v>
      </c>
      <c r="C145" s="3003" t="s">
        <v>1218</v>
      </c>
      <c r="D145" s="2986"/>
      <c r="E145" s="2986" t="s">
        <v>453</v>
      </c>
      <c r="F145" s="2955"/>
      <c r="G145" s="2955"/>
      <c r="H145" s="2955"/>
      <c r="I145" s="2955"/>
      <c r="J145" s="2955"/>
      <c r="K145" s="2955"/>
      <c r="L145" s="2955"/>
      <c r="M145" s="2955"/>
      <c r="N145" s="2955"/>
      <c r="O145" s="2955"/>
      <c r="P145" s="2955"/>
      <c r="Q145" s="2955"/>
      <c r="R145" s="2955"/>
      <c r="S145" s="2955"/>
      <c r="T145" s="2955"/>
      <c r="U145" s="2955"/>
      <c r="V145" s="2955"/>
      <c r="W145" s="2955"/>
      <c r="X145" s="2955"/>
      <c r="Y145" s="2955"/>
      <c r="Z145" s="2955"/>
      <c r="AA145" s="2955"/>
      <c r="AB145" s="2955"/>
      <c r="AC145" s="2955"/>
      <c r="AD145" s="2955"/>
      <c r="AE145" s="2955"/>
      <c r="AF145" s="2955"/>
      <c r="AG145" s="2955"/>
      <c r="AH145" s="2955"/>
      <c r="AI145" s="2955"/>
      <c r="AJ145" s="2955">
        <v>50</v>
      </c>
      <c r="AK145" s="2955">
        <f t="shared" si="11"/>
        <v>50</v>
      </c>
      <c r="AL145" s="2955">
        <f t="shared" si="7"/>
        <v>1.7149259441246665</v>
      </c>
      <c r="AM145" s="2986" t="s">
        <v>141</v>
      </c>
      <c r="AN145" s="2957"/>
      <c r="AO145" s="2989">
        <f>+VLOOKUP(C145,'[30]MỦ TẠP'!$B$9:$AH$37,33,0)</f>
        <v>3934</v>
      </c>
      <c r="AP145" s="2992">
        <f t="shared" si="12"/>
        <v>3884</v>
      </c>
    </row>
    <row r="146" spans="1:42" s="2989" customFormat="1" ht="33.75" customHeight="1">
      <c r="A146" s="3002">
        <v>131</v>
      </c>
      <c r="B146" s="3002">
        <v>4</v>
      </c>
      <c r="C146" s="3003" t="s">
        <v>1517</v>
      </c>
      <c r="D146" s="2986"/>
      <c r="E146" s="2986" t="s">
        <v>453</v>
      </c>
      <c r="F146" s="2955"/>
      <c r="G146" s="2955"/>
      <c r="H146" s="2955"/>
      <c r="I146" s="2955"/>
      <c r="J146" s="2955"/>
      <c r="K146" s="2955"/>
      <c r="L146" s="2955"/>
      <c r="M146" s="2955"/>
      <c r="N146" s="2955"/>
      <c r="O146" s="2955"/>
      <c r="P146" s="2955"/>
      <c r="Q146" s="2955"/>
      <c r="R146" s="2955"/>
      <c r="S146" s="2955"/>
      <c r="T146" s="2955"/>
      <c r="U146" s="2955"/>
      <c r="V146" s="2955"/>
      <c r="W146" s="2955"/>
      <c r="X146" s="2955"/>
      <c r="Y146" s="2955"/>
      <c r="Z146" s="2955"/>
      <c r="AA146" s="2955"/>
      <c r="AB146" s="2955"/>
      <c r="AC146" s="2955"/>
      <c r="AD146" s="2955"/>
      <c r="AE146" s="2955"/>
      <c r="AF146" s="2955"/>
      <c r="AG146" s="2955"/>
      <c r="AH146" s="2955"/>
      <c r="AI146" s="2955"/>
      <c r="AJ146" s="2955">
        <v>55</v>
      </c>
      <c r="AK146" s="2955">
        <f t="shared" si="11"/>
        <v>55</v>
      </c>
      <c r="AL146" s="2955">
        <f t="shared" si="7"/>
        <v>1.886418538537133</v>
      </c>
      <c r="AM146" s="2986" t="s">
        <v>138</v>
      </c>
      <c r="AN146" s="2957"/>
      <c r="AO146" s="2989" t="e">
        <f>+VLOOKUP(C146,'[30]MỦ TẠP'!$B$9:$AH$37,33,0)</f>
        <v>#N/A</v>
      </c>
      <c r="AP146" s="2992" t="e">
        <f t="shared" si="12"/>
        <v>#N/A</v>
      </c>
    </row>
    <row r="147" spans="1:42" s="2989" customFormat="1" ht="33.75" customHeight="1">
      <c r="A147" s="3002">
        <v>132</v>
      </c>
      <c r="B147" s="3002">
        <v>5</v>
      </c>
      <c r="C147" s="3003" t="s">
        <v>1217</v>
      </c>
      <c r="D147" s="2986"/>
      <c r="E147" s="2986" t="s">
        <v>453</v>
      </c>
      <c r="F147" s="2955"/>
      <c r="G147" s="2955"/>
      <c r="H147" s="2955"/>
      <c r="I147" s="2955"/>
      <c r="J147" s="2955"/>
      <c r="K147" s="2955"/>
      <c r="L147" s="2955"/>
      <c r="M147" s="2955"/>
      <c r="N147" s="2955"/>
      <c r="O147" s="2955"/>
      <c r="P147" s="2955"/>
      <c r="Q147" s="2955"/>
      <c r="R147" s="2955"/>
      <c r="S147" s="2955"/>
      <c r="T147" s="2955"/>
      <c r="U147" s="2955"/>
      <c r="V147" s="2955"/>
      <c r="W147" s="2955"/>
      <c r="X147" s="2955"/>
      <c r="Y147" s="2955"/>
      <c r="Z147" s="2955"/>
      <c r="AA147" s="2955"/>
      <c r="AB147" s="2955"/>
      <c r="AC147" s="2955"/>
      <c r="AD147" s="2955"/>
      <c r="AE147" s="2955"/>
      <c r="AF147" s="2955"/>
      <c r="AG147" s="2955"/>
      <c r="AH147" s="2955"/>
      <c r="AI147" s="2955"/>
      <c r="AJ147" s="2955">
        <v>35</v>
      </c>
      <c r="AK147" s="2955">
        <f t="shared" si="11"/>
        <v>35</v>
      </c>
      <c r="AL147" s="2955">
        <f t="shared" si="7"/>
        <v>1.2004481608872666</v>
      </c>
      <c r="AM147" s="2986" t="s">
        <v>141</v>
      </c>
      <c r="AN147" s="2957"/>
      <c r="AO147" s="2989">
        <f>+VLOOKUP(C147,'[30]MỦ TẠP'!$B$9:$AH$37,33,0)</f>
        <v>2504</v>
      </c>
      <c r="AP147" s="2992">
        <f t="shared" si="12"/>
        <v>2469</v>
      </c>
    </row>
    <row r="148" spans="1:42" s="2989" customFormat="1" ht="33.75" customHeight="1">
      <c r="A148" s="3002">
        <v>133</v>
      </c>
      <c r="B148" s="3002">
        <v>6</v>
      </c>
      <c r="C148" s="3003" t="s">
        <v>1545</v>
      </c>
      <c r="D148" s="3005"/>
      <c r="E148" s="2986" t="s">
        <v>453</v>
      </c>
      <c r="F148" s="2955"/>
      <c r="G148" s="2955"/>
      <c r="H148" s="2955"/>
      <c r="I148" s="2955"/>
      <c r="J148" s="2955"/>
      <c r="K148" s="2955"/>
      <c r="L148" s="2955"/>
      <c r="M148" s="2955"/>
      <c r="N148" s="2955"/>
      <c r="O148" s="2955"/>
      <c r="P148" s="2955"/>
      <c r="Q148" s="2955"/>
      <c r="R148" s="2955"/>
      <c r="S148" s="2955"/>
      <c r="T148" s="2955"/>
      <c r="U148" s="2955"/>
      <c r="V148" s="2955"/>
      <c r="W148" s="2955"/>
      <c r="X148" s="2955"/>
      <c r="Y148" s="2955"/>
      <c r="Z148" s="2955"/>
      <c r="AA148" s="2955"/>
      <c r="AB148" s="2955"/>
      <c r="AC148" s="2955"/>
      <c r="AD148" s="2955"/>
      <c r="AE148" s="2955"/>
      <c r="AF148" s="2955"/>
      <c r="AG148" s="2955"/>
      <c r="AH148" s="2955"/>
      <c r="AI148" s="2955"/>
      <c r="AJ148" s="2955">
        <v>43</v>
      </c>
      <c r="AK148" s="2955">
        <f t="shared" si="11"/>
        <v>43</v>
      </c>
      <c r="AL148" s="2955">
        <f t="shared" si="7"/>
        <v>1.4748363119472132</v>
      </c>
      <c r="AM148" s="2986" t="s">
        <v>138</v>
      </c>
      <c r="AN148" s="2957"/>
      <c r="AO148" s="2989" t="e">
        <f>+VLOOKUP(C148,'[30]MỦ TẠP'!$B$9:$AH$37,33,0)</f>
        <v>#N/A</v>
      </c>
      <c r="AP148" s="2992" t="e">
        <f t="shared" si="12"/>
        <v>#N/A</v>
      </c>
    </row>
    <row r="149" spans="1:42" s="2989" customFormat="1" ht="33.75" customHeight="1">
      <c r="A149" s="3002">
        <v>134</v>
      </c>
      <c r="B149" s="3002">
        <v>7</v>
      </c>
      <c r="C149" s="3003" t="s">
        <v>152</v>
      </c>
      <c r="D149" s="2986"/>
      <c r="E149" s="2986" t="s">
        <v>453</v>
      </c>
      <c r="F149" s="2955"/>
      <c r="G149" s="2955"/>
      <c r="H149" s="2955"/>
      <c r="I149" s="2955"/>
      <c r="J149" s="2955"/>
      <c r="K149" s="2955"/>
      <c r="L149" s="2955"/>
      <c r="M149" s="2955"/>
      <c r="N149" s="2955"/>
      <c r="O149" s="2955"/>
      <c r="P149" s="2955"/>
      <c r="Q149" s="2955"/>
      <c r="R149" s="2955"/>
      <c r="S149" s="2955"/>
      <c r="T149" s="2955"/>
      <c r="U149" s="2955"/>
      <c r="V149" s="2955"/>
      <c r="W149" s="2955"/>
      <c r="X149" s="2955"/>
      <c r="Y149" s="2955"/>
      <c r="Z149" s="2955"/>
      <c r="AA149" s="2955"/>
      <c r="AB149" s="2955"/>
      <c r="AC149" s="2955"/>
      <c r="AD149" s="2955"/>
      <c r="AE149" s="2955"/>
      <c r="AF149" s="2955"/>
      <c r="AG149" s="2955"/>
      <c r="AH149" s="2955"/>
      <c r="AI149" s="2955"/>
      <c r="AJ149" s="2955">
        <v>42</v>
      </c>
      <c r="AK149" s="2955">
        <f t="shared" si="11"/>
        <v>42</v>
      </c>
      <c r="AL149" s="2955">
        <f t="shared" si="7"/>
        <v>1.4405377930647199</v>
      </c>
      <c r="AM149" s="2986" t="s">
        <v>141</v>
      </c>
      <c r="AN149" s="2957"/>
      <c r="AO149" s="2989" t="e">
        <f>+VLOOKUP(C149,'[30]MỦ TẠP'!$B$9:$AH$37,33,0)</f>
        <v>#N/A</v>
      </c>
      <c r="AP149" s="2992" t="e">
        <f t="shared" si="12"/>
        <v>#N/A</v>
      </c>
    </row>
    <row r="150" spans="1:42" s="2989" customFormat="1" ht="33.75" customHeight="1">
      <c r="A150" s="3002">
        <v>135</v>
      </c>
      <c r="B150" s="3002">
        <v>8</v>
      </c>
      <c r="C150" s="3003" t="s">
        <v>571</v>
      </c>
      <c r="D150" s="2986"/>
      <c r="E150" s="2986" t="s">
        <v>453</v>
      </c>
      <c r="F150" s="2955"/>
      <c r="G150" s="2955"/>
      <c r="H150" s="2955"/>
      <c r="I150" s="2955"/>
      <c r="J150" s="2955"/>
      <c r="K150" s="2955"/>
      <c r="L150" s="2955"/>
      <c r="M150" s="2955"/>
      <c r="N150" s="2955"/>
      <c r="O150" s="2955"/>
      <c r="P150" s="2955"/>
      <c r="Q150" s="2955"/>
      <c r="R150" s="2955"/>
      <c r="S150" s="2955"/>
      <c r="T150" s="2955"/>
      <c r="U150" s="2955"/>
      <c r="V150" s="2955"/>
      <c r="W150" s="2955"/>
      <c r="X150" s="2955"/>
      <c r="Y150" s="2955"/>
      <c r="Z150" s="2955"/>
      <c r="AA150" s="2955"/>
      <c r="AB150" s="2955"/>
      <c r="AC150" s="2955"/>
      <c r="AD150" s="2955"/>
      <c r="AE150" s="2955"/>
      <c r="AF150" s="2955"/>
      <c r="AG150" s="2955"/>
      <c r="AH150" s="2955"/>
      <c r="AI150" s="2955"/>
      <c r="AJ150" s="2955">
        <v>54</v>
      </c>
      <c r="AK150" s="2955">
        <f t="shared" si="11"/>
        <v>54</v>
      </c>
      <c r="AL150" s="2955">
        <f t="shared" si="7"/>
        <v>1.8521200196546397</v>
      </c>
      <c r="AM150" s="2986" t="s">
        <v>138</v>
      </c>
      <c r="AN150" s="2957"/>
      <c r="AO150" s="2989">
        <f>+VLOOKUP(C150,'[30]MỦ TẠP'!$B$9:$AH$37,33,0)</f>
        <v>2949</v>
      </c>
      <c r="AP150" s="2992">
        <f t="shared" si="12"/>
        <v>2895</v>
      </c>
    </row>
    <row r="151" spans="1:42" s="2989" customFormat="1" ht="33.75" customHeight="1">
      <c r="A151" s="3002">
        <v>136</v>
      </c>
      <c r="B151" s="3002">
        <v>9</v>
      </c>
      <c r="C151" s="3003" t="s">
        <v>1219</v>
      </c>
      <c r="D151" s="2986"/>
      <c r="E151" s="2986" t="s">
        <v>453</v>
      </c>
      <c r="F151" s="2955"/>
      <c r="G151" s="2955"/>
      <c r="H151" s="2955"/>
      <c r="I151" s="2955"/>
      <c r="J151" s="2955"/>
      <c r="K151" s="2955"/>
      <c r="L151" s="2955"/>
      <c r="M151" s="2955"/>
      <c r="N151" s="2955"/>
      <c r="O151" s="2955"/>
      <c r="P151" s="2955"/>
      <c r="Q151" s="2955"/>
      <c r="R151" s="2955"/>
      <c r="S151" s="2955"/>
      <c r="T151" s="2955"/>
      <c r="U151" s="2955"/>
      <c r="V151" s="2955"/>
      <c r="W151" s="2955"/>
      <c r="X151" s="2955"/>
      <c r="Y151" s="2955"/>
      <c r="Z151" s="2955"/>
      <c r="AA151" s="2955"/>
      <c r="AB151" s="2955"/>
      <c r="AC151" s="2955"/>
      <c r="AD151" s="2955"/>
      <c r="AE151" s="2955"/>
      <c r="AF151" s="2955"/>
      <c r="AG151" s="2955"/>
      <c r="AH151" s="2955"/>
      <c r="AI151" s="2955"/>
      <c r="AJ151" s="2955">
        <v>39</v>
      </c>
      <c r="AK151" s="2955">
        <f t="shared" si="11"/>
        <v>39</v>
      </c>
      <c r="AL151" s="2955">
        <f t="shared" si="7"/>
        <v>1.3376422364172398</v>
      </c>
      <c r="AM151" s="2986" t="s">
        <v>138</v>
      </c>
      <c r="AN151" s="2957"/>
      <c r="AO151" s="2989">
        <f>+VLOOKUP(C151,'[30]MỦ TẠP'!$B$9:$AH$37,33,0)</f>
        <v>2522</v>
      </c>
      <c r="AP151" s="2992">
        <f t="shared" si="12"/>
        <v>2483</v>
      </c>
    </row>
    <row r="152" spans="1:42" s="2989" customFormat="1" ht="33.75" customHeight="1">
      <c r="A152" s="3002">
        <v>137</v>
      </c>
      <c r="B152" s="3002">
        <v>10</v>
      </c>
      <c r="C152" s="3003" t="s">
        <v>853</v>
      </c>
      <c r="D152" s="2986"/>
      <c r="E152" s="2986" t="s">
        <v>453</v>
      </c>
      <c r="F152" s="2955"/>
      <c r="G152" s="2955"/>
      <c r="H152" s="2955"/>
      <c r="I152" s="2955"/>
      <c r="J152" s="2955"/>
      <c r="K152" s="2955"/>
      <c r="L152" s="2955"/>
      <c r="M152" s="2955"/>
      <c r="N152" s="2955"/>
      <c r="O152" s="2955"/>
      <c r="P152" s="2955"/>
      <c r="Q152" s="2955"/>
      <c r="R152" s="2955"/>
      <c r="S152" s="2955"/>
      <c r="T152" s="2955"/>
      <c r="U152" s="2955"/>
      <c r="V152" s="2955"/>
      <c r="W152" s="2955"/>
      <c r="X152" s="2955"/>
      <c r="Y152" s="2955"/>
      <c r="Z152" s="2955"/>
      <c r="AA152" s="2955"/>
      <c r="AB152" s="2955"/>
      <c r="AC152" s="2955"/>
      <c r="AD152" s="2955"/>
      <c r="AE152" s="2955"/>
      <c r="AF152" s="2955"/>
      <c r="AG152" s="2955"/>
      <c r="AH152" s="2955"/>
      <c r="AI152" s="2955"/>
      <c r="AJ152" s="2955">
        <v>49</v>
      </c>
      <c r="AK152" s="2955">
        <f t="shared" si="11"/>
        <v>49</v>
      </c>
      <c r="AL152" s="2955">
        <f t="shared" si="7"/>
        <v>1.6806274252421731</v>
      </c>
      <c r="AM152" s="2986" t="s">
        <v>138</v>
      </c>
      <c r="AN152" s="2957"/>
      <c r="AO152" s="2989" t="e">
        <f>+VLOOKUP(C152,'[30]MỦ TẠP'!$B$9:$AH$37,33,0)</f>
        <v>#N/A</v>
      </c>
      <c r="AP152" s="2992" t="e">
        <f t="shared" si="12"/>
        <v>#N/A</v>
      </c>
    </row>
    <row r="153" spans="1:42" s="2989" customFormat="1" ht="33.75" customHeight="1">
      <c r="A153" s="3002">
        <v>138</v>
      </c>
      <c r="B153" s="3002">
        <v>11</v>
      </c>
      <c r="C153" s="3003" t="s">
        <v>1220</v>
      </c>
      <c r="D153" s="2986"/>
      <c r="E153" s="2986" t="s">
        <v>453</v>
      </c>
      <c r="F153" s="2955"/>
      <c r="G153" s="2955"/>
      <c r="H153" s="2955"/>
      <c r="I153" s="2955"/>
      <c r="J153" s="2955"/>
      <c r="K153" s="2955"/>
      <c r="L153" s="2955"/>
      <c r="M153" s="2955"/>
      <c r="N153" s="2955"/>
      <c r="O153" s="2955"/>
      <c r="P153" s="2955"/>
      <c r="Q153" s="2955"/>
      <c r="R153" s="2955"/>
      <c r="S153" s="2955"/>
      <c r="T153" s="2955"/>
      <c r="U153" s="2955"/>
      <c r="V153" s="2955"/>
      <c r="W153" s="2955"/>
      <c r="X153" s="2955"/>
      <c r="Y153" s="2955"/>
      <c r="Z153" s="2955"/>
      <c r="AA153" s="2955"/>
      <c r="AB153" s="2955"/>
      <c r="AC153" s="2955"/>
      <c r="AD153" s="2955"/>
      <c r="AE153" s="2955"/>
      <c r="AF153" s="2955"/>
      <c r="AG153" s="2955"/>
      <c r="AH153" s="2955"/>
      <c r="AI153" s="2955"/>
      <c r="AJ153" s="2955">
        <v>51</v>
      </c>
      <c r="AK153" s="2955">
        <f t="shared" si="11"/>
        <v>51</v>
      </c>
      <c r="AL153" s="2955">
        <f t="shared" si="7"/>
        <v>1.7492244630071598</v>
      </c>
      <c r="AM153" s="2986" t="s">
        <v>141</v>
      </c>
      <c r="AN153" s="2957"/>
      <c r="AO153" s="2989">
        <f>+VLOOKUP(C153,'[30]MỦ TẠP'!$B$9:$AH$37,33,0)</f>
        <v>3980</v>
      </c>
      <c r="AP153" s="2992">
        <f t="shared" si="12"/>
        <v>3929</v>
      </c>
    </row>
    <row r="154" spans="1:42" s="2989" customFormat="1" ht="33.75" customHeight="1">
      <c r="A154" s="3002">
        <v>139</v>
      </c>
      <c r="B154" s="3002">
        <v>12</v>
      </c>
      <c r="C154" s="3003" t="s">
        <v>1221</v>
      </c>
      <c r="D154" s="2986"/>
      <c r="E154" s="2986" t="s">
        <v>453</v>
      </c>
      <c r="F154" s="2955"/>
      <c r="G154" s="2955"/>
      <c r="H154" s="2955"/>
      <c r="I154" s="2955"/>
      <c r="J154" s="2955"/>
      <c r="K154" s="2955"/>
      <c r="L154" s="2955"/>
      <c r="M154" s="2955"/>
      <c r="N154" s="2955"/>
      <c r="O154" s="2955"/>
      <c r="P154" s="2955"/>
      <c r="Q154" s="2955"/>
      <c r="R154" s="2955"/>
      <c r="S154" s="2955"/>
      <c r="T154" s="2955"/>
      <c r="U154" s="2955"/>
      <c r="V154" s="2955"/>
      <c r="W154" s="2955"/>
      <c r="X154" s="2955"/>
      <c r="Y154" s="2955"/>
      <c r="Z154" s="2955"/>
      <c r="AA154" s="2955"/>
      <c r="AB154" s="2955"/>
      <c r="AC154" s="2955"/>
      <c r="AD154" s="2955"/>
      <c r="AE154" s="2955"/>
      <c r="AF154" s="2955"/>
      <c r="AG154" s="2955"/>
      <c r="AH154" s="2955"/>
      <c r="AI154" s="2955"/>
      <c r="AJ154" s="2955">
        <v>82</v>
      </c>
      <c r="AK154" s="2955">
        <f t="shared" ref="AK154:AK168" si="13">+SUM(F154:AJ154)</f>
        <v>82</v>
      </c>
      <c r="AL154" s="2955">
        <f t="shared" si="7"/>
        <v>2.812478548364453</v>
      </c>
      <c r="AM154" s="2986" t="s">
        <v>141</v>
      </c>
      <c r="AN154" s="2957"/>
      <c r="AP154" s="2992"/>
    </row>
    <row r="155" spans="1:42" s="2989" customFormat="1" ht="33.75" customHeight="1">
      <c r="A155" s="3002">
        <v>140</v>
      </c>
      <c r="B155" s="3002">
        <v>13</v>
      </c>
      <c r="C155" s="3003" t="s">
        <v>1223</v>
      </c>
      <c r="D155" s="2986"/>
      <c r="E155" s="2986" t="s">
        <v>453</v>
      </c>
      <c r="F155" s="2955"/>
      <c r="G155" s="2955"/>
      <c r="H155" s="2955"/>
      <c r="I155" s="2955"/>
      <c r="J155" s="2955"/>
      <c r="K155" s="2955"/>
      <c r="L155" s="2955"/>
      <c r="M155" s="2955"/>
      <c r="N155" s="2955"/>
      <c r="O155" s="2955"/>
      <c r="P155" s="2955"/>
      <c r="Q155" s="2955"/>
      <c r="R155" s="2955"/>
      <c r="S155" s="2955"/>
      <c r="T155" s="2955"/>
      <c r="U155" s="2955"/>
      <c r="V155" s="2955"/>
      <c r="W155" s="2955"/>
      <c r="X155" s="2955"/>
      <c r="Y155" s="2955"/>
      <c r="Z155" s="2955"/>
      <c r="AA155" s="2955"/>
      <c r="AB155" s="2955"/>
      <c r="AC155" s="2955"/>
      <c r="AD155" s="2955"/>
      <c r="AE155" s="2955"/>
      <c r="AF155" s="2955"/>
      <c r="AG155" s="2955"/>
      <c r="AH155" s="2955"/>
      <c r="AI155" s="2955"/>
      <c r="AJ155" s="2955">
        <v>45</v>
      </c>
      <c r="AK155" s="2955">
        <f t="shared" si="13"/>
        <v>45</v>
      </c>
      <c r="AL155" s="2955">
        <f t="shared" si="7"/>
        <v>1.5434333497121997</v>
      </c>
      <c r="AM155" s="2986" t="s">
        <v>141</v>
      </c>
      <c r="AN155" s="2957"/>
      <c r="AP155" s="2992"/>
    </row>
    <row r="156" spans="1:42" s="2989" customFormat="1" ht="33.75" customHeight="1">
      <c r="A156" s="3002">
        <v>141</v>
      </c>
      <c r="B156" s="3002">
        <v>14</v>
      </c>
      <c r="C156" s="3003" t="s">
        <v>1224</v>
      </c>
      <c r="D156" s="2986"/>
      <c r="E156" s="2986" t="s">
        <v>453</v>
      </c>
      <c r="F156" s="2955"/>
      <c r="G156" s="2955"/>
      <c r="H156" s="2955"/>
      <c r="I156" s="2955"/>
      <c r="J156" s="2955"/>
      <c r="K156" s="2955"/>
      <c r="L156" s="2955"/>
      <c r="M156" s="2955"/>
      <c r="N156" s="2955"/>
      <c r="O156" s="2955"/>
      <c r="P156" s="2955"/>
      <c r="Q156" s="2955"/>
      <c r="R156" s="2955"/>
      <c r="S156" s="2955"/>
      <c r="T156" s="2955"/>
      <c r="U156" s="2955"/>
      <c r="V156" s="2955"/>
      <c r="W156" s="2955"/>
      <c r="X156" s="2955"/>
      <c r="Y156" s="2955"/>
      <c r="Z156" s="2955"/>
      <c r="AA156" s="2955"/>
      <c r="AB156" s="2955"/>
      <c r="AC156" s="2955"/>
      <c r="AD156" s="2955"/>
      <c r="AE156" s="2955"/>
      <c r="AF156" s="2955"/>
      <c r="AG156" s="2955"/>
      <c r="AH156" s="2955"/>
      <c r="AI156" s="2955"/>
      <c r="AJ156" s="2955">
        <v>64</v>
      </c>
      <c r="AK156" s="2955">
        <f t="shared" si="13"/>
        <v>64</v>
      </c>
      <c r="AL156" s="2955">
        <f t="shared" si="7"/>
        <v>2.195105208479573</v>
      </c>
      <c r="AM156" s="2986" t="s">
        <v>141</v>
      </c>
      <c r="AN156" s="2957"/>
      <c r="AP156" s="2992"/>
    </row>
    <row r="157" spans="1:42" s="2989" customFormat="1" ht="33.75" customHeight="1">
      <c r="A157" s="3002">
        <v>142</v>
      </c>
      <c r="B157" s="3002">
        <v>15</v>
      </c>
      <c r="C157" s="3003" t="s">
        <v>1546</v>
      </c>
      <c r="D157" s="2986"/>
      <c r="E157" s="2986" t="s">
        <v>453</v>
      </c>
      <c r="F157" s="2955"/>
      <c r="G157" s="2955"/>
      <c r="H157" s="2955"/>
      <c r="I157" s="2955"/>
      <c r="J157" s="2955"/>
      <c r="K157" s="2955"/>
      <c r="L157" s="2955"/>
      <c r="M157" s="2955"/>
      <c r="N157" s="2955"/>
      <c r="O157" s="2955"/>
      <c r="P157" s="2955"/>
      <c r="Q157" s="2955"/>
      <c r="R157" s="2955"/>
      <c r="S157" s="2955"/>
      <c r="T157" s="2955"/>
      <c r="U157" s="2955"/>
      <c r="V157" s="2955"/>
      <c r="W157" s="2955"/>
      <c r="X157" s="2955"/>
      <c r="Y157" s="2955"/>
      <c r="Z157" s="2955"/>
      <c r="AA157" s="2955"/>
      <c r="AB157" s="2955"/>
      <c r="AC157" s="2955"/>
      <c r="AD157" s="2955"/>
      <c r="AE157" s="2955"/>
      <c r="AF157" s="2955"/>
      <c r="AG157" s="2955"/>
      <c r="AH157" s="2955"/>
      <c r="AI157" s="2955"/>
      <c r="AJ157" s="2955">
        <v>42</v>
      </c>
      <c r="AK157" s="2955">
        <f t="shared" si="13"/>
        <v>42</v>
      </c>
      <c r="AL157" s="2955">
        <f t="shared" si="7"/>
        <v>1.4405377930647199</v>
      </c>
      <c r="AM157" s="2986" t="s">
        <v>138</v>
      </c>
      <c r="AN157" s="2957"/>
      <c r="AP157" s="2992"/>
    </row>
    <row r="158" spans="1:42" s="2989" customFormat="1" ht="33.75" customHeight="1">
      <c r="A158" s="3002">
        <v>143</v>
      </c>
      <c r="B158" s="3002">
        <v>16</v>
      </c>
      <c r="C158" s="3003" t="s">
        <v>1226</v>
      </c>
      <c r="D158" s="2986"/>
      <c r="E158" s="2986" t="s">
        <v>453</v>
      </c>
      <c r="F158" s="2955"/>
      <c r="G158" s="2955"/>
      <c r="H158" s="2955"/>
      <c r="I158" s="2955"/>
      <c r="J158" s="2955"/>
      <c r="K158" s="2955"/>
      <c r="L158" s="2955"/>
      <c r="M158" s="2955"/>
      <c r="N158" s="2955"/>
      <c r="O158" s="2955"/>
      <c r="P158" s="2955"/>
      <c r="Q158" s="2955"/>
      <c r="R158" s="2955"/>
      <c r="S158" s="2955"/>
      <c r="T158" s="2955"/>
      <c r="U158" s="2955"/>
      <c r="V158" s="2955"/>
      <c r="W158" s="2955"/>
      <c r="X158" s="2955"/>
      <c r="Y158" s="2955"/>
      <c r="Z158" s="2955"/>
      <c r="AA158" s="2955"/>
      <c r="AB158" s="2955"/>
      <c r="AC158" s="2955"/>
      <c r="AD158" s="2955"/>
      <c r="AE158" s="2955"/>
      <c r="AF158" s="2955"/>
      <c r="AG158" s="2955"/>
      <c r="AH158" s="2955"/>
      <c r="AI158" s="2955"/>
      <c r="AJ158" s="2955">
        <v>65</v>
      </c>
      <c r="AK158" s="2955">
        <f t="shared" si="13"/>
        <v>65</v>
      </c>
      <c r="AL158" s="2955">
        <f t="shared" si="7"/>
        <v>2.2294037273620662</v>
      </c>
      <c r="AM158" s="2986" t="s">
        <v>138</v>
      </c>
      <c r="AN158" s="2957"/>
      <c r="AP158" s="2992"/>
    </row>
    <row r="159" spans="1:42" s="2989" customFormat="1" ht="33.75" customHeight="1">
      <c r="A159" s="3002">
        <v>144</v>
      </c>
      <c r="B159" s="3002">
        <v>17</v>
      </c>
      <c r="C159" s="3003" t="s">
        <v>861</v>
      </c>
      <c r="D159" s="2986"/>
      <c r="E159" s="2986" t="s">
        <v>453</v>
      </c>
      <c r="F159" s="2955"/>
      <c r="G159" s="2955"/>
      <c r="H159" s="2955"/>
      <c r="I159" s="2955"/>
      <c r="J159" s="2955"/>
      <c r="K159" s="2955"/>
      <c r="L159" s="2955"/>
      <c r="M159" s="2955"/>
      <c r="N159" s="2955"/>
      <c r="O159" s="2955"/>
      <c r="P159" s="2955"/>
      <c r="Q159" s="2955"/>
      <c r="R159" s="2955"/>
      <c r="S159" s="2955"/>
      <c r="T159" s="2955"/>
      <c r="U159" s="2955"/>
      <c r="V159" s="2955"/>
      <c r="W159" s="2955"/>
      <c r="X159" s="2955"/>
      <c r="Y159" s="2955"/>
      <c r="Z159" s="2955"/>
      <c r="AA159" s="2955"/>
      <c r="AB159" s="2955"/>
      <c r="AC159" s="2955"/>
      <c r="AD159" s="2955"/>
      <c r="AE159" s="2955"/>
      <c r="AF159" s="2955"/>
      <c r="AG159" s="2955"/>
      <c r="AH159" s="2955"/>
      <c r="AI159" s="2955"/>
      <c r="AJ159" s="2955">
        <v>47</v>
      </c>
      <c r="AK159" s="2955">
        <f t="shared" si="13"/>
        <v>47</v>
      </c>
      <c r="AL159" s="2955">
        <f t="shared" si="7"/>
        <v>1.6120303874771864</v>
      </c>
      <c r="AM159" s="2986" t="s">
        <v>141</v>
      </c>
      <c r="AN159" s="2957"/>
      <c r="AP159" s="2992"/>
    </row>
    <row r="160" spans="1:42" s="2989" customFormat="1" ht="33.75" customHeight="1">
      <c r="A160" s="3002">
        <v>145</v>
      </c>
      <c r="B160" s="3002">
        <v>18</v>
      </c>
      <c r="C160" s="3003" t="s">
        <v>486</v>
      </c>
      <c r="D160" s="2986"/>
      <c r="E160" s="2986" t="s">
        <v>453</v>
      </c>
      <c r="F160" s="2955"/>
      <c r="G160" s="2955"/>
      <c r="H160" s="2955"/>
      <c r="I160" s="2955"/>
      <c r="J160" s="2955"/>
      <c r="K160" s="2955"/>
      <c r="L160" s="2955"/>
      <c r="M160" s="2955"/>
      <c r="N160" s="2955"/>
      <c r="O160" s="2955"/>
      <c r="P160" s="2955"/>
      <c r="Q160" s="2955"/>
      <c r="R160" s="2955"/>
      <c r="S160" s="2955"/>
      <c r="T160" s="2955"/>
      <c r="U160" s="2955"/>
      <c r="V160" s="2955"/>
      <c r="W160" s="2955"/>
      <c r="X160" s="2955"/>
      <c r="Y160" s="2955"/>
      <c r="Z160" s="2955"/>
      <c r="AA160" s="2955"/>
      <c r="AB160" s="2955"/>
      <c r="AC160" s="2955"/>
      <c r="AD160" s="2955"/>
      <c r="AE160" s="2955"/>
      <c r="AF160" s="2955"/>
      <c r="AG160" s="2955"/>
      <c r="AH160" s="2955"/>
      <c r="AI160" s="2955"/>
      <c r="AJ160" s="2955">
        <v>84</v>
      </c>
      <c r="AK160" s="2955">
        <f t="shared" si="13"/>
        <v>84</v>
      </c>
      <c r="AL160" s="2955">
        <f t="shared" si="7"/>
        <v>2.8810755861294397</v>
      </c>
      <c r="AM160" s="2986" t="s">
        <v>141</v>
      </c>
      <c r="AN160" s="2957"/>
      <c r="AP160" s="2992"/>
    </row>
    <row r="161" spans="1:42" s="2989" customFormat="1" ht="33.75" customHeight="1">
      <c r="A161" s="3002">
        <v>146</v>
      </c>
      <c r="B161" s="3002">
        <v>19</v>
      </c>
      <c r="C161" s="3003" t="s">
        <v>836</v>
      </c>
      <c r="D161" s="2986"/>
      <c r="E161" s="2986" t="s">
        <v>453</v>
      </c>
      <c r="F161" s="2955"/>
      <c r="G161" s="2955"/>
      <c r="H161" s="2955"/>
      <c r="I161" s="2955"/>
      <c r="J161" s="2955"/>
      <c r="K161" s="2955"/>
      <c r="L161" s="2955"/>
      <c r="M161" s="2955"/>
      <c r="N161" s="2955"/>
      <c r="O161" s="2955"/>
      <c r="P161" s="2955"/>
      <c r="Q161" s="2955"/>
      <c r="R161" s="2955"/>
      <c r="S161" s="2955"/>
      <c r="T161" s="2955"/>
      <c r="U161" s="2955"/>
      <c r="V161" s="2955"/>
      <c r="W161" s="2955"/>
      <c r="X161" s="2955"/>
      <c r="Y161" s="2955"/>
      <c r="Z161" s="2955"/>
      <c r="AA161" s="2955"/>
      <c r="AB161" s="2955"/>
      <c r="AC161" s="2955"/>
      <c r="AD161" s="2955"/>
      <c r="AE161" s="2955"/>
      <c r="AF161" s="2955"/>
      <c r="AG161" s="2955"/>
      <c r="AH161" s="2955"/>
      <c r="AI161" s="2955"/>
      <c r="AJ161" s="2955">
        <v>73</v>
      </c>
      <c r="AK161" s="2955">
        <f t="shared" si="13"/>
        <v>73</v>
      </c>
      <c r="AL161" s="2955">
        <f t="shared" si="7"/>
        <v>2.503791878422013</v>
      </c>
      <c r="AM161" s="2986" t="s">
        <v>141</v>
      </c>
      <c r="AN161" s="2957"/>
      <c r="AP161" s="2992"/>
    </row>
    <row r="162" spans="1:42" s="2989" customFormat="1" ht="33.75" customHeight="1">
      <c r="A162" s="3002">
        <v>147</v>
      </c>
      <c r="B162" s="3002">
        <v>20</v>
      </c>
      <c r="C162" s="3003" t="s">
        <v>1228</v>
      </c>
      <c r="D162" s="2986"/>
      <c r="E162" s="2986" t="s">
        <v>453</v>
      </c>
      <c r="F162" s="2955"/>
      <c r="G162" s="2955"/>
      <c r="H162" s="2955"/>
      <c r="I162" s="2955"/>
      <c r="J162" s="2955"/>
      <c r="K162" s="2955"/>
      <c r="L162" s="2955"/>
      <c r="M162" s="2955"/>
      <c r="N162" s="2955"/>
      <c r="O162" s="2955"/>
      <c r="P162" s="2955"/>
      <c r="Q162" s="2955"/>
      <c r="R162" s="2955"/>
      <c r="S162" s="2955"/>
      <c r="T162" s="2955"/>
      <c r="U162" s="2955"/>
      <c r="V162" s="2955"/>
      <c r="W162" s="2955"/>
      <c r="X162" s="2955"/>
      <c r="Y162" s="2955"/>
      <c r="Z162" s="2955"/>
      <c r="AA162" s="2955"/>
      <c r="AB162" s="2955"/>
      <c r="AC162" s="2955"/>
      <c r="AD162" s="2955"/>
      <c r="AE162" s="2955"/>
      <c r="AF162" s="2955"/>
      <c r="AG162" s="2955"/>
      <c r="AH162" s="2955"/>
      <c r="AI162" s="2955"/>
      <c r="AJ162" s="2955">
        <v>57</v>
      </c>
      <c r="AK162" s="2955">
        <f t="shared" si="13"/>
        <v>57</v>
      </c>
      <c r="AL162" s="2955">
        <f t="shared" si="7"/>
        <v>1.9550155763021198</v>
      </c>
      <c r="AM162" s="2986" t="s">
        <v>141</v>
      </c>
      <c r="AN162" s="2957"/>
      <c r="AP162" s="2992"/>
    </row>
    <row r="163" spans="1:42" s="2989" customFormat="1" ht="33.75" customHeight="1">
      <c r="A163" s="3002">
        <v>148</v>
      </c>
      <c r="B163" s="3002">
        <v>21</v>
      </c>
      <c r="C163" s="3003" t="s">
        <v>1229</v>
      </c>
      <c r="D163" s="2986"/>
      <c r="E163" s="2986" t="s">
        <v>453</v>
      </c>
      <c r="F163" s="2955"/>
      <c r="G163" s="2955"/>
      <c r="H163" s="2955"/>
      <c r="I163" s="2955"/>
      <c r="J163" s="2955"/>
      <c r="K163" s="2955"/>
      <c r="L163" s="2955"/>
      <c r="M163" s="2955"/>
      <c r="N163" s="2955"/>
      <c r="O163" s="2955"/>
      <c r="P163" s="2955"/>
      <c r="Q163" s="2955"/>
      <c r="R163" s="2955"/>
      <c r="S163" s="2955"/>
      <c r="T163" s="2955"/>
      <c r="U163" s="2955"/>
      <c r="V163" s="2955"/>
      <c r="W163" s="2955"/>
      <c r="X163" s="2955"/>
      <c r="Y163" s="2955"/>
      <c r="Z163" s="2955"/>
      <c r="AA163" s="2955"/>
      <c r="AB163" s="2955"/>
      <c r="AC163" s="2955"/>
      <c r="AD163" s="2955"/>
      <c r="AE163" s="2955"/>
      <c r="AF163" s="2955"/>
      <c r="AG163" s="2955"/>
      <c r="AH163" s="2955"/>
      <c r="AI163" s="2955"/>
      <c r="AJ163" s="2955">
        <v>60</v>
      </c>
      <c r="AK163" s="2955">
        <f t="shared" si="13"/>
        <v>60</v>
      </c>
      <c r="AL163" s="2955">
        <f t="shared" si="7"/>
        <v>2.0579111329495996</v>
      </c>
      <c r="AM163" s="2986" t="s">
        <v>141</v>
      </c>
      <c r="AN163" s="2957"/>
      <c r="AP163" s="2992"/>
    </row>
    <row r="164" spans="1:42" s="2989" customFormat="1" ht="33.75" customHeight="1">
      <c r="A164" s="3002">
        <v>149</v>
      </c>
      <c r="B164" s="3002">
        <v>22</v>
      </c>
      <c r="C164" s="3003" t="s">
        <v>1518</v>
      </c>
      <c r="D164" s="2986"/>
      <c r="E164" s="2986" t="s">
        <v>453</v>
      </c>
      <c r="F164" s="2955"/>
      <c r="G164" s="2955"/>
      <c r="H164" s="2955"/>
      <c r="I164" s="2955"/>
      <c r="J164" s="2955"/>
      <c r="K164" s="2955"/>
      <c r="L164" s="2955"/>
      <c r="M164" s="2955"/>
      <c r="N164" s="2955"/>
      <c r="O164" s="2955"/>
      <c r="P164" s="2955"/>
      <c r="Q164" s="2955"/>
      <c r="R164" s="2955"/>
      <c r="S164" s="2955"/>
      <c r="T164" s="2955"/>
      <c r="U164" s="2955"/>
      <c r="V164" s="2955"/>
      <c r="W164" s="2955"/>
      <c r="X164" s="2955"/>
      <c r="Y164" s="2955"/>
      <c r="Z164" s="2955"/>
      <c r="AA164" s="2955"/>
      <c r="AB164" s="2955"/>
      <c r="AC164" s="2955"/>
      <c r="AD164" s="2955"/>
      <c r="AE164" s="2955"/>
      <c r="AF164" s="2955"/>
      <c r="AG164" s="2955"/>
      <c r="AH164" s="2955"/>
      <c r="AI164" s="2955"/>
      <c r="AJ164" s="2955">
        <v>103</v>
      </c>
      <c r="AK164" s="2955">
        <f t="shared" si="13"/>
        <v>103</v>
      </c>
      <c r="AL164" s="2955">
        <f t="shared" si="7"/>
        <v>3.5327474448968128</v>
      </c>
      <c r="AM164" s="2986" t="s">
        <v>138</v>
      </c>
      <c r="AN164" s="2957"/>
      <c r="AP164" s="2992"/>
    </row>
    <row r="165" spans="1:42" s="2989" customFormat="1" ht="33.75" customHeight="1">
      <c r="A165" s="3002">
        <v>150</v>
      </c>
      <c r="B165" s="3002">
        <v>23</v>
      </c>
      <c r="C165" s="3003" t="s">
        <v>1519</v>
      </c>
      <c r="D165" s="2986"/>
      <c r="E165" s="2986" t="s">
        <v>453</v>
      </c>
      <c r="F165" s="2955"/>
      <c r="G165" s="2955"/>
      <c r="H165" s="2955"/>
      <c r="I165" s="2955"/>
      <c r="J165" s="2955"/>
      <c r="K165" s="2955"/>
      <c r="L165" s="2955"/>
      <c r="M165" s="2955"/>
      <c r="N165" s="2955"/>
      <c r="O165" s="2955"/>
      <c r="P165" s="2955"/>
      <c r="Q165" s="2955"/>
      <c r="R165" s="2955"/>
      <c r="S165" s="2955"/>
      <c r="T165" s="2955"/>
      <c r="U165" s="2955"/>
      <c r="V165" s="2955"/>
      <c r="W165" s="2955"/>
      <c r="X165" s="2955"/>
      <c r="Y165" s="2955"/>
      <c r="Z165" s="2955"/>
      <c r="AA165" s="2955"/>
      <c r="AB165" s="2955"/>
      <c r="AC165" s="2955"/>
      <c r="AD165" s="2955"/>
      <c r="AE165" s="2955"/>
      <c r="AF165" s="2955"/>
      <c r="AG165" s="2955"/>
      <c r="AH165" s="2955"/>
      <c r="AI165" s="2955"/>
      <c r="AJ165" s="2955">
        <v>44</v>
      </c>
      <c r="AK165" s="2955">
        <f t="shared" si="13"/>
        <v>44</v>
      </c>
      <c r="AL165" s="2955">
        <f t="shared" si="7"/>
        <v>1.5091348308297063</v>
      </c>
      <c r="AM165" s="2986" t="s">
        <v>141</v>
      </c>
      <c r="AN165" s="2957"/>
      <c r="AO165" s="2989" t="e">
        <f>+VLOOKUP(C165,'[30]MỦ TẠP'!$B$9:$AH$37,33,0)</f>
        <v>#N/A</v>
      </c>
      <c r="AP165" s="2992" t="e">
        <f>+AO165-AK165</f>
        <v>#N/A</v>
      </c>
    </row>
    <row r="166" spans="1:42" s="2989" customFormat="1" ht="33.75" customHeight="1">
      <c r="A166" s="3002">
        <v>151</v>
      </c>
      <c r="B166" s="3002">
        <v>24</v>
      </c>
      <c r="C166" s="3003" t="s">
        <v>1520</v>
      </c>
      <c r="D166" s="2986"/>
      <c r="E166" s="2986" t="s">
        <v>453</v>
      </c>
      <c r="F166" s="2955"/>
      <c r="G166" s="2955"/>
      <c r="H166" s="2955"/>
      <c r="I166" s="2955"/>
      <c r="J166" s="2955"/>
      <c r="K166" s="2955"/>
      <c r="L166" s="2955"/>
      <c r="M166" s="2955"/>
      <c r="N166" s="2955"/>
      <c r="O166" s="2955"/>
      <c r="P166" s="2955"/>
      <c r="Q166" s="2955"/>
      <c r="R166" s="2955"/>
      <c r="S166" s="2955"/>
      <c r="T166" s="2955"/>
      <c r="U166" s="2955"/>
      <c r="V166" s="2955"/>
      <c r="W166" s="2955"/>
      <c r="X166" s="2955"/>
      <c r="Y166" s="2955"/>
      <c r="Z166" s="2955"/>
      <c r="AA166" s="2955"/>
      <c r="AB166" s="2955"/>
      <c r="AC166" s="2955"/>
      <c r="AD166" s="2955"/>
      <c r="AE166" s="2955"/>
      <c r="AF166" s="2955"/>
      <c r="AG166" s="2955"/>
      <c r="AH166" s="2955"/>
      <c r="AI166" s="2955"/>
      <c r="AJ166" s="2955">
        <v>104</v>
      </c>
      <c r="AK166" s="2955">
        <f t="shared" si="13"/>
        <v>104</v>
      </c>
      <c r="AL166" s="2955">
        <f t="shared" si="7"/>
        <v>3.5670459637793064</v>
      </c>
      <c r="AM166" s="2986" t="s">
        <v>138</v>
      </c>
      <c r="AN166" s="2957"/>
      <c r="AO166" s="2989" t="e">
        <f>+VLOOKUP(C166,'[30]MỦ TẠP'!$B$9:$AH$37,33,0)</f>
        <v>#N/A</v>
      </c>
      <c r="AP166" s="2992" t="e">
        <f>+AO166-AK166</f>
        <v>#N/A</v>
      </c>
    </row>
    <row r="167" spans="1:42" s="2989" customFormat="1" ht="33.75" customHeight="1">
      <c r="A167" s="3002">
        <v>152</v>
      </c>
      <c r="B167" s="3002">
        <v>25</v>
      </c>
      <c r="C167" s="3003" t="s">
        <v>1521</v>
      </c>
      <c r="D167" s="2986"/>
      <c r="E167" s="2986" t="s">
        <v>453</v>
      </c>
      <c r="F167" s="2955"/>
      <c r="G167" s="2955"/>
      <c r="H167" s="2955"/>
      <c r="I167" s="2955"/>
      <c r="J167" s="2955"/>
      <c r="K167" s="2955"/>
      <c r="L167" s="2955"/>
      <c r="M167" s="2955"/>
      <c r="N167" s="2955"/>
      <c r="O167" s="2955"/>
      <c r="P167" s="2955"/>
      <c r="Q167" s="2955"/>
      <c r="R167" s="2955"/>
      <c r="S167" s="2955"/>
      <c r="T167" s="2955"/>
      <c r="U167" s="2955"/>
      <c r="V167" s="2955"/>
      <c r="W167" s="2955"/>
      <c r="X167" s="2955"/>
      <c r="Y167" s="2955"/>
      <c r="Z167" s="2955"/>
      <c r="AA167" s="2955"/>
      <c r="AB167" s="2955"/>
      <c r="AC167" s="2955"/>
      <c r="AD167" s="2955"/>
      <c r="AE167" s="2955"/>
      <c r="AF167" s="2955"/>
      <c r="AG167" s="2955"/>
      <c r="AH167" s="2955"/>
      <c r="AI167" s="2955"/>
      <c r="AJ167" s="2955">
        <v>90</v>
      </c>
      <c r="AK167" s="2955">
        <f t="shared" si="13"/>
        <v>90</v>
      </c>
      <c r="AL167" s="2955">
        <f t="shared" si="7"/>
        <v>3.0868666994243994</v>
      </c>
      <c r="AM167" s="2986" t="s">
        <v>141</v>
      </c>
      <c r="AN167" s="2957"/>
      <c r="AO167" s="2989" t="e">
        <f>+VLOOKUP(C167,'[30]MỦ TẠP'!$B$9:$AH$37,33,0)</f>
        <v>#N/A</v>
      </c>
      <c r="AP167" s="2992" t="e">
        <f>+AO167-AK167</f>
        <v>#N/A</v>
      </c>
    </row>
    <row r="168" spans="1:42" s="2989" customFormat="1" ht="33.75" customHeight="1">
      <c r="A168" s="3002">
        <v>153</v>
      </c>
      <c r="B168" s="3002">
        <v>26</v>
      </c>
      <c r="C168" s="3003" t="s">
        <v>1522</v>
      </c>
      <c r="D168" s="2986"/>
      <c r="E168" s="2986" t="s">
        <v>453</v>
      </c>
      <c r="F168" s="2955"/>
      <c r="G168" s="2955"/>
      <c r="H168" s="2955"/>
      <c r="I168" s="2955"/>
      <c r="J168" s="2955"/>
      <c r="K168" s="2955"/>
      <c r="L168" s="2955"/>
      <c r="M168" s="2955"/>
      <c r="N168" s="2955"/>
      <c r="O168" s="2955"/>
      <c r="P168" s="2955"/>
      <c r="Q168" s="2955"/>
      <c r="R168" s="2955"/>
      <c r="S168" s="2955"/>
      <c r="T168" s="2955"/>
      <c r="U168" s="2955"/>
      <c r="V168" s="2955"/>
      <c r="W168" s="2955"/>
      <c r="X168" s="2955"/>
      <c r="Y168" s="2955"/>
      <c r="Z168" s="2955"/>
      <c r="AA168" s="2955"/>
      <c r="AB168" s="2955"/>
      <c r="AC168" s="2955"/>
      <c r="AD168" s="2955"/>
      <c r="AE168" s="2955"/>
      <c r="AF168" s="2955"/>
      <c r="AG168" s="2955"/>
      <c r="AH168" s="2955"/>
      <c r="AI168" s="2955"/>
      <c r="AJ168" s="2955">
        <v>108</v>
      </c>
      <c r="AK168" s="2955">
        <f t="shared" si="13"/>
        <v>108</v>
      </c>
      <c r="AL168" s="2955">
        <f t="shared" si="7"/>
        <v>3.7042400393092794</v>
      </c>
      <c r="AM168" s="2986" t="s">
        <v>141</v>
      </c>
      <c r="AN168" s="2957"/>
      <c r="AO168" s="2989" t="e">
        <f>+VLOOKUP(C168,'[30]MỦ TẠP'!$B$9:$AH$37,33,0)</f>
        <v>#N/A</v>
      </c>
      <c r="AP168" s="2992" t="e">
        <f>+AO168-AK168</f>
        <v>#N/A</v>
      </c>
    </row>
    <row r="169" spans="1:42" s="2989" customFormat="1" ht="33.75" customHeight="1">
      <c r="A169" s="3002">
        <v>154</v>
      </c>
      <c r="B169" s="3002">
        <v>27</v>
      </c>
      <c r="C169" s="3003" t="s">
        <v>1230</v>
      </c>
      <c r="D169" s="2986"/>
      <c r="E169" s="2986" t="s">
        <v>453</v>
      </c>
      <c r="F169" s="2955"/>
      <c r="G169" s="2955"/>
      <c r="H169" s="2955"/>
      <c r="I169" s="2955"/>
      <c r="J169" s="2955"/>
      <c r="K169" s="2955"/>
      <c r="L169" s="2955"/>
      <c r="M169" s="2955"/>
      <c r="N169" s="2955"/>
      <c r="O169" s="2955"/>
      <c r="P169" s="2955"/>
      <c r="Q169" s="2955"/>
      <c r="R169" s="2955"/>
      <c r="S169" s="2955"/>
      <c r="T169" s="2955"/>
      <c r="U169" s="2955"/>
      <c r="V169" s="2955"/>
      <c r="W169" s="2955"/>
      <c r="X169" s="2955"/>
      <c r="Y169" s="2955"/>
      <c r="Z169" s="2955"/>
      <c r="AA169" s="2955"/>
      <c r="AB169" s="2955"/>
      <c r="AC169" s="2955"/>
      <c r="AD169" s="2955"/>
      <c r="AE169" s="2955"/>
      <c r="AF169" s="2955"/>
      <c r="AG169" s="2955"/>
      <c r="AH169" s="2955"/>
      <c r="AI169" s="2955"/>
      <c r="AJ169" s="2955">
        <v>89</v>
      </c>
      <c r="AK169" s="2955">
        <f>+SUM(F169:AJ169)</f>
        <v>89</v>
      </c>
      <c r="AL169" s="2955">
        <f t="shared" si="7"/>
        <v>3.0525681805419063</v>
      </c>
      <c r="AM169" s="2986" t="s">
        <v>141</v>
      </c>
      <c r="AN169" s="2957"/>
      <c r="AO169" s="2989">
        <f>+VLOOKUP(C169,'[30]MỦ TẠP'!$B$9:$AH$37,33,0)</f>
        <v>0</v>
      </c>
      <c r="AP169" s="2992">
        <f>+AO169-AK169</f>
        <v>-89</v>
      </c>
    </row>
    <row r="170" spans="1:42" s="2989" customFormat="1" ht="36.75" customHeight="1">
      <c r="A170" s="2958" t="s">
        <v>61</v>
      </c>
      <c r="B170" s="2958"/>
      <c r="C170" s="2958"/>
      <c r="D170" s="2958"/>
      <c r="E170" s="2958"/>
      <c r="F170" s="2952">
        <f t="shared" ref="F170:AL170" si="14">+F11+F41+F58+F119+F142</f>
        <v>0</v>
      </c>
      <c r="G170" s="2952">
        <f t="shared" si="14"/>
        <v>0</v>
      </c>
      <c r="H170" s="2952">
        <f t="shared" si="14"/>
        <v>0</v>
      </c>
      <c r="I170" s="2952">
        <f t="shared" si="14"/>
        <v>0</v>
      </c>
      <c r="J170" s="2952">
        <f t="shared" si="14"/>
        <v>0</v>
      </c>
      <c r="K170" s="2952">
        <f t="shared" si="14"/>
        <v>0</v>
      </c>
      <c r="L170" s="2952">
        <f t="shared" si="14"/>
        <v>0</v>
      </c>
      <c r="M170" s="2952">
        <f t="shared" si="14"/>
        <v>0</v>
      </c>
      <c r="N170" s="2952">
        <f t="shared" si="14"/>
        <v>0</v>
      </c>
      <c r="O170" s="2952">
        <f t="shared" si="14"/>
        <v>0</v>
      </c>
      <c r="P170" s="2952">
        <f t="shared" si="14"/>
        <v>0</v>
      </c>
      <c r="Q170" s="2952">
        <f t="shared" si="14"/>
        <v>0</v>
      </c>
      <c r="R170" s="2952">
        <f t="shared" si="14"/>
        <v>0</v>
      </c>
      <c r="S170" s="2952">
        <f t="shared" si="14"/>
        <v>0</v>
      </c>
      <c r="T170" s="2952">
        <f t="shared" si="14"/>
        <v>0</v>
      </c>
      <c r="U170" s="2952">
        <f t="shared" si="14"/>
        <v>0</v>
      </c>
      <c r="V170" s="2952">
        <f t="shared" si="14"/>
        <v>0</v>
      </c>
      <c r="W170" s="2952">
        <f t="shared" si="14"/>
        <v>0</v>
      </c>
      <c r="X170" s="2952">
        <f t="shared" si="14"/>
        <v>0</v>
      </c>
      <c r="Y170" s="2952">
        <f t="shared" si="14"/>
        <v>0</v>
      </c>
      <c r="Z170" s="2952">
        <f t="shared" si="14"/>
        <v>0</v>
      </c>
      <c r="AA170" s="2952">
        <f t="shared" si="14"/>
        <v>0</v>
      </c>
      <c r="AB170" s="2952">
        <f t="shared" si="14"/>
        <v>0</v>
      </c>
      <c r="AC170" s="2952">
        <f t="shared" si="14"/>
        <v>0</v>
      </c>
      <c r="AD170" s="2952">
        <f t="shared" si="14"/>
        <v>0</v>
      </c>
      <c r="AE170" s="2952">
        <f t="shared" si="14"/>
        <v>0</v>
      </c>
      <c r="AF170" s="2952">
        <f t="shared" si="14"/>
        <v>0</v>
      </c>
      <c r="AG170" s="2952">
        <f t="shared" si="14"/>
        <v>0</v>
      </c>
      <c r="AH170" s="2952">
        <f t="shared" si="14"/>
        <v>0</v>
      </c>
      <c r="AI170" s="2952">
        <f t="shared" si="14"/>
        <v>2959</v>
      </c>
      <c r="AJ170" s="2952">
        <f t="shared" si="14"/>
        <v>11287</v>
      </c>
      <c r="AK170" s="2952">
        <f t="shared" si="14"/>
        <v>14246</v>
      </c>
      <c r="AL170" s="2952">
        <f t="shared" si="14"/>
        <v>488.61669999999998</v>
      </c>
      <c r="AM170" s="2952"/>
      <c r="AN170" s="2958"/>
    </row>
    <row r="171" spans="1:42" ht="27" customHeight="1">
      <c r="A171" s="2959"/>
      <c r="B171" s="2959"/>
      <c r="C171" s="2959"/>
      <c r="D171" s="2959"/>
      <c r="E171" s="2959"/>
      <c r="F171" s="2960"/>
      <c r="G171" s="2960"/>
      <c r="H171" s="2960"/>
      <c r="I171" s="2960"/>
      <c r="J171" s="2960"/>
      <c r="K171" s="2960"/>
      <c r="L171" s="2960"/>
      <c r="M171" s="2960"/>
      <c r="N171" s="2960"/>
      <c r="O171" s="2960"/>
      <c r="P171" s="2960"/>
      <c r="Q171" s="2960"/>
      <c r="R171" s="2960"/>
      <c r="S171" s="2960"/>
      <c r="T171" s="2960"/>
      <c r="U171" s="2960"/>
      <c r="V171" s="2960"/>
      <c r="W171" s="2960"/>
      <c r="X171" s="2960"/>
      <c r="Y171" s="2960"/>
      <c r="Z171" s="2960"/>
      <c r="AA171" s="2960"/>
      <c r="AB171" s="2960"/>
      <c r="AC171" s="2960"/>
      <c r="AD171" s="2961"/>
      <c r="AE171" s="2960"/>
      <c r="AF171" s="2960"/>
      <c r="AG171" s="2960"/>
      <c r="AH171" s="2960"/>
      <c r="AI171" s="2960"/>
      <c r="AJ171" s="2960"/>
      <c r="AK171" s="2962"/>
      <c r="AL171" s="2963"/>
      <c r="AM171" s="2963"/>
      <c r="AN171" s="2964"/>
    </row>
    <row r="172" spans="1:42" ht="27" customHeight="1">
      <c r="A172" s="2959"/>
      <c r="B172" s="2959"/>
      <c r="C172" s="2959"/>
      <c r="D172" s="2959"/>
      <c r="E172" s="4743" t="s">
        <v>0</v>
      </c>
      <c r="F172" s="4744"/>
      <c r="G172" s="4745"/>
      <c r="H172" s="4734" t="s">
        <v>1866</v>
      </c>
      <c r="I172" s="4735"/>
      <c r="J172" s="4735"/>
      <c r="K172" s="4735"/>
      <c r="L172" s="4735"/>
      <c r="M172" s="4735"/>
      <c r="N172" s="4736"/>
      <c r="O172" s="4734" t="s">
        <v>1867</v>
      </c>
      <c r="P172" s="4735"/>
      <c r="Q172" s="4735"/>
      <c r="R172" s="4735"/>
      <c r="S172" s="4735"/>
      <c r="T172" s="4735"/>
      <c r="U172" s="4735"/>
      <c r="V172" s="4736"/>
      <c r="W172" s="4734" t="s">
        <v>1868</v>
      </c>
      <c r="X172" s="4735"/>
      <c r="Y172" s="4735"/>
      <c r="Z172" s="4735"/>
      <c r="AA172" s="4735"/>
      <c r="AB172" s="4735"/>
      <c r="AC172" s="4736"/>
      <c r="AD172" s="4737" t="s">
        <v>1902</v>
      </c>
      <c r="AE172" s="4738"/>
      <c r="AF172" s="4738"/>
      <c r="AG172" s="4738"/>
      <c r="AH172" s="4738"/>
      <c r="AI172" s="4738"/>
      <c r="AJ172" s="4739"/>
      <c r="AK172" s="4740" t="s">
        <v>1311</v>
      </c>
      <c r="AL172" s="4741"/>
      <c r="AM172" s="4741"/>
      <c r="AN172" s="4742"/>
    </row>
    <row r="173" spans="1:42" ht="27" customHeight="1">
      <c r="A173" s="2959"/>
      <c r="B173" s="2959"/>
      <c r="C173" s="2959"/>
      <c r="D173" s="2959"/>
      <c r="E173" s="4743" t="s">
        <v>140</v>
      </c>
      <c r="F173" s="4744"/>
      <c r="G173" s="4745"/>
      <c r="H173" s="4746" t="s">
        <v>1870</v>
      </c>
      <c r="I173" s="4746"/>
      <c r="J173" s="4746"/>
      <c r="K173" s="4746"/>
      <c r="L173" s="4746"/>
      <c r="M173" s="4746"/>
      <c r="N173" s="4746"/>
      <c r="O173" s="4746"/>
      <c r="P173" s="4746"/>
      <c r="Q173" s="4746"/>
      <c r="R173" s="4746"/>
      <c r="S173" s="4746"/>
      <c r="T173" s="4746"/>
      <c r="U173" s="4746"/>
      <c r="V173" s="4746"/>
      <c r="W173" s="4747">
        <f>+SUM(W174:AC177)</f>
        <v>14246</v>
      </c>
      <c r="X173" s="4747"/>
      <c r="Y173" s="4747"/>
      <c r="Z173" s="4747"/>
      <c r="AA173" s="4747"/>
      <c r="AB173" s="4747"/>
      <c r="AC173" s="4747"/>
      <c r="AD173" s="4747">
        <f ca="1">+SUM(AD174:AJ177)</f>
        <v>488.61670000000015</v>
      </c>
      <c r="AE173" s="4747"/>
      <c r="AF173" s="4747"/>
      <c r="AG173" s="4747"/>
      <c r="AH173" s="4747"/>
      <c r="AI173" s="4747"/>
      <c r="AJ173" s="4747"/>
      <c r="AK173" s="4748"/>
      <c r="AL173" s="4748"/>
      <c r="AM173" s="4748"/>
      <c r="AN173" s="4748"/>
    </row>
    <row r="174" spans="1:42" ht="27" customHeight="1">
      <c r="A174" s="2959"/>
      <c r="B174" s="2959"/>
      <c r="C174" s="2959"/>
      <c r="D174" s="2959"/>
      <c r="E174" s="4749">
        <v>1</v>
      </c>
      <c r="F174" s="4750"/>
      <c r="G174" s="4751"/>
      <c r="H174" s="4752">
        <f>+COUNTIF(AM12:$AM$169,"A")</f>
        <v>120</v>
      </c>
      <c r="I174" s="4753"/>
      <c r="J174" s="4753"/>
      <c r="K174" s="4753"/>
      <c r="L174" s="4753"/>
      <c r="M174" s="4753"/>
      <c r="N174" s="4754"/>
      <c r="O174" s="4755" t="s">
        <v>141</v>
      </c>
      <c r="P174" s="4756"/>
      <c r="Q174" s="4756"/>
      <c r="R174" s="4756"/>
      <c r="S174" s="4756"/>
      <c r="T174" s="4756"/>
      <c r="U174" s="4756"/>
      <c r="V174" s="4757"/>
      <c r="W174" s="4752">
        <f>+SUMIF($AM$12:$AM$169,O174,$AK$12:$AK$169)</f>
        <v>11163</v>
      </c>
      <c r="X174" s="4753"/>
      <c r="Y174" s="4753"/>
      <c r="Z174" s="4753"/>
      <c r="AA174" s="4753"/>
      <c r="AB174" s="4753"/>
      <c r="AC174" s="4754"/>
      <c r="AD174" s="4758">
        <f>+SUMIF($AM$12:$AM$169,O174,AL12:$AL$169)</f>
        <v>382.8743662852732</v>
      </c>
      <c r="AE174" s="4759"/>
      <c r="AF174" s="4759"/>
      <c r="AG174" s="4759"/>
      <c r="AH174" s="4759"/>
      <c r="AI174" s="4759"/>
      <c r="AJ174" s="4760"/>
      <c r="AK174" s="4740"/>
      <c r="AL174" s="4741"/>
      <c r="AM174" s="4741"/>
      <c r="AN174" s="4742"/>
    </row>
    <row r="175" spans="1:42" ht="27" customHeight="1">
      <c r="A175" s="2959"/>
      <c r="B175" s="2959"/>
      <c r="C175" s="2959"/>
      <c r="D175" s="2959"/>
      <c r="E175" s="4749">
        <v>2</v>
      </c>
      <c r="F175" s="4750"/>
      <c r="G175" s="4751"/>
      <c r="H175" s="4752">
        <f>+COUNTIF(AM12:$AM$169,"B")</f>
        <v>34</v>
      </c>
      <c r="I175" s="4753"/>
      <c r="J175" s="4753"/>
      <c r="K175" s="4753"/>
      <c r="L175" s="4753"/>
      <c r="M175" s="4753"/>
      <c r="N175" s="4754"/>
      <c r="O175" s="4755" t="s">
        <v>138</v>
      </c>
      <c r="P175" s="4756"/>
      <c r="Q175" s="4756"/>
      <c r="R175" s="4756"/>
      <c r="S175" s="4756"/>
      <c r="T175" s="4756"/>
      <c r="U175" s="4756"/>
      <c r="V175" s="4757"/>
      <c r="W175" s="4752">
        <f>+SUMIF($AM$12:$AM$169,O175,$AK$12:$AK$169)</f>
        <v>3083</v>
      </c>
      <c r="X175" s="4753"/>
      <c r="Y175" s="4753"/>
      <c r="Z175" s="4753"/>
      <c r="AA175" s="4753"/>
      <c r="AB175" s="4753"/>
      <c r="AC175" s="4754"/>
      <c r="AD175" s="4758">
        <f>+SUMIF($AM$12:$AM$169,O175,AL12:$AL$169)</f>
        <v>105.74233371472694</v>
      </c>
      <c r="AE175" s="4759"/>
      <c r="AF175" s="4759"/>
      <c r="AG175" s="4759"/>
      <c r="AH175" s="4759"/>
      <c r="AI175" s="4759"/>
      <c r="AJ175" s="4760"/>
      <c r="AK175" s="4740"/>
      <c r="AL175" s="4741"/>
      <c r="AM175" s="4741"/>
      <c r="AN175" s="4742"/>
    </row>
    <row r="176" spans="1:42" ht="27" hidden="1" customHeight="1">
      <c r="A176" s="2959"/>
      <c r="B176" s="2959"/>
      <c r="C176" s="2959"/>
      <c r="D176" s="2959"/>
      <c r="E176" s="4749">
        <v>3</v>
      </c>
      <c r="F176" s="4750"/>
      <c r="G176" s="4751"/>
      <c r="H176" s="4752">
        <v>0</v>
      </c>
      <c r="I176" s="4753"/>
      <c r="J176" s="4753"/>
      <c r="K176" s="4753"/>
      <c r="L176" s="4753"/>
      <c r="M176" s="4753"/>
      <c r="N176" s="4754"/>
      <c r="O176" s="4755" t="s">
        <v>168</v>
      </c>
      <c r="P176" s="4756"/>
      <c r="Q176" s="4756"/>
      <c r="R176" s="4756"/>
      <c r="S176" s="4756"/>
      <c r="T176" s="4756"/>
      <c r="U176" s="4756"/>
      <c r="V176" s="4757"/>
      <c r="W176" s="4752">
        <v>0</v>
      </c>
      <c r="X176" s="4753"/>
      <c r="Y176" s="4753"/>
      <c r="Z176" s="4753"/>
      <c r="AA176" s="4753"/>
      <c r="AB176" s="4753"/>
      <c r="AC176" s="4754"/>
      <c r="AD176" s="4761">
        <v>0</v>
      </c>
      <c r="AE176" s="4762"/>
      <c r="AF176" s="4762"/>
      <c r="AG176" s="4762"/>
      <c r="AH176" s="4762"/>
      <c r="AI176" s="4762"/>
      <c r="AJ176" s="4763"/>
      <c r="AK176" s="4740"/>
      <c r="AL176" s="4741"/>
      <c r="AM176" s="4741"/>
      <c r="AN176" s="4742"/>
    </row>
    <row r="177" spans="1:40" ht="27" hidden="1" customHeight="1">
      <c r="A177" s="2959"/>
      <c r="B177" s="2959"/>
      <c r="C177" s="2959"/>
      <c r="D177" s="2959"/>
      <c r="E177" s="4749">
        <v>4</v>
      </c>
      <c r="F177" s="4750"/>
      <c r="G177" s="4751"/>
      <c r="H177" s="4734">
        <f>+COUNTIF(AM15:$AM$169,"D")</f>
        <v>0</v>
      </c>
      <c r="I177" s="4735"/>
      <c r="J177" s="4735"/>
      <c r="K177" s="4735"/>
      <c r="L177" s="4735"/>
      <c r="M177" s="4735"/>
      <c r="N177" s="4736"/>
      <c r="O177" s="4755" t="s">
        <v>224</v>
      </c>
      <c r="P177" s="4756"/>
      <c r="Q177" s="4756"/>
      <c r="R177" s="4756"/>
      <c r="S177" s="4756"/>
      <c r="T177" s="4756"/>
      <c r="U177" s="4756"/>
      <c r="V177" s="4757"/>
      <c r="W177" s="4764">
        <f>+SUMIF($AM$12:$AM$169,O177,$AK$12:$AK$169)</f>
        <v>0</v>
      </c>
      <c r="X177" s="4765"/>
      <c r="Y177" s="4765"/>
      <c r="Z177" s="4765"/>
      <c r="AA177" s="4765"/>
      <c r="AB177" s="4765"/>
      <c r="AC177" s="4766"/>
      <c r="AD177" s="4761">
        <f ca="1">+SUMIF($AM$12:$AM$169,O177,AL15:$AL$169)</f>
        <v>0</v>
      </c>
      <c r="AE177" s="4762"/>
      <c r="AF177" s="4762"/>
      <c r="AG177" s="4762"/>
      <c r="AH177" s="4762"/>
      <c r="AI177" s="4762"/>
      <c r="AJ177" s="4763"/>
      <c r="AK177" s="4740"/>
      <c r="AL177" s="4741"/>
      <c r="AM177" s="4741"/>
      <c r="AN177" s="4742"/>
    </row>
    <row r="178" spans="1:40" ht="27" hidden="1" customHeight="1">
      <c r="A178" s="2959"/>
      <c r="B178" s="2959"/>
      <c r="C178" s="2959"/>
      <c r="D178" s="2959"/>
      <c r="E178" s="4768" t="s">
        <v>143</v>
      </c>
      <c r="F178" s="4768"/>
      <c r="G178" s="4768"/>
      <c r="H178" s="4769" t="s">
        <v>1871</v>
      </c>
      <c r="I178" s="4769"/>
      <c r="J178" s="4769"/>
      <c r="K178" s="4769"/>
      <c r="L178" s="4769"/>
      <c r="M178" s="4769"/>
      <c r="N178" s="4769"/>
      <c r="O178" s="4769"/>
      <c r="P178" s="4769"/>
      <c r="Q178" s="4769"/>
      <c r="R178" s="4769"/>
      <c r="S178" s="4769"/>
      <c r="T178" s="4769"/>
      <c r="U178" s="4769"/>
      <c r="V178" s="4769"/>
      <c r="W178" s="4770">
        <f>+W180</f>
        <v>0</v>
      </c>
      <c r="X178" s="4770"/>
      <c r="Y178" s="4770"/>
      <c r="Z178" s="4770"/>
      <c r="AA178" s="4770"/>
      <c r="AB178" s="4770"/>
      <c r="AC178" s="4770"/>
      <c r="AD178" s="4770">
        <f>+AD180</f>
        <v>0</v>
      </c>
      <c r="AE178" s="4770"/>
      <c r="AF178" s="4770"/>
      <c r="AG178" s="4770"/>
      <c r="AH178" s="4770"/>
      <c r="AI178" s="4770"/>
      <c r="AJ178" s="4770"/>
      <c r="AK178" s="4771"/>
      <c r="AL178" s="4771"/>
      <c r="AM178" s="4771"/>
      <c r="AN178" s="4771"/>
    </row>
    <row r="179" spans="1:40" ht="27" hidden="1" customHeight="1">
      <c r="A179" s="2959"/>
      <c r="B179" s="2959"/>
      <c r="C179" s="2959"/>
      <c r="D179" s="2959"/>
      <c r="E179" s="4749">
        <v>1</v>
      </c>
      <c r="F179" s="4750"/>
      <c r="G179" s="4751"/>
      <c r="H179" s="4734"/>
      <c r="I179" s="4735"/>
      <c r="J179" s="4735"/>
      <c r="K179" s="4735"/>
      <c r="L179" s="4735"/>
      <c r="M179" s="4735"/>
      <c r="N179" s="4736"/>
      <c r="O179" s="4755" t="s">
        <v>138</v>
      </c>
      <c r="P179" s="4756"/>
      <c r="Q179" s="4756"/>
      <c r="R179" s="4756"/>
      <c r="S179" s="4756"/>
      <c r="T179" s="4756"/>
      <c r="U179" s="4756"/>
      <c r="V179" s="4757"/>
      <c r="W179" s="4764"/>
      <c r="X179" s="4765"/>
      <c r="Y179" s="4765"/>
      <c r="Z179" s="4765"/>
      <c r="AA179" s="4765"/>
      <c r="AB179" s="4765"/>
      <c r="AC179" s="4766"/>
      <c r="AD179" s="4761"/>
      <c r="AE179" s="4762"/>
      <c r="AF179" s="4762"/>
      <c r="AG179" s="4762"/>
      <c r="AH179" s="4762"/>
      <c r="AI179" s="4762"/>
      <c r="AJ179" s="4763"/>
      <c r="AK179" s="4740"/>
      <c r="AL179" s="4741"/>
      <c r="AM179" s="4741"/>
      <c r="AN179" s="4742"/>
    </row>
    <row r="180" spans="1:40" ht="27" hidden="1" customHeight="1">
      <c r="A180" s="2959"/>
      <c r="B180" s="2959"/>
      <c r="C180" s="2959"/>
      <c r="D180" s="2959"/>
      <c r="E180" s="4749">
        <v>1</v>
      </c>
      <c r="F180" s="4750"/>
      <c r="G180" s="4751"/>
      <c r="H180" s="4752">
        <v>4</v>
      </c>
      <c r="I180" s="4753"/>
      <c r="J180" s="4753"/>
      <c r="K180" s="4753"/>
      <c r="L180" s="4753"/>
      <c r="M180" s="4753"/>
      <c r="N180" s="4754"/>
      <c r="O180" s="4755" t="s">
        <v>168</v>
      </c>
      <c r="P180" s="4756"/>
      <c r="Q180" s="4756"/>
      <c r="R180" s="4756"/>
      <c r="S180" s="4756"/>
      <c r="T180" s="4756"/>
      <c r="U180" s="4756"/>
      <c r="V180" s="4757"/>
      <c r="W180" s="4752">
        <f>+SUMIF($AM$12:$AM$169,O180,$AK$12:$AK$169)</f>
        <v>0</v>
      </c>
      <c r="X180" s="4753"/>
      <c r="Y180" s="4753"/>
      <c r="Z180" s="4753"/>
      <c r="AA180" s="4753"/>
      <c r="AB180" s="4753"/>
      <c r="AC180" s="4754"/>
      <c r="AD180" s="4758">
        <f>+SUMIF(AM12:AM169,O180,AL12:AL169)</f>
        <v>0</v>
      </c>
      <c r="AE180" s="4759"/>
      <c r="AF180" s="4759"/>
      <c r="AG180" s="4759"/>
      <c r="AH180" s="4759"/>
      <c r="AI180" s="4759"/>
      <c r="AJ180" s="4760"/>
      <c r="AK180" s="4740"/>
      <c r="AL180" s="4741"/>
      <c r="AM180" s="4741"/>
      <c r="AN180" s="4742"/>
    </row>
    <row r="181" spans="1:40" ht="27" customHeight="1">
      <c r="A181" s="2959"/>
      <c r="B181" s="2959"/>
      <c r="C181" s="2959"/>
      <c r="D181" s="2959"/>
      <c r="E181" s="4743" t="s">
        <v>434</v>
      </c>
      <c r="F181" s="4744"/>
      <c r="G181" s="4745"/>
      <c r="H181" s="4764">
        <f>+H174+H175</f>
        <v>154</v>
      </c>
      <c r="I181" s="4765"/>
      <c r="J181" s="4765"/>
      <c r="K181" s="4765"/>
      <c r="L181" s="4765"/>
      <c r="M181" s="4765"/>
      <c r="N181" s="4766"/>
      <c r="O181" s="4734"/>
      <c r="P181" s="4735"/>
      <c r="Q181" s="4735"/>
      <c r="R181" s="4735"/>
      <c r="S181" s="4735"/>
      <c r="T181" s="4735"/>
      <c r="U181" s="4735"/>
      <c r="V181" s="4736"/>
      <c r="W181" s="4764">
        <f>+W178+W173</f>
        <v>14246</v>
      </c>
      <c r="X181" s="4765"/>
      <c r="Y181" s="4765"/>
      <c r="Z181" s="4765"/>
      <c r="AA181" s="4765"/>
      <c r="AB181" s="4765"/>
      <c r="AC181" s="4766"/>
      <c r="AD181" s="4761">
        <f ca="1">+AD178+AD173</f>
        <v>488.61670000000015</v>
      </c>
      <c r="AE181" s="4762"/>
      <c r="AF181" s="4762"/>
      <c r="AG181" s="4762"/>
      <c r="AH181" s="4762"/>
      <c r="AI181" s="4762"/>
      <c r="AJ181" s="4763"/>
      <c r="AK181" s="4740"/>
      <c r="AL181" s="4741"/>
      <c r="AM181" s="4741"/>
      <c r="AN181" s="4742"/>
    </row>
    <row r="182" spans="1:40" s="2947" customFormat="1">
      <c r="A182" s="2965"/>
      <c r="B182" s="2965"/>
      <c r="C182" s="2965"/>
      <c r="D182" s="2965"/>
      <c r="E182" s="2965"/>
      <c r="F182" s="2966"/>
      <c r="G182" s="2966"/>
      <c r="H182" s="2966"/>
      <c r="I182" s="2966"/>
      <c r="J182" s="2966"/>
      <c r="K182" s="2966"/>
      <c r="L182" s="2966"/>
      <c r="M182" s="2966"/>
      <c r="N182" s="2966"/>
      <c r="O182" s="2966"/>
      <c r="P182" s="2966"/>
      <c r="Q182" s="2966"/>
      <c r="R182" s="2966"/>
      <c r="S182" s="2966"/>
      <c r="T182" s="2966"/>
      <c r="U182" s="2966"/>
      <c r="V182" s="2966"/>
      <c r="W182" s="2966"/>
      <c r="X182" s="2966"/>
      <c r="Y182" s="2966"/>
      <c r="Z182" s="2966"/>
      <c r="AA182" s="2966"/>
      <c r="AB182" s="2966"/>
      <c r="AC182" s="2966"/>
      <c r="AE182" s="2977"/>
      <c r="AF182" s="2977"/>
      <c r="AG182" s="2977"/>
      <c r="AH182" s="2977"/>
      <c r="AI182" s="2977"/>
      <c r="AJ182" s="2977"/>
      <c r="AK182" s="2978" t="s">
        <v>1928</v>
      </c>
      <c r="AL182" s="2977"/>
      <c r="AM182" s="2977"/>
      <c r="AN182" s="2977"/>
    </row>
    <row r="183" spans="1:40">
      <c r="A183" s="4767" t="s">
        <v>84</v>
      </c>
      <c r="B183" s="4767"/>
      <c r="C183" s="4767"/>
      <c r="D183" s="4767"/>
      <c r="E183" s="4767"/>
      <c r="F183" s="4767"/>
      <c r="G183" s="2967"/>
      <c r="H183" s="4767" t="s">
        <v>1873</v>
      </c>
      <c r="I183" s="4767"/>
      <c r="J183" s="4767"/>
      <c r="K183" s="4767"/>
      <c r="L183" s="4767"/>
      <c r="M183" s="4767"/>
      <c r="N183" s="4767"/>
      <c r="O183" s="4767"/>
      <c r="P183" s="2968"/>
      <c r="Q183" s="4767" t="s">
        <v>20</v>
      </c>
      <c r="R183" s="4767"/>
      <c r="S183" s="4767"/>
      <c r="T183" s="4767"/>
      <c r="U183" s="4767"/>
      <c r="V183" s="4767"/>
      <c r="W183" s="4767"/>
      <c r="X183" s="4767"/>
      <c r="Y183" s="4767" t="s">
        <v>1874</v>
      </c>
      <c r="Z183" s="4767"/>
      <c r="AA183" s="4767"/>
      <c r="AB183" s="4767"/>
      <c r="AC183" s="4767"/>
      <c r="AD183" s="4767"/>
      <c r="AE183" s="4767"/>
      <c r="AF183" s="4776" t="s">
        <v>1875</v>
      </c>
      <c r="AG183" s="4776"/>
      <c r="AH183" s="4776"/>
      <c r="AI183" s="4776"/>
      <c r="AJ183" s="4776"/>
      <c r="AK183" s="4767" t="s">
        <v>1876</v>
      </c>
      <c r="AL183" s="4767"/>
      <c r="AM183" s="4767"/>
      <c r="AN183" s="4767"/>
    </row>
    <row r="184" spans="1:40">
      <c r="A184" s="2949"/>
      <c r="B184" s="2949"/>
      <c r="C184" s="2947"/>
      <c r="D184" s="2947"/>
      <c r="E184" s="2947"/>
      <c r="F184" s="2947"/>
      <c r="G184" s="2947"/>
      <c r="H184" s="2947"/>
      <c r="I184" s="2947"/>
      <c r="J184" s="2947"/>
      <c r="K184" s="2947"/>
      <c r="L184" s="2947"/>
      <c r="M184" s="2947"/>
      <c r="N184" s="2947"/>
      <c r="O184" s="2947"/>
      <c r="P184" s="2947"/>
      <c r="Q184" s="2947"/>
      <c r="R184" s="2947"/>
      <c r="S184" s="2947"/>
      <c r="T184" s="2947"/>
      <c r="U184" s="2947"/>
      <c r="V184" s="2947"/>
      <c r="W184" s="2947"/>
      <c r="X184" s="2947"/>
      <c r="Y184" s="2947"/>
      <c r="Z184" s="2947"/>
      <c r="AA184" s="2947"/>
      <c r="AB184" s="2947"/>
      <c r="AC184" s="2947"/>
      <c r="AD184" s="2948"/>
      <c r="AE184" s="2947"/>
      <c r="AF184" s="2947"/>
      <c r="AG184" s="2947"/>
      <c r="AH184" s="2947"/>
      <c r="AI184" s="2947"/>
      <c r="AJ184" s="2947"/>
      <c r="AK184" s="2947"/>
      <c r="AL184" s="2949"/>
      <c r="AM184" s="2950"/>
      <c r="AN184" s="2947"/>
    </row>
    <row r="185" spans="1:40">
      <c r="A185" s="2949"/>
      <c r="B185" s="2949"/>
      <c r="C185" s="2947"/>
      <c r="D185" s="2947"/>
      <c r="E185" s="2947"/>
      <c r="F185" s="2947"/>
      <c r="G185" s="2947"/>
      <c r="H185" s="2947"/>
      <c r="I185" s="2947"/>
      <c r="J185" s="2947"/>
      <c r="K185" s="2947"/>
      <c r="L185" s="2947"/>
      <c r="M185" s="2947"/>
      <c r="N185" s="2947"/>
      <c r="O185" s="2947"/>
      <c r="P185" s="2947"/>
      <c r="Q185" s="2947"/>
      <c r="R185" s="2947"/>
      <c r="S185" s="2947"/>
      <c r="T185" s="2947"/>
      <c r="U185" s="2947"/>
      <c r="V185" s="2947"/>
      <c r="W185" s="2947"/>
      <c r="X185" s="2947"/>
      <c r="Y185" s="2947"/>
      <c r="Z185" s="2947"/>
      <c r="AA185" s="2947"/>
      <c r="AB185" s="2947"/>
      <c r="AC185" s="2947"/>
      <c r="AD185" s="2948"/>
      <c r="AE185" s="2947"/>
      <c r="AF185" s="2947"/>
      <c r="AG185" s="2947"/>
      <c r="AH185" s="2947"/>
      <c r="AI185" s="2947"/>
      <c r="AJ185" s="2947"/>
      <c r="AK185" s="2947"/>
      <c r="AL185" s="2949"/>
      <c r="AM185" s="2950"/>
      <c r="AN185" s="2947"/>
    </row>
    <row r="186" spans="1:40">
      <c r="A186" s="2949"/>
      <c r="B186" s="2949"/>
      <c r="C186" s="2947"/>
      <c r="D186" s="2947"/>
      <c r="E186" s="2947"/>
      <c r="F186" s="2947"/>
      <c r="G186" s="2947"/>
      <c r="H186" s="2947"/>
      <c r="I186" s="2947"/>
      <c r="J186" s="2947"/>
      <c r="K186" s="2947"/>
      <c r="L186" s="2947"/>
      <c r="M186" s="2947"/>
      <c r="N186" s="2947"/>
      <c r="O186" s="2947"/>
      <c r="P186" s="2947"/>
      <c r="Q186" s="2947"/>
      <c r="R186" s="2947"/>
      <c r="S186" s="2947"/>
      <c r="T186" s="2947"/>
      <c r="U186" s="2947"/>
      <c r="V186" s="2947"/>
      <c r="W186" s="2947"/>
      <c r="X186" s="2947"/>
      <c r="Y186" s="2947"/>
      <c r="Z186" s="2947"/>
      <c r="AA186" s="2947"/>
      <c r="AB186" s="2947"/>
      <c r="AC186" s="2947"/>
      <c r="AD186" s="2948"/>
      <c r="AE186" s="2947"/>
      <c r="AF186" s="2947"/>
      <c r="AG186" s="2947"/>
      <c r="AH186" s="2947"/>
      <c r="AI186" s="2947"/>
      <c r="AJ186" s="2947"/>
      <c r="AK186" s="2969"/>
      <c r="AL186" s="2949"/>
      <c r="AM186" s="2970"/>
      <c r="AN186" s="2947"/>
    </row>
    <row r="187" spans="1:40">
      <c r="A187" s="2949"/>
      <c r="B187" s="2949"/>
      <c r="C187" s="2947"/>
      <c r="D187" s="2947"/>
      <c r="E187" s="2947"/>
      <c r="F187" s="2947"/>
      <c r="G187" s="2947"/>
      <c r="H187" s="2947"/>
      <c r="I187" s="2947"/>
      <c r="J187" s="2947"/>
      <c r="K187" s="2947"/>
      <c r="L187" s="2947"/>
      <c r="M187" s="2947"/>
      <c r="N187" s="2947"/>
      <c r="O187" s="2947"/>
      <c r="P187" s="2947"/>
      <c r="Q187" s="2947"/>
      <c r="R187" s="2947"/>
      <c r="S187" s="2947"/>
      <c r="T187" s="2947"/>
      <c r="U187" s="2947"/>
      <c r="V187" s="2947"/>
      <c r="W187" s="2947"/>
      <c r="X187" s="2947"/>
      <c r="Y187" s="2947"/>
      <c r="Z187" s="2947"/>
      <c r="AA187" s="2947"/>
      <c r="AB187" s="2947"/>
      <c r="AC187" s="2947"/>
      <c r="AD187" s="2948"/>
      <c r="AE187" s="2947"/>
      <c r="AF187" s="2947"/>
      <c r="AG187" s="2947"/>
      <c r="AH187" s="2947"/>
      <c r="AI187" s="2947"/>
      <c r="AJ187" s="2971"/>
      <c r="AK187" s="2947"/>
      <c r="AL187" s="2949"/>
      <c r="AM187" s="2972"/>
      <c r="AN187" s="2947"/>
    </row>
    <row r="188" spans="1:40">
      <c r="A188" s="2949"/>
      <c r="B188" s="2949"/>
      <c r="C188" s="2947"/>
      <c r="D188" s="2947"/>
      <c r="E188" s="2947"/>
      <c r="F188" s="2947"/>
      <c r="G188" s="2947"/>
      <c r="H188" s="2947"/>
      <c r="I188" s="2947"/>
      <c r="J188" s="2947"/>
      <c r="K188" s="2947"/>
      <c r="L188" s="2947"/>
      <c r="M188" s="2947"/>
      <c r="N188" s="2947"/>
      <c r="O188" s="2947"/>
      <c r="P188" s="2947"/>
      <c r="Q188" s="2947"/>
      <c r="R188" s="2947"/>
      <c r="S188" s="2947"/>
      <c r="T188" s="2947"/>
      <c r="U188" s="2947"/>
      <c r="V188" s="2947"/>
      <c r="W188" s="2947"/>
      <c r="X188" s="2947"/>
      <c r="Y188" s="2947"/>
      <c r="Z188" s="2947"/>
      <c r="AA188" s="2947"/>
      <c r="AB188" s="2947"/>
      <c r="AC188" s="2947"/>
      <c r="AD188" s="2948"/>
      <c r="AE188" s="2947"/>
      <c r="AF188" s="2947"/>
      <c r="AG188" s="2947"/>
      <c r="AH188" s="2947"/>
      <c r="AI188" s="2947"/>
      <c r="AJ188" s="2973"/>
      <c r="AK188" s="2974"/>
      <c r="AL188" s="2949"/>
      <c r="AM188" s="2950"/>
      <c r="AN188" s="2947"/>
    </row>
    <row r="189" spans="1:40">
      <c r="A189" s="2949"/>
      <c r="B189" s="2949"/>
      <c r="C189" s="2947"/>
      <c r="D189" s="2947"/>
      <c r="E189" s="2947"/>
      <c r="F189" s="2947"/>
      <c r="G189" s="2947"/>
      <c r="H189" s="2947"/>
      <c r="I189" s="2947"/>
      <c r="J189" s="2947"/>
      <c r="K189" s="2947"/>
      <c r="L189" s="2947"/>
      <c r="M189" s="2947"/>
      <c r="N189" s="2947"/>
      <c r="O189" s="2947"/>
      <c r="P189" s="2947"/>
      <c r="Q189" s="2947"/>
      <c r="R189" s="2947"/>
      <c r="S189" s="2947"/>
      <c r="T189" s="2947"/>
      <c r="U189" s="2947"/>
      <c r="V189" s="2947"/>
      <c r="W189" s="2947"/>
      <c r="X189" s="2947"/>
      <c r="Y189" s="2947"/>
      <c r="Z189" s="2947"/>
      <c r="AA189" s="2947"/>
      <c r="AB189" s="2947"/>
      <c r="AC189" s="2947"/>
      <c r="AD189" s="2948"/>
      <c r="AE189" s="2947"/>
      <c r="AF189" s="2947"/>
      <c r="AG189" s="2947"/>
      <c r="AH189" s="2947"/>
      <c r="AI189" s="2947"/>
      <c r="AJ189" s="2947"/>
      <c r="AK189" s="2975"/>
      <c r="AL189" s="2949"/>
      <c r="AM189" s="2976"/>
      <c r="AN189" s="2947"/>
    </row>
    <row r="190" spans="1:40">
      <c r="A190" s="2949"/>
      <c r="B190" s="2949"/>
      <c r="C190" s="2947"/>
      <c r="D190" s="2947"/>
      <c r="E190" s="2947"/>
      <c r="F190" s="2947"/>
      <c r="G190" s="2947"/>
      <c r="H190" s="2947"/>
      <c r="I190" s="2947"/>
      <c r="J190" s="2947"/>
      <c r="K190" s="2947"/>
      <c r="L190" s="2947"/>
      <c r="M190" s="2947"/>
      <c r="N190" s="2947"/>
      <c r="O190" s="2947"/>
      <c r="P190" s="2947"/>
      <c r="Q190" s="2947"/>
      <c r="R190" s="2947"/>
      <c r="S190" s="2947"/>
      <c r="T190" s="2947"/>
      <c r="U190" s="2947"/>
      <c r="V190" s="2947"/>
      <c r="W190" s="2947"/>
      <c r="X190" s="2947"/>
      <c r="Y190" s="2947"/>
      <c r="Z190" s="2947"/>
      <c r="AA190" s="2947"/>
      <c r="AB190" s="2947"/>
      <c r="AC190" s="2947"/>
      <c r="AD190" s="2948"/>
      <c r="AE190" s="2947"/>
      <c r="AF190" s="2947"/>
      <c r="AG190" s="2947"/>
      <c r="AH190" s="2947"/>
      <c r="AI190" s="2947"/>
      <c r="AJ190" s="2947"/>
      <c r="AK190" s="2947"/>
      <c r="AL190" s="2949"/>
      <c r="AM190" s="2950"/>
      <c r="AN190" s="2947"/>
    </row>
    <row r="191" spans="1:40" hidden="1">
      <c r="A191" s="2949"/>
      <c r="B191" s="2949"/>
      <c r="C191" s="2947"/>
      <c r="D191" s="2947"/>
      <c r="E191" s="2947"/>
      <c r="F191" s="2947"/>
      <c r="G191" s="2947"/>
      <c r="H191" s="2947"/>
      <c r="I191" s="4767" t="s">
        <v>1372</v>
      </c>
      <c r="J191" s="4767"/>
      <c r="K191" s="4767"/>
      <c r="L191" s="4767"/>
      <c r="M191" s="4767"/>
      <c r="N191" s="4767"/>
      <c r="O191" s="2968"/>
      <c r="P191" s="2968"/>
      <c r="Q191" s="4767" t="s">
        <v>1877</v>
      </c>
      <c r="R191" s="4767"/>
      <c r="S191" s="4767"/>
      <c r="T191" s="4767"/>
      <c r="U191" s="4767"/>
      <c r="V191" s="4767"/>
      <c r="W191" s="4767"/>
      <c r="X191" s="4767" t="s">
        <v>1864</v>
      </c>
      <c r="Y191" s="4767"/>
      <c r="Z191" s="4767"/>
      <c r="AA191" s="4767"/>
      <c r="AB191" s="4767"/>
      <c r="AC191" s="4767"/>
      <c r="AD191" s="4767"/>
      <c r="AE191" s="4767"/>
      <c r="AF191" s="4767"/>
      <c r="AG191" s="4767" t="s">
        <v>1878</v>
      </c>
      <c r="AH191" s="4767"/>
      <c r="AI191" s="4767"/>
      <c r="AJ191" s="4767"/>
      <c r="AK191" s="4767" t="s">
        <v>1879</v>
      </c>
      <c r="AL191" s="4767"/>
      <c r="AM191" s="4767"/>
      <c r="AN191" s="4767"/>
    </row>
    <row r="192" spans="1:40">
      <c r="A192" s="2949"/>
      <c r="B192" s="2949"/>
      <c r="C192" s="2947"/>
      <c r="D192" s="2947"/>
      <c r="E192" s="2947"/>
      <c r="F192" s="2947"/>
      <c r="G192" s="2947"/>
      <c r="H192" s="2947"/>
      <c r="I192" s="2947"/>
      <c r="J192" s="2947"/>
      <c r="K192" s="2947"/>
      <c r="L192" s="2947"/>
      <c r="M192" s="2947"/>
      <c r="N192" s="2947"/>
      <c r="O192" s="2947"/>
      <c r="P192" s="2947"/>
      <c r="Q192" s="2947"/>
      <c r="R192" s="2947"/>
      <c r="S192" s="2947"/>
      <c r="T192" s="2947"/>
      <c r="U192" s="2947"/>
      <c r="V192" s="2947"/>
      <c r="W192" s="2947"/>
      <c r="X192" s="2947"/>
      <c r="Y192" s="2947"/>
      <c r="Z192" s="2947"/>
      <c r="AA192" s="2947"/>
      <c r="AB192" s="2947"/>
      <c r="AC192" s="2947"/>
      <c r="AD192" s="2948"/>
      <c r="AE192" s="2947"/>
      <c r="AF192" s="2947"/>
      <c r="AG192" s="2947"/>
      <c r="AH192" s="2947"/>
      <c r="AI192" s="2947"/>
      <c r="AJ192" s="2947"/>
      <c r="AK192" s="2947"/>
      <c r="AL192" s="2949"/>
      <c r="AM192" s="2950"/>
      <c r="AN192" s="2947"/>
    </row>
  </sheetData>
  <mergeCells count="92">
    <mergeCell ref="AK191:AN191"/>
    <mergeCell ref="B11:C11"/>
    <mergeCell ref="B41:C41"/>
    <mergeCell ref="B58:C58"/>
    <mergeCell ref="B119:C119"/>
    <mergeCell ref="B142:C142"/>
    <mergeCell ref="Y183:AE183"/>
    <mergeCell ref="AF183:AJ183"/>
    <mergeCell ref="I191:N191"/>
    <mergeCell ref="Q191:W191"/>
    <mergeCell ref="X191:AF191"/>
    <mergeCell ref="AG191:AJ191"/>
    <mergeCell ref="AK183:AN183"/>
    <mergeCell ref="AK181:AN181"/>
    <mergeCell ref="E180:G180"/>
    <mergeCell ref="H180:N180"/>
    <mergeCell ref="W180:AC180"/>
    <mergeCell ref="AD180:AJ180"/>
    <mergeCell ref="AK180:AN180"/>
    <mergeCell ref="E181:G181"/>
    <mergeCell ref="H181:N181"/>
    <mergeCell ref="O181:V181"/>
    <mergeCell ref="W181:AC181"/>
    <mergeCell ref="AD181:AJ181"/>
    <mergeCell ref="A183:F183"/>
    <mergeCell ref="H183:O183"/>
    <mergeCell ref="Q183:X183"/>
    <mergeCell ref="AK179:AN179"/>
    <mergeCell ref="E178:G178"/>
    <mergeCell ref="H178:N178"/>
    <mergeCell ref="O178:V178"/>
    <mergeCell ref="W178:AC178"/>
    <mergeCell ref="AD178:AJ178"/>
    <mergeCell ref="AK178:AN178"/>
    <mergeCell ref="E179:G179"/>
    <mergeCell ref="H179:N179"/>
    <mergeCell ref="O179:V179"/>
    <mergeCell ref="W179:AC179"/>
    <mergeCell ref="AD179:AJ179"/>
    <mergeCell ref="O180:V180"/>
    <mergeCell ref="AK177:AN177"/>
    <mergeCell ref="E176:G176"/>
    <mergeCell ref="H176:N176"/>
    <mergeCell ref="O176:V176"/>
    <mergeCell ref="W176:AC176"/>
    <mergeCell ref="AD176:AJ176"/>
    <mergeCell ref="AK176:AN176"/>
    <mergeCell ref="E177:G177"/>
    <mergeCell ref="H177:N177"/>
    <mergeCell ref="O177:V177"/>
    <mergeCell ref="W177:AC177"/>
    <mergeCell ref="AD177:AJ177"/>
    <mergeCell ref="AK175:AN175"/>
    <mergeCell ref="E174:G174"/>
    <mergeCell ref="H174:N174"/>
    <mergeCell ref="O174:V174"/>
    <mergeCell ref="W174:AC174"/>
    <mergeCell ref="AD174:AJ174"/>
    <mergeCell ref="AK174:AN174"/>
    <mergeCell ref="E175:G175"/>
    <mergeCell ref="H175:N175"/>
    <mergeCell ref="O175:V175"/>
    <mergeCell ref="W175:AC175"/>
    <mergeCell ref="AD175:AJ175"/>
    <mergeCell ref="W172:AC172"/>
    <mergeCell ref="AD172:AJ172"/>
    <mergeCell ref="AK172:AN172"/>
    <mergeCell ref="E173:G173"/>
    <mergeCell ref="H173:N173"/>
    <mergeCell ref="O173:V173"/>
    <mergeCell ref="W173:AC173"/>
    <mergeCell ref="AD173:AJ173"/>
    <mergeCell ref="AK173:AN173"/>
    <mergeCell ref="E172:G172"/>
    <mergeCell ref="H172:N172"/>
    <mergeCell ref="O172:V172"/>
    <mergeCell ref="AL9:AL10"/>
    <mergeCell ref="AM9:AM10"/>
    <mergeCell ref="AN9:AN10"/>
    <mergeCell ref="A9:A10"/>
    <mergeCell ref="C9:C10"/>
    <mergeCell ref="D9:D10"/>
    <mergeCell ref="E9:E10"/>
    <mergeCell ref="F9:AJ9"/>
    <mergeCell ref="AK9:AK10"/>
    <mergeCell ref="B9:B10"/>
    <mergeCell ref="A7:AN7"/>
    <mergeCell ref="A1:AN1"/>
    <mergeCell ref="A2:AN2"/>
    <mergeCell ref="A3:AN3"/>
    <mergeCell ref="A4:I4"/>
    <mergeCell ref="A5:I5"/>
  </mergeCells>
  <pageMargins left="0.19685039370078741" right="0.19685039370078741" top="0.39370078740157483" bottom="0.47244094488188981" header="0.31496062992125984" footer="0.31496062992125984"/>
  <pageSetup paperSize="9" scale="48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opLeftCell="A7" workbookViewId="0">
      <selection activeCell="F28" sqref="F28"/>
    </sheetView>
  </sheetViews>
  <sheetFormatPr defaultColWidth="9.140625" defaultRowHeight="16.5"/>
  <cols>
    <col min="1" max="1" width="5" style="2481" customWidth="1"/>
    <col min="2" max="2" width="26.85546875" style="2481" customWidth="1"/>
    <col min="3" max="3" width="27.85546875" style="2481" customWidth="1"/>
    <col min="4" max="4" width="24.5703125" style="2481" customWidth="1"/>
    <col min="5" max="5" width="20.85546875" style="2481" customWidth="1"/>
    <col min="6" max="6" width="13.42578125" style="2481" customWidth="1"/>
    <col min="7" max="7" width="8.42578125" style="2481" customWidth="1"/>
    <col min="8" max="8" width="12.85546875" style="2481" customWidth="1"/>
    <col min="9" max="9" width="13.42578125" style="2481" customWidth="1"/>
    <col min="10" max="11" width="7.85546875" style="2481" customWidth="1"/>
    <col min="12" max="12" width="7.28515625" style="2481" customWidth="1"/>
    <col min="13" max="13" width="7.42578125" style="2481" customWidth="1"/>
    <col min="14" max="14" width="6.28515625" style="2481" customWidth="1"/>
    <col min="15" max="15" width="5.7109375" style="2481" customWidth="1"/>
    <col min="16" max="16" width="6" style="2481" customWidth="1"/>
    <col min="17" max="17" width="4.85546875" style="2481" customWidth="1"/>
    <col min="18" max="18" width="6" style="2481" customWidth="1"/>
    <col min="19" max="19" width="6.5703125" style="2481" customWidth="1"/>
    <col min="20" max="20" width="8.140625" style="2481" customWidth="1"/>
    <col min="21" max="21" width="6" style="2481" customWidth="1"/>
    <col min="22" max="22" width="8.140625" style="2481" customWidth="1"/>
    <col min="23" max="23" width="15" style="2481" bestFit="1" customWidth="1"/>
    <col min="24" max="24" width="17.85546875" style="2481" bestFit="1" customWidth="1"/>
    <col min="25" max="25" width="12.85546875" style="2481" bestFit="1" customWidth="1"/>
    <col min="26" max="16384" width="9.140625" style="2481"/>
  </cols>
  <sheetData>
    <row r="1" spans="1:25">
      <c r="A1" s="4174" t="s">
        <v>23</v>
      </c>
      <c r="B1" s="4174"/>
      <c r="C1" s="4174"/>
      <c r="D1" s="4174"/>
      <c r="E1" s="4174"/>
      <c r="F1" s="4174"/>
      <c r="G1" s="2482"/>
      <c r="H1" s="2482"/>
      <c r="I1" s="2482"/>
      <c r="J1" s="2483"/>
      <c r="L1" s="2482"/>
      <c r="M1" s="2482"/>
      <c r="N1" s="2482"/>
      <c r="O1" s="2482"/>
      <c r="P1" s="2482"/>
      <c r="Q1" s="2482"/>
      <c r="R1" s="2482"/>
      <c r="S1" s="2482"/>
      <c r="T1" s="2482"/>
      <c r="U1" s="2482"/>
      <c r="V1" s="2482"/>
    </row>
    <row r="2" spans="1:25">
      <c r="A2" s="4174" t="s">
        <v>170</v>
      </c>
      <c r="B2" s="4174"/>
      <c r="C2" s="4174"/>
      <c r="D2" s="4174"/>
      <c r="E2" s="4174"/>
      <c r="F2" s="4174"/>
      <c r="G2" s="2484"/>
      <c r="H2" s="2484"/>
      <c r="I2" s="2484"/>
      <c r="J2" s="2484"/>
      <c r="K2" s="2485"/>
      <c r="M2" s="2484"/>
      <c r="N2" s="2484"/>
      <c r="O2" s="2484"/>
      <c r="P2" s="2484"/>
      <c r="Q2" s="2484"/>
      <c r="R2" s="2484"/>
      <c r="S2" s="2484"/>
      <c r="T2" s="2484"/>
      <c r="U2" s="2484"/>
      <c r="V2" s="2485"/>
    </row>
    <row r="3" spans="1:25">
      <c r="A3" s="4175" t="s">
        <v>1580</v>
      </c>
      <c r="B3" s="4174"/>
      <c r="C3" s="4174"/>
      <c r="D3" s="4174"/>
      <c r="E3" s="4174"/>
      <c r="F3" s="4174"/>
      <c r="G3" s="2484"/>
      <c r="H3" s="2484"/>
      <c r="I3" s="2484"/>
      <c r="J3" s="2484"/>
      <c r="K3" s="2485"/>
      <c r="M3" s="2484"/>
      <c r="N3" s="2484"/>
      <c r="O3" s="2484"/>
      <c r="P3" s="2484"/>
      <c r="Q3" s="2484"/>
      <c r="R3" s="2484"/>
      <c r="S3" s="2484"/>
      <c r="T3" s="2484"/>
      <c r="U3" s="2484"/>
      <c r="V3" s="2485"/>
    </row>
    <row r="4" spans="1:25">
      <c r="A4" s="2480"/>
      <c r="B4" s="2480"/>
      <c r="C4" s="2480"/>
      <c r="D4" s="2480"/>
      <c r="E4" s="2480"/>
      <c r="F4" s="2486"/>
      <c r="G4" s="2487"/>
      <c r="H4" s="2487"/>
      <c r="I4" s="2487"/>
      <c r="J4" s="2488"/>
      <c r="K4" s="2489"/>
      <c r="L4" s="2490"/>
      <c r="M4" s="2491"/>
      <c r="N4" s="2491"/>
      <c r="O4" s="2491"/>
      <c r="P4" s="2491"/>
      <c r="Q4" s="2491"/>
      <c r="R4" s="2491"/>
      <c r="S4" s="2491"/>
      <c r="T4" s="2491"/>
      <c r="U4" s="2491"/>
      <c r="V4" s="2485"/>
      <c r="W4" s="2492">
        <f>1372+388</f>
        <v>1760</v>
      </c>
      <c r="X4" s="2481">
        <f>W4*30000</f>
        <v>52800000</v>
      </c>
      <c r="Y4" s="2481" t="e">
        <f>X4+#REF!+#REF!</f>
        <v>#REF!</v>
      </c>
    </row>
    <row r="5" spans="1:25">
      <c r="A5" s="4477" t="s">
        <v>922</v>
      </c>
      <c r="B5" s="4477"/>
      <c r="C5" s="4477"/>
      <c r="D5" s="83"/>
      <c r="E5" s="83"/>
      <c r="F5" s="2486"/>
      <c r="G5" s="2487"/>
      <c r="H5" s="2487"/>
      <c r="I5" s="2487"/>
      <c r="J5" s="2488"/>
      <c r="K5" s="2489"/>
      <c r="L5" s="2490"/>
      <c r="M5" s="2491"/>
      <c r="N5" s="2491"/>
      <c r="O5" s="2491"/>
      <c r="P5" s="2491"/>
      <c r="Q5" s="2491"/>
      <c r="R5" s="2491"/>
      <c r="S5" s="2491"/>
      <c r="T5" s="2491"/>
      <c r="U5" s="2491"/>
      <c r="V5" s="2485"/>
      <c r="W5" s="2492"/>
    </row>
    <row r="6" spans="1:25">
      <c r="A6" s="4171" t="s">
        <v>90</v>
      </c>
      <c r="B6" s="4171"/>
      <c r="C6" s="4171"/>
      <c r="D6" s="2486"/>
      <c r="E6" s="2486"/>
      <c r="F6" s="2486"/>
      <c r="G6" s="2487"/>
      <c r="H6" s="2487"/>
      <c r="I6" s="2487"/>
      <c r="J6" s="2488"/>
      <c r="K6" s="2489"/>
      <c r="L6" s="2490"/>
      <c r="M6" s="2491"/>
      <c r="N6" s="2491"/>
      <c r="O6" s="2491"/>
      <c r="P6" s="2491"/>
      <c r="Q6" s="2491"/>
      <c r="R6" s="2491"/>
      <c r="S6" s="2491"/>
      <c r="T6" s="2491"/>
      <c r="U6" s="2491"/>
      <c r="V6" s="2485"/>
      <c r="W6" s="2492"/>
    </row>
    <row r="7" spans="1:25">
      <c r="A7" s="3405"/>
      <c r="B7" s="3405"/>
      <c r="C7" s="3405"/>
      <c r="D7" s="2486"/>
      <c r="E7" s="2486"/>
      <c r="F7" s="2486"/>
      <c r="G7" s="2487"/>
      <c r="H7" s="2487"/>
      <c r="I7" s="2487"/>
      <c r="J7" s="2488"/>
      <c r="K7" s="2489"/>
      <c r="L7" s="2490"/>
      <c r="M7" s="2491"/>
      <c r="N7" s="2491"/>
      <c r="O7" s="2491"/>
      <c r="P7" s="2491"/>
      <c r="Q7" s="2491"/>
      <c r="R7" s="2491"/>
      <c r="S7" s="2491"/>
      <c r="T7" s="2491"/>
      <c r="U7" s="2491"/>
      <c r="V7" s="2485"/>
      <c r="W7" s="2492"/>
    </row>
    <row r="8" spans="1:25" ht="18.75">
      <c r="A8" s="4173" t="s">
        <v>2512</v>
      </c>
      <c r="B8" s="4088"/>
      <c r="C8" s="4088"/>
      <c r="D8" s="4088"/>
      <c r="E8" s="4088"/>
      <c r="F8" s="4088"/>
      <c r="G8" s="2494"/>
      <c r="H8" s="2494"/>
      <c r="I8" s="2494"/>
      <c r="J8" s="2494"/>
      <c r="K8" s="2495"/>
      <c r="L8" s="2495"/>
      <c r="M8" s="2495"/>
      <c r="N8" s="2495"/>
      <c r="O8" s="2495"/>
      <c r="P8" s="2495"/>
      <c r="Q8" s="2495"/>
      <c r="R8" s="2495"/>
      <c r="S8" s="2495"/>
      <c r="T8" s="2495"/>
      <c r="U8" s="2495"/>
      <c r="V8" s="2495"/>
    </row>
    <row r="9" spans="1:25">
      <c r="A9" s="2496"/>
      <c r="B9" s="2116"/>
      <c r="C9" s="2496"/>
      <c r="D9" s="2496"/>
      <c r="E9" s="2496"/>
      <c r="F9" s="3408"/>
      <c r="G9" s="2497"/>
      <c r="H9" s="2498"/>
      <c r="I9" s="2499"/>
    </row>
    <row r="10" spans="1:25" ht="16.5" customHeight="1">
      <c r="A10" s="4154" t="s">
        <v>0</v>
      </c>
      <c r="B10" s="4154" t="s">
        <v>24</v>
      </c>
      <c r="C10" s="4144" t="s">
        <v>2017</v>
      </c>
      <c r="D10" s="4144" t="s">
        <v>4</v>
      </c>
      <c r="E10" s="4179" t="s">
        <v>1585</v>
      </c>
      <c r="F10" s="4154" t="s">
        <v>92</v>
      </c>
      <c r="G10" s="2500"/>
      <c r="H10" s="2501"/>
      <c r="I10" s="2502"/>
    </row>
    <row r="11" spans="1:25" ht="33" customHeight="1">
      <c r="A11" s="4154"/>
      <c r="B11" s="4154"/>
      <c r="C11" s="4144"/>
      <c r="D11" s="4154"/>
      <c r="E11" s="4179"/>
      <c r="F11" s="4154"/>
      <c r="G11" s="2503"/>
      <c r="H11" s="2501"/>
      <c r="I11" s="2502"/>
    </row>
    <row r="12" spans="1:25" ht="19.5" customHeight="1">
      <c r="A12" s="2504">
        <v>1</v>
      </c>
      <c r="B12" s="2505" t="s">
        <v>327</v>
      </c>
      <c r="C12" s="3416" t="s">
        <v>832</v>
      </c>
      <c r="D12" s="2507">
        <f>+VLOOKUP(B12,'Lương đội phó người Lào'!B14:H15,7,0)</f>
        <v>3982680.8659019805</v>
      </c>
      <c r="E12" s="2508">
        <f>IF(D12&gt;65000000,((D12-65000000)*25%+10685000),IF(D12&gt;25000000,((D12-25000000)*20%+2685000),IF(D12&gt;15000000,((D12-15000000)*15%+1185000),IF(D12&gt;5000000,(D12-5000000)*10%+185000,IF(D12&gt;1300000,(D12-1300000)*5%,0)))))</f>
        <v>134134.04329509902</v>
      </c>
      <c r="F12" s="3404"/>
      <c r="G12" s="2503"/>
      <c r="H12" s="2501"/>
      <c r="I12" s="2502"/>
    </row>
    <row r="13" spans="1:25" ht="19.5" customHeight="1">
      <c r="A13" s="2504">
        <v>2</v>
      </c>
      <c r="B13" s="2505" t="s">
        <v>437</v>
      </c>
      <c r="C13" s="3416" t="s">
        <v>832</v>
      </c>
      <c r="D13" s="2507">
        <f>+VLOOKUP(B13,'Lương đội phó người Lào'!B15:H16,7,0)</f>
        <v>4904648.9693430662</v>
      </c>
      <c r="E13" s="2508">
        <f>IF(D13&gt;65000000,((D13-65000000)*25%+10685000),IF(D13&gt;25000000,((D13-25000000)*20%+2685000),IF(D13&gt;15000000,((D13-15000000)*15%+1185000),IF(D13&gt;5000000,(D13-5000000)*10%+185000,IF(D13&gt;1300000,(D13-1300000)*5%,0)))))</f>
        <v>180232.44846715333</v>
      </c>
      <c r="F13" s="3404"/>
      <c r="G13" s="2503"/>
      <c r="H13" s="2505" t="str">
        <f>'[3]Bảng ĐP - BV '!M14</f>
        <v>x</v>
      </c>
      <c r="I13" s="2502"/>
    </row>
    <row r="14" spans="1:25" ht="19.5" customHeight="1">
      <c r="A14" s="2504">
        <v>3</v>
      </c>
      <c r="B14" s="2505" t="s">
        <v>1075</v>
      </c>
      <c r="C14" s="3416" t="s">
        <v>1104</v>
      </c>
      <c r="D14" s="2507">
        <f>+VLOOKUP(B14,'Trạm cán'!E16:K18,7,0)</f>
        <v>5873580</v>
      </c>
      <c r="E14" s="2508">
        <f t="shared" ref="E14:E17" si="0">IF(D14&gt;65000000,((D14-65000000)*25%+10685000),IF(D14&gt;25000000,((D14-25000000)*20%+2685000),IF(D14&gt;15000000,((D14-15000000)*15%+1185000),IF(D14&gt;5000000,(D14-5000000)*10%+185000,IF(D14&gt;1300000,(D14-1300000)*5%,0)))))</f>
        <v>272358</v>
      </c>
      <c r="F14" s="3404"/>
      <c r="G14" s="2503"/>
      <c r="H14" s="3414"/>
      <c r="I14" s="2502"/>
    </row>
    <row r="15" spans="1:25" ht="19.5" customHeight="1">
      <c r="A15" s="2504">
        <v>4</v>
      </c>
      <c r="B15" s="2505" t="s">
        <v>1102</v>
      </c>
      <c r="C15" s="3416" t="s">
        <v>1104</v>
      </c>
      <c r="D15" s="2507">
        <f>+VLOOKUP(B15,'Trạm cán'!E17:K19,7,0)</f>
        <v>6743740</v>
      </c>
      <c r="E15" s="2508">
        <f t="shared" si="0"/>
        <v>359374</v>
      </c>
      <c r="F15" s="3404"/>
      <c r="G15" s="2503"/>
      <c r="H15" s="3414">
        <v>962295</v>
      </c>
      <c r="I15" s="2502"/>
    </row>
    <row r="16" spans="1:25" ht="19.5" customHeight="1">
      <c r="A16" s="2504">
        <v>5</v>
      </c>
      <c r="B16" s="2505" t="s">
        <v>1280</v>
      </c>
      <c r="C16" s="3416" t="s">
        <v>1104</v>
      </c>
      <c r="D16" s="2507">
        <f>+VLOOKUP(B16,'Trạm cán'!E18:K20,7,0)</f>
        <v>5873580</v>
      </c>
      <c r="E16" s="2508">
        <f t="shared" si="0"/>
        <v>272358</v>
      </c>
      <c r="F16" s="3404"/>
      <c r="G16" s="2503"/>
      <c r="H16" s="3414"/>
      <c r="I16" s="2502"/>
    </row>
    <row r="17" spans="1:11" ht="19.5" customHeight="1">
      <c r="A17" s="2504">
        <v>6</v>
      </c>
      <c r="B17" s="2505" t="s">
        <v>1579</v>
      </c>
      <c r="C17" s="3416" t="s">
        <v>54</v>
      </c>
      <c r="D17" s="2507">
        <f>+VLOOKUP(B17,'Trạm cán'!E20:K20,7,0)</f>
        <v>2000000</v>
      </c>
      <c r="E17" s="2508">
        <f t="shared" si="0"/>
        <v>35000</v>
      </c>
      <c r="F17" s="3404"/>
      <c r="G17" s="2503"/>
      <c r="H17" s="3414"/>
      <c r="I17" s="2502"/>
    </row>
    <row r="18" spans="1:11" ht="19.5" customHeight="1">
      <c r="A18" s="4154" t="s">
        <v>61</v>
      </c>
      <c r="B18" s="4154"/>
      <c r="C18" s="3406"/>
      <c r="D18" s="3406">
        <f>SUM(D12:D17)</f>
        <v>29378229.835245047</v>
      </c>
      <c r="E18" s="3409">
        <f>SUM(E12:E17)</f>
        <v>1253456.4917622523</v>
      </c>
      <c r="F18" s="2504"/>
      <c r="G18" s="2503"/>
      <c r="H18" s="2511"/>
      <c r="I18" s="2512"/>
    </row>
    <row r="19" spans="1:11" ht="19.5" customHeight="1">
      <c r="A19" s="4181" t="s">
        <v>2513</v>
      </c>
      <c r="B19" s="4182"/>
      <c r="C19" s="4182"/>
      <c r="D19" s="4182"/>
      <c r="E19" s="4182"/>
      <c r="F19" s="4182"/>
    </row>
    <row r="20" spans="1:11">
      <c r="D20" s="4777" t="s">
        <v>2514</v>
      </c>
      <c r="E20" s="4777"/>
      <c r="F20" s="4777"/>
      <c r="G20" s="2513"/>
      <c r="H20" s="2513"/>
      <c r="I20" s="2513"/>
      <c r="J20" s="2513"/>
      <c r="K20" s="2513"/>
    </row>
    <row r="21" spans="1:11">
      <c r="A21" s="4180" t="s">
        <v>84</v>
      </c>
      <c r="B21" s="4180"/>
      <c r="C21" s="3418" t="s">
        <v>502</v>
      </c>
      <c r="D21" s="3418" t="s">
        <v>241</v>
      </c>
      <c r="E21" s="4778" t="s">
        <v>513</v>
      </c>
      <c r="F21" s="4778"/>
    </row>
    <row r="27" spans="1:11">
      <c r="D27" s="4180"/>
      <c r="E27" s="4180"/>
      <c r="F27" s="3407"/>
    </row>
  </sheetData>
  <mergeCells count="18">
    <mergeCell ref="A8:F8"/>
    <mergeCell ref="E21:F21"/>
    <mergeCell ref="A21:B21"/>
    <mergeCell ref="A1:F1"/>
    <mergeCell ref="A2:F2"/>
    <mergeCell ref="A3:F3"/>
    <mergeCell ref="A5:C5"/>
    <mergeCell ref="A6:C6"/>
    <mergeCell ref="A10:A11"/>
    <mergeCell ref="B10:B11"/>
    <mergeCell ref="C10:C11"/>
    <mergeCell ref="D10:D11"/>
    <mergeCell ref="E10:E11"/>
    <mergeCell ref="D27:E27"/>
    <mergeCell ref="F10:F11"/>
    <mergeCell ref="A18:B18"/>
    <mergeCell ref="A19:F19"/>
    <mergeCell ref="D20:F20"/>
  </mergeCells>
  <pageMargins left="0.19685039370078741" right="0.27559055118110237" top="0.52" bottom="0.54" header="0.31496062992125984" footer="0.31496062992125984"/>
  <pageSetup paperSize="9" scale="85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40"/>
  <sheetViews>
    <sheetView topLeftCell="A4" workbookViewId="0">
      <pane ySplit="8" topLeftCell="A30" activePane="bottomLeft" state="frozen"/>
      <selection activeCell="A4" sqref="A4"/>
      <selection pane="bottomLeft" activeCell="Z32" sqref="Z32:AA32"/>
    </sheetView>
  </sheetViews>
  <sheetFormatPr defaultRowHeight="15"/>
  <cols>
    <col min="1" max="1" width="4.85546875" style="1038" customWidth="1"/>
    <col min="2" max="2" width="10.28515625" style="1038" hidden="1" customWidth="1"/>
    <col min="3" max="3" width="21.85546875" style="1038" customWidth="1"/>
    <col min="4" max="4" width="22.5703125" style="1038" customWidth="1"/>
    <col min="5" max="8" width="4.42578125" style="1038" customWidth="1"/>
    <col min="9" max="9" width="4.42578125" style="1039" customWidth="1"/>
    <col min="10" max="10" width="5.28515625" style="1038" customWidth="1"/>
    <col min="11" max="16" width="4.42578125" style="1038" customWidth="1"/>
    <col min="17" max="17" width="5.42578125" style="1038" customWidth="1"/>
    <col min="18" max="32" width="4.42578125" style="1038" customWidth="1"/>
    <col min="33" max="33" width="4.5703125" style="1038" customWidth="1"/>
    <col min="34" max="34" width="4.140625" style="1038" customWidth="1"/>
    <col min="35" max="36" width="5.5703125" style="1038" customWidth="1"/>
    <col min="37" max="37" width="5.5703125" style="1038" hidden="1" customWidth="1"/>
    <col min="38" max="38" width="5.5703125" style="1038" customWidth="1"/>
    <col min="39" max="39" width="7.5703125" style="1038" customWidth="1"/>
    <col min="40" max="46" width="9.140625" style="1038" customWidth="1"/>
    <col min="47" max="258" width="9.140625" style="1038"/>
    <col min="259" max="259" width="10.42578125" style="1038" customWidth="1"/>
    <col min="260" max="260" width="27.42578125" style="1038" customWidth="1"/>
    <col min="261" max="291" width="4.85546875" style="1038" customWidth="1"/>
    <col min="292" max="292" width="10.5703125" style="1038" customWidth="1"/>
    <col min="293" max="302" width="0" style="1038" hidden="1" customWidth="1"/>
    <col min="303" max="514" width="9.140625" style="1038"/>
    <col min="515" max="515" width="10.42578125" style="1038" customWidth="1"/>
    <col min="516" max="516" width="27.42578125" style="1038" customWidth="1"/>
    <col min="517" max="547" width="4.85546875" style="1038" customWidth="1"/>
    <col min="548" max="548" width="10.5703125" style="1038" customWidth="1"/>
    <col min="549" max="558" width="0" style="1038" hidden="1" customWidth="1"/>
    <col min="559" max="770" width="9.140625" style="1038"/>
    <col min="771" max="771" width="10.42578125" style="1038" customWidth="1"/>
    <col min="772" max="772" width="27.42578125" style="1038" customWidth="1"/>
    <col min="773" max="803" width="4.85546875" style="1038" customWidth="1"/>
    <col min="804" max="804" width="10.5703125" style="1038" customWidth="1"/>
    <col min="805" max="814" width="0" style="1038" hidden="1" customWidth="1"/>
    <col min="815" max="1026" width="9.140625" style="1038"/>
    <col min="1027" max="1027" width="10.42578125" style="1038" customWidth="1"/>
    <col min="1028" max="1028" width="27.42578125" style="1038" customWidth="1"/>
    <col min="1029" max="1059" width="4.85546875" style="1038" customWidth="1"/>
    <col min="1060" max="1060" width="10.5703125" style="1038" customWidth="1"/>
    <col min="1061" max="1070" width="0" style="1038" hidden="1" customWidth="1"/>
    <col min="1071" max="1282" width="9.140625" style="1038"/>
    <col min="1283" max="1283" width="10.42578125" style="1038" customWidth="1"/>
    <col min="1284" max="1284" width="27.42578125" style="1038" customWidth="1"/>
    <col min="1285" max="1315" width="4.85546875" style="1038" customWidth="1"/>
    <col min="1316" max="1316" width="10.5703125" style="1038" customWidth="1"/>
    <col min="1317" max="1326" width="0" style="1038" hidden="1" customWidth="1"/>
    <col min="1327" max="1538" width="9.140625" style="1038"/>
    <col min="1539" max="1539" width="10.42578125" style="1038" customWidth="1"/>
    <col min="1540" max="1540" width="27.42578125" style="1038" customWidth="1"/>
    <col min="1541" max="1571" width="4.85546875" style="1038" customWidth="1"/>
    <col min="1572" max="1572" width="10.5703125" style="1038" customWidth="1"/>
    <col min="1573" max="1582" width="0" style="1038" hidden="1" customWidth="1"/>
    <col min="1583" max="1794" width="9.140625" style="1038"/>
    <col min="1795" max="1795" width="10.42578125" style="1038" customWidth="1"/>
    <col min="1796" max="1796" width="27.42578125" style="1038" customWidth="1"/>
    <col min="1797" max="1827" width="4.85546875" style="1038" customWidth="1"/>
    <col min="1828" max="1828" width="10.5703125" style="1038" customWidth="1"/>
    <col min="1829" max="1838" width="0" style="1038" hidden="1" customWidth="1"/>
    <col min="1839" max="2050" width="9.140625" style="1038"/>
    <col min="2051" max="2051" width="10.42578125" style="1038" customWidth="1"/>
    <col min="2052" max="2052" width="27.42578125" style="1038" customWidth="1"/>
    <col min="2053" max="2083" width="4.85546875" style="1038" customWidth="1"/>
    <col min="2084" max="2084" width="10.5703125" style="1038" customWidth="1"/>
    <col min="2085" max="2094" width="0" style="1038" hidden="1" customWidth="1"/>
    <col min="2095" max="2306" width="9.140625" style="1038"/>
    <col min="2307" max="2307" width="10.42578125" style="1038" customWidth="1"/>
    <col min="2308" max="2308" width="27.42578125" style="1038" customWidth="1"/>
    <col min="2309" max="2339" width="4.85546875" style="1038" customWidth="1"/>
    <col min="2340" max="2340" width="10.5703125" style="1038" customWidth="1"/>
    <col min="2341" max="2350" width="0" style="1038" hidden="1" customWidth="1"/>
    <col min="2351" max="2562" width="9.140625" style="1038"/>
    <col min="2563" max="2563" width="10.42578125" style="1038" customWidth="1"/>
    <col min="2564" max="2564" width="27.42578125" style="1038" customWidth="1"/>
    <col min="2565" max="2595" width="4.85546875" style="1038" customWidth="1"/>
    <col min="2596" max="2596" width="10.5703125" style="1038" customWidth="1"/>
    <col min="2597" max="2606" width="0" style="1038" hidden="1" customWidth="1"/>
    <col min="2607" max="2818" width="9.140625" style="1038"/>
    <col min="2819" max="2819" width="10.42578125" style="1038" customWidth="1"/>
    <col min="2820" max="2820" width="27.42578125" style="1038" customWidth="1"/>
    <col min="2821" max="2851" width="4.85546875" style="1038" customWidth="1"/>
    <col min="2852" max="2852" width="10.5703125" style="1038" customWidth="1"/>
    <col min="2853" max="2862" width="0" style="1038" hidden="1" customWidth="1"/>
    <col min="2863" max="3074" width="9.140625" style="1038"/>
    <col min="3075" max="3075" width="10.42578125" style="1038" customWidth="1"/>
    <col min="3076" max="3076" width="27.42578125" style="1038" customWidth="1"/>
    <col min="3077" max="3107" width="4.85546875" style="1038" customWidth="1"/>
    <col min="3108" max="3108" width="10.5703125" style="1038" customWidth="1"/>
    <col min="3109" max="3118" width="0" style="1038" hidden="1" customWidth="1"/>
    <col min="3119" max="3330" width="9.140625" style="1038"/>
    <col min="3331" max="3331" width="10.42578125" style="1038" customWidth="1"/>
    <col min="3332" max="3332" width="27.42578125" style="1038" customWidth="1"/>
    <col min="3333" max="3363" width="4.85546875" style="1038" customWidth="1"/>
    <col min="3364" max="3364" width="10.5703125" style="1038" customWidth="1"/>
    <col min="3365" max="3374" width="0" style="1038" hidden="1" customWidth="1"/>
    <col min="3375" max="3586" width="9.140625" style="1038"/>
    <col min="3587" max="3587" width="10.42578125" style="1038" customWidth="1"/>
    <col min="3588" max="3588" width="27.42578125" style="1038" customWidth="1"/>
    <col min="3589" max="3619" width="4.85546875" style="1038" customWidth="1"/>
    <col min="3620" max="3620" width="10.5703125" style="1038" customWidth="1"/>
    <col min="3621" max="3630" width="0" style="1038" hidden="1" customWidth="1"/>
    <col min="3631" max="3842" width="9.140625" style="1038"/>
    <col min="3843" max="3843" width="10.42578125" style="1038" customWidth="1"/>
    <col min="3844" max="3844" width="27.42578125" style="1038" customWidth="1"/>
    <col min="3845" max="3875" width="4.85546875" style="1038" customWidth="1"/>
    <col min="3876" max="3876" width="10.5703125" style="1038" customWidth="1"/>
    <col min="3877" max="3886" width="0" style="1038" hidden="1" customWidth="1"/>
    <col min="3887" max="4098" width="9.140625" style="1038"/>
    <col min="4099" max="4099" width="10.42578125" style="1038" customWidth="1"/>
    <col min="4100" max="4100" width="27.42578125" style="1038" customWidth="1"/>
    <col min="4101" max="4131" width="4.85546875" style="1038" customWidth="1"/>
    <col min="4132" max="4132" width="10.5703125" style="1038" customWidth="1"/>
    <col min="4133" max="4142" width="0" style="1038" hidden="1" customWidth="1"/>
    <col min="4143" max="4354" width="9.140625" style="1038"/>
    <col min="4355" max="4355" width="10.42578125" style="1038" customWidth="1"/>
    <col min="4356" max="4356" width="27.42578125" style="1038" customWidth="1"/>
    <col min="4357" max="4387" width="4.85546875" style="1038" customWidth="1"/>
    <col min="4388" max="4388" width="10.5703125" style="1038" customWidth="1"/>
    <col min="4389" max="4398" width="0" style="1038" hidden="1" customWidth="1"/>
    <col min="4399" max="4610" width="9.140625" style="1038"/>
    <col min="4611" max="4611" width="10.42578125" style="1038" customWidth="1"/>
    <col min="4612" max="4612" width="27.42578125" style="1038" customWidth="1"/>
    <col min="4613" max="4643" width="4.85546875" style="1038" customWidth="1"/>
    <col min="4644" max="4644" width="10.5703125" style="1038" customWidth="1"/>
    <col min="4645" max="4654" width="0" style="1038" hidden="1" customWidth="1"/>
    <col min="4655" max="4866" width="9.140625" style="1038"/>
    <col min="4867" max="4867" width="10.42578125" style="1038" customWidth="1"/>
    <col min="4868" max="4868" width="27.42578125" style="1038" customWidth="1"/>
    <col min="4869" max="4899" width="4.85546875" style="1038" customWidth="1"/>
    <col min="4900" max="4900" width="10.5703125" style="1038" customWidth="1"/>
    <col min="4901" max="4910" width="0" style="1038" hidden="1" customWidth="1"/>
    <col min="4911" max="5122" width="9.140625" style="1038"/>
    <col min="5123" max="5123" width="10.42578125" style="1038" customWidth="1"/>
    <col min="5124" max="5124" width="27.42578125" style="1038" customWidth="1"/>
    <col min="5125" max="5155" width="4.85546875" style="1038" customWidth="1"/>
    <col min="5156" max="5156" width="10.5703125" style="1038" customWidth="1"/>
    <col min="5157" max="5166" width="0" style="1038" hidden="1" customWidth="1"/>
    <col min="5167" max="5378" width="9.140625" style="1038"/>
    <col min="5379" max="5379" width="10.42578125" style="1038" customWidth="1"/>
    <col min="5380" max="5380" width="27.42578125" style="1038" customWidth="1"/>
    <col min="5381" max="5411" width="4.85546875" style="1038" customWidth="1"/>
    <col min="5412" max="5412" width="10.5703125" style="1038" customWidth="1"/>
    <col min="5413" max="5422" width="0" style="1038" hidden="1" customWidth="1"/>
    <col min="5423" max="5634" width="9.140625" style="1038"/>
    <col min="5635" max="5635" width="10.42578125" style="1038" customWidth="1"/>
    <col min="5636" max="5636" width="27.42578125" style="1038" customWidth="1"/>
    <col min="5637" max="5667" width="4.85546875" style="1038" customWidth="1"/>
    <col min="5668" max="5668" width="10.5703125" style="1038" customWidth="1"/>
    <col min="5669" max="5678" width="0" style="1038" hidden="1" customWidth="1"/>
    <col min="5679" max="5890" width="9.140625" style="1038"/>
    <col min="5891" max="5891" width="10.42578125" style="1038" customWidth="1"/>
    <col min="5892" max="5892" width="27.42578125" style="1038" customWidth="1"/>
    <col min="5893" max="5923" width="4.85546875" style="1038" customWidth="1"/>
    <col min="5924" max="5924" width="10.5703125" style="1038" customWidth="1"/>
    <col min="5925" max="5934" width="0" style="1038" hidden="1" customWidth="1"/>
    <col min="5935" max="6146" width="9.140625" style="1038"/>
    <col min="6147" max="6147" width="10.42578125" style="1038" customWidth="1"/>
    <col min="6148" max="6148" width="27.42578125" style="1038" customWidth="1"/>
    <col min="6149" max="6179" width="4.85546875" style="1038" customWidth="1"/>
    <col min="6180" max="6180" width="10.5703125" style="1038" customWidth="1"/>
    <col min="6181" max="6190" width="0" style="1038" hidden="1" customWidth="1"/>
    <col min="6191" max="6402" width="9.140625" style="1038"/>
    <col min="6403" max="6403" width="10.42578125" style="1038" customWidth="1"/>
    <col min="6404" max="6404" width="27.42578125" style="1038" customWidth="1"/>
    <col min="6405" max="6435" width="4.85546875" style="1038" customWidth="1"/>
    <col min="6436" max="6436" width="10.5703125" style="1038" customWidth="1"/>
    <col min="6437" max="6446" width="0" style="1038" hidden="1" customWidth="1"/>
    <col min="6447" max="6658" width="9.140625" style="1038"/>
    <col min="6659" max="6659" width="10.42578125" style="1038" customWidth="1"/>
    <col min="6660" max="6660" width="27.42578125" style="1038" customWidth="1"/>
    <col min="6661" max="6691" width="4.85546875" style="1038" customWidth="1"/>
    <col min="6692" max="6692" width="10.5703125" style="1038" customWidth="1"/>
    <col min="6693" max="6702" width="0" style="1038" hidden="1" customWidth="1"/>
    <col min="6703" max="6914" width="9.140625" style="1038"/>
    <col min="6915" max="6915" width="10.42578125" style="1038" customWidth="1"/>
    <col min="6916" max="6916" width="27.42578125" style="1038" customWidth="1"/>
    <col min="6917" max="6947" width="4.85546875" style="1038" customWidth="1"/>
    <col min="6948" max="6948" width="10.5703125" style="1038" customWidth="1"/>
    <col min="6949" max="6958" width="0" style="1038" hidden="1" customWidth="1"/>
    <col min="6959" max="7170" width="9.140625" style="1038"/>
    <col min="7171" max="7171" width="10.42578125" style="1038" customWidth="1"/>
    <col min="7172" max="7172" width="27.42578125" style="1038" customWidth="1"/>
    <col min="7173" max="7203" width="4.85546875" style="1038" customWidth="1"/>
    <col min="7204" max="7204" width="10.5703125" style="1038" customWidth="1"/>
    <col min="7205" max="7214" width="0" style="1038" hidden="1" customWidth="1"/>
    <col min="7215" max="7426" width="9.140625" style="1038"/>
    <col min="7427" max="7427" width="10.42578125" style="1038" customWidth="1"/>
    <col min="7428" max="7428" width="27.42578125" style="1038" customWidth="1"/>
    <col min="7429" max="7459" width="4.85546875" style="1038" customWidth="1"/>
    <col min="7460" max="7460" width="10.5703125" style="1038" customWidth="1"/>
    <col min="7461" max="7470" width="0" style="1038" hidden="1" customWidth="1"/>
    <col min="7471" max="7682" width="9.140625" style="1038"/>
    <col min="7683" max="7683" width="10.42578125" style="1038" customWidth="1"/>
    <col min="7684" max="7684" width="27.42578125" style="1038" customWidth="1"/>
    <col min="7685" max="7715" width="4.85546875" style="1038" customWidth="1"/>
    <col min="7716" max="7716" width="10.5703125" style="1038" customWidth="1"/>
    <col min="7717" max="7726" width="0" style="1038" hidden="1" customWidth="1"/>
    <col min="7727" max="7938" width="9.140625" style="1038"/>
    <col min="7939" max="7939" width="10.42578125" style="1038" customWidth="1"/>
    <col min="7940" max="7940" width="27.42578125" style="1038" customWidth="1"/>
    <col min="7941" max="7971" width="4.85546875" style="1038" customWidth="1"/>
    <col min="7972" max="7972" width="10.5703125" style="1038" customWidth="1"/>
    <col min="7973" max="7982" width="0" style="1038" hidden="1" customWidth="1"/>
    <col min="7983" max="8194" width="9.140625" style="1038"/>
    <col min="8195" max="8195" width="10.42578125" style="1038" customWidth="1"/>
    <col min="8196" max="8196" width="27.42578125" style="1038" customWidth="1"/>
    <col min="8197" max="8227" width="4.85546875" style="1038" customWidth="1"/>
    <col min="8228" max="8228" width="10.5703125" style="1038" customWidth="1"/>
    <col min="8229" max="8238" width="0" style="1038" hidden="1" customWidth="1"/>
    <col min="8239" max="8450" width="9.140625" style="1038"/>
    <col min="8451" max="8451" width="10.42578125" style="1038" customWidth="1"/>
    <col min="8452" max="8452" width="27.42578125" style="1038" customWidth="1"/>
    <col min="8453" max="8483" width="4.85546875" style="1038" customWidth="1"/>
    <col min="8484" max="8484" width="10.5703125" style="1038" customWidth="1"/>
    <col min="8485" max="8494" width="0" style="1038" hidden="1" customWidth="1"/>
    <col min="8495" max="8706" width="9.140625" style="1038"/>
    <col min="8707" max="8707" width="10.42578125" style="1038" customWidth="1"/>
    <col min="8708" max="8708" width="27.42578125" style="1038" customWidth="1"/>
    <col min="8709" max="8739" width="4.85546875" style="1038" customWidth="1"/>
    <col min="8740" max="8740" width="10.5703125" style="1038" customWidth="1"/>
    <col min="8741" max="8750" width="0" style="1038" hidden="1" customWidth="1"/>
    <col min="8751" max="8962" width="9.140625" style="1038"/>
    <col min="8963" max="8963" width="10.42578125" style="1038" customWidth="1"/>
    <col min="8964" max="8964" width="27.42578125" style="1038" customWidth="1"/>
    <col min="8965" max="8995" width="4.85546875" style="1038" customWidth="1"/>
    <col min="8996" max="8996" width="10.5703125" style="1038" customWidth="1"/>
    <col min="8997" max="9006" width="0" style="1038" hidden="1" customWidth="1"/>
    <col min="9007" max="9218" width="9.140625" style="1038"/>
    <col min="9219" max="9219" width="10.42578125" style="1038" customWidth="1"/>
    <col min="9220" max="9220" width="27.42578125" style="1038" customWidth="1"/>
    <col min="9221" max="9251" width="4.85546875" style="1038" customWidth="1"/>
    <col min="9252" max="9252" width="10.5703125" style="1038" customWidth="1"/>
    <col min="9253" max="9262" width="0" style="1038" hidden="1" customWidth="1"/>
    <col min="9263" max="9474" width="9.140625" style="1038"/>
    <col min="9475" max="9475" width="10.42578125" style="1038" customWidth="1"/>
    <col min="9476" max="9476" width="27.42578125" style="1038" customWidth="1"/>
    <col min="9477" max="9507" width="4.85546875" style="1038" customWidth="1"/>
    <col min="9508" max="9508" width="10.5703125" style="1038" customWidth="1"/>
    <col min="9509" max="9518" width="0" style="1038" hidden="1" customWidth="1"/>
    <col min="9519" max="9730" width="9.140625" style="1038"/>
    <col min="9731" max="9731" width="10.42578125" style="1038" customWidth="1"/>
    <col min="9732" max="9732" width="27.42578125" style="1038" customWidth="1"/>
    <col min="9733" max="9763" width="4.85546875" style="1038" customWidth="1"/>
    <col min="9764" max="9764" width="10.5703125" style="1038" customWidth="1"/>
    <col min="9765" max="9774" width="0" style="1038" hidden="1" customWidth="1"/>
    <col min="9775" max="9986" width="9.140625" style="1038"/>
    <col min="9987" max="9987" width="10.42578125" style="1038" customWidth="1"/>
    <col min="9988" max="9988" width="27.42578125" style="1038" customWidth="1"/>
    <col min="9989" max="10019" width="4.85546875" style="1038" customWidth="1"/>
    <col min="10020" max="10020" width="10.5703125" style="1038" customWidth="1"/>
    <col min="10021" max="10030" width="0" style="1038" hidden="1" customWidth="1"/>
    <col min="10031" max="10242" width="9.140625" style="1038"/>
    <col min="10243" max="10243" width="10.42578125" style="1038" customWidth="1"/>
    <col min="10244" max="10244" width="27.42578125" style="1038" customWidth="1"/>
    <col min="10245" max="10275" width="4.85546875" style="1038" customWidth="1"/>
    <col min="10276" max="10276" width="10.5703125" style="1038" customWidth="1"/>
    <col min="10277" max="10286" width="0" style="1038" hidden="1" customWidth="1"/>
    <col min="10287" max="10498" width="9.140625" style="1038"/>
    <col min="10499" max="10499" width="10.42578125" style="1038" customWidth="1"/>
    <col min="10500" max="10500" width="27.42578125" style="1038" customWidth="1"/>
    <col min="10501" max="10531" width="4.85546875" style="1038" customWidth="1"/>
    <col min="10532" max="10532" width="10.5703125" style="1038" customWidth="1"/>
    <col min="10533" max="10542" width="0" style="1038" hidden="1" customWidth="1"/>
    <col min="10543" max="10754" width="9.140625" style="1038"/>
    <col min="10755" max="10755" width="10.42578125" style="1038" customWidth="1"/>
    <col min="10756" max="10756" width="27.42578125" style="1038" customWidth="1"/>
    <col min="10757" max="10787" width="4.85546875" style="1038" customWidth="1"/>
    <col min="10788" max="10788" width="10.5703125" style="1038" customWidth="1"/>
    <col min="10789" max="10798" width="0" style="1038" hidden="1" customWidth="1"/>
    <col min="10799" max="11010" width="9.140625" style="1038"/>
    <col min="11011" max="11011" width="10.42578125" style="1038" customWidth="1"/>
    <col min="11012" max="11012" width="27.42578125" style="1038" customWidth="1"/>
    <col min="11013" max="11043" width="4.85546875" style="1038" customWidth="1"/>
    <col min="11044" max="11044" width="10.5703125" style="1038" customWidth="1"/>
    <col min="11045" max="11054" width="0" style="1038" hidden="1" customWidth="1"/>
    <col min="11055" max="11266" width="9.140625" style="1038"/>
    <col min="11267" max="11267" width="10.42578125" style="1038" customWidth="1"/>
    <col min="11268" max="11268" width="27.42578125" style="1038" customWidth="1"/>
    <col min="11269" max="11299" width="4.85546875" style="1038" customWidth="1"/>
    <col min="11300" max="11300" width="10.5703125" style="1038" customWidth="1"/>
    <col min="11301" max="11310" width="0" style="1038" hidden="1" customWidth="1"/>
    <col min="11311" max="11522" width="9.140625" style="1038"/>
    <col min="11523" max="11523" width="10.42578125" style="1038" customWidth="1"/>
    <col min="11524" max="11524" width="27.42578125" style="1038" customWidth="1"/>
    <col min="11525" max="11555" width="4.85546875" style="1038" customWidth="1"/>
    <col min="11556" max="11556" width="10.5703125" style="1038" customWidth="1"/>
    <col min="11557" max="11566" width="0" style="1038" hidden="1" customWidth="1"/>
    <col min="11567" max="11778" width="9.140625" style="1038"/>
    <col min="11779" max="11779" width="10.42578125" style="1038" customWidth="1"/>
    <col min="11780" max="11780" width="27.42578125" style="1038" customWidth="1"/>
    <col min="11781" max="11811" width="4.85546875" style="1038" customWidth="1"/>
    <col min="11812" max="11812" width="10.5703125" style="1038" customWidth="1"/>
    <col min="11813" max="11822" width="0" style="1038" hidden="1" customWidth="1"/>
    <col min="11823" max="12034" width="9.140625" style="1038"/>
    <col min="12035" max="12035" width="10.42578125" style="1038" customWidth="1"/>
    <col min="12036" max="12036" width="27.42578125" style="1038" customWidth="1"/>
    <col min="12037" max="12067" width="4.85546875" style="1038" customWidth="1"/>
    <col min="12068" max="12068" width="10.5703125" style="1038" customWidth="1"/>
    <col min="12069" max="12078" width="0" style="1038" hidden="1" customWidth="1"/>
    <col min="12079" max="12290" width="9.140625" style="1038"/>
    <col min="12291" max="12291" width="10.42578125" style="1038" customWidth="1"/>
    <col min="12292" max="12292" width="27.42578125" style="1038" customWidth="1"/>
    <col min="12293" max="12323" width="4.85546875" style="1038" customWidth="1"/>
    <col min="12324" max="12324" width="10.5703125" style="1038" customWidth="1"/>
    <col min="12325" max="12334" width="0" style="1038" hidden="1" customWidth="1"/>
    <col min="12335" max="12546" width="9.140625" style="1038"/>
    <col min="12547" max="12547" width="10.42578125" style="1038" customWidth="1"/>
    <col min="12548" max="12548" width="27.42578125" style="1038" customWidth="1"/>
    <col min="12549" max="12579" width="4.85546875" style="1038" customWidth="1"/>
    <col min="12580" max="12580" width="10.5703125" style="1038" customWidth="1"/>
    <col min="12581" max="12590" width="0" style="1038" hidden="1" customWidth="1"/>
    <col min="12591" max="12802" width="9.140625" style="1038"/>
    <col min="12803" max="12803" width="10.42578125" style="1038" customWidth="1"/>
    <col min="12804" max="12804" width="27.42578125" style="1038" customWidth="1"/>
    <col min="12805" max="12835" width="4.85546875" style="1038" customWidth="1"/>
    <col min="12836" max="12836" width="10.5703125" style="1038" customWidth="1"/>
    <col min="12837" max="12846" width="0" style="1038" hidden="1" customWidth="1"/>
    <col min="12847" max="13058" width="9.140625" style="1038"/>
    <col min="13059" max="13059" width="10.42578125" style="1038" customWidth="1"/>
    <col min="13060" max="13060" width="27.42578125" style="1038" customWidth="1"/>
    <col min="13061" max="13091" width="4.85546875" style="1038" customWidth="1"/>
    <col min="13092" max="13092" width="10.5703125" style="1038" customWidth="1"/>
    <col min="13093" max="13102" width="0" style="1038" hidden="1" customWidth="1"/>
    <col min="13103" max="13314" width="9.140625" style="1038"/>
    <col min="13315" max="13315" width="10.42578125" style="1038" customWidth="1"/>
    <col min="13316" max="13316" width="27.42578125" style="1038" customWidth="1"/>
    <col min="13317" max="13347" width="4.85546875" style="1038" customWidth="1"/>
    <col min="13348" max="13348" width="10.5703125" style="1038" customWidth="1"/>
    <col min="13349" max="13358" width="0" style="1038" hidden="1" customWidth="1"/>
    <col min="13359" max="13570" width="9.140625" style="1038"/>
    <col min="13571" max="13571" width="10.42578125" style="1038" customWidth="1"/>
    <col min="13572" max="13572" width="27.42578125" style="1038" customWidth="1"/>
    <col min="13573" max="13603" width="4.85546875" style="1038" customWidth="1"/>
    <col min="13604" max="13604" width="10.5703125" style="1038" customWidth="1"/>
    <col min="13605" max="13614" width="0" style="1038" hidden="1" customWidth="1"/>
    <col min="13615" max="13826" width="9.140625" style="1038"/>
    <col min="13827" max="13827" width="10.42578125" style="1038" customWidth="1"/>
    <col min="13828" max="13828" width="27.42578125" style="1038" customWidth="1"/>
    <col min="13829" max="13859" width="4.85546875" style="1038" customWidth="1"/>
    <col min="13860" max="13860" width="10.5703125" style="1038" customWidth="1"/>
    <col min="13861" max="13870" width="0" style="1038" hidden="1" customWidth="1"/>
    <col min="13871" max="14082" width="9.140625" style="1038"/>
    <col min="14083" max="14083" width="10.42578125" style="1038" customWidth="1"/>
    <col min="14084" max="14084" width="27.42578125" style="1038" customWidth="1"/>
    <col min="14085" max="14115" width="4.85546875" style="1038" customWidth="1"/>
    <col min="14116" max="14116" width="10.5703125" style="1038" customWidth="1"/>
    <col min="14117" max="14126" width="0" style="1038" hidden="1" customWidth="1"/>
    <col min="14127" max="14338" width="9.140625" style="1038"/>
    <col min="14339" max="14339" width="10.42578125" style="1038" customWidth="1"/>
    <col min="14340" max="14340" width="27.42578125" style="1038" customWidth="1"/>
    <col min="14341" max="14371" width="4.85546875" style="1038" customWidth="1"/>
    <col min="14372" max="14372" width="10.5703125" style="1038" customWidth="1"/>
    <col min="14373" max="14382" width="0" style="1038" hidden="1" customWidth="1"/>
    <col min="14383" max="14594" width="9.140625" style="1038"/>
    <col min="14595" max="14595" width="10.42578125" style="1038" customWidth="1"/>
    <col min="14596" max="14596" width="27.42578125" style="1038" customWidth="1"/>
    <col min="14597" max="14627" width="4.85546875" style="1038" customWidth="1"/>
    <col min="14628" max="14628" width="10.5703125" style="1038" customWidth="1"/>
    <col min="14629" max="14638" width="0" style="1038" hidden="1" customWidth="1"/>
    <col min="14639" max="14850" width="9.140625" style="1038"/>
    <col min="14851" max="14851" width="10.42578125" style="1038" customWidth="1"/>
    <col min="14852" max="14852" width="27.42578125" style="1038" customWidth="1"/>
    <col min="14853" max="14883" width="4.85546875" style="1038" customWidth="1"/>
    <col min="14884" max="14884" width="10.5703125" style="1038" customWidth="1"/>
    <col min="14885" max="14894" width="0" style="1038" hidden="1" customWidth="1"/>
    <col min="14895" max="15106" width="9.140625" style="1038"/>
    <col min="15107" max="15107" width="10.42578125" style="1038" customWidth="1"/>
    <col min="15108" max="15108" width="27.42578125" style="1038" customWidth="1"/>
    <col min="15109" max="15139" width="4.85546875" style="1038" customWidth="1"/>
    <col min="15140" max="15140" width="10.5703125" style="1038" customWidth="1"/>
    <col min="15141" max="15150" width="0" style="1038" hidden="1" customWidth="1"/>
    <col min="15151" max="15362" width="9.140625" style="1038"/>
    <col min="15363" max="15363" width="10.42578125" style="1038" customWidth="1"/>
    <col min="15364" max="15364" width="27.42578125" style="1038" customWidth="1"/>
    <col min="15365" max="15395" width="4.85546875" style="1038" customWidth="1"/>
    <col min="15396" max="15396" width="10.5703125" style="1038" customWidth="1"/>
    <col min="15397" max="15406" width="0" style="1038" hidden="1" customWidth="1"/>
    <col min="15407" max="15618" width="9.140625" style="1038"/>
    <col min="15619" max="15619" width="10.42578125" style="1038" customWidth="1"/>
    <col min="15620" max="15620" width="27.42578125" style="1038" customWidth="1"/>
    <col min="15621" max="15651" width="4.85546875" style="1038" customWidth="1"/>
    <col min="15652" max="15652" width="10.5703125" style="1038" customWidth="1"/>
    <col min="15653" max="15662" width="0" style="1038" hidden="1" customWidth="1"/>
    <col min="15663" max="15874" width="9.140625" style="1038"/>
    <col min="15875" max="15875" width="10.42578125" style="1038" customWidth="1"/>
    <col min="15876" max="15876" width="27.42578125" style="1038" customWidth="1"/>
    <col min="15877" max="15907" width="4.85546875" style="1038" customWidth="1"/>
    <col min="15908" max="15908" width="10.5703125" style="1038" customWidth="1"/>
    <col min="15909" max="15918" width="0" style="1038" hidden="1" customWidth="1"/>
    <col min="15919" max="16130" width="9.140625" style="1038"/>
    <col min="16131" max="16131" width="10.42578125" style="1038" customWidth="1"/>
    <col min="16132" max="16132" width="27.42578125" style="1038" customWidth="1"/>
    <col min="16133" max="16163" width="4.85546875" style="1038" customWidth="1"/>
    <col min="16164" max="16164" width="10.5703125" style="1038" customWidth="1"/>
    <col min="16165" max="16174" width="0" style="1038" hidden="1" customWidth="1"/>
    <col min="16175" max="16384" width="9.140625" style="1038"/>
  </cols>
  <sheetData>
    <row r="1" spans="1:45">
      <c r="A1" s="4694" t="s">
        <v>23</v>
      </c>
      <c r="B1" s="4694"/>
      <c r="C1" s="4694"/>
      <c r="D1" s="4694"/>
      <c r="E1" s="4694"/>
      <c r="F1" s="4694"/>
      <c r="G1" s="4694"/>
      <c r="H1" s="4694"/>
      <c r="I1" s="4694"/>
      <c r="J1" s="4694"/>
      <c r="K1" s="4694"/>
      <c r="L1" s="4694"/>
      <c r="M1" s="4694"/>
      <c r="N1" s="4694"/>
      <c r="O1" s="4694"/>
      <c r="P1" s="4694"/>
      <c r="Q1" s="4694"/>
      <c r="R1" s="4694"/>
      <c r="S1" s="4694"/>
      <c r="T1" s="4694"/>
      <c r="U1" s="4694"/>
      <c r="V1" s="4694"/>
      <c r="W1" s="4694"/>
      <c r="X1" s="4694"/>
      <c r="Y1" s="4694"/>
      <c r="Z1" s="4694"/>
      <c r="AA1" s="4694"/>
      <c r="AB1" s="4694"/>
      <c r="AC1" s="4694"/>
      <c r="AD1" s="4694"/>
      <c r="AE1" s="4694"/>
      <c r="AF1" s="4694"/>
      <c r="AG1" s="4694"/>
      <c r="AH1" s="4694"/>
      <c r="AI1" s="4694"/>
      <c r="AJ1" s="4694"/>
      <c r="AK1" s="4694"/>
      <c r="AL1" s="4694"/>
      <c r="AM1" s="4694"/>
    </row>
    <row r="2" spans="1:45">
      <c r="A2" s="4694" t="s">
        <v>45</v>
      </c>
      <c r="B2" s="4694"/>
      <c r="C2" s="4694"/>
      <c r="D2" s="4694"/>
      <c r="E2" s="4694"/>
      <c r="F2" s="4694"/>
      <c r="G2" s="4694"/>
      <c r="H2" s="4694"/>
      <c r="I2" s="4694"/>
      <c r="J2" s="4694"/>
      <c r="K2" s="4694"/>
      <c r="L2" s="4694"/>
      <c r="M2" s="4694"/>
      <c r="N2" s="4694"/>
      <c r="O2" s="4694"/>
      <c r="P2" s="4694"/>
      <c r="Q2" s="4694"/>
      <c r="R2" s="4694"/>
      <c r="S2" s="4694"/>
      <c r="T2" s="4694"/>
      <c r="U2" s="4694"/>
      <c r="V2" s="4694"/>
      <c r="W2" s="4694"/>
      <c r="X2" s="4694"/>
      <c r="Y2" s="4694"/>
      <c r="Z2" s="4694"/>
      <c r="AA2" s="4694"/>
      <c r="AB2" s="4694"/>
      <c r="AC2" s="4694"/>
      <c r="AD2" s="4694"/>
      <c r="AE2" s="4694"/>
      <c r="AF2" s="4694"/>
      <c r="AG2" s="4694"/>
      <c r="AH2" s="4694"/>
      <c r="AI2" s="4694"/>
      <c r="AJ2" s="4694"/>
      <c r="AK2" s="4694"/>
      <c r="AL2" s="4694"/>
      <c r="AM2" s="4694"/>
    </row>
    <row r="3" spans="1:45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3934"/>
      <c r="X3" s="3934"/>
      <c r="Y3" s="3934"/>
      <c r="Z3" s="3934"/>
      <c r="AA3" s="3934"/>
      <c r="AB3" s="3934"/>
      <c r="AC3" s="3934"/>
      <c r="AD3" s="3934"/>
      <c r="AE3" s="3934"/>
      <c r="AF3" s="3934"/>
      <c r="AG3" s="3934"/>
      <c r="AH3" s="3934"/>
      <c r="AI3" s="3934"/>
      <c r="AJ3" s="3934"/>
      <c r="AK3" s="3934"/>
      <c r="AL3" s="3934"/>
      <c r="AM3" s="3934"/>
    </row>
    <row r="4" spans="1:45">
      <c r="A4" s="4230" t="s">
        <v>1482</v>
      </c>
      <c r="B4" s="4230"/>
      <c r="C4" s="4230"/>
      <c r="D4" s="4230"/>
      <c r="E4" s="4230"/>
      <c r="F4" s="4230"/>
      <c r="G4" s="4230"/>
      <c r="H4" s="4230"/>
      <c r="AM4" s="1040">
        <v>1</v>
      </c>
      <c r="AN4" s="1040">
        <v>2</v>
      </c>
      <c r="AO4" s="1040">
        <v>3</v>
      </c>
      <c r="AP4" s="1040">
        <v>4</v>
      </c>
      <c r="AQ4" s="1040">
        <v>5</v>
      </c>
      <c r="AR4" s="1041">
        <v>6</v>
      </c>
      <c r="AS4" s="1041">
        <v>7</v>
      </c>
    </row>
    <row r="5" spans="1:45">
      <c r="A5" s="4694" t="s">
        <v>2155</v>
      </c>
      <c r="B5" s="4694"/>
      <c r="C5" s="4694"/>
      <c r="D5" s="4694"/>
      <c r="E5" s="4694"/>
      <c r="F5" s="4694"/>
      <c r="G5" s="4694"/>
      <c r="H5" s="4694"/>
      <c r="AM5" s="1040" t="s">
        <v>133</v>
      </c>
      <c r="AN5" s="1040" t="s">
        <v>970</v>
      </c>
      <c r="AO5" s="1040" t="s">
        <v>971</v>
      </c>
      <c r="AP5" s="1040" t="s">
        <v>972</v>
      </c>
      <c r="AQ5" s="1040" t="s">
        <v>973</v>
      </c>
      <c r="AR5" s="1041" t="s">
        <v>974</v>
      </c>
      <c r="AS5" s="1041" t="s">
        <v>975</v>
      </c>
    </row>
    <row r="6" spans="1:45">
      <c r="AM6" s="1042"/>
      <c r="AN6" s="1042"/>
      <c r="AO6" s="1042"/>
      <c r="AP6" s="1042"/>
      <c r="AQ6" s="1042"/>
    </row>
    <row r="7" spans="1:45" ht="18.75">
      <c r="A7" s="4234" t="s">
        <v>2154</v>
      </c>
      <c r="B7" s="4234"/>
      <c r="C7" s="4234"/>
      <c r="D7" s="4234"/>
      <c r="E7" s="4234"/>
      <c r="F7" s="4234"/>
      <c r="G7" s="4234"/>
      <c r="H7" s="4234"/>
      <c r="I7" s="4234"/>
      <c r="J7" s="4234"/>
      <c r="K7" s="4234"/>
      <c r="L7" s="4234"/>
      <c r="M7" s="4234"/>
      <c r="N7" s="4234"/>
      <c r="O7" s="4234"/>
      <c r="P7" s="4234"/>
      <c r="Q7" s="4234"/>
      <c r="R7" s="4234"/>
      <c r="S7" s="4234"/>
      <c r="T7" s="4234"/>
      <c r="U7" s="4234"/>
      <c r="V7" s="4234"/>
      <c r="W7" s="4234"/>
      <c r="X7" s="4234"/>
      <c r="Y7" s="4234"/>
      <c r="Z7" s="4234"/>
      <c r="AA7" s="4234"/>
      <c r="AB7" s="4234"/>
      <c r="AC7" s="4234"/>
      <c r="AD7" s="4234"/>
      <c r="AE7" s="4234"/>
      <c r="AF7" s="4234"/>
      <c r="AG7" s="4234"/>
      <c r="AH7" s="4234"/>
      <c r="AI7" s="4234"/>
      <c r="AJ7" s="4234"/>
      <c r="AK7" s="4234"/>
      <c r="AL7" s="4234"/>
      <c r="AM7" s="4234"/>
      <c r="AN7" s="1042"/>
      <c r="AO7" s="1042"/>
      <c r="AP7" s="1042"/>
      <c r="AQ7" s="1042"/>
    </row>
    <row r="8" spans="1:45" ht="15.75" customHeight="1">
      <c r="B8" s="1043" t="s">
        <v>977</v>
      </c>
      <c r="C8" s="1043">
        <v>2025</v>
      </c>
      <c r="D8" s="1043"/>
      <c r="E8" s="2362"/>
      <c r="F8" s="2362"/>
      <c r="G8" s="2362"/>
      <c r="H8" s="2362"/>
      <c r="I8" s="2362"/>
      <c r="J8" s="2362"/>
      <c r="K8" s="2362"/>
      <c r="L8" s="2362"/>
      <c r="M8" s="2362"/>
      <c r="N8" s="2362"/>
      <c r="O8" s="2362"/>
      <c r="P8" s="2362"/>
      <c r="Q8" s="2362"/>
      <c r="R8" s="2362"/>
      <c r="S8" s="2362"/>
      <c r="T8" s="2362"/>
      <c r="U8" s="2362"/>
      <c r="V8" s="2362"/>
      <c r="W8" s="2362"/>
      <c r="X8" s="2362"/>
      <c r="Y8" s="2362"/>
      <c r="Z8" s="2362"/>
      <c r="AA8" s="2362"/>
      <c r="AB8" s="2362"/>
      <c r="AC8" s="2362"/>
      <c r="AD8" s="2362"/>
      <c r="AE8" s="2362"/>
      <c r="AF8" s="2362"/>
      <c r="AG8" s="2362"/>
      <c r="AH8" s="2362"/>
      <c r="AI8" s="2362"/>
      <c r="AJ8" s="2362"/>
      <c r="AK8" s="2362"/>
      <c r="AL8" s="2362"/>
      <c r="AM8" s="2362"/>
    </row>
    <row r="9" spans="1:45" ht="9" customHeight="1">
      <c r="B9" s="1043" t="s">
        <v>978</v>
      </c>
      <c r="C9" s="1043">
        <v>4</v>
      </c>
      <c r="D9" s="1043"/>
    </row>
    <row r="10" spans="1:45" ht="15" customHeight="1">
      <c r="A10" s="4231" t="s">
        <v>0</v>
      </c>
      <c r="B10" s="4236" t="s">
        <v>979</v>
      </c>
      <c r="C10" s="4238" t="s">
        <v>980</v>
      </c>
      <c r="D10" s="4240" t="s">
        <v>46</v>
      </c>
      <c r="E10" s="1044">
        <v>1</v>
      </c>
      <c r="F10" s="1044">
        <v>2</v>
      </c>
      <c r="G10" s="1044">
        <v>3</v>
      </c>
      <c r="H10" s="1044">
        <v>4</v>
      </c>
      <c r="I10" s="1045">
        <v>5</v>
      </c>
      <c r="J10" s="1044">
        <v>6</v>
      </c>
      <c r="K10" s="1044">
        <v>7</v>
      </c>
      <c r="L10" s="1044">
        <v>8</v>
      </c>
      <c r="M10" s="1044">
        <v>9</v>
      </c>
      <c r="N10" s="1044">
        <v>10</v>
      </c>
      <c r="O10" s="1044">
        <v>11</v>
      </c>
      <c r="P10" s="1044">
        <v>12</v>
      </c>
      <c r="Q10" s="1044">
        <v>13</v>
      </c>
      <c r="R10" s="1044">
        <v>14</v>
      </c>
      <c r="S10" s="1044">
        <v>15</v>
      </c>
      <c r="T10" s="1044">
        <v>16</v>
      </c>
      <c r="U10" s="1044">
        <v>17</v>
      </c>
      <c r="V10" s="1044">
        <v>18</v>
      </c>
      <c r="W10" s="1044">
        <v>19</v>
      </c>
      <c r="X10" s="1044">
        <v>20</v>
      </c>
      <c r="Y10" s="1044">
        <v>21</v>
      </c>
      <c r="Z10" s="1044">
        <v>22</v>
      </c>
      <c r="AA10" s="1044">
        <v>23</v>
      </c>
      <c r="AB10" s="1044">
        <v>24</v>
      </c>
      <c r="AC10" s="1044">
        <v>25</v>
      </c>
      <c r="AD10" s="1044">
        <v>26</v>
      </c>
      <c r="AE10" s="1044">
        <v>27</v>
      </c>
      <c r="AF10" s="1044">
        <v>28</v>
      </c>
      <c r="AG10" s="1044">
        <f>IF(DAY(DATE(C8,C9+1,1)-1)&lt;29,"",29)</f>
        <v>29</v>
      </c>
      <c r="AH10" s="1044">
        <v>30</v>
      </c>
      <c r="AI10" s="4240" t="s">
        <v>2110</v>
      </c>
      <c r="AJ10" s="4240" t="s">
        <v>1426</v>
      </c>
      <c r="AK10" s="4695" t="s">
        <v>1424</v>
      </c>
      <c r="AL10" s="4695" t="s">
        <v>1429</v>
      </c>
      <c r="AM10" s="4236" t="s">
        <v>92</v>
      </c>
    </row>
    <row r="11" spans="1:45" ht="51" customHeight="1">
      <c r="A11" s="4232"/>
      <c r="B11" s="4237"/>
      <c r="C11" s="4239"/>
      <c r="D11" s="4241"/>
      <c r="E11" s="1048" t="str">
        <f t="shared" ref="E11:AH11" si="0">IF(E10="","",HLOOKUP(WEEKDAY(DATE($C$8,$C$9,E10)),$AM$4:$AS$5,2,0))</f>
        <v>Ba</v>
      </c>
      <c r="F11" s="1048" t="str">
        <f t="shared" si="0"/>
        <v>Tư</v>
      </c>
      <c r="G11" s="1048" t="str">
        <f t="shared" si="0"/>
        <v>Năm</v>
      </c>
      <c r="H11" s="1048" t="str">
        <f t="shared" si="0"/>
        <v>Sáu</v>
      </c>
      <c r="I11" s="1049" t="str">
        <f t="shared" si="0"/>
        <v>Bảy</v>
      </c>
      <c r="J11" s="1048" t="str">
        <f t="shared" si="0"/>
        <v>CN</v>
      </c>
      <c r="K11" s="1048" t="str">
        <f t="shared" si="0"/>
        <v>Hai</v>
      </c>
      <c r="L11" s="1048" t="str">
        <f t="shared" si="0"/>
        <v>Ba</v>
      </c>
      <c r="M11" s="1048" t="str">
        <f t="shared" si="0"/>
        <v>Tư</v>
      </c>
      <c r="N11" s="1048" t="str">
        <f t="shared" si="0"/>
        <v>Năm</v>
      </c>
      <c r="O11" s="1048" t="str">
        <f t="shared" si="0"/>
        <v>Sáu</v>
      </c>
      <c r="P11" s="1048" t="str">
        <f t="shared" si="0"/>
        <v>Bảy</v>
      </c>
      <c r="Q11" s="1048" t="str">
        <f t="shared" si="0"/>
        <v>CN</v>
      </c>
      <c r="R11" s="1048" t="str">
        <f t="shared" si="0"/>
        <v>Hai</v>
      </c>
      <c r="S11" s="1048" t="str">
        <f t="shared" si="0"/>
        <v>Ba</v>
      </c>
      <c r="T11" s="1048" t="str">
        <f t="shared" si="0"/>
        <v>Tư</v>
      </c>
      <c r="U11" s="1048" t="str">
        <f t="shared" si="0"/>
        <v>Năm</v>
      </c>
      <c r="V11" s="1048" t="str">
        <f t="shared" si="0"/>
        <v>Sáu</v>
      </c>
      <c r="W11" s="1048" t="str">
        <f t="shared" si="0"/>
        <v>Bảy</v>
      </c>
      <c r="X11" s="1048" t="str">
        <f t="shared" si="0"/>
        <v>CN</v>
      </c>
      <c r="Y11" s="1048" t="str">
        <f t="shared" si="0"/>
        <v>Hai</v>
      </c>
      <c r="Z11" s="1048" t="str">
        <f t="shared" si="0"/>
        <v>Ba</v>
      </c>
      <c r="AA11" s="1048" t="str">
        <f t="shared" si="0"/>
        <v>Tư</v>
      </c>
      <c r="AB11" s="1048" t="str">
        <f t="shared" si="0"/>
        <v>Năm</v>
      </c>
      <c r="AC11" s="1048" t="str">
        <f t="shared" si="0"/>
        <v>Sáu</v>
      </c>
      <c r="AD11" s="1048" t="str">
        <f t="shared" si="0"/>
        <v>Bảy</v>
      </c>
      <c r="AE11" s="1048" t="str">
        <f t="shared" si="0"/>
        <v>CN</v>
      </c>
      <c r="AF11" s="1048" t="str">
        <f t="shared" si="0"/>
        <v>Hai</v>
      </c>
      <c r="AG11" s="1044" t="str">
        <f t="shared" si="0"/>
        <v>Ba</v>
      </c>
      <c r="AH11" s="1048" t="str">
        <f t="shared" si="0"/>
        <v>Tư</v>
      </c>
      <c r="AI11" s="4241"/>
      <c r="AJ11" s="4241"/>
      <c r="AK11" s="4696"/>
      <c r="AL11" s="4696"/>
      <c r="AM11" s="4237"/>
    </row>
    <row r="12" spans="1:45" ht="31.5" customHeight="1">
      <c r="A12" s="1050">
        <v>1</v>
      </c>
      <c r="B12" s="1044"/>
      <c r="C12" s="2724" t="s">
        <v>1465</v>
      </c>
      <c r="D12" s="2724" t="s">
        <v>1466</v>
      </c>
      <c r="E12" s="1044" t="s">
        <v>164</v>
      </c>
      <c r="F12" s="1044" t="s">
        <v>164</v>
      </c>
      <c r="G12" s="1044" t="s">
        <v>164</v>
      </c>
      <c r="H12" s="1044" t="s">
        <v>164</v>
      </c>
      <c r="I12" s="1044" t="s">
        <v>164</v>
      </c>
      <c r="J12" s="1044"/>
      <c r="K12" s="1044" t="s">
        <v>164</v>
      </c>
      <c r="L12" s="1044" t="s">
        <v>164</v>
      </c>
      <c r="M12" s="1044" t="s">
        <v>164</v>
      </c>
      <c r="N12" s="1044" t="s">
        <v>164</v>
      </c>
      <c r="O12" s="1044" t="s">
        <v>164</v>
      </c>
      <c r="P12" s="1044" t="s">
        <v>164</v>
      </c>
      <c r="Q12" s="1044"/>
      <c r="R12" s="1044" t="s">
        <v>164</v>
      </c>
      <c r="S12" s="1044" t="s">
        <v>164</v>
      </c>
      <c r="T12" s="1044" t="s">
        <v>164</v>
      </c>
      <c r="U12" s="1044" t="s">
        <v>164</v>
      </c>
      <c r="V12" s="1044" t="s">
        <v>164</v>
      </c>
      <c r="W12" s="1044" t="s">
        <v>164</v>
      </c>
      <c r="X12" s="1044"/>
      <c r="Y12" s="1044" t="s">
        <v>164</v>
      </c>
      <c r="Z12" s="1044" t="s">
        <v>164</v>
      </c>
      <c r="AA12" s="1044" t="s">
        <v>164</v>
      </c>
      <c r="AB12" s="1044" t="s">
        <v>164</v>
      </c>
      <c r="AC12" s="1044" t="s">
        <v>164</v>
      </c>
      <c r="AD12" s="1044" t="s">
        <v>164</v>
      </c>
      <c r="AE12" s="1044"/>
      <c r="AF12" s="1044" t="s">
        <v>164</v>
      </c>
      <c r="AG12" s="1044" t="s">
        <v>164</v>
      </c>
      <c r="AH12" s="1044" t="s">
        <v>164</v>
      </c>
      <c r="AI12" s="1488">
        <f t="shared" ref="AI12:AI31" si="1">COUNTIF(E12:AH12,"X")+COUNTIF(E12:AH12,"PT")</f>
        <v>26</v>
      </c>
      <c r="AJ12" s="1488">
        <f t="shared" ref="AJ12:AJ31" si="2">COUNTIF(E12:AI12,"P")</f>
        <v>0</v>
      </c>
      <c r="AK12" s="1488">
        <f t="shared" ref="AK12:AK31" si="3">COUNTIF(E12:AI12,"TT")</f>
        <v>0</v>
      </c>
      <c r="AL12" s="2725">
        <f>+AI12+AJ12</f>
        <v>26</v>
      </c>
      <c r="AM12" s="1050"/>
    </row>
    <row r="13" spans="1:45" ht="31.5" customHeight="1">
      <c r="A13" s="1050">
        <v>2</v>
      </c>
      <c r="B13" s="1044"/>
      <c r="C13" s="2727" t="s">
        <v>533</v>
      </c>
      <c r="D13" s="2727" t="s">
        <v>1665</v>
      </c>
      <c r="E13" s="1044" t="s">
        <v>164</v>
      </c>
      <c r="F13" s="1044" t="s">
        <v>164</v>
      </c>
      <c r="G13" s="1044" t="s">
        <v>164</v>
      </c>
      <c r="H13" s="1044" t="s">
        <v>164</v>
      </c>
      <c r="I13" s="1044" t="s">
        <v>164</v>
      </c>
      <c r="J13" s="1044"/>
      <c r="K13" s="1044" t="s">
        <v>164</v>
      </c>
      <c r="L13" s="1044" t="s">
        <v>164</v>
      </c>
      <c r="M13" s="1044" t="s">
        <v>164</v>
      </c>
      <c r="N13" s="1044" t="s">
        <v>164</v>
      </c>
      <c r="O13" s="1044" t="s">
        <v>164</v>
      </c>
      <c r="P13" s="1044" t="s">
        <v>164</v>
      </c>
      <c r="Q13" s="1044"/>
      <c r="R13" s="1044" t="s">
        <v>164</v>
      </c>
      <c r="S13" s="1044" t="s">
        <v>164</v>
      </c>
      <c r="T13" s="1044" t="s">
        <v>164</v>
      </c>
      <c r="U13" s="1044" t="s">
        <v>164</v>
      </c>
      <c r="V13" s="1044" t="s">
        <v>164</v>
      </c>
      <c r="W13" s="1044" t="s">
        <v>164</v>
      </c>
      <c r="X13" s="1044"/>
      <c r="Y13" s="1044" t="s">
        <v>164</v>
      </c>
      <c r="Z13" s="1044" t="s">
        <v>164</v>
      </c>
      <c r="AA13" s="1044" t="s">
        <v>164</v>
      </c>
      <c r="AB13" s="1044" t="s">
        <v>164</v>
      </c>
      <c r="AC13" s="1044" t="s">
        <v>164</v>
      </c>
      <c r="AD13" s="1044" t="s">
        <v>164</v>
      </c>
      <c r="AE13" s="1044"/>
      <c r="AF13" s="1044" t="s">
        <v>164</v>
      </c>
      <c r="AG13" s="1044" t="s">
        <v>164</v>
      </c>
      <c r="AH13" s="1044" t="s">
        <v>164</v>
      </c>
      <c r="AI13" s="1488">
        <f t="shared" si="1"/>
        <v>26</v>
      </c>
      <c r="AJ13" s="1488">
        <f t="shared" si="2"/>
        <v>0</v>
      </c>
      <c r="AK13" s="1488">
        <f t="shared" si="3"/>
        <v>0</v>
      </c>
      <c r="AL13" s="2725">
        <f t="shared" ref="AL13:AL31" si="4">+AI13+AJ13</f>
        <v>26</v>
      </c>
      <c r="AM13" s="1050"/>
    </row>
    <row r="14" spans="1:45" ht="31.5" customHeight="1">
      <c r="A14" s="1050">
        <v>3</v>
      </c>
      <c r="B14" s="1044"/>
      <c r="C14" s="2728" t="s">
        <v>1013</v>
      </c>
      <c r="D14" s="2728" t="s">
        <v>1467</v>
      </c>
      <c r="E14" s="1044" t="s">
        <v>164</v>
      </c>
      <c r="F14" s="1044" t="s">
        <v>164</v>
      </c>
      <c r="G14" s="1044" t="s">
        <v>164</v>
      </c>
      <c r="H14" s="1044" t="s">
        <v>164</v>
      </c>
      <c r="I14" s="1044" t="s">
        <v>164</v>
      </c>
      <c r="J14" s="1044"/>
      <c r="K14" s="1044" t="s">
        <v>164</v>
      </c>
      <c r="L14" s="1044" t="s">
        <v>164</v>
      </c>
      <c r="M14" s="1044" t="s">
        <v>164</v>
      </c>
      <c r="N14" s="1044" t="s">
        <v>164</v>
      </c>
      <c r="O14" s="1044" t="s">
        <v>164</v>
      </c>
      <c r="P14" s="1044" t="s">
        <v>164</v>
      </c>
      <c r="Q14" s="1044"/>
      <c r="R14" s="1044" t="s">
        <v>164</v>
      </c>
      <c r="S14" s="1044" t="s">
        <v>164</v>
      </c>
      <c r="T14" s="1044" t="s">
        <v>164</v>
      </c>
      <c r="U14" s="1044" t="s">
        <v>164</v>
      </c>
      <c r="V14" s="1044" t="s">
        <v>164</v>
      </c>
      <c r="W14" s="1044" t="s">
        <v>164</v>
      </c>
      <c r="X14" s="1044"/>
      <c r="Y14" s="1044" t="s">
        <v>164</v>
      </c>
      <c r="Z14" s="1044" t="s">
        <v>164</v>
      </c>
      <c r="AA14" s="1044" t="s">
        <v>164</v>
      </c>
      <c r="AB14" s="1044" t="s">
        <v>164</v>
      </c>
      <c r="AC14" s="1044" t="s">
        <v>164</v>
      </c>
      <c r="AD14" s="1044" t="s">
        <v>164</v>
      </c>
      <c r="AE14" s="1044"/>
      <c r="AF14" s="1044" t="s">
        <v>164</v>
      </c>
      <c r="AG14" s="1044" t="s">
        <v>164</v>
      </c>
      <c r="AH14" s="1044" t="s">
        <v>164</v>
      </c>
      <c r="AI14" s="1488">
        <f t="shared" si="1"/>
        <v>26</v>
      </c>
      <c r="AJ14" s="1488">
        <f t="shared" si="2"/>
        <v>0</v>
      </c>
      <c r="AK14" s="1488">
        <f t="shared" si="3"/>
        <v>0</v>
      </c>
      <c r="AL14" s="2725">
        <f t="shared" si="4"/>
        <v>26</v>
      </c>
      <c r="AM14" s="1050"/>
    </row>
    <row r="15" spans="1:45" ht="31.5" customHeight="1">
      <c r="A15" s="1050">
        <v>4</v>
      </c>
      <c r="B15" s="1044"/>
      <c r="C15" s="2728" t="s">
        <v>1664</v>
      </c>
      <c r="D15" s="2728" t="s">
        <v>1468</v>
      </c>
      <c r="E15" s="1044" t="s">
        <v>164</v>
      </c>
      <c r="F15" s="1044" t="s">
        <v>164</v>
      </c>
      <c r="G15" s="1044" t="s">
        <v>164</v>
      </c>
      <c r="H15" s="1044" t="s">
        <v>164</v>
      </c>
      <c r="I15" s="1044" t="s">
        <v>164</v>
      </c>
      <c r="J15" s="1044"/>
      <c r="K15" s="1044" t="s">
        <v>164</v>
      </c>
      <c r="L15" s="1044" t="s">
        <v>164</v>
      </c>
      <c r="M15" s="1044" t="s">
        <v>164</v>
      </c>
      <c r="N15" s="1044" t="s">
        <v>164</v>
      </c>
      <c r="O15" s="1044" t="s">
        <v>164</v>
      </c>
      <c r="P15" s="1044" t="s">
        <v>164</v>
      </c>
      <c r="Q15" s="1044"/>
      <c r="R15" s="1044" t="s">
        <v>164</v>
      </c>
      <c r="S15" s="1044" t="s">
        <v>164</v>
      </c>
      <c r="T15" s="1044" t="s">
        <v>164</v>
      </c>
      <c r="U15" s="1044" t="s">
        <v>164</v>
      </c>
      <c r="V15" s="1044" t="s">
        <v>164</v>
      </c>
      <c r="W15" s="1044" t="s">
        <v>164</v>
      </c>
      <c r="X15" s="1044"/>
      <c r="Y15" s="1044" t="s">
        <v>164</v>
      </c>
      <c r="Z15" s="1044" t="s">
        <v>164</v>
      </c>
      <c r="AA15" s="1044" t="s">
        <v>164</v>
      </c>
      <c r="AB15" s="1044" t="s">
        <v>164</v>
      </c>
      <c r="AC15" s="1044" t="s">
        <v>164</v>
      </c>
      <c r="AD15" s="1044" t="s">
        <v>164</v>
      </c>
      <c r="AE15" s="1044"/>
      <c r="AF15" s="1044" t="s">
        <v>164</v>
      </c>
      <c r="AG15" s="1044" t="s">
        <v>164</v>
      </c>
      <c r="AH15" s="1044" t="s">
        <v>164</v>
      </c>
      <c r="AI15" s="1488">
        <f t="shared" si="1"/>
        <v>26</v>
      </c>
      <c r="AJ15" s="1488">
        <f t="shared" si="2"/>
        <v>0</v>
      </c>
      <c r="AK15" s="1488">
        <f t="shared" si="3"/>
        <v>0</v>
      </c>
      <c r="AL15" s="2725">
        <f t="shared" si="4"/>
        <v>26</v>
      </c>
      <c r="AM15" s="1050"/>
    </row>
    <row r="16" spans="1:45" ht="31.5" customHeight="1">
      <c r="A16" s="1050">
        <v>5</v>
      </c>
      <c r="B16" s="1044"/>
      <c r="C16" s="2728" t="s">
        <v>1469</v>
      </c>
      <c r="D16" s="2728" t="s">
        <v>1423</v>
      </c>
      <c r="E16" s="1044" t="s">
        <v>164</v>
      </c>
      <c r="F16" s="1044" t="s">
        <v>164</v>
      </c>
      <c r="G16" s="1044" t="s">
        <v>164</v>
      </c>
      <c r="H16" s="1044" t="s">
        <v>164</v>
      </c>
      <c r="I16" s="1044" t="s">
        <v>164</v>
      </c>
      <c r="J16" s="1044"/>
      <c r="K16" s="1044" t="s">
        <v>164</v>
      </c>
      <c r="L16" s="1044" t="s">
        <v>164</v>
      </c>
      <c r="M16" s="1044" t="s">
        <v>164</v>
      </c>
      <c r="N16" s="1044" t="s">
        <v>164</v>
      </c>
      <c r="O16" s="1044" t="s">
        <v>164</v>
      </c>
      <c r="P16" s="1044" t="s">
        <v>164</v>
      </c>
      <c r="Q16" s="1044"/>
      <c r="R16" s="1044" t="s">
        <v>164</v>
      </c>
      <c r="S16" s="1044" t="s">
        <v>164</v>
      </c>
      <c r="T16" s="1044" t="s">
        <v>164</v>
      </c>
      <c r="U16" s="1044" t="s">
        <v>164</v>
      </c>
      <c r="V16" s="1044" t="s">
        <v>164</v>
      </c>
      <c r="W16" s="1044" t="s">
        <v>164</v>
      </c>
      <c r="X16" s="1044"/>
      <c r="Y16" s="1044" t="s">
        <v>164</v>
      </c>
      <c r="Z16" s="1044" t="s">
        <v>164</v>
      </c>
      <c r="AA16" s="1044" t="s">
        <v>164</v>
      </c>
      <c r="AB16" s="1044" t="s">
        <v>164</v>
      </c>
      <c r="AC16" s="1044" t="s">
        <v>164</v>
      </c>
      <c r="AD16" s="1044" t="s">
        <v>164</v>
      </c>
      <c r="AE16" s="1044"/>
      <c r="AF16" s="1044" t="s">
        <v>164</v>
      </c>
      <c r="AG16" s="1044" t="s">
        <v>164</v>
      </c>
      <c r="AH16" s="1044" t="s">
        <v>164</v>
      </c>
      <c r="AI16" s="1488">
        <f t="shared" si="1"/>
        <v>26</v>
      </c>
      <c r="AJ16" s="1488">
        <f t="shared" si="2"/>
        <v>0</v>
      </c>
      <c r="AK16" s="1488">
        <f t="shared" si="3"/>
        <v>0</v>
      </c>
      <c r="AL16" s="2725">
        <f t="shared" si="4"/>
        <v>26</v>
      </c>
      <c r="AM16" s="1050"/>
    </row>
    <row r="17" spans="1:39" ht="31.5" customHeight="1">
      <c r="A17" s="1050">
        <v>6</v>
      </c>
      <c r="B17" s="1044"/>
      <c r="C17" s="2728" t="s">
        <v>1152</v>
      </c>
      <c r="D17" s="2728" t="s">
        <v>60</v>
      </c>
      <c r="E17" s="1044" t="s">
        <v>164</v>
      </c>
      <c r="F17" s="1044" t="s">
        <v>164</v>
      </c>
      <c r="G17" s="1044" t="s">
        <v>164</v>
      </c>
      <c r="H17" s="1044" t="s">
        <v>164</v>
      </c>
      <c r="I17" s="1044" t="s">
        <v>164</v>
      </c>
      <c r="J17" s="1044"/>
      <c r="K17" s="1044" t="s">
        <v>164</v>
      </c>
      <c r="L17" s="1044" t="s">
        <v>164</v>
      </c>
      <c r="M17" s="1044" t="s">
        <v>164</v>
      </c>
      <c r="N17" s="1044" t="s">
        <v>164</v>
      </c>
      <c r="O17" s="1044" t="s">
        <v>164</v>
      </c>
      <c r="P17" s="1044" t="s">
        <v>164</v>
      </c>
      <c r="Q17" s="1044"/>
      <c r="R17" s="1044" t="s">
        <v>164</v>
      </c>
      <c r="S17" s="1044" t="s">
        <v>164</v>
      </c>
      <c r="T17" s="1044" t="s">
        <v>164</v>
      </c>
      <c r="U17" s="1044" t="s">
        <v>164</v>
      </c>
      <c r="V17" s="1044" t="s">
        <v>164</v>
      </c>
      <c r="W17" s="1044" t="s">
        <v>164</v>
      </c>
      <c r="X17" s="1044"/>
      <c r="Y17" s="1044" t="s">
        <v>164</v>
      </c>
      <c r="Z17" s="1044" t="s">
        <v>164</v>
      </c>
      <c r="AA17" s="1044" t="s">
        <v>164</v>
      </c>
      <c r="AB17" s="1044" t="s">
        <v>164</v>
      </c>
      <c r="AC17" s="1044" t="s">
        <v>164</v>
      </c>
      <c r="AD17" s="1044" t="s">
        <v>164</v>
      </c>
      <c r="AE17" s="1044"/>
      <c r="AF17" s="1044" t="s">
        <v>164</v>
      </c>
      <c r="AG17" s="1044" t="s">
        <v>164</v>
      </c>
      <c r="AH17" s="1044" t="s">
        <v>164</v>
      </c>
      <c r="AI17" s="1488">
        <f t="shared" si="1"/>
        <v>26</v>
      </c>
      <c r="AJ17" s="1488">
        <f t="shared" si="2"/>
        <v>0</v>
      </c>
      <c r="AK17" s="1488">
        <f t="shared" si="3"/>
        <v>0</v>
      </c>
      <c r="AL17" s="2725">
        <f t="shared" si="4"/>
        <v>26</v>
      </c>
      <c r="AM17" s="1050"/>
    </row>
    <row r="18" spans="1:39" ht="31.5" customHeight="1">
      <c r="A18" s="1050">
        <v>7</v>
      </c>
      <c r="B18" s="1044"/>
      <c r="C18" s="2728" t="s">
        <v>1470</v>
      </c>
      <c r="D18" s="2728" t="s">
        <v>53</v>
      </c>
      <c r="E18" s="1044" t="s">
        <v>164</v>
      </c>
      <c r="F18" s="1044" t="s">
        <v>164</v>
      </c>
      <c r="G18" s="1044" t="s">
        <v>164</v>
      </c>
      <c r="H18" s="1044" t="s">
        <v>164</v>
      </c>
      <c r="I18" s="1044" t="s">
        <v>164</v>
      </c>
      <c r="J18" s="1044"/>
      <c r="K18" s="1044" t="s">
        <v>164</v>
      </c>
      <c r="L18" s="1044" t="s">
        <v>164</v>
      </c>
      <c r="M18" s="1044" t="s">
        <v>164</v>
      </c>
      <c r="N18" s="1044" t="s">
        <v>164</v>
      </c>
      <c r="O18" s="1044" t="s">
        <v>164</v>
      </c>
      <c r="P18" s="1044" t="s">
        <v>164</v>
      </c>
      <c r="Q18" s="1044"/>
      <c r="R18" s="1044" t="s">
        <v>164</v>
      </c>
      <c r="S18" s="1044" t="s">
        <v>164</v>
      </c>
      <c r="T18" s="1044" t="s">
        <v>164</v>
      </c>
      <c r="U18" s="1044" t="s">
        <v>164</v>
      </c>
      <c r="V18" s="1044" t="s">
        <v>164</v>
      </c>
      <c r="W18" s="1044" t="s">
        <v>164</v>
      </c>
      <c r="X18" s="1044"/>
      <c r="Y18" s="1044" t="s">
        <v>707</v>
      </c>
      <c r="Z18" s="1044" t="s">
        <v>707</v>
      </c>
      <c r="AA18" s="1044" t="s">
        <v>707</v>
      </c>
      <c r="AB18" s="1044" t="s">
        <v>707</v>
      </c>
      <c r="AC18" s="1044" t="s">
        <v>707</v>
      </c>
      <c r="AD18" s="1044" t="s">
        <v>707</v>
      </c>
      <c r="AE18" s="1044"/>
      <c r="AF18" s="1044" t="s">
        <v>164</v>
      </c>
      <c r="AG18" s="1044" t="s">
        <v>164</v>
      </c>
      <c r="AH18" s="1044" t="s">
        <v>164</v>
      </c>
      <c r="AI18" s="1488">
        <f t="shared" si="1"/>
        <v>20</v>
      </c>
      <c r="AJ18" s="1488">
        <f t="shared" si="2"/>
        <v>6</v>
      </c>
      <c r="AK18" s="1488">
        <f t="shared" si="3"/>
        <v>0</v>
      </c>
      <c r="AL18" s="2725">
        <f t="shared" si="4"/>
        <v>26</v>
      </c>
      <c r="AM18" s="1050"/>
    </row>
    <row r="19" spans="1:39" ht="31.5" customHeight="1">
      <c r="A19" s="1050">
        <v>8</v>
      </c>
      <c r="B19" s="1044"/>
      <c r="C19" s="2728" t="s">
        <v>32</v>
      </c>
      <c r="D19" s="2728" t="s">
        <v>53</v>
      </c>
      <c r="E19" s="1044" t="s">
        <v>164</v>
      </c>
      <c r="F19" s="1044" t="s">
        <v>164</v>
      </c>
      <c r="G19" s="1044" t="s">
        <v>164</v>
      </c>
      <c r="H19" s="1044" t="s">
        <v>164</v>
      </c>
      <c r="I19" s="1044" t="s">
        <v>164</v>
      </c>
      <c r="J19" s="1044"/>
      <c r="K19" s="1044" t="s">
        <v>164</v>
      </c>
      <c r="L19" s="1044" t="s">
        <v>164</v>
      </c>
      <c r="M19" s="1044" t="s">
        <v>164</v>
      </c>
      <c r="N19" s="1044" t="s">
        <v>164</v>
      </c>
      <c r="O19" s="1044" t="s">
        <v>164</v>
      </c>
      <c r="P19" s="1044" t="s">
        <v>164</v>
      </c>
      <c r="Q19" s="1044"/>
      <c r="R19" s="1044" t="s">
        <v>164</v>
      </c>
      <c r="S19" s="1044" t="s">
        <v>164</v>
      </c>
      <c r="T19" s="1044" t="s">
        <v>164</v>
      </c>
      <c r="U19" s="1044" t="s">
        <v>164</v>
      </c>
      <c r="V19" s="1044" t="s">
        <v>164</v>
      </c>
      <c r="W19" s="1044" t="s">
        <v>164</v>
      </c>
      <c r="X19" s="1044"/>
      <c r="Y19" s="1044" t="s">
        <v>164</v>
      </c>
      <c r="Z19" s="1044" t="s">
        <v>164</v>
      </c>
      <c r="AA19" s="1044" t="s">
        <v>164</v>
      </c>
      <c r="AB19" s="1044" t="s">
        <v>164</v>
      </c>
      <c r="AC19" s="1044" t="s">
        <v>164</v>
      </c>
      <c r="AD19" s="1044" t="s">
        <v>164</v>
      </c>
      <c r="AE19" s="1044"/>
      <c r="AF19" s="1044" t="s">
        <v>164</v>
      </c>
      <c r="AG19" s="1044" t="s">
        <v>164</v>
      </c>
      <c r="AH19" s="1044" t="s">
        <v>164</v>
      </c>
      <c r="AI19" s="1488">
        <f t="shared" si="1"/>
        <v>26</v>
      </c>
      <c r="AJ19" s="1488">
        <f t="shared" si="2"/>
        <v>0</v>
      </c>
      <c r="AK19" s="1488">
        <f t="shared" si="3"/>
        <v>0</v>
      </c>
      <c r="AL19" s="2725">
        <f t="shared" si="4"/>
        <v>26</v>
      </c>
      <c r="AM19" s="1050"/>
    </row>
    <row r="20" spans="1:39" ht="31.5" customHeight="1">
      <c r="A20" s="1050">
        <v>9</v>
      </c>
      <c r="B20" s="1044"/>
      <c r="C20" s="1050" t="s">
        <v>1480</v>
      </c>
      <c r="D20" s="1050" t="s">
        <v>54</v>
      </c>
      <c r="E20" s="1044" t="s">
        <v>164</v>
      </c>
      <c r="F20" s="1044" t="s">
        <v>164</v>
      </c>
      <c r="G20" s="1044" t="s">
        <v>164</v>
      </c>
      <c r="H20" s="1044" t="s">
        <v>164</v>
      </c>
      <c r="I20" s="1044" t="s">
        <v>164</v>
      </c>
      <c r="J20" s="1044"/>
      <c r="K20" s="1044" t="s">
        <v>164</v>
      </c>
      <c r="L20" s="1044" t="s">
        <v>164</v>
      </c>
      <c r="M20" s="1044" t="s">
        <v>164</v>
      </c>
      <c r="N20" s="1044" t="s">
        <v>164</v>
      </c>
      <c r="O20" s="1044" t="s">
        <v>164</v>
      </c>
      <c r="P20" s="1044" t="s">
        <v>164</v>
      </c>
      <c r="Q20" s="1044"/>
      <c r="R20" s="1044" t="s">
        <v>164</v>
      </c>
      <c r="S20" s="1044" t="s">
        <v>164</v>
      </c>
      <c r="T20" s="1044" t="s">
        <v>164</v>
      </c>
      <c r="U20" s="1044" t="s">
        <v>164</v>
      </c>
      <c r="V20" s="1044" t="s">
        <v>164</v>
      </c>
      <c r="W20" s="1044" t="s">
        <v>707</v>
      </c>
      <c r="X20" s="1044"/>
      <c r="Y20" s="1044" t="s">
        <v>707</v>
      </c>
      <c r="Z20" s="1044" t="s">
        <v>707</v>
      </c>
      <c r="AA20" s="1044" t="s">
        <v>707</v>
      </c>
      <c r="AB20" s="1044" t="s">
        <v>707</v>
      </c>
      <c r="AC20" s="1044" t="s">
        <v>707</v>
      </c>
      <c r="AD20" s="1044" t="s">
        <v>164</v>
      </c>
      <c r="AE20" s="1044"/>
      <c r="AF20" s="1044" t="s">
        <v>164</v>
      </c>
      <c r="AG20" s="1044" t="s">
        <v>164</v>
      </c>
      <c r="AH20" s="1044" t="s">
        <v>164</v>
      </c>
      <c r="AI20" s="1488">
        <f t="shared" si="1"/>
        <v>20</v>
      </c>
      <c r="AJ20" s="1488">
        <f t="shared" si="2"/>
        <v>6</v>
      </c>
      <c r="AK20" s="1488">
        <f t="shared" si="3"/>
        <v>0</v>
      </c>
      <c r="AL20" s="2725">
        <f t="shared" si="4"/>
        <v>26</v>
      </c>
      <c r="AM20" s="1050"/>
    </row>
    <row r="21" spans="1:39" ht="31.5" customHeight="1">
      <c r="A21" s="1050">
        <v>10</v>
      </c>
      <c r="B21" s="1044"/>
      <c r="C21" s="2728" t="s">
        <v>319</v>
      </c>
      <c r="D21" s="2728" t="s">
        <v>54</v>
      </c>
      <c r="E21" s="1044" t="s">
        <v>164</v>
      </c>
      <c r="F21" s="1044" t="s">
        <v>164</v>
      </c>
      <c r="G21" s="1044" t="s">
        <v>164</v>
      </c>
      <c r="H21" s="1044" t="s">
        <v>164</v>
      </c>
      <c r="I21" s="1044" t="s">
        <v>164</v>
      </c>
      <c r="J21" s="1044"/>
      <c r="K21" s="1044" t="s">
        <v>164</v>
      </c>
      <c r="L21" s="1044" t="s">
        <v>164</v>
      </c>
      <c r="M21" s="1044" t="s">
        <v>164</v>
      </c>
      <c r="N21" s="1044" t="s">
        <v>164</v>
      </c>
      <c r="O21" s="1044" t="s">
        <v>164</v>
      </c>
      <c r="P21" s="1044" t="s">
        <v>164</v>
      </c>
      <c r="Q21" s="1044"/>
      <c r="R21" s="1044" t="s">
        <v>164</v>
      </c>
      <c r="S21" s="1044" t="s">
        <v>164</v>
      </c>
      <c r="T21" s="1044" t="s">
        <v>164</v>
      </c>
      <c r="U21" s="1044" t="s">
        <v>164</v>
      </c>
      <c r="V21" s="1044" t="s">
        <v>164</v>
      </c>
      <c r="W21" s="1044" t="s">
        <v>164</v>
      </c>
      <c r="X21" s="1044"/>
      <c r="Y21" s="1044" t="s">
        <v>164</v>
      </c>
      <c r="Z21" s="1044" t="s">
        <v>164</v>
      </c>
      <c r="AA21" s="1044" t="s">
        <v>164</v>
      </c>
      <c r="AB21" s="1044" t="s">
        <v>164</v>
      </c>
      <c r="AC21" s="1044" t="s">
        <v>164</v>
      </c>
      <c r="AD21" s="1044" t="s">
        <v>164</v>
      </c>
      <c r="AE21" s="1044"/>
      <c r="AF21" s="1044" t="s">
        <v>164</v>
      </c>
      <c r="AG21" s="1044" t="s">
        <v>164</v>
      </c>
      <c r="AH21" s="1044" t="s">
        <v>164</v>
      </c>
      <c r="AI21" s="1488">
        <f t="shared" si="1"/>
        <v>26</v>
      </c>
      <c r="AJ21" s="1488">
        <f t="shared" si="2"/>
        <v>0</v>
      </c>
      <c r="AK21" s="1488">
        <f t="shared" si="3"/>
        <v>0</v>
      </c>
      <c r="AL21" s="2725">
        <f t="shared" si="4"/>
        <v>26</v>
      </c>
      <c r="AM21" s="1050"/>
    </row>
    <row r="22" spans="1:39" ht="31.5" customHeight="1">
      <c r="A22" s="1050">
        <v>11</v>
      </c>
      <c r="B22" s="1044"/>
      <c r="C22" s="1050" t="s">
        <v>37</v>
      </c>
      <c r="D22" s="1050" t="s">
        <v>54</v>
      </c>
      <c r="E22" s="1044" t="s">
        <v>164</v>
      </c>
      <c r="F22" s="1044" t="s">
        <v>164</v>
      </c>
      <c r="G22" s="1044" t="s">
        <v>164</v>
      </c>
      <c r="H22" s="1044" t="s">
        <v>164</v>
      </c>
      <c r="I22" s="1044" t="s">
        <v>164</v>
      </c>
      <c r="J22" s="1044"/>
      <c r="K22" s="1044" t="s">
        <v>164</v>
      </c>
      <c r="L22" s="1044" t="s">
        <v>164</v>
      </c>
      <c r="M22" s="1044" t="s">
        <v>164</v>
      </c>
      <c r="N22" s="1044" t="s">
        <v>164</v>
      </c>
      <c r="O22" s="1044" t="s">
        <v>164</v>
      </c>
      <c r="P22" s="1044" t="s">
        <v>164</v>
      </c>
      <c r="Q22" s="1044"/>
      <c r="R22" s="1044" t="s">
        <v>164</v>
      </c>
      <c r="S22" s="1044" t="s">
        <v>164</v>
      </c>
      <c r="T22" s="1044" t="s">
        <v>164</v>
      </c>
      <c r="U22" s="1044" t="s">
        <v>164</v>
      </c>
      <c r="V22" s="1044" t="s">
        <v>164</v>
      </c>
      <c r="W22" s="1044" t="s">
        <v>164</v>
      </c>
      <c r="X22" s="1044"/>
      <c r="Y22" s="1044" t="s">
        <v>164</v>
      </c>
      <c r="Z22" s="1044" t="s">
        <v>164</v>
      </c>
      <c r="AA22" s="1044" t="s">
        <v>164</v>
      </c>
      <c r="AB22" s="1044" t="s">
        <v>164</v>
      </c>
      <c r="AC22" s="1044" t="s">
        <v>164</v>
      </c>
      <c r="AD22" s="1044" t="s">
        <v>164</v>
      </c>
      <c r="AE22" s="1044"/>
      <c r="AF22" s="1044" t="s">
        <v>164</v>
      </c>
      <c r="AG22" s="1044" t="s">
        <v>164</v>
      </c>
      <c r="AH22" s="1044" t="s">
        <v>164</v>
      </c>
      <c r="AI22" s="1488">
        <f t="shared" si="1"/>
        <v>26</v>
      </c>
      <c r="AJ22" s="1488">
        <f t="shared" si="2"/>
        <v>0</v>
      </c>
      <c r="AK22" s="1488">
        <f t="shared" si="3"/>
        <v>0</v>
      </c>
      <c r="AL22" s="2725">
        <f t="shared" si="4"/>
        <v>26</v>
      </c>
      <c r="AM22" s="1050"/>
    </row>
    <row r="23" spans="1:39" ht="31.5" customHeight="1">
      <c r="A23" s="1050">
        <v>12</v>
      </c>
      <c r="B23" s="1044"/>
      <c r="C23" s="2728" t="s">
        <v>1473</v>
      </c>
      <c r="D23" s="2728" t="s">
        <v>1474</v>
      </c>
      <c r="E23" s="1044" t="s">
        <v>164</v>
      </c>
      <c r="F23" s="1044" t="s">
        <v>164</v>
      </c>
      <c r="G23" s="1044" t="s">
        <v>164</v>
      </c>
      <c r="H23" s="1044" t="s">
        <v>164</v>
      </c>
      <c r="I23" s="1044" t="s">
        <v>164</v>
      </c>
      <c r="J23" s="1044"/>
      <c r="K23" s="1044" t="s">
        <v>164</v>
      </c>
      <c r="L23" s="1044" t="s">
        <v>164</v>
      </c>
      <c r="M23" s="1044" t="s">
        <v>164</v>
      </c>
      <c r="N23" s="1044" t="s">
        <v>164</v>
      </c>
      <c r="O23" s="1044" t="s">
        <v>164</v>
      </c>
      <c r="P23" s="1044" t="s">
        <v>164</v>
      </c>
      <c r="Q23" s="1044"/>
      <c r="R23" s="1044" t="s">
        <v>164</v>
      </c>
      <c r="S23" s="1044" t="s">
        <v>164</v>
      </c>
      <c r="T23" s="1044" t="s">
        <v>164</v>
      </c>
      <c r="U23" s="1044" t="s">
        <v>164</v>
      </c>
      <c r="V23" s="1044" t="s">
        <v>164</v>
      </c>
      <c r="W23" s="1044" t="s">
        <v>164</v>
      </c>
      <c r="X23" s="1044"/>
      <c r="Y23" s="1044" t="s">
        <v>164</v>
      </c>
      <c r="Z23" s="1044" t="s">
        <v>164</v>
      </c>
      <c r="AA23" s="1044" t="s">
        <v>164</v>
      </c>
      <c r="AB23" s="1044" t="s">
        <v>164</v>
      </c>
      <c r="AC23" s="1044" t="s">
        <v>164</v>
      </c>
      <c r="AD23" s="1044" t="s">
        <v>164</v>
      </c>
      <c r="AE23" s="1044"/>
      <c r="AF23" s="1044" t="s">
        <v>164</v>
      </c>
      <c r="AG23" s="1044" t="s">
        <v>164</v>
      </c>
      <c r="AH23" s="1044" t="s">
        <v>164</v>
      </c>
      <c r="AI23" s="1488">
        <f t="shared" si="1"/>
        <v>26</v>
      </c>
      <c r="AJ23" s="1488">
        <f t="shared" si="2"/>
        <v>0</v>
      </c>
      <c r="AK23" s="1488">
        <f t="shared" si="3"/>
        <v>0</v>
      </c>
      <c r="AL23" s="2725">
        <f t="shared" si="4"/>
        <v>26</v>
      </c>
      <c r="AM23" s="1050"/>
    </row>
    <row r="24" spans="1:39" ht="31.5" customHeight="1">
      <c r="A24" s="1050">
        <v>13</v>
      </c>
      <c r="B24" s="1044"/>
      <c r="C24" s="2726" t="s">
        <v>1165</v>
      </c>
      <c r="D24" s="2726" t="s">
        <v>1474</v>
      </c>
      <c r="E24" s="1044" t="s">
        <v>164</v>
      </c>
      <c r="F24" s="1044" t="s">
        <v>164</v>
      </c>
      <c r="G24" s="1044" t="s">
        <v>164</v>
      </c>
      <c r="H24" s="1044" t="s">
        <v>164</v>
      </c>
      <c r="I24" s="1044" t="s">
        <v>164</v>
      </c>
      <c r="J24" s="1044"/>
      <c r="K24" s="1044" t="s">
        <v>164</v>
      </c>
      <c r="L24" s="1044" t="s">
        <v>164</v>
      </c>
      <c r="M24" s="1044" t="s">
        <v>164</v>
      </c>
      <c r="N24" s="1044" t="s">
        <v>164</v>
      </c>
      <c r="O24" s="1044" t="s">
        <v>164</v>
      </c>
      <c r="P24" s="1044" t="s">
        <v>164</v>
      </c>
      <c r="Q24" s="1044"/>
      <c r="R24" s="1044" t="s">
        <v>164</v>
      </c>
      <c r="S24" s="1044" t="s">
        <v>164</v>
      </c>
      <c r="T24" s="1044" t="s">
        <v>164</v>
      </c>
      <c r="U24" s="1044" t="s">
        <v>164</v>
      </c>
      <c r="V24" s="1044" t="s">
        <v>164</v>
      </c>
      <c r="W24" s="1044" t="s">
        <v>164</v>
      </c>
      <c r="X24" s="1044"/>
      <c r="Y24" s="1044" t="s">
        <v>164</v>
      </c>
      <c r="Z24" s="1044" t="s">
        <v>164</v>
      </c>
      <c r="AA24" s="1044" t="s">
        <v>164</v>
      </c>
      <c r="AB24" s="1044" t="s">
        <v>164</v>
      </c>
      <c r="AC24" s="1044" t="s">
        <v>164</v>
      </c>
      <c r="AD24" s="1044" t="s">
        <v>164</v>
      </c>
      <c r="AE24" s="1044"/>
      <c r="AF24" s="1044" t="s">
        <v>164</v>
      </c>
      <c r="AG24" s="1044" t="s">
        <v>164</v>
      </c>
      <c r="AH24" s="1044" t="s">
        <v>164</v>
      </c>
      <c r="AI24" s="1488">
        <f t="shared" si="1"/>
        <v>26</v>
      </c>
      <c r="AJ24" s="1488">
        <f t="shared" si="2"/>
        <v>0</v>
      </c>
      <c r="AK24" s="1488">
        <f t="shared" si="3"/>
        <v>0</v>
      </c>
      <c r="AL24" s="2725">
        <f t="shared" si="4"/>
        <v>26</v>
      </c>
      <c r="AM24" s="1050"/>
    </row>
    <row r="25" spans="1:39" ht="31.5" customHeight="1">
      <c r="A25" s="1050">
        <v>14</v>
      </c>
      <c r="B25" s="1044"/>
      <c r="C25" s="1050" t="s">
        <v>1478</v>
      </c>
      <c r="D25" s="1050" t="s">
        <v>1474</v>
      </c>
      <c r="E25" s="1044" t="s">
        <v>164</v>
      </c>
      <c r="F25" s="1044" t="s">
        <v>164</v>
      </c>
      <c r="G25" s="1044" t="s">
        <v>164</v>
      </c>
      <c r="H25" s="1044" t="s">
        <v>164</v>
      </c>
      <c r="I25" s="1044" t="s">
        <v>164</v>
      </c>
      <c r="J25" s="1044"/>
      <c r="K25" s="1044" t="s">
        <v>164</v>
      </c>
      <c r="L25" s="1044" t="s">
        <v>164</v>
      </c>
      <c r="M25" s="1044" t="s">
        <v>164</v>
      </c>
      <c r="N25" s="1044" t="s">
        <v>164</v>
      </c>
      <c r="O25" s="1044" t="s">
        <v>164</v>
      </c>
      <c r="P25" s="1044" t="s">
        <v>164</v>
      </c>
      <c r="Q25" s="1044"/>
      <c r="R25" s="1044" t="s">
        <v>164</v>
      </c>
      <c r="S25" s="1044" t="s">
        <v>164</v>
      </c>
      <c r="T25" s="1044" t="s">
        <v>164</v>
      </c>
      <c r="U25" s="1044" t="s">
        <v>164</v>
      </c>
      <c r="V25" s="1044" t="s">
        <v>164</v>
      </c>
      <c r="W25" s="1044" t="s">
        <v>164</v>
      </c>
      <c r="X25" s="1044"/>
      <c r="Y25" s="1044" t="s">
        <v>164</v>
      </c>
      <c r="Z25" s="1044" t="s">
        <v>164</v>
      </c>
      <c r="AA25" s="1044" t="s">
        <v>164</v>
      </c>
      <c r="AB25" s="1044" t="s">
        <v>164</v>
      </c>
      <c r="AC25" s="1044" t="s">
        <v>164</v>
      </c>
      <c r="AD25" s="1044" t="s">
        <v>164</v>
      </c>
      <c r="AE25" s="1044"/>
      <c r="AF25" s="1044" t="s">
        <v>164</v>
      </c>
      <c r="AG25" s="1044" t="s">
        <v>164</v>
      </c>
      <c r="AH25" s="1044" t="s">
        <v>164</v>
      </c>
      <c r="AI25" s="1488">
        <f t="shared" si="1"/>
        <v>26</v>
      </c>
      <c r="AJ25" s="1488">
        <f t="shared" si="2"/>
        <v>0</v>
      </c>
      <c r="AK25" s="1488">
        <f t="shared" si="3"/>
        <v>0</v>
      </c>
      <c r="AL25" s="2725">
        <f t="shared" si="4"/>
        <v>26</v>
      </c>
      <c r="AM25" s="1050"/>
    </row>
    <row r="26" spans="1:39" ht="31.5" customHeight="1">
      <c r="A26" s="1050">
        <v>15</v>
      </c>
      <c r="B26" s="1044"/>
      <c r="C26" s="1050" t="s">
        <v>1479</v>
      </c>
      <c r="D26" s="1050" t="s">
        <v>1474</v>
      </c>
      <c r="E26" s="1044" t="s">
        <v>164</v>
      </c>
      <c r="F26" s="1044" t="s">
        <v>164</v>
      </c>
      <c r="G26" s="1044" t="s">
        <v>164</v>
      </c>
      <c r="H26" s="1044" t="s">
        <v>164</v>
      </c>
      <c r="I26" s="1044" t="s">
        <v>164</v>
      </c>
      <c r="J26" s="1044"/>
      <c r="K26" s="1044" t="s">
        <v>164</v>
      </c>
      <c r="L26" s="1044" t="s">
        <v>164</v>
      </c>
      <c r="M26" s="1044" t="s">
        <v>164</v>
      </c>
      <c r="N26" s="1044" t="s">
        <v>164</v>
      </c>
      <c r="O26" s="1044" t="s">
        <v>164</v>
      </c>
      <c r="P26" s="1044" t="s">
        <v>164</v>
      </c>
      <c r="Q26" s="1044"/>
      <c r="R26" s="1044" t="s">
        <v>164</v>
      </c>
      <c r="S26" s="1044" t="s">
        <v>164</v>
      </c>
      <c r="T26" s="1044" t="s">
        <v>164</v>
      </c>
      <c r="U26" s="1044" t="s">
        <v>164</v>
      </c>
      <c r="V26" s="1044" t="s">
        <v>164</v>
      </c>
      <c r="W26" s="1044" t="s">
        <v>164</v>
      </c>
      <c r="X26" s="1044"/>
      <c r="Y26" s="1044" t="s">
        <v>164</v>
      </c>
      <c r="Z26" s="1044" t="s">
        <v>164</v>
      </c>
      <c r="AA26" s="1044" t="s">
        <v>164</v>
      </c>
      <c r="AB26" s="1044" t="s">
        <v>164</v>
      </c>
      <c r="AC26" s="1044" t="s">
        <v>164</v>
      </c>
      <c r="AD26" s="1044" t="s">
        <v>164</v>
      </c>
      <c r="AE26" s="1044"/>
      <c r="AF26" s="1044" t="s">
        <v>164</v>
      </c>
      <c r="AG26" s="1044" t="s">
        <v>164</v>
      </c>
      <c r="AH26" s="1044" t="s">
        <v>164</v>
      </c>
      <c r="AI26" s="1488">
        <f t="shared" si="1"/>
        <v>26</v>
      </c>
      <c r="AJ26" s="1488">
        <f t="shared" si="2"/>
        <v>0</v>
      </c>
      <c r="AK26" s="1488">
        <f t="shared" si="3"/>
        <v>0</v>
      </c>
      <c r="AL26" s="2725">
        <f t="shared" si="4"/>
        <v>26</v>
      </c>
      <c r="AM26" s="1050"/>
    </row>
    <row r="27" spans="1:39" ht="31.5" customHeight="1">
      <c r="A27" s="1050">
        <v>16</v>
      </c>
      <c r="B27" s="1044"/>
      <c r="C27" s="2728" t="s">
        <v>1457</v>
      </c>
      <c r="D27" s="2728" t="s">
        <v>1471</v>
      </c>
      <c r="E27" s="1044" t="s">
        <v>164</v>
      </c>
      <c r="F27" s="1044" t="s">
        <v>164</v>
      </c>
      <c r="G27" s="1044" t="s">
        <v>164</v>
      </c>
      <c r="H27" s="1044" t="s">
        <v>164</v>
      </c>
      <c r="I27" s="1044" t="s">
        <v>164</v>
      </c>
      <c r="J27" s="1044"/>
      <c r="K27" s="1044" t="s">
        <v>164</v>
      </c>
      <c r="L27" s="1044" t="s">
        <v>164</v>
      </c>
      <c r="M27" s="1044" t="s">
        <v>164</v>
      </c>
      <c r="N27" s="1044" t="s">
        <v>164</v>
      </c>
      <c r="O27" s="1044" t="s">
        <v>164</v>
      </c>
      <c r="P27" s="1044" t="s">
        <v>164</v>
      </c>
      <c r="Q27" s="1044"/>
      <c r="R27" s="1044" t="s">
        <v>164</v>
      </c>
      <c r="S27" s="1044" t="s">
        <v>164</v>
      </c>
      <c r="T27" s="1044" t="s">
        <v>164</v>
      </c>
      <c r="U27" s="1044" t="s">
        <v>164</v>
      </c>
      <c r="V27" s="1044" t="s">
        <v>164</v>
      </c>
      <c r="W27" s="1044" t="s">
        <v>164</v>
      </c>
      <c r="X27" s="1044"/>
      <c r="Y27" s="1044" t="s">
        <v>164</v>
      </c>
      <c r="Z27" s="1044" t="s">
        <v>164</v>
      </c>
      <c r="AA27" s="1044" t="s">
        <v>164</v>
      </c>
      <c r="AB27" s="1044" t="s">
        <v>164</v>
      </c>
      <c r="AC27" s="1044" t="s">
        <v>164</v>
      </c>
      <c r="AD27" s="1044" t="s">
        <v>164</v>
      </c>
      <c r="AE27" s="1044"/>
      <c r="AF27" s="1044" t="s">
        <v>164</v>
      </c>
      <c r="AG27" s="1044" t="s">
        <v>164</v>
      </c>
      <c r="AH27" s="1044" t="s">
        <v>164</v>
      </c>
      <c r="AI27" s="1488">
        <f t="shared" si="1"/>
        <v>26</v>
      </c>
      <c r="AJ27" s="1488">
        <f t="shared" si="2"/>
        <v>0</v>
      </c>
      <c r="AK27" s="1488">
        <f t="shared" si="3"/>
        <v>0</v>
      </c>
      <c r="AL27" s="2725">
        <f t="shared" si="4"/>
        <v>26</v>
      </c>
      <c r="AM27" s="1050"/>
    </row>
    <row r="28" spans="1:39" ht="31.5" customHeight="1">
      <c r="A28" s="1050">
        <v>17</v>
      </c>
      <c r="B28" s="1044"/>
      <c r="C28" s="2728" t="s">
        <v>2100</v>
      </c>
      <c r="D28" s="2728" t="s">
        <v>1471</v>
      </c>
      <c r="E28" s="1044" t="s">
        <v>164</v>
      </c>
      <c r="F28" s="1044" t="s">
        <v>164</v>
      </c>
      <c r="G28" s="1044" t="s">
        <v>164</v>
      </c>
      <c r="H28" s="1044" t="s">
        <v>164</v>
      </c>
      <c r="I28" s="1044" t="s">
        <v>164</v>
      </c>
      <c r="J28" s="1044"/>
      <c r="K28" s="1044" t="s">
        <v>164</v>
      </c>
      <c r="L28" s="1044" t="s">
        <v>164</v>
      </c>
      <c r="M28" s="1044" t="s">
        <v>707</v>
      </c>
      <c r="N28" s="1044" t="s">
        <v>707</v>
      </c>
      <c r="O28" s="1044" t="s">
        <v>707</v>
      </c>
      <c r="P28" s="1044" t="s">
        <v>707</v>
      </c>
      <c r="Q28" s="1044"/>
      <c r="R28" s="1044" t="s">
        <v>164</v>
      </c>
      <c r="S28" s="1044" t="s">
        <v>164</v>
      </c>
      <c r="T28" s="1044" t="s">
        <v>164</v>
      </c>
      <c r="U28" s="1044" t="s">
        <v>164</v>
      </c>
      <c r="V28" s="1044" t="s">
        <v>164</v>
      </c>
      <c r="W28" s="1044" t="s">
        <v>164</v>
      </c>
      <c r="X28" s="1044"/>
      <c r="Y28" s="1044" t="s">
        <v>164</v>
      </c>
      <c r="Z28" s="1044" t="s">
        <v>164</v>
      </c>
      <c r="AA28" s="1044" t="s">
        <v>164</v>
      </c>
      <c r="AB28" s="1044" t="s">
        <v>164</v>
      </c>
      <c r="AC28" s="1044" t="s">
        <v>164</v>
      </c>
      <c r="AD28" s="1044" t="s">
        <v>164</v>
      </c>
      <c r="AE28" s="1044"/>
      <c r="AF28" s="1044" t="s">
        <v>164</v>
      </c>
      <c r="AG28" s="1044" t="s">
        <v>164</v>
      </c>
      <c r="AH28" s="1044" t="s">
        <v>164</v>
      </c>
      <c r="AI28" s="1488">
        <f t="shared" si="1"/>
        <v>22</v>
      </c>
      <c r="AJ28" s="1488">
        <f t="shared" si="2"/>
        <v>4</v>
      </c>
      <c r="AK28" s="1488">
        <f t="shared" si="3"/>
        <v>0</v>
      </c>
      <c r="AL28" s="2725">
        <f t="shared" si="4"/>
        <v>26</v>
      </c>
      <c r="AM28" s="1050"/>
    </row>
    <row r="29" spans="1:39" ht="31.5" customHeight="1">
      <c r="A29" s="1050">
        <v>18</v>
      </c>
      <c r="B29" s="1044"/>
      <c r="C29" s="2726" t="s">
        <v>1475</v>
      </c>
      <c r="D29" s="2726" t="s">
        <v>1476</v>
      </c>
      <c r="E29" s="1044" t="s">
        <v>164</v>
      </c>
      <c r="F29" s="1044" t="s">
        <v>164</v>
      </c>
      <c r="G29" s="1044" t="s">
        <v>164</v>
      </c>
      <c r="H29" s="1044" t="s">
        <v>164</v>
      </c>
      <c r="I29" s="1044" t="s">
        <v>164</v>
      </c>
      <c r="J29" s="1044"/>
      <c r="K29" s="1044" t="s">
        <v>164</v>
      </c>
      <c r="L29" s="1044" t="s">
        <v>164</v>
      </c>
      <c r="M29" s="1044" t="s">
        <v>164</v>
      </c>
      <c r="N29" s="1044" t="s">
        <v>164</v>
      </c>
      <c r="O29" s="1044" t="s">
        <v>164</v>
      </c>
      <c r="P29" s="1044" t="s">
        <v>164</v>
      </c>
      <c r="Q29" s="1044"/>
      <c r="R29" s="1044" t="s">
        <v>164</v>
      </c>
      <c r="S29" s="1044" t="s">
        <v>164</v>
      </c>
      <c r="T29" s="1044" t="s">
        <v>164</v>
      </c>
      <c r="U29" s="1044" t="s">
        <v>164</v>
      </c>
      <c r="V29" s="1044" t="s">
        <v>164</v>
      </c>
      <c r="W29" s="1044" t="s">
        <v>164</v>
      </c>
      <c r="X29" s="1044"/>
      <c r="Y29" s="1044" t="s">
        <v>164</v>
      </c>
      <c r="Z29" s="1044" t="s">
        <v>164</v>
      </c>
      <c r="AA29" s="1044" t="s">
        <v>164</v>
      </c>
      <c r="AB29" s="1044" t="s">
        <v>164</v>
      </c>
      <c r="AC29" s="1044" t="s">
        <v>164</v>
      </c>
      <c r="AD29" s="1044" t="s">
        <v>164</v>
      </c>
      <c r="AE29" s="1044"/>
      <c r="AF29" s="1044" t="s">
        <v>164</v>
      </c>
      <c r="AG29" s="1044" t="s">
        <v>164</v>
      </c>
      <c r="AH29" s="1044" t="s">
        <v>164</v>
      </c>
      <c r="AI29" s="1488">
        <f t="shared" si="1"/>
        <v>26</v>
      </c>
      <c r="AJ29" s="1488">
        <f t="shared" si="2"/>
        <v>0</v>
      </c>
      <c r="AK29" s="1488">
        <f t="shared" si="3"/>
        <v>0</v>
      </c>
      <c r="AL29" s="2725">
        <f t="shared" si="4"/>
        <v>26</v>
      </c>
      <c r="AM29" s="2729"/>
    </row>
    <row r="30" spans="1:39" ht="31.5" customHeight="1">
      <c r="A30" s="1050">
        <v>19</v>
      </c>
      <c r="B30" s="1044"/>
      <c r="C30" s="1050" t="s">
        <v>536</v>
      </c>
      <c r="D30" s="1050" t="s">
        <v>1481</v>
      </c>
      <c r="E30" s="1044" t="s">
        <v>164</v>
      </c>
      <c r="F30" s="1044" t="s">
        <v>164</v>
      </c>
      <c r="G30" s="1044" t="s">
        <v>164</v>
      </c>
      <c r="H30" s="1044" t="s">
        <v>164</v>
      </c>
      <c r="I30" s="1044" t="s">
        <v>164</v>
      </c>
      <c r="J30" s="1044"/>
      <c r="K30" s="1044" t="s">
        <v>164</v>
      </c>
      <c r="L30" s="1044" t="s">
        <v>164</v>
      </c>
      <c r="M30" s="1044" t="s">
        <v>164</v>
      </c>
      <c r="N30" s="1044" t="s">
        <v>164</v>
      </c>
      <c r="O30" s="1044" t="s">
        <v>164</v>
      </c>
      <c r="P30" s="1044" t="s">
        <v>164</v>
      </c>
      <c r="Q30" s="1044"/>
      <c r="R30" s="1044" t="s">
        <v>164</v>
      </c>
      <c r="S30" s="1044" t="s">
        <v>164</v>
      </c>
      <c r="T30" s="1044" t="s">
        <v>164</v>
      </c>
      <c r="U30" s="1044" t="s">
        <v>164</v>
      </c>
      <c r="V30" s="1044" t="s">
        <v>164</v>
      </c>
      <c r="W30" s="1044" t="s">
        <v>164</v>
      </c>
      <c r="X30" s="1044"/>
      <c r="Y30" s="1044" t="s">
        <v>164</v>
      </c>
      <c r="Z30" s="1044" t="s">
        <v>164</v>
      </c>
      <c r="AA30" s="1044" t="s">
        <v>164</v>
      </c>
      <c r="AB30" s="1044" t="s">
        <v>164</v>
      </c>
      <c r="AC30" s="1044" t="s">
        <v>164</v>
      </c>
      <c r="AD30" s="1044" t="s">
        <v>164</v>
      </c>
      <c r="AE30" s="1044"/>
      <c r="AF30" s="1044" t="s">
        <v>164</v>
      </c>
      <c r="AG30" s="1044" t="s">
        <v>164</v>
      </c>
      <c r="AH30" s="1044" t="s">
        <v>164</v>
      </c>
      <c r="AI30" s="1488">
        <f t="shared" si="1"/>
        <v>26</v>
      </c>
      <c r="AJ30" s="1488">
        <f t="shared" si="2"/>
        <v>0</v>
      </c>
      <c r="AK30" s="1488">
        <f t="shared" si="3"/>
        <v>0</v>
      </c>
      <c r="AL30" s="2725">
        <f t="shared" si="4"/>
        <v>26</v>
      </c>
      <c r="AM30" s="1050"/>
    </row>
    <row r="31" spans="1:39" ht="31.5" customHeight="1">
      <c r="A31" s="1050">
        <v>20</v>
      </c>
      <c r="B31" s="1044"/>
      <c r="C31" s="1050" t="s">
        <v>36</v>
      </c>
      <c r="D31" s="1050" t="s">
        <v>1477</v>
      </c>
      <c r="E31" s="1044" t="s">
        <v>164</v>
      </c>
      <c r="F31" s="1044" t="s">
        <v>164</v>
      </c>
      <c r="G31" s="1044" t="s">
        <v>164</v>
      </c>
      <c r="H31" s="1044" t="s">
        <v>164</v>
      </c>
      <c r="I31" s="1044" t="s">
        <v>164</v>
      </c>
      <c r="J31" s="1044"/>
      <c r="K31" s="1044" t="s">
        <v>164</v>
      </c>
      <c r="L31" s="1044" t="s">
        <v>164</v>
      </c>
      <c r="M31" s="1044" t="s">
        <v>164</v>
      </c>
      <c r="N31" s="1044" t="s">
        <v>164</v>
      </c>
      <c r="O31" s="1044" t="s">
        <v>164</v>
      </c>
      <c r="P31" s="1044" t="s">
        <v>164</v>
      </c>
      <c r="Q31" s="1044"/>
      <c r="R31" s="1044" t="s">
        <v>164</v>
      </c>
      <c r="S31" s="1044" t="s">
        <v>164</v>
      </c>
      <c r="T31" s="1044" t="s">
        <v>164</v>
      </c>
      <c r="U31" s="1044" t="s">
        <v>164</v>
      </c>
      <c r="V31" s="1044" t="s">
        <v>164</v>
      </c>
      <c r="W31" s="1044" t="s">
        <v>164</v>
      </c>
      <c r="X31" s="1044"/>
      <c r="Y31" s="1044" t="s">
        <v>164</v>
      </c>
      <c r="Z31" s="1044" t="s">
        <v>164</v>
      </c>
      <c r="AA31" s="1044" t="s">
        <v>164</v>
      </c>
      <c r="AB31" s="1044" t="s">
        <v>164</v>
      </c>
      <c r="AC31" s="1044" t="s">
        <v>164</v>
      </c>
      <c r="AD31" s="1044" t="s">
        <v>164</v>
      </c>
      <c r="AE31" s="1044"/>
      <c r="AF31" s="1044" t="s">
        <v>164</v>
      </c>
      <c r="AG31" s="1044" t="s">
        <v>164</v>
      </c>
      <c r="AH31" s="1044" t="s">
        <v>164</v>
      </c>
      <c r="AI31" s="1488">
        <f t="shared" si="1"/>
        <v>26</v>
      </c>
      <c r="AJ31" s="1488">
        <f t="shared" si="2"/>
        <v>0</v>
      </c>
      <c r="AK31" s="1488">
        <f t="shared" si="3"/>
        <v>0</v>
      </c>
      <c r="AL31" s="2725">
        <f t="shared" si="4"/>
        <v>26</v>
      </c>
      <c r="AM31" s="1050"/>
    </row>
    <row r="32" spans="1:39" ht="27.75" customHeight="1">
      <c r="A32" s="4692" t="s">
        <v>240</v>
      </c>
      <c r="B32" s="4692"/>
      <c r="C32" s="4692"/>
      <c r="D32" s="4692"/>
      <c r="E32" s="2370">
        <f>COUNTIF(E12:E31,"X")</f>
        <v>20</v>
      </c>
      <c r="F32" s="2370">
        <f t="shared" ref="F32:I32" si="5">COUNTIF(F12:F31,"X")</f>
        <v>20</v>
      </c>
      <c r="G32" s="2370">
        <f t="shared" si="5"/>
        <v>20</v>
      </c>
      <c r="H32" s="2370">
        <f t="shared" si="5"/>
        <v>20</v>
      </c>
      <c r="I32" s="2370">
        <f t="shared" si="5"/>
        <v>20</v>
      </c>
      <c r="J32" s="3658">
        <f>COUNTIF(J12:J31,"X")</f>
        <v>0</v>
      </c>
      <c r="K32" s="2370">
        <f>COUNTIF(K12:K31,"X")</f>
        <v>20</v>
      </c>
      <c r="L32" s="2370">
        <f t="shared" ref="L32:P32" si="6">COUNTIF(L12:L31,"X")</f>
        <v>20</v>
      </c>
      <c r="M32" s="2370">
        <f t="shared" si="6"/>
        <v>19</v>
      </c>
      <c r="N32" s="2370">
        <f t="shared" si="6"/>
        <v>19</v>
      </c>
      <c r="O32" s="2370">
        <f t="shared" si="6"/>
        <v>19</v>
      </c>
      <c r="P32" s="2370">
        <f t="shared" si="6"/>
        <v>19</v>
      </c>
      <c r="Q32" s="3658">
        <f t="shared" ref="Q32:AA32" si="7">COUNTIF(Q12:Q31,"X")</f>
        <v>0</v>
      </c>
      <c r="R32" s="2370">
        <f t="shared" si="7"/>
        <v>20</v>
      </c>
      <c r="S32" s="2370">
        <f t="shared" si="7"/>
        <v>20</v>
      </c>
      <c r="T32" s="2370">
        <f t="shared" si="7"/>
        <v>20</v>
      </c>
      <c r="U32" s="2370">
        <f t="shared" si="7"/>
        <v>20</v>
      </c>
      <c r="V32" s="2370">
        <f t="shared" si="7"/>
        <v>20</v>
      </c>
      <c r="W32" s="2370">
        <f t="shared" si="7"/>
        <v>19</v>
      </c>
      <c r="X32" s="2370">
        <f t="shared" si="7"/>
        <v>0</v>
      </c>
      <c r="Y32" s="2370">
        <f t="shared" si="7"/>
        <v>18</v>
      </c>
      <c r="Z32" s="2370">
        <f t="shared" si="7"/>
        <v>18</v>
      </c>
      <c r="AA32" s="2370">
        <f t="shared" si="7"/>
        <v>18</v>
      </c>
      <c r="AB32" s="2370">
        <f>COUNTIF(AB12:AB31,"X")</f>
        <v>18</v>
      </c>
      <c r="AC32" s="2370">
        <f>COUNTIF(AC12:AC31,"X")</f>
        <v>18</v>
      </c>
      <c r="AD32" s="2370">
        <f>COUNTIF(AD12:AD31,"X")</f>
        <v>19</v>
      </c>
      <c r="AE32" s="2370">
        <f>COUNTIF(AE12:AE31,"X")</f>
        <v>0</v>
      </c>
      <c r="AF32" s="2370">
        <f>COUNTIF(AF12:AF31,"X")</f>
        <v>20</v>
      </c>
      <c r="AG32" s="2370">
        <f>COUNTIF(AG12:AG31,"X")+COUNTIF(AG12:AG31,"TT")</f>
        <v>20</v>
      </c>
      <c r="AH32" s="2370">
        <f>COUNTIF(AH12:AH31,"X")+COUNTIF(AH12:AH31,"TT")</f>
        <v>20</v>
      </c>
      <c r="AI32" s="2370">
        <f>SUM(AI12:AI31)</f>
        <v>504</v>
      </c>
      <c r="AJ32" s="2370">
        <f>SUM(AJ12:AJ31)</f>
        <v>16</v>
      </c>
      <c r="AK32" s="2370">
        <f>SUM(AK12:AK31)</f>
        <v>0</v>
      </c>
      <c r="AL32" s="2370">
        <f>SUM(AL12:AL31)</f>
        <v>520</v>
      </c>
      <c r="AM32" s="2225"/>
    </row>
    <row r="33" spans="1:39">
      <c r="A33" s="2226" t="s">
        <v>1420</v>
      </c>
      <c r="AA33" s="4693" t="s">
        <v>2157</v>
      </c>
      <c r="AB33" s="4693"/>
      <c r="AC33" s="4693"/>
      <c r="AD33" s="4693"/>
      <c r="AE33" s="4693"/>
      <c r="AF33" s="4693"/>
      <c r="AG33" s="4693"/>
      <c r="AH33" s="4693"/>
      <c r="AI33" s="4693"/>
      <c r="AJ33" s="4693"/>
      <c r="AK33" s="4693"/>
      <c r="AL33" s="4693"/>
      <c r="AM33" s="4693"/>
    </row>
    <row r="34" spans="1:39">
      <c r="A34" s="3556" t="s">
        <v>164</v>
      </c>
      <c r="B34" s="1038" t="s">
        <v>982</v>
      </c>
      <c r="C34" s="1038" t="s">
        <v>1422</v>
      </c>
      <c r="D34" s="4228" t="s">
        <v>241</v>
      </c>
      <c r="E34" s="4228"/>
      <c r="F34" s="4228"/>
      <c r="G34" s="4228"/>
      <c r="H34" s="4228"/>
      <c r="I34" s="4228"/>
      <c r="J34" s="4228"/>
      <c r="K34" s="4228"/>
      <c r="L34" s="4228"/>
      <c r="M34" s="4228"/>
      <c r="N34" s="4228"/>
      <c r="O34" s="4228"/>
      <c r="P34" s="4694" t="s">
        <v>513</v>
      </c>
      <c r="Q34" s="4694"/>
      <c r="R34" s="4694"/>
      <c r="S34" s="4694"/>
      <c r="T34" s="4694"/>
      <c r="U34" s="4694"/>
      <c r="V34" s="4694"/>
      <c r="W34" s="4694"/>
      <c r="X34" s="4694"/>
      <c r="Y34" s="4694"/>
      <c r="Z34" s="4694"/>
      <c r="AA34" s="4694"/>
      <c r="AB34" s="4694" t="s">
        <v>21</v>
      </c>
      <c r="AC34" s="4694"/>
      <c r="AD34" s="4694"/>
      <c r="AE34" s="4694"/>
      <c r="AF34" s="4694"/>
      <c r="AG34" s="4694"/>
      <c r="AH34" s="4694"/>
      <c r="AI34" s="4694"/>
      <c r="AJ34" s="4694"/>
      <c r="AK34" s="4694"/>
      <c r="AL34" s="4694"/>
      <c r="AM34" s="4694"/>
    </row>
    <row r="35" spans="1:39">
      <c r="A35" s="3556" t="s">
        <v>707</v>
      </c>
      <c r="C35" s="1038" t="s">
        <v>1421</v>
      </c>
      <c r="AI35" s="1051"/>
      <c r="AJ35" s="1051"/>
    </row>
    <row r="36" spans="1:39">
      <c r="A36" s="3556"/>
      <c r="B36" s="1052"/>
    </row>
    <row r="37" spans="1:39" ht="15.75">
      <c r="AA37" s="4233"/>
      <c r="AB37" s="4233"/>
      <c r="AC37" s="4233"/>
      <c r="AD37" s="4233"/>
      <c r="AE37" s="4233"/>
      <c r="AF37" s="4233"/>
      <c r="AG37" s="4233"/>
      <c r="AH37" s="4233"/>
      <c r="AI37" s="4233"/>
      <c r="AJ37" s="3557"/>
    </row>
    <row r="38" spans="1:39">
      <c r="B38" s="4691"/>
      <c r="C38" s="4691"/>
      <c r="D38" s="3558"/>
      <c r="AB38" s="4230"/>
      <c r="AC38" s="4230"/>
      <c r="AD38" s="4230"/>
      <c r="AE38" s="4230"/>
      <c r="AF38" s="4230"/>
      <c r="AG38" s="4230"/>
      <c r="AH38" s="4230"/>
      <c r="AI38" s="4230"/>
      <c r="AJ38" s="3556"/>
    </row>
    <row r="39" spans="1:39" ht="27.75" customHeight="1">
      <c r="I39" s="1038"/>
    </row>
    <row r="40" spans="1:39">
      <c r="B40" s="4229"/>
      <c r="C40" s="4230"/>
      <c r="D40" s="3556"/>
      <c r="L40" s="4229"/>
      <c r="M40" s="4229"/>
      <c r="N40" s="4229"/>
      <c r="O40" s="4229"/>
      <c r="P40" s="4229"/>
      <c r="Q40" s="4229"/>
      <c r="R40" s="4229"/>
      <c r="S40" s="4229"/>
      <c r="T40" s="4229"/>
      <c r="U40" s="4229"/>
      <c r="AD40" s="4229"/>
      <c r="AE40" s="4229"/>
      <c r="AF40" s="4229"/>
      <c r="AG40" s="4229"/>
      <c r="AH40" s="4229"/>
      <c r="AI40" s="4229"/>
      <c r="AJ40" s="3559"/>
    </row>
  </sheetData>
  <mergeCells count="26">
    <mergeCell ref="A7:AM7"/>
    <mergeCell ref="A1:AM1"/>
    <mergeCell ref="A2:AM2"/>
    <mergeCell ref="A3:AM3"/>
    <mergeCell ref="A4:H4"/>
    <mergeCell ref="A5:H5"/>
    <mergeCell ref="A10:A11"/>
    <mergeCell ref="B10:B11"/>
    <mergeCell ref="C10:C11"/>
    <mergeCell ref="AI10:AI11"/>
    <mergeCell ref="AA37:AI37"/>
    <mergeCell ref="D10:D11"/>
    <mergeCell ref="AA33:AM33"/>
    <mergeCell ref="AB34:AM34"/>
    <mergeCell ref="P34:AA34"/>
    <mergeCell ref="D34:O34"/>
    <mergeCell ref="AM10:AM11"/>
    <mergeCell ref="AK10:AK11"/>
    <mergeCell ref="AL10:AL11"/>
    <mergeCell ref="AJ10:AJ11"/>
    <mergeCell ref="A32:D32"/>
    <mergeCell ref="B40:C40"/>
    <mergeCell ref="L40:U40"/>
    <mergeCell ref="AD40:AI40"/>
    <mergeCell ref="B38:C38"/>
    <mergeCell ref="AB38:AI38"/>
  </mergeCells>
  <conditionalFormatting sqref="AM4:AS5">
    <cfRule type="expression" dxfId="3" priority="1" stopIfTrue="1">
      <formula>$AU$4=""</formula>
    </cfRule>
  </conditionalFormatting>
  <pageMargins left="0.19685039370078741" right="0.19685039370078741" top="0.5" bottom="0.44" header="0.31496062992125984" footer="0.31496062992125984"/>
  <pageSetup paperSize="9" scale="69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14" sqref="D14:E14"/>
    </sheetView>
  </sheetViews>
  <sheetFormatPr defaultColWidth="9.140625" defaultRowHeight="15.75"/>
  <cols>
    <col min="1" max="1" width="12.5703125" style="1550" customWidth="1"/>
    <col min="2" max="3" width="24.28515625" style="1550" customWidth="1"/>
    <col min="4" max="4" width="20" style="1550" customWidth="1"/>
    <col min="5" max="5" width="21.85546875" style="1550" customWidth="1"/>
    <col min="6" max="6" width="36.85546875" style="1550" customWidth="1"/>
    <col min="7" max="16384" width="9.140625" style="1550"/>
  </cols>
  <sheetData>
    <row r="1" spans="1:9" ht="16.5">
      <c r="A1" s="4627" t="s">
        <v>23</v>
      </c>
      <c r="B1" s="4627"/>
      <c r="C1" s="4627"/>
      <c r="D1" s="4627"/>
      <c r="E1" s="4627"/>
      <c r="F1" s="4627"/>
      <c r="G1" s="2482"/>
    </row>
    <row r="2" spans="1:9" ht="16.5">
      <c r="A2" s="4627" t="s">
        <v>170</v>
      </c>
      <c r="B2" s="4627"/>
      <c r="C2" s="4627"/>
      <c r="D2" s="4627"/>
      <c r="E2" s="4627"/>
      <c r="F2" s="4627"/>
      <c r="G2" s="2482"/>
    </row>
    <row r="3" spans="1:9" ht="16.5">
      <c r="A3" s="3934" t="s">
        <v>1308</v>
      </c>
      <c r="B3" s="3934"/>
      <c r="C3" s="3934"/>
      <c r="D3" s="3934"/>
      <c r="E3" s="3934"/>
      <c r="F3" s="3934"/>
      <c r="G3" s="2096"/>
    </row>
    <row r="4" spans="1:9" ht="16.5">
      <c r="A4" s="4628" t="s">
        <v>922</v>
      </c>
      <c r="B4" s="4628"/>
      <c r="C4" s="4628"/>
      <c r="D4" s="3419"/>
      <c r="E4" s="2098"/>
      <c r="F4" s="2098"/>
      <c r="G4" s="2098"/>
    </row>
    <row r="5" spans="1:9" ht="16.5">
      <c r="A5" s="4629" t="s">
        <v>90</v>
      </c>
      <c r="B5" s="4629"/>
      <c r="C5" s="4629"/>
      <c r="D5" s="2098"/>
      <c r="E5" s="2099"/>
      <c r="F5" s="2099"/>
      <c r="G5" s="2099"/>
      <c r="H5" s="1548"/>
      <c r="I5" s="1549"/>
    </row>
    <row r="6" spans="1:9" ht="34.5" customHeight="1">
      <c r="A6" s="4779" t="s">
        <v>2158</v>
      </c>
      <c r="B6" s="4779"/>
      <c r="C6" s="4779"/>
      <c r="D6" s="4779"/>
      <c r="E6" s="4779"/>
      <c r="F6" s="4779"/>
    </row>
    <row r="8" spans="1:9" ht="24" customHeight="1">
      <c r="A8" s="1553" t="s">
        <v>0</v>
      </c>
      <c r="B8" s="1553" t="s">
        <v>1</v>
      </c>
      <c r="C8" s="1553" t="s">
        <v>46</v>
      </c>
      <c r="D8" s="1553" t="s">
        <v>1254</v>
      </c>
      <c r="E8" s="1553" t="s">
        <v>1130</v>
      </c>
      <c r="F8" s="1553" t="s">
        <v>92</v>
      </c>
    </row>
    <row r="9" spans="1:9" ht="33.75" customHeight="1">
      <c r="A9" s="1551">
        <v>1</v>
      </c>
      <c r="B9" s="1556" t="s">
        <v>1152</v>
      </c>
      <c r="C9" s="1556" t="s">
        <v>60</v>
      </c>
      <c r="D9" s="1552">
        <v>500000</v>
      </c>
      <c r="E9" s="1551"/>
      <c r="F9" s="1551"/>
    </row>
    <row r="10" spans="1:9" ht="33.75" customHeight="1">
      <c r="A10" s="4781" t="s">
        <v>61</v>
      </c>
      <c r="B10" s="4781"/>
      <c r="C10" s="1551"/>
      <c r="D10" s="1551"/>
      <c r="E10" s="1551"/>
      <c r="F10" s="1551"/>
    </row>
    <row r="11" spans="1:9">
      <c r="A11" s="4782" t="s">
        <v>1255</v>
      </c>
      <c r="B11" s="4782"/>
      <c r="C11" s="4782"/>
      <c r="D11" s="4782"/>
      <c r="E11" s="4782"/>
      <c r="F11" s="4782"/>
    </row>
    <row r="12" spans="1:9" ht="6.75" customHeight="1"/>
    <row r="13" spans="1:9">
      <c r="A13" s="546"/>
      <c r="B13" s="546"/>
      <c r="C13" s="546"/>
      <c r="E13" s="4783" t="s">
        <v>2162</v>
      </c>
      <c r="F13" s="4783"/>
      <c r="G13" s="1555"/>
    </row>
    <row r="14" spans="1:9">
      <c r="A14" s="4780" t="s">
        <v>502</v>
      </c>
      <c r="B14" s="4780"/>
      <c r="C14" s="1547" t="s">
        <v>241</v>
      </c>
      <c r="D14" s="4367" t="s">
        <v>513</v>
      </c>
      <c r="E14" s="4367"/>
      <c r="F14" s="1547" t="s">
        <v>221</v>
      </c>
      <c r="G14" s="1554"/>
      <c r="H14" s="1554"/>
      <c r="I14" s="546"/>
    </row>
  </sheetData>
  <mergeCells count="11">
    <mergeCell ref="A1:F1"/>
    <mergeCell ref="A2:F2"/>
    <mergeCell ref="A3:F3"/>
    <mergeCell ref="A4:C4"/>
    <mergeCell ref="A5:C5"/>
    <mergeCell ref="A6:F6"/>
    <mergeCell ref="A14:B14"/>
    <mergeCell ref="D14:E14"/>
    <mergeCell ref="A10:B10"/>
    <mergeCell ref="A11:F11"/>
    <mergeCell ref="E13:F13"/>
  </mergeCells>
  <pageMargins left="0.48" right="0.33" top="0.74803149606299213" bottom="0.74803149606299213" header="0.31496062992125984" footer="0.31496062992125984"/>
  <pageSetup paperSize="9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7"/>
  <sheetViews>
    <sheetView workbookViewId="0">
      <selection activeCell="AG19" sqref="AG19:AH19"/>
    </sheetView>
  </sheetViews>
  <sheetFormatPr defaultRowHeight="15"/>
  <cols>
    <col min="1" max="1" width="4.28515625" style="1038" customWidth="1"/>
    <col min="2" max="2" width="10.28515625" style="1038" hidden="1" customWidth="1"/>
    <col min="3" max="3" width="19.42578125" style="1038" customWidth="1"/>
    <col min="4" max="4" width="13.140625" style="1038" customWidth="1"/>
    <col min="5" max="8" width="3.7109375" style="1038" customWidth="1"/>
    <col min="9" max="9" width="3.7109375" style="1039" customWidth="1"/>
    <col min="10" max="10" width="3.7109375" style="1038" customWidth="1"/>
    <col min="11" max="11" width="4.140625" style="1038" customWidth="1"/>
    <col min="12" max="16" width="3.7109375" style="1038" customWidth="1"/>
    <col min="17" max="17" width="4.140625" style="1038" customWidth="1"/>
    <col min="18" max="27" width="3.7109375" style="1038" customWidth="1"/>
    <col min="28" max="28" width="4" style="1038" customWidth="1"/>
    <col min="29" max="29" width="4.140625" style="1038" customWidth="1"/>
    <col min="30" max="34" width="3.7109375" style="1038" customWidth="1"/>
    <col min="35" max="35" width="6.5703125" style="1038" customWidth="1"/>
    <col min="36" max="36" width="6.42578125" style="1038" customWidth="1"/>
    <col min="37" max="37" width="9.140625" style="1038" hidden="1" customWidth="1"/>
    <col min="38" max="38" width="6.7109375" style="1038" customWidth="1"/>
    <col min="39" max="39" width="8.5703125" style="1038" customWidth="1"/>
    <col min="40" max="46" width="9.140625" style="1038" customWidth="1"/>
    <col min="47" max="258" width="9.140625" style="1038"/>
    <col min="259" max="259" width="10.42578125" style="1038" customWidth="1"/>
    <col min="260" max="260" width="27.42578125" style="1038" customWidth="1"/>
    <col min="261" max="291" width="4.85546875" style="1038" customWidth="1"/>
    <col min="292" max="292" width="10.5703125" style="1038" customWidth="1"/>
    <col min="293" max="302" width="0" style="1038" hidden="1" customWidth="1"/>
    <col min="303" max="514" width="9.140625" style="1038"/>
    <col min="515" max="515" width="10.42578125" style="1038" customWidth="1"/>
    <col min="516" max="516" width="27.42578125" style="1038" customWidth="1"/>
    <col min="517" max="547" width="4.85546875" style="1038" customWidth="1"/>
    <col min="548" max="548" width="10.5703125" style="1038" customWidth="1"/>
    <col min="549" max="558" width="0" style="1038" hidden="1" customWidth="1"/>
    <col min="559" max="770" width="9.140625" style="1038"/>
    <col min="771" max="771" width="10.42578125" style="1038" customWidth="1"/>
    <col min="772" max="772" width="27.42578125" style="1038" customWidth="1"/>
    <col min="773" max="803" width="4.85546875" style="1038" customWidth="1"/>
    <col min="804" max="804" width="10.5703125" style="1038" customWidth="1"/>
    <col min="805" max="814" width="0" style="1038" hidden="1" customWidth="1"/>
    <col min="815" max="1026" width="9.140625" style="1038"/>
    <col min="1027" max="1027" width="10.42578125" style="1038" customWidth="1"/>
    <col min="1028" max="1028" width="27.42578125" style="1038" customWidth="1"/>
    <col min="1029" max="1059" width="4.85546875" style="1038" customWidth="1"/>
    <col min="1060" max="1060" width="10.5703125" style="1038" customWidth="1"/>
    <col min="1061" max="1070" width="0" style="1038" hidden="1" customWidth="1"/>
    <col min="1071" max="1282" width="9.140625" style="1038"/>
    <col min="1283" max="1283" width="10.42578125" style="1038" customWidth="1"/>
    <col min="1284" max="1284" width="27.42578125" style="1038" customWidth="1"/>
    <col min="1285" max="1315" width="4.85546875" style="1038" customWidth="1"/>
    <col min="1316" max="1316" width="10.5703125" style="1038" customWidth="1"/>
    <col min="1317" max="1326" width="0" style="1038" hidden="1" customWidth="1"/>
    <col min="1327" max="1538" width="9.140625" style="1038"/>
    <col min="1539" max="1539" width="10.42578125" style="1038" customWidth="1"/>
    <col min="1540" max="1540" width="27.42578125" style="1038" customWidth="1"/>
    <col min="1541" max="1571" width="4.85546875" style="1038" customWidth="1"/>
    <col min="1572" max="1572" width="10.5703125" style="1038" customWidth="1"/>
    <col min="1573" max="1582" width="0" style="1038" hidden="1" customWidth="1"/>
    <col min="1583" max="1794" width="9.140625" style="1038"/>
    <col min="1795" max="1795" width="10.42578125" style="1038" customWidth="1"/>
    <col min="1796" max="1796" width="27.42578125" style="1038" customWidth="1"/>
    <col min="1797" max="1827" width="4.85546875" style="1038" customWidth="1"/>
    <col min="1828" max="1828" width="10.5703125" style="1038" customWidth="1"/>
    <col min="1829" max="1838" width="0" style="1038" hidden="1" customWidth="1"/>
    <col min="1839" max="2050" width="9.140625" style="1038"/>
    <col min="2051" max="2051" width="10.42578125" style="1038" customWidth="1"/>
    <col min="2052" max="2052" width="27.42578125" style="1038" customWidth="1"/>
    <col min="2053" max="2083" width="4.85546875" style="1038" customWidth="1"/>
    <col min="2084" max="2084" width="10.5703125" style="1038" customWidth="1"/>
    <col min="2085" max="2094" width="0" style="1038" hidden="1" customWidth="1"/>
    <col min="2095" max="2306" width="9.140625" style="1038"/>
    <col min="2307" max="2307" width="10.42578125" style="1038" customWidth="1"/>
    <col min="2308" max="2308" width="27.42578125" style="1038" customWidth="1"/>
    <col min="2309" max="2339" width="4.85546875" style="1038" customWidth="1"/>
    <col min="2340" max="2340" width="10.5703125" style="1038" customWidth="1"/>
    <col min="2341" max="2350" width="0" style="1038" hidden="1" customWidth="1"/>
    <col min="2351" max="2562" width="9.140625" style="1038"/>
    <col min="2563" max="2563" width="10.42578125" style="1038" customWidth="1"/>
    <col min="2564" max="2564" width="27.42578125" style="1038" customWidth="1"/>
    <col min="2565" max="2595" width="4.85546875" style="1038" customWidth="1"/>
    <col min="2596" max="2596" width="10.5703125" style="1038" customWidth="1"/>
    <col min="2597" max="2606" width="0" style="1038" hidden="1" customWidth="1"/>
    <col min="2607" max="2818" width="9.140625" style="1038"/>
    <col min="2819" max="2819" width="10.42578125" style="1038" customWidth="1"/>
    <col min="2820" max="2820" width="27.42578125" style="1038" customWidth="1"/>
    <col min="2821" max="2851" width="4.85546875" style="1038" customWidth="1"/>
    <col min="2852" max="2852" width="10.5703125" style="1038" customWidth="1"/>
    <col min="2853" max="2862" width="0" style="1038" hidden="1" customWidth="1"/>
    <col min="2863" max="3074" width="9.140625" style="1038"/>
    <col min="3075" max="3075" width="10.42578125" style="1038" customWidth="1"/>
    <col min="3076" max="3076" width="27.42578125" style="1038" customWidth="1"/>
    <col min="3077" max="3107" width="4.85546875" style="1038" customWidth="1"/>
    <col min="3108" max="3108" width="10.5703125" style="1038" customWidth="1"/>
    <col min="3109" max="3118" width="0" style="1038" hidden="1" customWidth="1"/>
    <col min="3119" max="3330" width="9.140625" style="1038"/>
    <col min="3331" max="3331" width="10.42578125" style="1038" customWidth="1"/>
    <col min="3332" max="3332" width="27.42578125" style="1038" customWidth="1"/>
    <col min="3333" max="3363" width="4.85546875" style="1038" customWidth="1"/>
    <col min="3364" max="3364" width="10.5703125" style="1038" customWidth="1"/>
    <col min="3365" max="3374" width="0" style="1038" hidden="1" customWidth="1"/>
    <col min="3375" max="3586" width="9.140625" style="1038"/>
    <col min="3587" max="3587" width="10.42578125" style="1038" customWidth="1"/>
    <col min="3588" max="3588" width="27.42578125" style="1038" customWidth="1"/>
    <col min="3589" max="3619" width="4.85546875" style="1038" customWidth="1"/>
    <col min="3620" max="3620" width="10.5703125" style="1038" customWidth="1"/>
    <col min="3621" max="3630" width="0" style="1038" hidden="1" customWidth="1"/>
    <col min="3631" max="3842" width="9.140625" style="1038"/>
    <col min="3843" max="3843" width="10.42578125" style="1038" customWidth="1"/>
    <col min="3844" max="3844" width="27.42578125" style="1038" customWidth="1"/>
    <col min="3845" max="3875" width="4.85546875" style="1038" customWidth="1"/>
    <col min="3876" max="3876" width="10.5703125" style="1038" customWidth="1"/>
    <col min="3877" max="3886" width="0" style="1038" hidden="1" customWidth="1"/>
    <col min="3887" max="4098" width="9.140625" style="1038"/>
    <col min="4099" max="4099" width="10.42578125" style="1038" customWidth="1"/>
    <col min="4100" max="4100" width="27.42578125" style="1038" customWidth="1"/>
    <col min="4101" max="4131" width="4.85546875" style="1038" customWidth="1"/>
    <col min="4132" max="4132" width="10.5703125" style="1038" customWidth="1"/>
    <col min="4133" max="4142" width="0" style="1038" hidden="1" customWidth="1"/>
    <col min="4143" max="4354" width="9.140625" style="1038"/>
    <col min="4355" max="4355" width="10.42578125" style="1038" customWidth="1"/>
    <col min="4356" max="4356" width="27.42578125" style="1038" customWidth="1"/>
    <col min="4357" max="4387" width="4.85546875" style="1038" customWidth="1"/>
    <col min="4388" max="4388" width="10.5703125" style="1038" customWidth="1"/>
    <col min="4389" max="4398" width="0" style="1038" hidden="1" customWidth="1"/>
    <col min="4399" max="4610" width="9.140625" style="1038"/>
    <col min="4611" max="4611" width="10.42578125" style="1038" customWidth="1"/>
    <col min="4612" max="4612" width="27.42578125" style="1038" customWidth="1"/>
    <col min="4613" max="4643" width="4.85546875" style="1038" customWidth="1"/>
    <col min="4644" max="4644" width="10.5703125" style="1038" customWidth="1"/>
    <col min="4645" max="4654" width="0" style="1038" hidden="1" customWidth="1"/>
    <col min="4655" max="4866" width="9.140625" style="1038"/>
    <col min="4867" max="4867" width="10.42578125" style="1038" customWidth="1"/>
    <col min="4868" max="4868" width="27.42578125" style="1038" customWidth="1"/>
    <col min="4869" max="4899" width="4.85546875" style="1038" customWidth="1"/>
    <col min="4900" max="4900" width="10.5703125" style="1038" customWidth="1"/>
    <col min="4901" max="4910" width="0" style="1038" hidden="1" customWidth="1"/>
    <col min="4911" max="5122" width="9.140625" style="1038"/>
    <col min="5123" max="5123" width="10.42578125" style="1038" customWidth="1"/>
    <col min="5124" max="5124" width="27.42578125" style="1038" customWidth="1"/>
    <col min="5125" max="5155" width="4.85546875" style="1038" customWidth="1"/>
    <col min="5156" max="5156" width="10.5703125" style="1038" customWidth="1"/>
    <col min="5157" max="5166" width="0" style="1038" hidden="1" customWidth="1"/>
    <col min="5167" max="5378" width="9.140625" style="1038"/>
    <col min="5379" max="5379" width="10.42578125" style="1038" customWidth="1"/>
    <col min="5380" max="5380" width="27.42578125" style="1038" customWidth="1"/>
    <col min="5381" max="5411" width="4.85546875" style="1038" customWidth="1"/>
    <col min="5412" max="5412" width="10.5703125" style="1038" customWidth="1"/>
    <col min="5413" max="5422" width="0" style="1038" hidden="1" customWidth="1"/>
    <col min="5423" max="5634" width="9.140625" style="1038"/>
    <col min="5635" max="5635" width="10.42578125" style="1038" customWidth="1"/>
    <col min="5636" max="5636" width="27.42578125" style="1038" customWidth="1"/>
    <col min="5637" max="5667" width="4.85546875" style="1038" customWidth="1"/>
    <col min="5668" max="5668" width="10.5703125" style="1038" customWidth="1"/>
    <col min="5669" max="5678" width="0" style="1038" hidden="1" customWidth="1"/>
    <col min="5679" max="5890" width="9.140625" style="1038"/>
    <col min="5891" max="5891" width="10.42578125" style="1038" customWidth="1"/>
    <col min="5892" max="5892" width="27.42578125" style="1038" customWidth="1"/>
    <col min="5893" max="5923" width="4.85546875" style="1038" customWidth="1"/>
    <col min="5924" max="5924" width="10.5703125" style="1038" customWidth="1"/>
    <col min="5925" max="5934" width="0" style="1038" hidden="1" customWidth="1"/>
    <col min="5935" max="6146" width="9.140625" style="1038"/>
    <col min="6147" max="6147" width="10.42578125" style="1038" customWidth="1"/>
    <col min="6148" max="6148" width="27.42578125" style="1038" customWidth="1"/>
    <col min="6149" max="6179" width="4.85546875" style="1038" customWidth="1"/>
    <col min="6180" max="6180" width="10.5703125" style="1038" customWidth="1"/>
    <col min="6181" max="6190" width="0" style="1038" hidden="1" customWidth="1"/>
    <col min="6191" max="6402" width="9.140625" style="1038"/>
    <col min="6403" max="6403" width="10.42578125" style="1038" customWidth="1"/>
    <col min="6404" max="6404" width="27.42578125" style="1038" customWidth="1"/>
    <col min="6405" max="6435" width="4.85546875" style="1038" customWidth="1"/>
    <col min="6436" max="6436" width="10.5703125" style="1038" customWidth="1"/>
    <col min="6437" max="6446" width="0" style="1038" hidden="1" customWidth="1"/>
    <col min="6447" max="6658" width="9.140625" style="1038"/>
    <col min="6659" max="6659" width="10.42578125" style="1038" customWidth="1"/>
    <col min="6660" max="6660" width="27.42578125" style="1038" customWidth="1"/>
    <col min="6661" max="6691" width="4.85546875" style="1038" customWidth="1"/>
    <col min="6692" max="6692" width="10.5703125" style="1038" customWidth="1"/>
    <col min="6693" max="6702" width="0" style="1038" hidden="1" customWidth="1"/>
    <col min="6703" max="6914" width="9.140625" style="1038"/>
    <col min="6915" max="6915" width="10.42578125" style="1038" customWidth="1"/>
    <col min="6916" max="6916" width="27.42578125" style="1038" customWidth="1"/>
    <col min="6917" max="6947" width="4.85546875" style="1038" customWidth="1"/>
    <col min="6948" max="6948" width="10.5703125" style="1038" customWidth="1"/>
    <col min="6949" max="6958" width="0" style="1038" hidden="1" customWidth="1"/>
    <col min="6959" max="7170" width="9.140625" style="1038"/>
    <col min="7171" max="7171" width="10.42578125" style="1038" customWidth="1"/>
    <col min="7172" max="7172" width="27.42578125" style="1038" customWidth="1"/>
    <col min="7173" max="7203" width="4.85546875" style="1038" customWidth="1"/>
    <col min="7204" max="7204" width="10.5703125" style="1038" customWidth="1"/>
    <col min="7205" max="7214" width="0" style="1038" hidden="1" customWidth="1"/>
    <col min="7215" max="7426" width="9.140625" style="1038"/>
    <col min="7427" max="7427" width="10.42578125" style="1038" customWidth="1"/>
    <col min="7428" max="7428" width="27.42578125" style="1038" customWidth="1"/>
    <col min="7429" max="7459" width="4.85546875" style="1038" customWidth="1"/>
    <col min="7460" max="7460" width="10.5703125" style="1038" customWidth="1"/>
    <col min="7461" max="7470" width="0" style="1038" hidden="1" customWidth="1"/>
    <col min="7471" max="7682" width="9.140625" style="1038"/>
    <col min="7683" max="7683" width="10.42578125" style="1038" customWidth="1"/>
    <col min="7684" max="7684" width="27.42578125" style="1038" customWidth="1"/>
    <col min="7685" max="7715" width="4.85546875" style="1038" customWidth="1"/>
    <col min="7716" max="7716" width="10.5703125" style="1038" customWidth="1"/>
    <col min="7717" max="7726" width="0" style="1038" hidden="1" customWidth="1"/>
    <col min="7727" max="7938" width="9.140625" style="1038"/>
    <col min="7939" max="7939" width="10.42578125" style="1038" customWidth="1"/>
    <col min="7940" max="7940" width="27.42578125" style="1038" customWidth="1"/>
    <col min="7941" max="7971" width="4.85546875" style="1038" customWidth="1"/>
    <col min="7972" max="7972" width="10.5703125" style="1038" customWidth="1"/>
    <col min="7973" max="7982" width="0" style="1038" hidden="1" customWidth="1"/>
    <col min="7983" max="8194" width="9.140625" style="1038"/>
    <col min="8195" max="8195" width="10.42578125" style="1038" customWidth="1"/>
    <col min="8196" max="8196" width="27.42578125" style="1038" customWidth="1"/>
    <col min="8197" max="8227" width="4.85546875" style="1038" customWidth="1"/>
    <col min="8228" max="8228" width="10.5703125" style="1038" customWidth="1"/>
    <col min="8229" max="8238" width="0" style="1038" hidden="1" customWidth="1"/>
    <col min="8239" max="8450" width="9.140625" style="1038"/>
    <col min="8451" max="8451" width="10.42578125" style="1038" customWidth="1"/>
    <col min="8452" max="8452" width="27.42578125" style="1038" customWidth="1"/>
    <col min="8453" max="8483" width="4.85546875" style="1038" customWidth="1"/>
    <col min="8484" max="8484" width="10.5703125" style="1038" customWidth="1"/>
    <col min="8485" max="8494" width="0" style="1038" hidden="1" customWidth="1"/>
    <col min="8495" max="8706" width="9.140625" style="1038"/>
    <col min="8707" max="8707" width="10.42578125" style="1038" customWidth="1"/>
    <col min="8708" max="8708" width="27.42578125" style="1038" customWidth="1"/>
    <col min="8709" max="8739" width="4.85546875" style="1038" customWidth="1"/>
    <col min="8740" max="8740" width="10.5703125" style="1038" customWidth="1"/>
    <col min="8741" max="8750" width="0" style="1038" hidden="1" customWidth="1"/>
    <col min="8751" max="8962" width="9.140625" style="1038"/>
    <col min="8963" max="8963" width="10.42578125" style="1038" customWidth="1"/>
    <col min="8964" max="8964" width="27.42578125" style="1038" customWidth="1"/>
    <col min="8965" max="8995" width="4.85546875" style="1038" customWidth="1"/>
    <col min="8996" max="8996" width="10.5703125" style="1038" customWidth="1"/>
    <col min="8997" max="9006" width="0" style="1038" hidden="1" customWidth="1"/>
    <col min="9007" max="9218" width="9.140625" style="1038"/>
    <col min="9219" max="9219" width="10.42578125" style="1038" customWidth="1"/>
    <col min="9220" max="9220" width="27.42578125" style="1038" customWidth="1"/>
    <col min="9221" max="9251" width="4.85546875" style="1038" customWidth="1"/>
    <col min="9252" max="9252" width="10.5703125" style="1038" customWidth="1"/>
    <col min="9253" max="9262" width="0" style="1038" hidden="1" customWidth="1"/>
    <col min="9263" max="9474" width="9.140625" style="1038"/>
    <col min="9475" max="9475" width="10.42578125" style="1038" customWidth="1"/>
    <col min="9476" max="9476" width="27.42578125" style="1038" customWidth="1"/>
    <col min="9477" max="9507" width="4.85546875" style="1038" customWidth="1"/>
    <col min="9508" max="9508" width="10.5703125" style="1038" customWidth="1"/>
    <col min="9509" max="9518" width="0" style="1038" hidden="1" customWidth="1"/>
    <col min="9519" max="9730" width="9.140625" style="1038"/>
    <col min="9731" max="9731" width="10.42578125" style="1038" customWidth="1"/>
    <col min="9732" max="9732" width="27.42578125" style="1038" customWidth="1"/>
    <col min="9733" max="9763" width="4.85546875" style="1038" customWidth="1"/>
    <col min="9764" max="9764" width="10.5703125" style="1038" customWidth="1"/>
    <col min="9765" max="9774" width="0" style="1038" hidden="1" customWidth="1"/>
    <col min="9775" max="9986" width="9.140625" style="1038"/>
    <col min="9987" max="9987" width="10.42578125" style="1038" customWidth="1"/>
    <col min="9988" max="9988" width="27.42578125" style="1038" customWidth="1"/>
    <col min="9989" max="10019" width="4.85546875" style="1038" customWidth="1"/>
    <col min="10020" max="10020" width="10.5703125" style="1038" customWidth="1"/>
    <col min="10021" max="10030" width="0" style="1038" hidden="1" customWidth="1"/>
    <col min="10031" max="10242" width="9.140625" style="1038"/>
    <col min="10243" max="10243" width="10.42578125" style="1038" customWidth="1"/>
    <col min="10244" max="10244" width="27.42578125" style="1038" customWidth="1"/>
    <col min="10245" max="10275" width="4.85546875" style="1038" customWidth="1"/>
    <col min="10276" max="10276" width="10.5703125" style="1038" customWidth="1"/>
    <col min="10277" max="10286" width="0" style="1038" hidden="1" customWidth="1"/>
    <col min="10287" max="10498" width="9.140625" style="1038"/>
    <col min="10499" max="10499" width="10.42578125" style="1038" customWidth="1"/>
    <col min="10500" max="10500" width="27.42578125" style="1038" customWidth="1"/>
    <col min="10501" max="10531" width="4.85546875" style="1038" customWidth="1"/>
    <col min="10532" max="10532" width="10.5703125" style="1038" customWidth="1"/>
    <col min="10533" max="10542" width="0" style="1038" hidden="1" customWidth="1"/>
    <col min="10543" max="10754" width="9.140625" style="1038"/>
    <col min="10755" max="10755" width="10.42578125" style="1038" customWidth="1"/>
    <col min="10756" max="10756" width="27.42578125" style="1038" customWidth="1"/>
    <col min="10757" max="10787" width="4.85546875" style="1038" customWidth="1"/>
    <col min="10788" max="10788" width="10.5703125" style="1038" customWidth="1"/>
    <col min="10789" max="10798" width="0" style="1038" hidden="1" customWidth="1"/>
    <col min="10799" max="11010" width="9.140625" style="1038"/>
    <col min="11011" max="11011" width="10.42578125" style="1038" customWidth="1"/>
    <col min="11012" max="11012" width="27.42578125" style="1038" customWidth="1"/>
    <col min="11013" max="11043" width="4.85546875" style="1038" customWidth="1"/>
    <col min="11044" max="11044" width="10.5703125" style="1038" customWidth="1"/>
    <col min="11045" max="11054" width="0" style="1038" hidden="1" customWidth="1"/>
    <col min="11055" max="11266" width="9.140625" style="1038"/>
    <col min="11267" max="11267" width="10.42578125" style="1038" customWidth="1"/>
    <col min="11268" max="11268" width="27.42578125" style="1038" customWidth="1"/>
    <col min="11269" max="11299" width="4.85546875" style="1038" customWidth="1"/>
    <col min="11300" max="11300" width="10.5703125" style="1038" customWidth="1"/>
    <col min="11301" max="11310" width="0" style="1038" hidden="1" customWidth="1"/>
    <col min="11311" max="11522" width="9.140625" style="1038"/>
    <col min="11523" max="11523" width="10.42578125" style="1038" customWidth="1"/>
    <col min="11524" max="11524" width="27.42578125" style="1038" customWidth="1"/>
    <col min="11525" max="11555" width="4.85546875" style="1038" customWidth="1"/>
    <col min="11556" max="11556" width="10.5703125" style="1038" customWidth="1"/>
    <col min="11557" max="11566" width="0" style="1038" hidden="1" customWidth="1"/>
    <col min="11567" max="11778" width="9.140625" style="1038"/>
    <col min="11779" max="11779" width="10.42578125" style="1038" customWidth="1"/>
    <col min="11780" max="11780" width="27.42578125" style="1038" customWidth="1"/>
    <col min="11781" max="11811" width="4.85546875" style="1038" customWidth="1"/>
    <col min="11812" max="11812" width="10.5703125" style="1038" customWidth="1"/>
    <col min="11813" max="11822" width="0" style="1038" hidden="1" customWidth="1"/>
    <col min="11823" max="12034" width="9.140625" style="1038"/>
    <col min="12035" max="12035" width="10.42578125" style="1038" customWidth="1"/>
    <col min="12036" max="12036" width="27.42578125" style="1038" customWidth="1"/>
    <col min="12037" max="12067" width="4.85546875" style="1038" customWidth="1"/>
    <col min="12068" max="12068" width="10.5703125" style="1038" customWidth="1"/>
    <col min="12069" max="12078" width="0" style="1038" hidden="1" customWidth="1"/>
    <col min="12079" max="12290" width="9.140625" style="1038"/>
    <col min="12291" max="12291" width="10.42578125" style="1038" customWidth="1"/>
    <col min="12292" max="12292" width="27.42578125" style="1038" customWidth="1"/>
    <col min="12293" max="12323" width="4.85546875" style="1038" customWidth="1"/>
    <col min="12324" max="12324" width="10.5703125" style="1038" customWidth="1"/>
    <col min="12325" max="12334" width="0" style="1038" hidden="1" customWidth="1"/>
    <col min="12335" max="12546" width="9.140625" style="1038"/>
    <col min="12547" max="12547" width="10.42578125" style="1038" customWidth="1"/>
    <col min="12548" max="12548" width="27.42578125" style="1038" customWidth="1"/>
    <col min="12549" max="12579" width="4.85546875" style="1038" customWidth="1"/>
    <col min="12580" max="12580" width="10.5703125" style="1038" customWidth="1"/>
    <col min="12581" max="12590" width="0" style="1038" hidden="1" customWidth="1"/>
    <col min="12591" max="12802" width="9.140625" style="1038"/>
    <col min="12803" max="12803" width="10.42578125" style="1038" customWidth="1"/>
    <col min="12804" max="12804" width="27.42578125" style="1038" customWidth="1"/>
    <col min="12805" max="12835" width="4.85546875" style="1038" customWidth="1"/>
    <col min="12836" max="12836" width="10.5703125" style="1038" customWidth="1"/>
    <col min="12837" max="12846" width="0" style="1038" hidden="1" customWidth="1"/>
    <col min="12847" max="13058" width="9.140625" style="1038"/>
    <col min="13059" max="13059" width="10.42578125" style="1038" customWidth="1"/>
    <col min="13060" max="13060" width="27.42578125" style="1038" customWidth="1"/>
    <col min="13061" max="13091" width="4.85546875" style="1038" customWidth="1"/>
    <col min="13092" max="13092" width="10.5703125" style="1038" customWidth="1"/>
    <col min="13093" max="13102" width="0" style="1038" hidden="1" customWidth="1"/>
    <col min="13103" max="13314" width="9.140625" style="1038"/>
    <col min="13315" max="13315" width="10.42578125" style="1038" customWidth="1"/>
    <col min="13316" max="13316" width="27.42578125" style="1038" customWidth="1"/>
    <col min="13317" max="13347" width="4.85546875" style="1038" customWidth="1"/>
    <col min="13348" max="13348" width="10.5703125" style="1038" customWidth="1"/>
    <col min="13349" max="13358" width="0" style="1038" hidden="1" customWidth="1"/>
    <col min="13359" max="13570" width="9.140625" style="1038"/>
    <col min="13571" max="13571" width="10.42578125" style="1038" customWidth="1"/>
    <col min="13572" max="13572" width="27.42578125" style="1038" customWidth="1"/>
    <col min="13573" max="13603" width="4.85546875" style="1038" customWidth="1"/>
    <col min="13604" max="13604" width="10.5703125" style="1038" customWidth="1"/>
    <col min="13605" max="13614" width="0" style="1038" hidden="1" customWidth="1"/>
    <col min="13615" max="13826" width="9.140625" style="1038"/>
    <col min="13827" max="13827" width="10.42578125" style="1038" customWidth="1"/>
    <col min="13828" max="13828" width="27.42578125" style="1038" customWidth="1"/>
    <col min="13829" max="13859" width="4.85546875" style="1038" customWidth="1"/>
    <col min="13860" max="13860" width="10.5703125" style="1038" customWidth="1"/>
    <col min="13861" max="13870" width="0" style="1038" hidden="1" customWidth="1"/>
    <col min="13871" max="14082" width="9.140625" style="1038"/>
    <col min="14083" max="14083" width="10.42578125" style="1038" customWidth="1"/>
    <col min="14084" max="14084" width="27.42578125" style="1038" customWidth="1"/>
    <col min="14085" max="14115" width="4.85546875" style="1038" customWidth="1"/>
    <col min="14116" max="14116" width="10.5703125" style="1038" customWidth="1"/>
    <col min="14117" max="14126" width="0" style="1038" hidden="1" customWidth="1"/>
    <col min="14127" max="14338" width="9.140625" style="1038"/>
    <col min="14339" max="14339" width="10.42578125" style="1038" customWidth="1"/>
    <col min="14340" max="14340" width="27.42578125" style="1038" customWidth="1"/>
    <col min="14341" max="14371" width="4.85546875" style="1038" customWidth="1"/>
    <col min="14372" max="14372" width="10.5703125" style="1038" customWidth="1"/>
    <col min="14373" max="14382" width="0" style="1038" hidden="1" customWidth="1"/>
    <col min="14383" max="14594" width="9.140625" style="1038"/>
    <col min="14595" max="14595" width="10.42578125" style="1038" customWidth="1"/>
    <col min="14596" max="14596" width="27.42578125" style="1038" customWidth="1"/>
    <col min="14597" max="14627" width="4.85546875" style="1038" customWidth="1"/>
    <col min="14628" max="14628" width="10.5703125" style="1038" customWidth="1"/>
    <col min="14629" max="14638" width="0" style="1038" hidden="1" customWidth="1"/>
    <col min="14639" max="14850" width="9.140625" style="1038"/>
    <col min="14851" max="14851" width="10.42578125" style="1038" customWidth="1"/>
    <col min="14852" max="14852" width="27.42578125" style="1038" customWidth="1"/>
    <col min="14853" max="14883" width="4.85546875" style="1038" customWidth="1"/>
    <col min="14884" max="14884" width="10.5703125" style="1038" customWidth="1"/>
    <col min="14885" max="14894" width="0" style="1038" hidden="1" customWidth="1"/>
    <col min="14895" max="15106" width="9.140625" style="1038"/>
    <col min="15107" max="15107" width="10.42578125" style="1038" customWidth="1"/>
    <col min="15108" max="15108" width="27.42578125" style="1038" customWidth="1"/>
    <col min="15109" max="15139" width="4.85546875" style="1038" customWidth="1"/>
    <col min="15140" max="15140" width="10.5703125" style="1038" customWidth="1"/>
    <col min="15141" max="15150" width="0" style="1038" hidden="1" customWidth="1"/>
    <col min="15151" max="15362" width="9.140625" style="1038"/>
    <col min="15363" max="15363" width="10.42578125" style="1038" customWidth="1"/>
    <col min="15364" max="15364" width="27.42578125" style="1038" customWidth="1"/>
    <col min="15365" max="15395" width="4.85546875" style="1038" customWidth="1"/>
    <col min="15396" max="15396" width="10.5703125" style="1038" customWidth="1"/>
    <col min="15397" max="15406" width="0" style="1038" hidden="1" customWidth="1"/>
    <col min="15407" max="15618" width="9.140625" style="1038"/>
    <col min="15619" max="15619" width="10.42578125" style="1038" customWidth="1"/>
    <col min="15620" max="15620" width="27.42578125" style="1038" customWidth="1"/>
    <col min="15621" max="15651" width="4.85546875" style="1038" customWidth="1"/>
    <col min="15652" max="15652" width="10.5703125" style="1038" customWidth="1"/>
    <col min="15653" max="15662" width="0" style="1038" hidden="1" customWidth="1"/>
    <col min="15663" max="15874" width="9.140625" style="1038"/>
    <col min="15875" max="15875" width="10.42578125" style="1038" customWidth="1"/>
    <col min="15876" max="15876" width="27.42578125" style="1038" customWidth="1"/>
    <col min="15877" max="15907" width="4.85546875" style="1038" customWidth="1"/>
    <col min="15908" max="15908" width="10.5703125" style="1038" customWidth="1"/>
    <col min="15909" max="15918" width="0" style="1038" hidden="1" customWidth="1"/>
    <col min="15919" max="16130" width="9.140625" style="1038"/>
    <col min="16131" max="16131" width="10.42578125" style="1038" customWidth="1"/>
    <col min="16132" max="16132" width="27.42578125" style="1038" customWidth="1"/>
    <col min="16133" max="16163" width="4.85546875" style="1038" customWidth="1"/>
    <col min="16164" max="16164" width="10.5703125" style="1038" customWidth="1"/>
    <col min="16165" max="16174" width="0" style="1038" hidden="1" customWidth="1"/>
    <col min="16175" max="16384" width="9.140625" style="1038"/>
  </cols>
  <sheetData>
    <row r="1" spans="1:45">
      <c r="A1" s="4694" t="s">
        <v>23</v>
      </c>
      <c r="B1" s="4694"/>
      <c r="C1" s="4694"/>
      <c r="D1" s="4694"/>
      <c r="E1" s="4694"/>
      <c r="F1" s="4694"/>
      <c r="G1" s="4694"/>
      <c r="H1" s="4694"/>
      <c r="I1" s="4694"/>
      <c r="J1" s="4694"/>
      <c r="K1" s="4694"/>
      <c r="L1" s="4694"/>
      <c r="M1" s="4694"/>
      <c r="N1" s="4694"/>
      <c r="O1" s="4694"/>
      <c r="P1" s="4694"/>
      <c r="Q1" s="4694"/>
      <c r="R1" s="4694"/>
      <c r="S1" s="4694"/>
      <c r="T1" s="4694"/>
      <c r="U1" s="4694"/>
      <c r="V1" s="4694"/>
      <c r="W1" s="4694"/>
      <c r="X1" s="4694"/>
      <c r="Y1" s="4694"/>
      <c r="Z1" s="4694"/>
      <c r="AA1" s="4694"/>
      <c r="AB1" s="4694"/>
      <c r="AC1" s="4694"/>
      <c r="AD1" s="4694"/>
      <c r="AE1" s="4694"/>
      <c r="AF1" s="4694"/>
      <c r="AG1" s="4694"/>
      <c r="AH1" s="4694"/>
      <c r="AI1" s="4694"/>
      <c r="AJ1" s="4694"/>
      <c r="AK1" s="4694"/>
      <c r="AL1" s="4694"/>
      <c r="AM1" s="4694"/>
    </row>
    <row r="2" spans="1:45">
      <c r="A2" s="4694" t="s">
        <v>45</v>
      </c>
      <c r="B2" s="4694"/>
      <c r="C2" s="4694"/>
      <c r="D2" s="4694"/>
      <c r="E2" s="4694"/>
      <c r="F2" s="4694"/>
      <c r="G2" s="4694"/>
      <c r="H2" s="4694"/>
      <c r="I2" s="4694"/>
      <c r="J2" s="4694"/>
      <c r="K2" s="4694"/>
      <c r="L2" s="4694"/>
      <c r="M2" s="4694"/>
      <c r="N2" s="4694"/>
      <c r="O2" s="4694"/>
      <c r="P2" s="4694"/>
      <c r="Q2" s="4694"/>
      <c r="R2" s="4694"/>
      <c r="S2" s="4694"/>
      <c r="T2" s="4694"/>
      <c r="U2" s="4694"/>
      <c r="V2" s="4694"/>
      <c r="W2" s="4694"/>
      <c r="X2" s="4694"/>
      <c r="Y2" s="4694"/>
      <c r="Z2" s="4694"/>
      <c r="AA2" s="4694"/>
      <c r="AB2" s="4694"/>
      <c r="AC2" s="4694"/>
      <c r="AD2" s="4694"/>
      <c r="AE2" s="4694"/>
      <c r="AF2" s="4694"/>
      <c r="AG2" s="4694"/>
      <c r="AH2" s="4694"/>
      <c r="AI2" s="4694"/>
      <c r="AJ2" s="4694"/>
      <c r="AK2" s="4694"/>
      <c r="AL2" s="4694"/>
      <c r="AM2" s="4694"/>
    </row>
    <row r="3" spans="1:45" ht="16.5">
      <c r="A3" s="3934" t="s">
        <v>1308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3934"/>
      <c r="X3" s="3934"/>
      <c r="Y3" s="3934"/>
      <c r="Z3" s="3934"/>
      <c r="AA3" s="3934"/>
      <c r="AB3" s="3934"/>
      <c r="AC3" s="3934"/>
      <c r="AD3" s="3934"/>
      <c r="AE3" s="3934"/>
      <c r="AF3" s="3934"/>
      <c r="AG3" s="3934"/>
      <c r="AH3" s="3934"/>
      <c r="AI3" s="3934"/>
      <c r="AJ3" s="3934"/>
      <c r="AK3" s="3934"/>
      <c r="AL3" s="3934"/>
      <c r="AM3" s="3934"/>
    </row>
    <row r="4" spans="1:45">
      <c r="A4" s="4230" t="s">
        <v>1482</v>
      </c>
      <c r="B4" s="4230"/>
      <c r="C4" s="4230"/>
      <c r="D4" s="4230"/>
      <c r="E4" s="4230"/>
      <c r="F4" s="4230"/>
      <c r="G4" s="4230"/>
      <c r="H4" s="4230"/>
      <c r="AM4" s="1040">
        <v>1</v>
      </c>
      <c r="AN4" s="1040">
        <v>2</v>
      </c>
      <c r="AO4" s="1040">
        <v>3</v>
      </c>
      <c r="AP4" s="1040">
        <v>4</v>
      </c>
      <c r="AQ4" s="1040">
        <v>5</v>
      </c>
      <c r="AR4" s="1041">
        <v>6</v>
      </c>
      <c r="AS4" s="1041">
        <v>7</v>
      </c>
    </row>
    <row r="5" spans="1:45">
      <c r="A5" s="4694" t="s">
        <v>1153</v>
      </c>
      <c r="B5" s="4694"/>
      <c r="C5" s="4694"/>
      <c r="D5" s="4694"/>
      <c r="E5" s="4694"/>
      <c r="F5" s="4694"/>
      <c r="G5" s="4694"/>
      <c r="H5" s="4694"/>
      <c r="AM5" s="1040" t="s">
        <v>133</v>
      </c>
      <c r="AN5" s="1040" t="s">
        <v>970</v>
      </c>
      <c r="AO5" s="1040" t="s">
        <v>971</v>
      </c>
      <c r="AP5" s="1040" t="s">
        <v>972</v>
      </c>
      <c r="AQ5" s="1040" t="s">
        <v>973</v>
      </c>
      <c r="AR5" s="1041" t="s">
        <v>974</v>
      </c>
      <c r="AS5" s="1041" t="s">
        <v>975</v>
      </c>
    </row>
    <row r="6" spans="1:45">
      <c r="AM6" s="1042"/>
      <c r="AN6" s="1042"/>
      <c r="AO6" s="1042"/>
      <c r="AP6" s="1042"/>
      <c r="AQ6" s="1042"/>
    </row>
    <row r="7" spans="1:45" ht="18.75">
      <c r="A7" s="4234" t="s">
        <v>2159</v>
      </c>
      <c r="B7" s="4234"/>
      <c r="C7" s="4234"/>
      <c r="D7" s="4234"/>
      <c r="E7" s="4234"/>
      <c r="F7" s="4234"/>
      <c r="G7" s="4234"/>
      <c r="H7" s="4234"/>
      <c r="I7" s="4234"/>
      <c r="J7" s="4234"/>
      <c r="K7" s="4234"/>
      <c r="L7" s="4234"/>
      <c r="M7" s="4234"/>
      <c r="N7" s="4234"/>
      <c r="O7" s="4234"/>
      <c r="P7" s="4234"/>
      <c r="Q7" s="4234"/>
      <c r="R7" s="4234"/>
      <c r="S7" s="4234"/>
      <c r="T7" s="4234"/>
      <c r="U7" s="4234"/>
      <c r="V7" s="4234"/>
      <c r="W7" s="4234"/>
      <c r="X7" s="4234"/>
      <c r="Y7" s="4234"/>
      <c r="Z7" s="4234"/>
      <c r="AA7" s="4234"/>
      <c r="AB7" s="4234"/>
      <c r="AC7" s="4234"/>
      <c r="AD7" s="4234"/>
      <c r="AE7" s="4234"/>
      <c r="AF7" s="4234"/>
      <c r="AG7" s="4234"/>
      <c r="AH7" s="4234"/>
      <c r="AI7" s="4234"/>
      <c r="AJ7" s="4234"/>
      <c r="AK7" s="4234"/>
      <c r="AL7" s="4234"/>
      <c r="AM7" s="4234"/>
      <c r="AN7" s="1042"/>
      <c r="AO7" s="1042"/>
      <c r="AP7" s="1042"/>
      <c r="AQ7" s="1042"/>
    </row>
    <row r="8" spans="1:45" ht="15.75">
      <c r="B8" s="1043" t="s">
        <v>977</v>
      </c>
      <c r="C8" s="1043">
        <v>2025</v>
      </c>
      <c r="D8" s="1043"/>
      <c r="E8" s="2362"/>
      <c r="F8" s="2362"/>
      <c r="G8" s="2362"/>
      <c r="H8" s="2362"/>
      <c r="I8" s="2362"/>
      <c r="J8" s="2362"/>
      <c r="K8" s="2362"/>
      <c r="L8" s="2362"/>
      <c r="M8" s="2362"/>
      <c r="N8" s="2362"/>
      <c r="O8" s="2362"/>
      <c r="P8" s="2362"/>
      <c r="Q8" s="2362"/>
      <c r="R8" s="2362"/>
      <c r="S8" s="2362"/>
      <c r="T8" s="2362"/>
      <c r="U8" s="2362"/>
      <c r="V8" s="2362"/>
      <c r="W8" s="2362"/>
      <c r="X8" s="2362"/>
      <c r="Y8" s="2362"/>
      <c r="Z8" s="2362"/>
      <c r="AA8" s="2362"/>
      <c r="AB8" s="2362"/>
      <c r="AC8" s="2362"/>
      <c r="AD8" s="2362"/>
      <c r="AE8" s="2362"/>
      <c r="AF8" s="2362"/>
      <c r="AG8" s="2362"/>
      <c r="AH8" s="2362"/>
      <c r="AI8" s="2362"/>
      <c r="AJ8" s="2362"/>
      <c r="AK8" s="2362"/>
      <c r="AL8" s="2362"/>
      <c r="AM8" s="2362"/>
    </row>
    <row r="9" spans="1:45">
      <c r="B9" s="1043" t="s">
        <v>978</v>
      </c>
      <c r="C9" s="3634" t="s">
        <v>2160</v>
      </c>
      <c r="D9" s="1043"/>
    </row>
    <row r="10" spans="1:45" ht="15" customHeight="1">
      <c r="A10" s="4231" t="s">
        <v>0</v>
      </c>
      <c r="B10" s="4236" t="s">
        <v>979</v>
      </c>
      <c r="C10" s="4238" t="s">
        <v>980</v>
      </c>
      <c r="D10" s="4240" t="s">
        <v>46</v>
      </c>
      <c r="E10" s="1044">
        <v>1</v>
      </c>
      <c r="F10" s="1044">
        <v>2</v>
      </c>
      <c r="G10" s="1044">
        <v>3</v>
      </c>
      <c r="H10" s="1044">
        <v>4</v>
      </c>
      <c r="I10" s="1045">
        <v>5</v>
      </c>
      <c r="J10" s="1044">
        <v>6</v>
      </c>
      <c r="K10" s="1044">
        <v>7</v>
      </c>
      <c r="L10" s="1044">
        <v>8</v>
      </c>
      <c r="M10" s="1044">
        <v>9</v>
      </c>
      <c r="N10" s="1044">
        <v>10</v>
      </c>
      <c r="O10" s="1044">
        <v>11</v>
      </c>
      <c r="P10" s="1044">
        <v>12</v>
      </c>
      <c r="Q10" s="1044">
        <v>13</v>
      </c>
      <c r="R10" s="1044">
        <v>14</v>
      </c>
      <c r="S10" s="1044">
        <v>15</v>
      </c>
      <c r="T10" s="1044">
        <v>16</v>
      </c>
      <c r="U10" s="1044">
        <v>17</v>
      </c>
      <c r="V10" s="1044">
        <v>18</v>
      </c>
      <c r="W10" s="1044">
        <v>19</v>
      </c>
      <c r="X10" s="1044">
        <v>20</v>
      </c>
      <c r="Y10" s="1044">
        <v>21</v>
      </c>
      <c r="Z10" s="1044">
        <v>22</v>
      </c>
      <c r="AA10" s="1044">
        <v>23</v>
      </c>
      <c r="AB10" s="1044">
        <v>24</v>
      </c>
      <c r="AC10" s="1044">
        <v>25</v>
      </c>
      <c r="AD10" s="1044">
        <v>26</v>
      </c>
      <c r="AE10" s="1044">
        <v>27</v>
      </c>
      <c r="AF10" s="1044">
        <v>28</v>
      </c>
      <c r="AG10" s="1044">
        <v>29</v>
      </c>
      <c r="AH10" s="1044">
        <v>30</v>
      </c>
      <c r="AI10" s="4240" t="s">
        <v>1425</v>
      </c>
      <c r="AJ10" s="4240" t="s">
        <v>1426</v>
      </c>
      <c r="AK10" s="4695" t="s">
        <v>1424</v>
      </c>
      <c r="AL10" s="4695" t="s">
        <v>1429</v>
      </c>
      <c r="AM10" s="4236" t="s">
        <v>92</v>
      </c>
    </row>
    <row r="11" spans="1:45" ht="27.75" customHeight="1">
      <c r="A11" s="4232"/>
      <c r="B11" s="4237"/>
      <c r="C11" s="4239"/>
      <c r="D11" s="4241"/>
      <c r="E11" s="1048" t="str">
        <f t="shared" ref="E11:AH11" si="0">IF(E10="","",HLOOKUP(WEEKDAY(DATE($C$8,$C$9,E10)),$AM$4:$AS$5,2,0))</f>
        <v>Ba</v>
      </c>
      <c r="F11" s="1048" t="str">
        <f t="shared" si="0"/>
        <v>Tư</v>
      </c>
      <c r="G11" s="1048" t="str">
        <f t="shared" si="0"/>
        <v>Năm</v>
      </c>
      <c r="H11" s="1048" t="str">
        <f t="shared" si="0"/>
        <v>Sáu</v>
      </c>
      <c r="I11" s="1049" t="str">
        <f t="shared" si="0"/>
        <v>Bảy</v>
      </c>
      <c r="J11" s="1048" t="str">
        <f t="shared" si="0"/>
        <v>CN</v>
      </c>
      <c r="K11" s="1048" t="str">
        <f t="shared" si="0"/>
        <v>Hai</v>
      </c>
      <c r="L11" s="1048" t="str">
        <f t="shared" si="0"/>
        <v>Ba</v>
      </c>
      <c r="M11" s="1048" t="str">
        <f t="shared" si="0"/>
        <v>Tư</v>
      </c>
      <c r="N11" s="1048" t="str">
        <f t="shared" si="0"/>
        <v>Năm</v>
      </c>
      <c r="O11" s="1048" t="str">
        <f t="shared" si="0"/>
        <v>Sáu</v>
      </c>
      <c r="P11" s="1048" t="str">
        <f t="shared" si="0"/>
        <v>Bảy</v>
      </c>
      <c r="Q11" s="1048" t="str">
        <f t="shared" si="0"/>
        <v>CN</v>
      </c>
      <c r="R11" s="1048" t="str">
        <f t="shared" si="0"/>
        <v>Hai</v>
      </c>
      <c r="S11" s="1048" t="str">
        <f t="shared" si="0"/>
        <v>Ba</v>
      </c>
      <c r="T11" s="1048" t="str">
        <f t="shared" si="0"/>
        <v>Tư</v>
      </c>
      <c r="U11" s="1048" t="str">
        <f t="shared" si="0"/>
        <v>Năm</v>
      </c>
      <c r="V11" s="1048" t="str">
        <f t="shared" si="0"/>
        <v>Sáu</v>
      </c>
      <c r="W11" s="1048" t="str">
        <f t="shared" si="0"/>
        <v>Bảy</v>
      </c>
      <c r="X11" s="1048" t="str">
        <f t="shared" si="0"/>
        <v>CN</v>
      </c>
      <c r="Y11" s="1048" t="str">
        <f t="shared" si="0"/>
        <v>Hai</v>
      </c>
      <c r="Z11" s="1048" t="str">
        <f t="shared" si="0"/>
        <v>Ba</v>
      </c>
      <c r="AA11" s="1048" t="str">
        <f t="shared" si="0"/>
        <v>Tư</v>
      </c>
      <c r="AB11" s="1048" t="str">
        <f t="shared" si="0"/>
        <v>Năm</v>
      </c>
      <c r="AC11" s="1048" t="str">
        <f t="shared" si="0"/>
        <v>Sáu</v>
      </c>
      <c r="AD11" s="1048" t="str">
        <f t="shared" si="0"/>
        <v>Bảy</v>
      </c>
      <c r="AE11" s="1048" t="str">
        <f t="shared" si="0"/>
        <v>CN</v>
      </c>
      <c r="AF11" s="1048" t="str">
        <f t="shared" si="0"/>
        <v>Hai</v>
      </c>
      <c r="AG11" s="1048" t="str">
        <f t="shared" si="0"/>
        <v>Ba</v>
      </c>
      <c r="AH11" s="1048" t="str">
        <f t="shared" si="0"/>
        <v>Tư</v>
      </c>
      <c r="AI11" s="4241"/>
      <c r="AJ11" s="4241"/>
      <c r="AK11" s="4696"/>
      <c r="AL11" s="4696"/>
      <c r="AM11" s="4237"/>
    </row>
    <row r="12" spans="1:45" ht="15.75">
      <c r="A12" s="1050">
        <v>1</v>
      </c>
      <c r="B12" s="1044"/>
      <c r="C12" s="2724" t="s">
        <v>327</v>
      </c>
      <c r="D12" s="2724" t="s">
        <v>1666</v>
      </c>
      <c r="E12" s="1044" t="s">
        <v>164</v>
      </c>
      <c r="F12" s="1044" t="s">
        <v>164</v>
      </c>
      <c r="G12" s="1044" t="s">
        <v>164</v>
      </c>
      <c r="H12" s="1044" t="s">
        <v>164</v>
      </c>
      <c r="I12" s="1044" t="s">
        <v>164</v>
      </c>
      <c r="J12" s="1044"/>
      <c r="K12" s="1044" t="s">
        <v>164</v>
      </c>
      <c r="L12" s="1044" t="s">
        <v>164</v>
      </c>
      <c r="M12" s="1044" t="s">
        <v>164</v>
      </c>
      <c r="N12" s="1044" t="s">
        <v>164</v>
      </c>
      <c r="O12" s="1044" t="s">
        <v>164</v>
      </c>
      <c r="P12" s="1044" t="s">
        <v>164</v>
      </c>
      <c r="Q12" s="1044"/>
      <c r="R12" s="1044" t="s">
        <v>164</v>
      </c>
      <c r="S12" s="1044" t="s">
        <v>164</v>
      </c>
      <c r="T12" s="1044" t="s">
        <v>164</v>
      </c>
      <c r="U12" s="1044" t="s">
        <v>164</v>
      </c>
      <c r="V12" s="1044" t="s">
        <v>164</v>
      </c>
      <c r="W12" s="1044" t="s">
        <v>164</v>
      </c>
      <c r="X12" s="1044"/>
      <c r="Y12" s="1044" t="s">
        <v>164</v>
      </c>
      <c r="Z12" s="1044" t="s">
        <v>164</v>
      </c>
      <c r="AA12" s="1044" t="s">
        <v>164</v>
      </c>
      <c r="AB12" s="1044" t="s">
        <v>164</v>
      </c>
      <c r="AC12" s="1044" t="s">
        <v>164</v>
      </c>
      <c r="AD12" s="1044" t="s">
        <v>164</v>
      </c>
      <c r="AE12" s="1044"/>
      <c r="AF12" s="1044" t="s">
        <v>164</v>
      </c>
      <c r="AG12" s="1044" t="s">
        <v>164</v>
      </c>
      <c r="AH12" s="1044" t="s">
        <v>164</v>
      </c>
      <c r="AI12" s="1488">
        <f>COUNTIF(E12:AH12,"X")</f>
        <v>26</v>
      </c>
      <c r="AJ12" s="1488">
        <f>COUNTIF(E12:AI12,"P")</f>
        <v>0</v>
      </c>
      <c r="AK12" s="1488">
        <f>COUNTIF(E12:AI12,"TT")</f>
        <v>0</v>
      </c>
      <c r="AL12" s="2725">
        <f t="shared" ref="AL12:AL18" si="1">+AI12+AK12+AJ12</f>
        <v>26</v>
      </c>
      <c r="AM12" s="1050"/>
    </row>
    <row r="13" spans="1:45" ht="15.75">
      <c r="A13" s="1050">
        <v>2</v>
      </c>
      <c r="B13" s="1044"/>
      <c r="C13" s="2726" t="s">
        <v>437</v>
      </c>
      <c r="D13" s="2726" t="s">
        <v>1667</v>
      </c>
      <c r="E13" s="1044" t="s">
        <v>164</v>
      </c>
      <c r="F13" s="1044" t="s">
        <v>164</v>
      </c>
      <c r="G13" s="1044" t="s">
        <v>164</v>
      </c>
      <c r="H13" s="1044" t="s">
        <v>164</v>
      </c>
      <c r="I13" s="1044" t="s">
        <v>164</v>
      </c>
      <c r="J13" s="1044"/>
      <c r="K13" s="1044" t="s">
        <v>164</v>
      </c>
      <c r="L13" s="1044" t="s">
        <v>164</v>
      </c>
      <c r="M13" s="1044" t="s">
        <v>164</v>
      </c>
      <c r="N13" s="1044" t="s">
        <v>164</v>
      </c>
      <c r="O13" s="1044" t="s">
        <v>164</v>
      </c>
      <c r="P13" s="1044" t="s">
        <v>164</v>
      </c>
      <c r="Q13" s="1044"/>
      <c r="R13" s="1044" t="s">
        <v>164</v>
      </c>
      <c r="S13" s="1044" t="s">
        <v>164</v>
      </c>
      <c r="T13" s="1044" t="s">
        <v>164</v>
      </c>
      <c r="U13" s="1044" t="s">
        <v>164</v>
      </c>
      <c r="V13" s="1044" t="s">
        <v>164</v>
      </c>
      <c r="W13" s="1044" t="s">
        <v>164</v>
      </c>
      <c r="X13" s="1044"/>
      <c r="Y13" s="1044" t="s">
        <v>164</v>
      </c>
      <c r="Z13" s="1044" t="s">
        <v>164</v>
      </c>
      <c r="AA13" s="1044" t="s">
        <v>164</v>
      </c>
      <c r="AB13" s="1044" t="s">
        <v>164</v>
      </c>
      <c r="AC13" s="1044" t="s">
        <v>164</v>
      </c>
      <c r="AD13" s="1044" t="s">
        <v>164</v>
      </c>
      <c r="AE13" s="1044"/>
      <c r="AF13" s="1044" t="s">
        <v>164</v>
      </c>
      <c r="AG13" s="1044" t="s">
        <v>164</v>
      </c>
      <c r="AH13" s="1044" t="s">
        <v>164</v>
      </c>
      <c r="AI13" s="1488">
        <f>COUNTIF(E13:AH13,"X")</f>
        <v>26</v>
      </c>
      <c r="AJ13" s="1488">
        <f>COUNTIF(E13:AI13,"P")</f>
        <v>0</v>
      </c>
      <c r="AK13" s="1488">
        <f>COUNTIF(E13:AI13,"TT")</f>
        <v>0</v>
      </c>
      <c r="AL13" s="2725">
        <f t="shared" si="1"/>
        <v>26</v>
      </c>
      <c r="AM13" s="1050"/>
    </row>
    <row r="14" spans="1:45" ht="15.75">
      <c r="A14" s="4784" t="s">
        <v>1668</v>
      </c>
      <c r="B14" s="4784"/>
      <c r="C14" s="4784"/>
      <c r="D14" s="2730"/>
      <c r="E14" s="2370">
        <f t="shared" ref="E14:AH14" si="2">COUNTIF(E12:E13,"X")</f>
        <v>2</v>
      </c>
      <c r="F14" s="2370"/>
      <c r="G14" s="2370">
        <f t="shared" si="2"/>
        <v>2</v>
      </c>
      <c r="H14" s="2370">
        <f t="shared" si="2"/>
        <v>2</v>
      </c>
      <c r="I14" s="2370">
        <f t="shared" si="2"/>
        <v>2</v>
      </c>
      <c r="J14" s="2370">
        <f t="shared" si="2"/>
        <v>0</v>
      </c>
      <c r="K14" s="2370">
        <f t="shared" si="2"/>
        <v>2</v>
      </c>
      <c r="L14" s="2370">
        <f t="shared" si="2"/>
        <v>2</v>
      </c>
      <c r="M14" s="2734"/>
      <c r="N14" s="2734">
        <f t="shared" si="2"/>
        <v>2</v>
      </c>
      <c r="O14" s="2734">
        <f t="shared" si="2"/>
        <v>2</v>
      </c>
      <c r="P14" s="2734">
        <f t="shared" si="2"/>
        <v>2</v>
      </c>
      <c r="Q14" s="2370">
        <f t="shared" si="2"/>
        <v>0</v>
      </c>
      <c r="R14" s="2734">
        <f t="shared" si="2"/>
        <v>2</v>
      </c>
      <c r="S14" s="2734">
        <f t="shared" si="2"/>
        <v>2</v>
      </c>
      <c r="T14" s="2735">
        <f t="shared" si="2"/>
        <v>2</v>
      </c>
      <c r="U14" s="2735">
        <f t="shared" si="2"/>
        <v>2</v>
      </c>
      <c r="V14" s="2735">
        <f t="shared" si="2"/>
        <v>2</v>
      </c>
      <c r="W14" s="2735">
        <f t="shared" si="2"/>
        <v>2</v>
      </c>
      <c r="X14" s="2735">
        <f t="shared" si="2"/>
        <v>0</v>
      </c>
      <c r="Y14" s="2735">
        <f t="shared" si="2"/>
        <v>2</v>
      </c>
      <c r="Z14" s="2735">
        <f t="shared" si="2"/>
        <v>2</v>
      </c>
      <c r="AA14" s="2735">
        <f t="shared" si="2"/>
        <v>2</v>
      </c>
      <c r="AB14" s="2735">
        <f t="shared" si="2"/>
        <v>2</v>
      </c>
      <c r="AC14" s="2735">
        <f t="shared" si="2"/>
        <v>2</v>
      </c>
      <c r="AD14" s="2735">
        <f t="shared" si="2"/>
        <v>2</v>
      </c>
      <c r="AE14" s="2735">
        <f t="shared" si="2"/>
        <v>0</v>
      </c>
      <c r="AF14" s="2735">
        <f t="shared" si="2"/>
        <v>2</v>
      </c>
      <c r="AG14" s="2735">
        <f t="shared" si="2"/>
        <v>2</v>
      </c>
      <c r="AH14" s="2735">
        <f t="shared" si="2"/>
        <v>2</v>
      </c>
      <c r="AI14" s="2731">
        <f>SUM(AI12:AI13)</f>
        <v>52</v>
      </c>
      <c r="AJ14" s="2731">
        <f>SUM(AJ12:AJ13)</f>
        <v>0</v>
      </c>
      <c r="AK14" s="2731">
        <f>SUM(AK12:AK13)</f>
        <v>0</v>
      </c>
      <c r="AL14" s="2731">
        <f>SUM(AL12:AL13)</f>
        <v>52</v>
      </c>
      <c r="AM14" s="2732"/>
    </row>
    <row r="15" spans="1:45" ht="15.75">
      <c r="A15" s="1050">
        <v>1</v>
      </c>
      <c r="B15" s="1044"/>
      <c r="C15" s="2727" t="s">
        <v>1075</v>
      </c>
      <c r="D15" s="2727" t="s">
        <v>1104</v>
      </c>
      <c r="E15" s="1044" t="s">
        <v>164</v>
      </c>
      <c r="F15" s="1044" t="s">
        <v>164</v>
      </c>
      <c r="G15" s="1044" t="s">
        <v>164</v>
      </c>
      <c r="H15" s="1044" t="s">
        <v>164</v>
      </c>
      <c r="I15" s="1044" t="s">
        <v>164</v>
      </c>
      <c r="J15" s="1044"/>
      <c r="K15" s="1044" t="s">
        <v>164</v>
      </c>
      <c r="L15" s="1044" t="s">
        <v>164</v>
      </c>
      <c r="M15" s="1044" t="s">
        <v>164</v>
      </c>
      <c r="N15" s="1044" t="s">
        <v>164</v>
      </c>
      <c r="O15" s="1044" t="s">
        <v>164</v>
      </c>
      <c r="P15" s="1044" t="s">
        <v>164</v>
      </c>
      <c r="Q15" s="1044"/>
      <c r="R15" s="1044" t="s">
        <v>164</v>
      </c>
      <c r="S15" s="1044" t="s">
        <v>164</v>
      </c>
      <c r="T15" s="1044" t="s">
        <v>164</v>
      </c>
      <c r="U15" s="1044" t="s">
        <v>164</v>
      </c>
      <c r="V15" s="1044" t="s">
        <v>164</v>
      </c>
      <c r="W15" s="1044" t="s">
        <v>164</v>
      </c>
      <c r="X15" s="1044"/>
      <c r="Y15" s="1045" t="s">
        <v>164</v>
      </c>
      <c r="Z15" s="1045" t="s">
        <v>164</v>
      </c>
      <c r="AA15" s="1045" t="s">
        <v>164</v>
      </c>
      <c r="AB15" s="1045" t="s">
        <v>164</v>
      </c>
      <c r="AC15" s="1045" t="s">
        <v>164</v>
      </c>
      <c r="AD15" s="1045" t="s">
        <v>164</v>
      </c>
      <c r="AE15" s="1045"/>
      <c r="AF15" s="1044" t="s">
        <v>164</v>
      </c>
      <c r="AG15" s="1045" t="s">
        <v>164</v>
      </c>
      <c r="AH15" s="1044" t="s">
        <v>164</v>
      </c>
      <c r="AI15" s="1488">
        <f>COUNTIF(E15:AH15,"X")</f>
        <v>26</v>
      </c>
      <c r="AJ15" s="1488">
        <f>COUNTIF(E15:AI15,"P")</f>
        <v>0</v>
      </c>
      <c r="AK15" s="1488">
        <f>COUNTIF(E15:AI15,"TT")</f>
        <v>0</v>
      </c>
      <c r="AL15" s="2725">
        <f t="shared" si="1"/>
        <v>26</v>
      </c>
      <c r="AM15" s="1050"/>
    </row>
    <row r="16" spans="1:45" ht="15.75">
      <c r="A16" s="1050">
        <v>2</v>
      </c>
      <c r="B16" s="1044"/>
      <c r="C16" s="2728" t="s">
        <v>1102</v>
      </c>
      <c r="D16" s="2728" t="s">
        <v>1104</v>
      </c>
      <c r="E16" s="1044" t="s">
        <v>164</v>
      </c>
      <c r="F16" s="1044" t="s">
        <v>164</v>
      </c>
      <c r="G16" s="1044" t="s">
        <v>164</v>
      </c>
      <c r="H16" s="1044" t="s">
        <v>164</v>
      </c>
      <c r="I16" s="1044" t="s">
        <v>164</v>
      </c>
      <c r="J16" s="1044"/>
      <c r="K16" s="1044" t="s">
        <v>164</v>
      </c>
      <c r="L16" s="1044" t="s">
        <v>164</v>
      </c>
      <c r="M16" s="1044" t="s">
        <v>164</v>
      </c>
      <c r="N16" s="1044" t="s">
        <v>164</v>
      </c>
      <c r="O16" s="1044" t="s">
        <v>164</v>
      </c>
      <c r="P16" s="1044" t="s">
        <v>164</v>
      </c>
      <c r="Q16" s="1044"/>
      <c r="R16" s="1044" t="s">
        <v>164</v>
      </c>
      <c r="S16" s="1044" t="s">
        <v>164</v>
      </c>
      <c r="T16" s="1044" t="s">
        <v>164</v>
      </c>
      <c r="U16" s="1044" t="s">
        <v>164</v>
      </c>
      <c r="V16" s="1044" t="s">
        <v>164</v>
      </c>
      <c r="W16" s="1044" t="s">
        <v>164</v>
      </c>
      <c r="X16" s="1044"/>
      <c r="Y16" s="1045" t="s">
        <v>164</v>
      </c>
      <c r="Z16" s="1045" t="s">
        <v>164</v>
      </c>
      <c r="AA16" s="1045" t="s">
        <v>164</v>
      </c>
      <c r="AB16" s="1045" t="s">
        <v>164</v>
      </c>
      <c r="AC16" s="1045" t="s">
        <v>164</v>
      </c>
      <c r="AD16" s="1045" t="s">
        <v>164</v>
      </c>
      <c r="AE16" s="1045"/>
      <c r="AF16" s="1044" t="s">
        <v>164</v>
      </c>
      <c r="AG16" s="1044" t="s">
        <v>164</v>
      </c>
      <c r="AH16" s="1044" t="s">
        <v>164</v>
      </c>
      <c r="AI16" s="1488">
        <f>COUNTIF(E16:AH16,"X")</f>
        <v>26</v>
      </c>
      <c r="AJ16" s="1488">
        <f>COUNTIF(E16:AI16,"P")</f>
        <v>0</v>
      </c>
      <c r="AK16" s="1488">
        <f>COUNTIF(E16:AI16,"TT")</f>
        <v>0</v>
      </c>
      <c r="AL16" s="2725">
        <f t="shared" si="1"/>
        <v>26</v>
      </c>
      <c r="AM16" s="1050"/>
    </row>
    <row r="17" spans="1:39" ht="15.75">
      <c r="A17" s="1050">
        <v>3</v>
      </c>
      <c r="B17" s="1044"/>
      <c r="C17" s="2728" t="s">
        <v>1280</v>
      </c>
      <c r="D17" s="2728" t="s">
        <v>1104</v>
      </c>
      <c r="E17" s="1044" t="s">
        <v>164</v>
      </c>
      <c r="F17" s="1044" t="s">
        <v>164</v>
      </c>
      <c r="G17" s="1044" t="s">
        <v>164</v>
      </c>
      <c r="H17" s="1044" t="s">
        <v>164</v>
      </c>
      <c r="I17" s="1044" t="s">
        <v>164</v>
      </c>
      <c r="J17" s="1044"/>
      <c r="K17" s="1044" t="s">
        <v>164</v>
      </c>
      <c r="L17" s="1044" t="s">
        <v>164</v>
      </c>
      <c r="M17" s="1044" t="s">
        <v>164</v>
      </c>
      <c r="N17" s="1044" t="s">
        <v>164</v>
      </c>
      <c r="O17" s="1044" t="s">
        <v>164</v>
      </c>
      <c r="P17" s="1044" t="s">
        <v>164</v>
      </c>
      <c r="Q17" s="1044"/>
      <c r="R17" s="1044" t="s">
        <v>164</v>
      </c>
      <c r="S17" s="1044" t="s">
        <v>164</v>
      </c>
      <c r="T17" s="1044" t="s">
        <v>164</v>
      </c>
      <c r="U17" s="1044" t="s">
        <v>164</v>
      </c>
      <c r="V17" s="1044" t="s">
        <v>164</v>
      </c>
      <c r="W17" s="1044" t="s">
        <v>164</v>
      </c>
      <c r="X17" s="1044"/>
      <c r="Y17" s="1045" t="s">
        <v>164</v>
      </c>
      <c r="Z17" s="1045" t="s">
        <v>164</v>
      </c>
      <c r="AA17" s="1045" t="s">
        <v>164</v>
      </c>
      <c r="AB17" s="1045" t="s">
        <v>164</v>
      </c>
      <c r="AC17" s="1045" t="s">
        <v>164</v>
      </c>
      <c r="AD17" s="1045" t="s">
        <v>164</v>
      </c>
      <c r="AE17" s="1045"/>
      <c r="AF17" s="1044" t="s">
        <v>164</v>
      </c>
      <c r="AG17" s="1044" t="s">
        <v>164</v>
      </c>
      <c r="AH17" s="1044" t="s">
        <v>164</v>
      </c>
      <c r="AI17" s="1488">
        <f>COUNTIF(E17:AH17,"X")</f>
        <v>26</v>
      </c>
      <c r="AJ17" s="1488">
        <f>COUNTIF(E17:AI17,"P")</f>
        <v>0</v>
      </c>
      <c r="AK17" s="1488">
        <f>COUNTIF(E17:AI17,"TT")</f>
        <v>0</v>
      </c>
      <c r="AL17" s="2725">
        <f t="shared" si="1"/>
        <v>26</v>
      </c>
      <c r="AM17" s="1050"/>
    </row>
    <row r="18" spans="1:39" ht="15.75">
      <c r="A18" s="1050">
        <v>4</v>
      </c>
      <c r="B18" s="1044"/>
      <c r="C18" s="2728" t="s">
        <v>1579</v>
      </c>
      <c r="D18" s="2728" t="s">
        <v>54</v>
      </c>
      <c r="E18" s="1044" t="s">
        <v>164</v>
      </c>
      <c r="F18" s="1044" t="s">
        <v>164</v>
      </c>
      <c r="G18" s="1044" t="s">
        <v>164</v>
      </c>
      <c r="H18" s="1044" t="s">
        <v>164</v>
      </c>
      <c r="I18" s="1044" t="s">
        <v>164</v>
      </c>
      <c r="J18" s="1044" t="s">
        <v>164</v>
      </c>
      <c r="K18" s="1044" t="s">
        <v>164</v>
      </c>
      <c r="L18" s="1044" t="s">
        <v>164</v>
      </c>
      <c r="M18" s="1044" t="s">
        <v>164</v>
      </c>
      <c r="N18" s="1044" t="s">
        <v>164</v>
      </c>
      <c r="O18" s="1044" t="s">
        <v>164</v>
      </c>
      <c r="P18" s="1044" t="s">
        <v>164</v>
      </c>
      <c r="Q18" s="1044" t="s">
        <v>164</v>
      </c>
      <c r="R18" s="1044" t="s">
        <v>164</v>
      </c>
      <c r="S18" s="1044" t="s">
        <v>164</v>
      </c>
      <c r="T18" s="1044" t="s">
        <v>164</v>
      </c>
      <c r="U18" s="1044" t="s">
        <v>164</v>
      </c>
      <c r="V18" s="1044" t="s">
        <v>164</v>
      </c>
      <c r="W18" s="1044" t="s">
        <v>164</v>
      </c>
      <c r="X18" s="1044" t="s">
        <v>164</v>
      </c>
      <c r="Y18" s="1044" t="s">
        <v>164</v>
      </c>
      <c r="Z18" s="1044" t="s">
        <v>164</v>
      </c>
      <c r="AA18" s="1044" t="s">
        <v>164</v>
      </c>
      <c r="AB18" s="1044" t="s">
        <v>164</v>
      </c>
      <c r="AC18" s="1044" t="s">
        <v>164</v>
      </c>
      <c r="AD18" s="1044" t="s">
        <v>164</v>
      </c>
      <c r="AE18" s="1044" t="s">
        <v>164</v>
      </c>
      <c r="AF18" s="1044" t="s">
        <v>164</v>
      </c>
      <c r="AG18" s="1044" t="s">
        <v>164</v>
      </c>
      <c r="AH18" s="1044" t="s">
        <v>164</v>
      </c>
      <c r="AI18" s="1488">
        <f>COUNTIF(E18:AH18,"X")</f>
        <v>30</v>
      </c>
      <c r="AJ18" s="1488">
        <f>COUNTIF(E18:AI18,"P")</f>
        <v>0</v>
      </c>
      <c r="AK18" s="1488">
        <f>COUNTIF(E18:AI18,"TT")</f>
        <v>0</v>
      </c>
      <c r="AL18" s="2725">
        <f t="shared" si="1"/>
        <v>30</v>
      </c>
      <c r="AM18" s="1050"/>
    </row>
    <row r="19" spans="1:39" ht="15.75">
      <c r="A19" s="4785" t="s">
        <v>1669</v>
      </c>
      <c r="B19" s="4786"/>
      <c r="C19" s="4787"/>
      <c r="D19" s="2728"/>
      <c r="E19" s="2736">
        <f>COUNTIF(E15:E18,"x")</f>
        <v>4</v>
      </c>
      <c r="F19" s="2736">
        <f t="shared" ref="F19:AH19" si="3">COUNTIF(F15:F18,"x")</f>
        <v>4</v>
      </c>
      <c r="G19" s="2736">
        <f t="shared" si="3"/>
        <v>4</v>
      </c>
      <c r="H19" s="3235">
        <f t="shared" si="3"/>
        <v>4</v>
      </c>
      <c r="I19" s="2736">
        <f t="shared" si="3"/>
        <v>4</v>
      </c>
      <c r="J19" s="2736">
        <f t="shared" si="3"/>
        <v>1</v>
      </c>
      <c r="K19" s="2736">
        <f t="shared" si="3"/>
        <v>4</v>
      </c>
      <c r="L19" s="2736">
        <f t="shared" si="3"/>
        <v>4</v>
      </c>
      <c r="M19" s="2736">
        <f t="shared" si="3"/>
        <v>4</v>
      </c>
      <c r="N19" s="2736">
        <f t="shared" si="3"/>
        <v>4</v>
      </c>
      <c r="O19" s="3235">
        <f t="shared" si="3"/>
        <v>4</v>
      </c>
      <c r="P19" s="2736">
        <f t="shared" si="3"/>
        <v>4</v>
      </c>
      <c r="Q19" s="2736">
        <f t="shared" si="3"/>
        <v>1</v>
      </c>
      <c r="R19" s="2736">
        <f t="shared" si="3"/>
        <v>4</v>
      </c>
      <c r="S19" s="2736">
        <f t="shared" si="3"/>
        <v>4</v>
      </c>
      <c r="T19" s="2736">
        <f t="shared" si="3"/>
        <v>4</v>
      </c>
      <c r="U19" s="2736">
        <f t="shared" si="3"/>
        <v>4</v>
      </c>
      <c r="V19" s="3235">
        <f t="shared" si="3"/>
        <v>4</v>
      </c>
      <c r="W19" s="2736">
        <f t="shared" si="3"/>
        <v>4</v>
      </c>
      <c r="X19" s="2736">
        <f t="shared" si="3"/>
        <v>1</v>
      </c>
      <c r="Y19" s="2736">
        <f t="shared" si="3"/>
        <v>4</v>
      </c>
      <c r="Z19" s="2736">
        <f t="shared" si="3"/>
        <v>4</v>
      </c>
      <c r="AA19" s="2736">
        <f t="shared" si="3"/>
        <v>4</v>
      </c>
      <c r="AB19" s="2736">
        <f t="shared" si="3"/>
        <v>4</v>
      </c>
      <c r="AC19" s="3235">
        <f t="shared" si="3"/>
        <v>4</v>
      </c>
      <c r="AD19" s="2736">
        <f t="shared" si="3"/>
        <v>4</v>
      </c>
      <c r="AE19" s="2736">
        <f t="shared" si="3"/>
        <v>1</v>
      </c>
      <c r="AF19" s="2736">
        <f t="shared" si="3"/>
        <v>4</v>
      </c>
      <c r="AG19" s="3632">
        <f t="shared" si="3"/>
        <v>4</v>
      </c>
      <c r="AH19" s="3771">
        <f t="shared" si="3"/>
        <v>4</v>
      </c>
      <c r="AI19" s="2731">
        <f>SUM(AI15:AI18)</f>
        <v>108</v>
      </c>
      <c r="AJ19" s="2731">
        <f>SUM(AJ15:AJ18)</f>
        <v>0</v>
      </c>
      <c r="AK19" s="2731">
        <f>SUM(AK15:AK18)</f>
        <v>0</v>
      </c>
      <c r="AL19" s="2731">
        <f>SUM(AL15:AL18)</f>
        <v>108</v>
      </c>
      <c r="AM19" s="2733"/>
    </row>
    <row r="20" spans="1:39">
      <c r="A20" s="2226" t="s">
        <v>1420</v>
      </c>
      <c r="AA20" s="4693" t="s">
        <v>2161</v>
      </c>
      <c r="AB20" s="4693"/>
      <c r="AC20" s="4693"/>
      <c r="AD20" s="4693"/>
      <c r="AE20" s="4693"/>
      <c r="AF20" s="4693"/>
      <c r="AG20" s="4693"/>
      <c r="AH20" s="4693"/>
      <c r="AI20" s="4693"/>
      <c r="AJ20" s="4693"/>
      <c r="AK20" s="4693"/>
      <c r="AL20" s="4693"/>
      <c r="AM20" s="4693"/>
    </row>
    <row r="21" spans="1:39">
      <c r="A21" s="2713" t="s">
        <v>29</v>
      </c>
      <c r="B21" s="1038" t="s">
        <v>982</v>
      </c>
      <c r="C21" s="1038" t="s">
        <v>1422</v>
      </c>
      <c r="D21" s="4228" t="s">
        <v>241</v>
      </c>
      <c r="E21" s="4228"/>
      <c r="F21" s="4228"/>
      <c r="G21" s="4228"/>
      <c r="H21" s="4228"/>
      <c r="I21" s="4228"/>
      <c r="J21" s="4228"/>
      <c r="K21" s="4228"/>
      <c r="L21" s="4228"/>
      <c r="M21" s="4228"/>
      <c r="N21" s="4228"/>
      <c r="O21" s="4228"/>
      <c r="P21" s="4694" t="s">
        <v>513</v>
      </c>
      <c r="Q21" s="4694"/>
      <c r="R21" s="4694"/>
      <c r="S21" s="4694"/>
      <c r="T21" s="4694"/>
      <c r="U21" s="4694"/>
      <c r="V21" s="4694"/>
      <c r="W21" s="4694"/>
      <c r="X21" s="4694"/>
      <c r="Y21" s="4694"/>
      <c r="Z21" s="4694"/>
      <c r="AA21" s="4694"/>
      <c r="AB21" s="4694" t="s">
        <v>21</v>
      </c>
      <c r="AC21" s="4694"/>
      <c r="AD21" s="4694"/>
      <c r="AE21" s="4694"/>
      <c r="AF21" s="4694"/>
      <c r="AG21" s="4694"/>
      <c r="AH21" s="4694"/>
      <c r="AI21" s="4694"/>
      <c r="AJ21" s="4694"/>
      <c r="AK21" s="4694"/>
      <c r="AL21" s="4694"/>
      <c r="AM21" s="4694"/>
    </row>
    <row r="22" spans="1:39">
      <c r="A22" s="2713"/>
      <c r="B22" s="1039"/>
      <c r="AI22" s="1051"/>
      <c r="AJ22" s="1051"/>
    </row>
    <row r="23" spans="1:39">
      <c r="A23" s="2713"/>
      <c r="B23" s="1052"/>
    </row>
    <row r="24" spans="1:39" ht="15.75">
      <c r="A24" s="2713"/>
      <c r="AA24" s="4233"/>
      <c r="AB24" s="4233"/>
      <c r="AC24" s="4233"/>
      <c r="AD24" s="4233"/>
      <c r="AE24" s="4233"/>
      <c r="AF24" s="4233"/>
      <c r="AG24" s="4233"/>
      <c r="AH24" s="4233"/>
      <c r="AI24" s="4233"/>
      <c r="AJ24" s="2714"/>
    </row>
    <row r="25" spans="1:39">
      <c r="B25" s="4691"/>
      <c r="C25" s="4691"/>
      <c r="D25" s="2711"/>
      <c r="AB25" s="4230"/>
      <c r="AC25" s="4230"/>
      <c r="AD25" s="4230"/>
      <c r="AE25" s="4230"/>
      <c r="AF25" s="4230"/>
      <c r="AG25" s="4230"/>
      <c r="AH25" s="4230"/>
      <c r="AI25" s="4230"/>
      <c r="AJ25" s="2713"/>
    </row>
    <row r="26" spans="1:39" s="1053" customFormat="1" ht="14.25">
      <c r="I26" s="1054"/>
      <c r="L26" s="4228"/>
      <c r="M26" s="4228"/>
      <c r="N26" s="4228"/>
      <c r="O26" s="4228"/>
      <c r="P26" s="4228"/>
      <c r="Q26" s="4228"/>
      <c r="R26" s="4228"/>
      <c r="S26" s="4228"/>
      <c r="T26" s="4228"/>
      <c r="U26" s="4228"/>
      <c r="AD26" s="4228"/>
      <c r="AE26" s="4228"/>
      <c r="AF26" s="4228"/>
      <c r="AG26" s="4228"/>
      <c r="AH26" s="4228"/>
      <c r="AI26" s="4228"/>
      <c r="AJ26" s="2711"/>
    </row>
    <row r="27" spans="1:39">
      <c r="B27" s="4229"/>
      <c r="C27" s="4230"/>
      <c r="D27" s="2713"/>
      <c r="L27" s="4229"/>
      <c r="M27" s="4229"/>
      <c r="N27" s="4229"/>
      <c r="O27" s="4229"/>
      <c r="P27" s="4229"/>
      <c r="Q27" s="4229"/>
      <c r="R27" s="4229"/>
      <c r="S27" s="4229"/>
      <c r="T27" s="4229"/>
      <c r="U27" s="4229"/>
      <c r="AD27" s="4229"/>
      <c r="AE27" s="4229"/>
      <c r="AF27" s="4229"/>
      <c r="AG27" s="4229"/>
      <c r="AH27" s="4229"/>
      <c r="AI27" s="4229"/>
      <c r="AJ27" s="2712"/>
    </row>
  </sheetData>
  <mergeCells count="29">
    <mergeCell ref="A7:AM7"/>
    <mergeCell ref="A1:AM1"/>
    <mergeCell ref="A2:AM2"/>
    <mergeCell ref="A3:AM3"/>
    <mergeCell ref="A4:H4"/>
    <mergeCell ref="A5:H5"/>
    <mergeCell ref="AM10:AM11"/>
    <mergeCell ref="AA20:AM20"/>
    <mergeCell ref="D21:O21"/>
    <mergeCell ref="P21:AA21"/>
    <mergeCell ref="AB21:AM21"/>
    <mergeCell ref="D10:D11"/>
    <mergeCell ref="AI10:AI11"/>
    <mergeCell ref="AJ10:AJ11"/>
    <mergeCell ref="B27:C27"/>
    <mergeCell ref="L27:U27"/>
    <mergeCell ref="AD27:AI27"/>
    <mergeCell ref="AK10:AK11"/>
    <mergeCell ref="AL10:AL11"/>
    <mergeCell ref="A14:C14"/>
    <mergeCell ref="A19:C19"/>
    <mergeCell ref="A10:A11"/>
    <mergeCell ref="B10:B11"/>
    <mergeCell ref="C10:C11"/>
    <mergeCell ref="AA24:AI24"/>
    <mergeCell ref="B25:C25"/>
    <mergeCell ref="AB25:AI25"/>
    <mergeCell ref="L26:U26"/>
    <mergeCell ref="AD26:AI26"/>
  </mergeCells>
  <conditionalFormatting sqref="AM4:AS5">
    <cfRule type="expression" dxfId="2" priority="1" stopIfTrue="1">
      <formula>$AU$4=""</formula>
    </cfRule>
  </conditionalFormatting>
  <pageMargins left="0.31496062992125984" right="0.19685039370078741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214"/>
  <sheetViews>
    <sheetView workbookViewId="0">
      <pane ySplit="10" topLeftCell="A27" activePane="bottomLeft" state="frozen"/>
      <selection activeCell="AA27" sqref="AA27"/>
      <selection pane="bottomLeft" activeCell="M28" sqref="M28"/>
    </sheetView>
  </sheetViews>
  <sheetFormatPr defaultRowHeight="12.75"/>
  <cols>
    <col min="1" max="1" width="3.7109375" customWidth="1"/>
    <col min="2" max="2" width="19.85546875" customWidth="1"/>
    <col min="3" max="3" width="7.85546875" hidden="1" customWidth="1"/>
    <col min="4" max="4" width="7.42578125" customWidth="1"/>
    <col min="5" max="35" width="5.140625" customWidth="1"/>
    <col min="36" max="36" width="7.7109375" customWidth="1"/>
    <col min="37" max="37" width="7.28515625" customWidth="1"/>
    <col min="38" max="38" width="8" customWidth="1"/>
    <col min="39" max="39" width="9.85546875" customWidth="1"/>
    <col min="40" max="40" width="11.140625" bestFit="1" customWidth="1"/>
    <col min="42" max="42" width="11.140625" bestFit="1" customWidth="1"/>
    <col min="43" max="43" width="11.28515625" bestFit="1" customWidth="1"/>
    <col min="44" max="44" width="11.140625" bestFit="1" customWidth="1"/>
  </cols>
  <sheetData>
    <row r="1" spans="1:41" ht="15.75">
      <c r="A1" s="4124" t="s">
        <v>23</v>
      </c>
      <c r="B1" s="4124"/>
      <c r="C1" s="4124"/>
      <c r="D1" s="4124"/>
      <c r="E1" s="4124"/>
      <c r="F1" s="4124"/>
      <c r="G1" s="4124"/>
      <c r="H1" s="4124"/>
      <c r="I1" s="4124"/>
      <c r="J1" s="4124"/>
      <c r="K1" s="4124"/>
      <c r="L1" s="4124"/>
      <c r="M1" s="4124"/>
      <c r="N1" s="4124"/>
      <c r="O1" s="4124"/>
      <c r="P1" s="4124"/>
      <c r="Q1" s="4124"/>
      <c r="R1" s="4124"/>
      <c r="S1" s="4124"/>
      <c r="T1" s="4124"/>
      <c r="U1" s="4124"/>
      <c r="V1" s="4124"/>
      <c r="W1" s="4124"/>
      <c r="X1" s="4124"/>
      <c r="Y1" s="4124"/>
      <c r="Z1" s="4124"/>
      <c r="AA1" s="4124"/>
      <c r="AB1" s="4124"/>
      <c r="AC1" s="4124"/>
      <c r="AD1" s="4124"/>
      <c r="AE1" s="4124"/>
      <c r="AF1" s="4124"/>
      <c r="AG1" s="4124"/>
      <c r="AH1" s="4124"/>
      <c r="AI1" s="4124"/>
      <c r="AJ1" s="4124"/>
      <c r="AK1" s="4124"/>
      <c r="AL1" s="4124"/>
      <c r="AM1" s="4124"/>
    </row>
    <row r="2" spans="1:41" ht="15.75">
      <c r="A2" s="4124" t="s">
        <v>45</v>
      </c>
      <c r="B2" s="4124"/>
      <c r="C2" s="4124"/>
      <c r="D2" s="4124"/>
      <c r="E2" s="4124"/>
      <c r="F2" s="4124"/>
      <c r="G2" s="4124"/>
      <c r="H2" s="4124"/>
      <c r="I2" s="4124"/>
      <c r="J2" s="4124"/>
      <c r="K2" s="4124"/>
      <c r="L2" s="4124"/>
      <c r="M2" s="4124"/>
      <c r="N2" s="4124"/>
      <c r="O2" s="4124"/>
      <c r="P2" s="4124"/>
      <c r="Q2" s="4124"/>
      <c r="R2" s="4124"/>
      <c r="S2" s="4124"/>
      <c r="T2" s="4124"/>
      <c r="U2" s="4124"/>
      <c r="V2" s="4124"/>
      <c r="W2" s="4124"/>
      <c r="X2" s="4124"/>
      <c r="Y2" s="4124"/>
      <c r="Z2" s="4124"/>
      <c r="AA2" s="4124"/>
      <c r="AB2" s="4124"/>
      <c r="AC2" s="4124"/>
      <c r="AD2" s="4124"/>
      <c r="AE2" s="4124"/>
      <c r="AF2" s="4124"/>
      <c r="AG2" s="4124"/>
      <c r="AH2" s="4124"/>
      <c r="AI2" s="4124"/>
      <c r="AJ2" s="4124"/>
      <c r="AK2" s="4124"/>
      <c r="AL2" s="4124"/>
      <c r="AM2" s="4124"/>
    </row>
    <row r="3" spans="1:41" ht="15.75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  <c r="R3" s="3900"/>
      <c r="S3" s="3900"/>
      <c r="T3" s="3900"/>
      <c r="U3" s="3900"/>
      <c r="V3" s="3900"/>
      <c r="W3" s="3900"/>
      <c r="X3" s="3900"/>
      <c r="Y3" s="3900"/>
      <c r="Z3" s="3900"/>
      <c r="AA3" s="3900"/>
      <c r="AB3" s="3900"/>
      <c r="AC3" s="3900"/>
      <c r="AD3" s="3900"/>
      <c r="AE3" s="3900"/>
      <c r="AF3" s="3900"/>
      <c r="AG3" s="3900"/>
      <c r="AH3" s="3900"/>
      <c r="AI3" s="3900"/>
      <c r="AJ3" s="3900"/>
      <c r="AK3" s="3900"/>
      <c r="AL3" s="3900"/>
      <c r="AM3" s="3900"/>
    </row>
    <row r="4" spans="1:41" ht="15.75">
      <c r="A4" s="4788" t="s">
        <v>1855</v>
      </c>
      <c r="B4" s="4788"/>
      <c r="C4" s="4788"/>
      <c r="D4" s="4788"/>
      <c r="E4" s="4788"/>
      <c r="F4" s="4788"/>
      <c r="G4" s="4788"/>
      <c r="H4" s="2775"/>
      <c r="I4" s="2775"/>
      <c r="J4" s="2775"/>
      <c r="K4" s="2775"/>
      <c r="L4" s="2775"/>
      <c r="M4" s="2775"/>
      <c r="N4" s="2775"/>
      <c r="O4" s="2775"/>
      <c r="P4" s="2775"/>
      <c r="Q4" s="2775"/>
      <c r="R4" s="2775"/>
      <c r="S4" s="2775"/>
      <c r="T4" s="2775"/>
      <c r="U4" s="2775"/>
      <c r="V4" s="2775"/>
      <c r="W4" s="2775"/>
      <c r="X4" s="2775"/>
      <c r="Y4" s="2776"/>
      <c r="Z4" s="2776"/>
      <c r="AA4" s="2776"/>
      <c r="AB4" s="2776"/>
      <c r="AC4" s="2776"/>
      <c r="AD4" s="2776"/>
      <c r="AE4" s="2776"/>
      <c r="AF4" s="2776"/>
      <c r="AG4" s="2776"/>
      <c r="AH4" s="2776"/>
      <c r="AI4" s="2776"/>
      <c r="AJ4" s="2776"/>
      <c r="AK4" s="2776"/>
      <c r="AL4" s="2777"/>
      <c r="AM4" s="2778"/>
    </row>
    <row r="5" spans="1:41" ht="15.75">
      <c r="A5" s="4789" t="s">
        <v>90</v>
      </c>
      <c r="B5" s="4789"/>
      <c r="C5" s="4789"/>
      <c r="D5" s="4789"/>
      <c r="E5" s="4789"/>
      <c r="F5" s="4789"/>
      <c r="G5" s="4789"/>
      <c r="H5" s="2775"/>
      <c r="I5" s="2775"/>
      <c r="J5" s="2775"/>
      <c r="K5" s="2775"/>
      <c r="L5" s="2775"/>
      <c r="M5" s="2775"/>
      <c r="N5" s="2775"/>
      <c r="O5" s="2775"/>
      <c r="P5" s="2775"/>
      <c r="Q5" s="2775"/>
      <c r="R5" s="2775"/>
      <c r="S5" s="2775"/>
      <c r="T5" s="2775"/>
      <c r="U5" s="2775"/>
      <c r="V5" s="2775"/>
      <c r="W5" s="2775"/>
      <c r="X5" s="2775"/>
      <c r="Y5" s="2776"/>
      <c r="Z5" s="2776"/>
      <c r="AA5" s="2776"/>
      <c r="AB5" s="2776"/>
      <c r="AC5" s="2776"/>
      <c r="AD5" s="2776"/>
      <c r="AE5" s="2776"/>
      <c r="AF5" s="2776"/>
      <c r="AG5" s="2776"/>
      <c r="AH5" s="2776"/>
      <c r="AI5" s="2776"/>
      <c r="AJ5" s="2776"/>
      <c r="AK5" s="2776"/>
      <c r="AL5" s="2777"/>
      <c r="AM5" s="2778"/>
    </row>
    <row r="6" spans="1:41" ht="15.75">
      <c r="A6" s="2779"/>
      <c r="B6" s="2775"/>
      <c r="C6" s="2775"/>
      <c r="D6" s="2775"/>
      <c r="E6" s="2775"/>
      <c r="F6" s="2775"/>
      <c r="G6" s="2775"/>
      <c r="H6" s="2775"/>
      <c r="I6" s="2775"/>
      <c r="J6" s="2780"/>
      <c r="K6" s="2775"/>
      <c r="L6" s="2775"/>
      <c r="M6" s="2775"/>
      <c r="N6" s="2775"/>
      <c r="O6" s="2775"/>
      <c r="P6" s="2775"/>
      <c r="Q6" s="2780"/>
      <c r="R6" s="2775"/>
      <c r="S6" s="2775"/>
      <c r="T6" s="2775"/>
      <c r="U6" s="2775"/>
      <c r="V6" s="2775"/>
      <c r="W6" s="2775"/>
      <c r="X6" s="2780"/>
      <c r="Y6" s="2775"/>
      <c r="Z6" s="2775"/>
      <c r="AA6" s="2775"/>
      <c r="AB6" s="2775"/>
      <c r="AC6" s="2780"/>
      <c r="AD6" s="2775"/>
      <c r="AE6" s="2780"/>
      <c r="AF6" s="2775"/>
      <c r="AG6" s="2775"/>
      <c r="AH6" s="2775"/>
      <c r="AI6" s="2775"/>
      <c r="AJ6" s="2775"/>
      <c r="AK6" s="2781"/>
      <c r="AL6" s="2777"/>
      <c r="AM6" s="2778"/>
    </row>
    <row r="7" spans="1:41" ht="22.5">
      <c r="A7" s="4792" t="s">
        <v>1856</v>
      </c>
      <c r="B7" s="4792"/>
      <c r="C7" s="4792"/>
      <c r="D7" s="4792"/>
      <c r="E7" s="4792"/>
      <c r="F7" s="4792"/>
      <c r="G7" s="4792"/>
      <c r="H7" s="4792"/>
      <c r="I7" s="4792"/>
      <c r="J7" s="4792"/>
      <c r="K7" s="4792"/>
      <c r="L7" s="4792"/>
      <c r="M7" s="4792"/>
      <c r="N7" s="4792"/>
      <c r="O7" s="4792"/>
      <c r="P7" s="4792"/>
      <c r="Q7" s="4792"/>
      <c r="R7" s="4792"/>
      <c r="S7" s="4792"/>
      <c r="T7" s="4792"/>
      <c r="U7" s="4792"/>
      <c r="V7" s="4792"/>
      <c r="W7" s="4792"/>
      <c r="X7" s="4792"/>
      <c r="Y7" s="4792"/>
      <c r="Z7" s="4792"/>
      <c r="AA7" s="4792"/>
      <c r="AB7" s="4792"/>
      <c r="AC7" s="4792"/>
      <c r="AD7" s="4792"/>
      <c r="AE7" s="4792"/>
      <c r="AF7" s="4792"/>
      <c r="AG7" s="4792"/>
      <c r="AH7" s="4792"/>
      <c r="AI7" s="4792"/>
      <c r="AJ7" s="4792"/>
      <c r="AK7" s="4792"/>
      <c r="AL7" s="2777"/>
      <c r="AM7" s="2778"/>
    </row>
    <row r="8" spans="1:41" ht="15.75">
      <c r="A8" s="2782"/>
      <c r="B8" s="2778"/>
      <c r="C8" s="2778"/>
      <c r="D8" s="2778"/>
      <c r="E8" s="2778"/>
      <c r="F8" s="2778"/>
      <c r="G8" s="2778"/>
      <c r="H8" s="2778"/>
      <c r="I8" s="2778"/>
      <c r="J8" s="2778"/>
      <c r="K8" s="2778"/>
      <c r="L8" s="2778"/>
      <c r="M8" s="2778"/>
      <c r="N8" s="2778"/>
      <c r="O8" s="2778"/>
      <c r="P8" s="2778"/>
      <c r="Q8" s="2778"/>
      <c r="R8" s="2778"/>
      <c r="S8" s="2778"/>
      <c r="T8" s="2778"/>
      <c r="U8" s="2778"/>
      <c r="V8" s="2778"/>
      <c r="W8" s="2778"/>
      <c r="X8" s="2778"/>
      <c r="Y8" s="2778"/>
      <c r="Z8" s="2778"/>
      <c r="AA8" s="2778"/>
      <c r="AB8" s="2778"/>
      <c r="AC8" s="2783"/>
      <c r="AD8" s="2778"/>
      <c r="AE8" s="2778"/>
      <c r="AF8" s="2778"/>
      <c r="AG8" s="2778"/>
      <c r="AH8" s="2778"/>
      <c r="AI8" s="2778"/>
      <c r="AJ8" s="2778"/>
      <c r="AK8" s="2784"/>
      <c r="AL8" s="2777"/>
      <c r="AM8" s="2778"/>
    </row>
    <row r="9" spans="1:41" ht="15.75">
      <c r="A9" s="4790" t="s">
        <v>932</v>
      </c>
      <c r="B9" s="4790" t="s">
        <v>1</v>
      </c>
      <c r="C9" s="4790" t="s">
        <v>163</v>
      </c>
      <c r="D9" s="4791" t="s">
        <v>3</v>
      </c>
      <c r="E9" s="4790" t="s">
        <v>1857</v>
      </c>
      <c r="F9" s="4790"/>
      <c r="G9" s="4790"/>
      <c r="H9" s="4790"/>
      <c r="I9" s="4790"/>
      <c r="J9" s="4790"/>
      <c r="K9" s="4790"/>
      <c r="L9" s="4790"/>
      <c r="M9" s="4790"/>
      <c r="N9" s="4790"/>
      <c r="O9" s="4790"/>
      <c r="P9" s="4790"/>
      <c r="Q9" s="4790"/>
      <c r="R9" s="4790"/>
      <c r="S9" s="4790"/>
      <c r="T9" s="4790"/>
      <c r="U9" s="4790"/>
      <c r="V9" s="4790"/>
      <c r="W9" s="4790"/>
      <c r="X9" s="4790"/>
      <c r="Y9" s="4790"/>
      <c r="Z9" s="4790"/>
      <c r="AA9" s="4790"/>
      <c r="AB9" s="4790"/>
      <c r="AC9" s="4790"/>
      <c r="AD9" s="4790"/>
      <c r="AE9" s="4790"/>
      <c r="AF9" s="4790"/>
      <c r="AG9" s="4790"/>
      <c r="AH9" s="4790"/>
      <c r="AI9" s="4790"/>
      <c r="AJ9" s="4791" t="s">
        <v>1858</v>
      </c>
      <c r="AK9" s="4791" t="s">
        <v>1859</v>
      </c>
      <c r="AL9" s="4796" t="s">
        <v>1860</v>
      </c>
      <c r="AM9" s="4796" t="s">
        <v>1861</v>
      </c>
    </row>
    <row r="10" spans="1:41" ht="15.75">
      <c r="A10" s="4790"/>
      <c r="B10" s="4790"/>
      <c r="C10" s="4790"/>
      <c r="D10" s="4790"/>
      <c r="E10" s="2785">
        <v>1</v>
      </c>
      <c r="F10" s="2785">
        <v>2</v>
      </c>
      <c r="G10" s="2785">
        <v>3</v>
      </c>
      <c r="H10" s="2786">
        <v>4</v>
      </c>
      <c r="I10" s="2785">
        <v>5</v>
      </c>
      <c r="J10" s="2785">
        <v>6</v>
      </c>
      <c r="K10" s="2785">
        <v>7</v>
      </c>
      <c r="L10" s="2785">
        <v>8</v>
      </c>
      <c r="M10" s="2785">
        <v>9</v>
      </c>
      <c r="N10" s="2785">
        <v>10</v>
      </c>
      <c r="O10" s="2786">
        <v>11</v>
      </c>
      <c r="P10" s="2785">
        <v>12</v>
      </c>
      <c r="Q10" s="2785">
        <v>13</v>
      </c>
      <c r="R10" s="2785">
        <v>14</v>
      </c>
      <c r="S10" s="2785">
        <v>15</v>
      </c>
      <c r="T10" s="2785">
        <v>16</v>
      </c>
      <c r="U10" s="2785">
        <v>17</v>
      </c>
      <c r="V10" s="2786">
        <v>18</v>
      </c>
      <c r="W10" s="2785">
        <v>19</v>
      </c>
      <c r="X10" s="2785">
        <v>20</v>
      </c>
      <c r="Y10" s="2785">
        <v>21</v>
      </c>
      <c r="Z10" s="2785">
        <v>22</v>
      </c>
      <c r="AA10" s="2785">
        <v>23</v>
      </c>
      <c r="AB10" s="2785">
        <v>24</v>
      </c>
      <c r="AC10" s="2786">
        <v>25</v>
      </c>
      <c r="AD10" s="2785">
        <v>26</v>
      </c>
      <c r="AE10" s="2785">
        <v>27</v>
      </c>
      <c r="AF10" s="2785">
        <v>28</v>
      </c>
      <c r="AG10" s="2785">
        <v>29</v>
      </c>
      <c r="AH10" s="2785">
        <v>30</v>
      </c>
      <c r="AI10" s="2785">
        <v>31</v>
      </c>
      <c r="AJ10" s="4791"/>
      <c r="AK10" s="4791"/>
      <c r="AL10" s="4797"/>
      <c r="AM10" s="4797"/>
    </row>
    <row r="11" spans="1:41" ht="18.75">
      <c r="A11" s="2787">
        <v>1</v>
      </c>
      <c r="B11" s="2788" t="s">
        <v>1551</v>
      </c>
      <c r="C11" s="2789"/>
      <c r="D11" s="2789" t="s">
        <v>451</v>
      </c>
      <c r="E11" s="2790">
        <v>0</v>
      </c>
      <c r="F11" s="2790">
        <v>0</v>
      </c>
      <c r="G11" s="2790">
        <v>0</v>
      </c>
      <c r="H11" s="2790">
        <v>0</v>
      </c>
      <c r="I11" s="2790">
        <v>0</v>
      </c>
      <c r="J11" s="2790">
        <v>149</v>
      </c>
      <c r="K11" s="2790">
        <v>86</v>
      </c>
      <c r="L11" s="2790">
        <v>95</v>
      </c>
      <c r="M11" s="2790">
        <v>40</v>
      </c>
      <c r="N11" s="2790">
        <v>60</v>
      </c>
      <c r="O11" s="2790">
        <v>67</v>
      </c>
      <c r="P11" s="2790">
        <v>93</v>
      </c>
      <c r="Q11" s="2790">
        <v>54</v>
      </c>
      <c r="R11" s="2790">
        <v>60</v>
      </c>
      <c r="S11" s="2790">
        <v>55</v>
      </c>
      <c r="T11" s="2790">
        <v>96</v>
      </c>
      <c r="U11" s="2790">
        <v>0</v>
      </c>
      <c r="V11" s="2790">
        <v>0</v>
      </c>
      <c r="W11" s="2790">
        <v>33</v>
      </c>
      <c r="X11" s="2790">
        <v>58</v>
      </c>
      <c r="Y11" s="2790">
        <v>55</v>
      </c>
      <c r="Z11" s="2790">
        <v>83</v>
      </c>
      <c r="AA11" s="2790">
        <v>0</v>
      </c>
      <c r="AB11" s="2790">
        <v>0</v>
      </c>
      <c r="AC11" s="2790">
        <v>60</v>
      </c>
      <c r="AD11" s="2790">
        <v>50</v>
      </c>
      <c r="AE11" s="2790">
        <v>81</v>
      </c>
      <c r="AF11" s="2790">
        <v>70</v>
      </c>
      <c r="AG11" s="2790">
        <v>110</v>
      </c>
      <c r="AH11" s="2790">
        <v>51</v>
      </c>
      <c r="AI11" s="2790">
        <v>0</v>
      </c>
      <c r="AJ11" s="2790">
        <f>+SUM(E11:AI11)</f>
        <v>1506</v>
      </c>
      <c r="AK11" s="2790">
        <f>+AJ11*0.4</f>
        <v>602.4</v>
      </c>
      <c r="AL11" s="2791" t="s">
        <v>141</v>
      </c>
      <c r="AM11" s="2792"/>
      <c r="AN11" t="e">
        <f>+VLOOKUP(B11,'[28]BẢNG CHẤM CÔNG + Lương KT'!$B$9:$AQ$41,42,0)</f>
        <v>#N/A</v>
      </c>
      <c r="AO11" s="2793" t="e">
        <f>+AN11-AL11</f>
        <v>#N/A</v>
      </c>
    </row>
    <row r="12" spans="1:41" ht="18.75">
      <c r="A12" s="933">
        <v>2</v>
      </c>
      <c r="B12" s="2794" t="s">
        <v>1670</v>
      </c>
      <c r="C12" s="2795"/>
      <c r="D12" s="2795" t="s">
        <v>451</v>
      </c>
      <c r="E12" s="2796">
        <v>0</v>
      </c>
      <c r="F12" s="2796">
        <v>0</v>
      </c>
      <c r="G12" s="2796">
        <v>0</v>
      </c>
      <c r="H12" s="2796">
        <v>0</v>
      </c>
      <c r="I12" s="2796">
        <v>87</v>
      </c>
      <c r="J12" s="2796">
        <v>43</v>
      </c>
      <c r="K12" s="2796">
        <v>30</v>
      </c>
      <c r="L12" s="2796">
        <v>110</v>
      </c>
      <c r="M12" s="2796">
        <v>54</v>
      </c>
      <c r="N12" s="2796">
        <v>56</v>
      </c>
      <c r="O12" s="2796">
        <v>34</v>
      </c>
      <c r="P12" s="2796">
        <v>72</v>
      </c>
      <c r="Q12" s="2796">
        <v>47</v>
      </c>
      <c r="R12" s="2796">
        <v>47</v>
      </c>
      <c r="S12" s="2796">
        <v>40</v>
      </c>
      <c r="T12" s="2796">
        <v>82</v>
      </c>
      <c r="U12" s="2796">
        <v>47</v>
      </c>
      <c r="V12" s="2796">
        <v>53</v>
      </c>
      <c r="W12" s="2796">
        <v>22</v>
      </c>
      <c r="X12" s="2796">
        <v>60</v>
      </c>
      <c r="Y12" s="2796">
        <v>63</v>
      </c>
      <c r="Z12" s="2796">
        <v>34</v>
      </c>
      <c r="AA12" s="2796">
        <v>34</v>
      </c>
      <c r="AB12" s="2796">
        <v>42</v>
      </c>
      <c r="AC12" s="2796">
        <v>57</v>
      </c>
      <c r="AD12" s="2796">
        <v>43</v>
      </c>
      <c r="AE12" s="2796">
        <v>53</v>
      </c>
      <c r="AF12" s="2796">
        <v>54</v>
      </c>
      <c r="AG12" s="2796">
        <v>33</v>
      </c>
      <c r="AH12" s="2796">
        <v>54</v>
      </c>
      <c r="AI12" s="2796">
        <v>49</v>
      </c>
      <c r="AJ12" s="2790">
        <f>+SUM(E12:AI12)</f>
        <v>1400</v>
      </c>
      <c r="AK12" s="2790">
        <f t="shared" ref="AK12:AK75" si="0">+AJ12*0.4</f>
        <v>560</v>
      </c>
      <c r="AL12" s="2797" t="s">
        <v>138</v>
      </c>
      <c r="AM12" s="2798"/>
      <c r="AN12" t="e">
        <f>+VLOOKUP(B12,'[28]BẢNG CHẤM CÔNG + Lương KT'!$B$9:$AQ$41,42,0)</f>
        <v>#N/A</v>
      </c>
      <c r="AO12" s="2793" t="e">
        <f>+AN12-AL12</f>
        <v>#N/A</v>
      </c>
    </row>
    <row r="13" spans="1:41" ht="18.75">
      <c r="A13" s="933">
        <v>3</v>
      </c>
      <c r="B13" s="2794" t="s">
        <v>490</v>
      </c>
      <c r="C13" s="2795"/>
      <c r="D13" s="2795" t="s">
        <v>451</v>
      </c>
      <c r="E13" s="2796">
        <v>0</v>
      </c>
      <c r="F13" s="2796">
        <v>0</v>
      </c>
      <c r="G13" s="2796">
        <v>0</v>
      </c>
      <c r="H13" s="2796">
        <v>0</v>
      </c>
      <c r="I13" s="2796">
        <v>0</v>
      </c>
      <c r="J13" s="2796">
        <v>0</v>
      </c>
      <c r="K13" s="2796">
        <v>0</v>
      </c>
      <c r="L13" s="2796">
        <v>0</v>
      </c>
      <c r="M13" s="2796">
        <v>0</v>
      </c>
      <c r="N13" s="2796">
        <v>33</v>
      </c>
      <c r="O13" s="2796">
        <v>58</v>
      </c>
      <c r="P13" s="2796">
        <v>40</v>
      </c>
      <c r="Q13" s="2796">
        <v>44</v>
      </c>
      <c r="R13" s="2796">
        <v>33</v>
      </c>
      <c r="S13" s="2796">
        <v>73</v>
      </c>
      <c r="T13" s="2796">
        <v>30</v>
      </c>
      <c r="U13" s="2796">
        <v>0</v>
      </c>
      <c r="V13" s="2796">
        <v>0</v>
      </c>
      <c r="W13" s="2796">
        <v>0</v>
      </c>
      <c r="X13" s="2796">
        <v>0</v>
      </c>
      <c r="Y13" s="2796">
        <v>47</v>
      </c>
      <c r="Z13" s="2796">
        <v>57</v>
      </c>
      <c r="AA13" s="2796">
        <v>0</v>
      </c>
      <c r="AB13" s="2796">
        <v>39</v>
      </c>
      <c r="AC13" s="2796">
        <v>54</v>
      </c>
      <c r="AD13" s="2796">
        <v>25</v>
      </c>
      <c r="AE13" s="2796">
        <v>35</v>
      </c>
      <c r="AF13" s="2796">
        <v>42</v>
      </c>
      <c r="AG13" s="2796">
        <v>0</v>
      </c>
      <c r="AH13" s="2796">
        <v>0</v>
      </c>
      <c r="AI13" s="2796">
        <v>52</v>
      </c>
      <c r="AJ13" s="2790">
        <f t="shared" ref="AJ13:AJ41" si="1">+SUM(E13:AI13)</f>
        <v>662</v>
      </c>
      <c r="AK13" s="2790">
        <f t="shared" si="0"/>
        <v>264.8</v>
      </c>
      <c r="AL13" s="2797" t="s">
        <v>138</v>
      </c>
      <c r="AM13" s="2798"/>
      <c r="AN13">
        <f>+VLOOKUP(B13,'[28]BẢNG CHẤM CÔNG + Lương KT'!$B$9:$AQ$41,42,0)</f>
        <v>28.8</v>
      </c>
      <c r="AO13" s="2793" t="e">
        <f>+AN13-AL13</f>
        <v>#VALUE!</v>
      </c>
    </row>
    <row r="14" spans="1:41" ht="18.75">
      <c r="A14" s="933">
        <v>4</v>
      </c>
      <c r="B14" s="2794" t="s">
        <v>1552</v>
      </c>
      <c r="C14" s="2795"/>
      <c r="D14" s="2795" t="s">
        <v>451</v>
      </c>
      <c r="E14" s="2796">
        <v>0</v>
      </c>
      <c r="F14" s="2796">
        <v>34</v>
      </c>
      <c r="G14" s="2796">
        <v>30</v>
      </c>
      <c r="H14" s="2796">
        <v>0</v>
      </c>
      <c r="I14" s="2796">
        <v>86</v>
      </c>
      <c r="J14" s="2796">
        <v>33</v>
      </c>
      <c r="K14" s="2796">
        <v>0</v>
      </c>
      <c r="L14" s="2796">
        <v>93</v>
      </c>
      <c r="M14" s="2796">
        <v>0</v>
      </c>
      <c r="N14" s="2796">
        <v>0</v>
      </c>
      <c r="O14" s="2796">
        <v>0</v>
      </c>
      <c r="P14" s="2796">
        <v>46</v>
      </c>
      <c r="Q14" s="2796">
        <v>40</v>
      </c>
      <c r="R14" s="2796">
        <v>63</v>
      </c>
      <c r="S14" s="2796">
        <v>0</v>
      </c>
      <c r="T14" s="2796">
        <v>45</v>
      </c>
      <c r="U14" s="2796">
        <v>0</v>
      </c>
      <c r="V14" s="2796">
        <v>24</v>
      </c>
      <c r="W14" s="2796">
        <v>64</v>
      </c>
      <c r="X14" s="2796">
        <v>28</v>
      </c>
      <c r="Y14" s="2796">
        <v>72</v>
      </c>
      <c r="Z14" s="2796">
        <v>34</v>
      </c>
      <c r="AA14" s="2796">
        <v>0</v>
      </c>
      <c r="AB14" s="2796">
        <v>22</v>
      </c>
      <c r="AC14" s="2796">
        <v>0</v>
      </c>
      <c r="AD14" s="2796">
        <v>37</v>
      </c>
      <c r="AE14" s="2796">
        <v>99</v>
      </c>
      <c r="AF14" s="2796">
        <v>32</v>
      </c>
      <c r="AG14" s="2796">
        <v>80</v>
      </c>
      <c r="AH14" s="2796">
        <v>0</v>
      </c>
      <c r="AI14" s="2796">
        <v>48</v>
      </c>
      <c r="AJ14" s="2790">
        <f t="shared" si="1"/>
        <v>1010</v>
      </c>
      <c r="AK14" s="2790">
        <f t="shared" si="0"/>
        <v>404</v>
      </c>
      <c r="AL14" s="2797" t="s">
        <v>141</v>
      </c>
      <c r="AM14" s="2798"/>
      <c r="AO14" s="2793"/>
    </row>
    <row r="15" spans="1:41" ht="18.75">
      <c r="A15" s="933">
        <v>5</v>
      </c>
      <c r="B15" s="2794" t="s">
        <v>1671</v>
      </c>
      <c r="C15" s="2795"/>
      <c r="D15" s="2795" t="s">
        <v>451</v>
      </c>
      <c r="E15" s="2796">
        <v>0</v>
      </c>
      <c r="F15" s="2796">
        <v>0</v>
      </c>
      <c r="G15" s="2796">
        <v>0</v>
      </c>
      <c r="H15" s="2796">
        <v>0</v>
      </c>
      <c r="I15" s="2796">
        <v>50</v>
      </c>
      <c r="J15" s="2796">
        <v>51</v>
      </c>
      <c r="K15" s="2796">
        <v>22</v>
      </c>
      <c r="L15" s="2796">
        <v>80</v>
      </c>
      <c r="M15" s="2796">
        <v>0</v>
      </c>
      <c r="N15" s="2796">
        <v>0</v>
      </c>
      <c r="O15" s="2796">
        <v>0</v>
      </c>
      <c r="P15" s="2796">
        <v>50</v>
      </c>
      <c r="Q15" s="2796">
        <v>23</v>
      </c>
      <c r="R15" s="2796">
        <v>63</v>
      </c>
      <c r="S15" s="2796">
        <v>26</v>
      </c>
      <c r="T15" s="2796">
        <v>87</v>
      </c>
      <c r="U15" s="2796">
        <v>20</v>
      </c>
      <c r="V15" s="2796">
        <v>24</v>
      </c>
      <c r="W15" s="2796">
        <v>0</v>
      </c>
      <c r="X15" s="2796">
        <v>85</v>
      </c>
      <c r="Y15" s="2796">
        <v>23</v>
      </c>
      <c r="Z15" s="2796">
        <v>46</v>
      </c>
      <c r="AA15" s="2796">
        <v>0</v>
      </c>
      <c r="AB15" s="2796">
        <v>0</v>
      </c>
      <c r="AC15" s="2796">
        <v>60</v>
      </c>
      <c r="AD15" s="2796">
        <v>50</v>
      </c>
      <c r="AE15" s="2796">
        <v>94</v>
      </c>
      <c r="AF15" s="2796">
        <v>50</v>
      </c>
      <c r="AG15" s="2796">
        <v>0</v>
      </c>
      <c r="AH15" s="2796">
        <v>63</v>
      </c>
      <c r="AI15" s="2796">
        <v>64</v>
      </c>
      <c r="AJ15" s="2790">
        <f t="shared" si="1"/>
        <v>1031</v>
      </c>
      <c r="AK15" s="2790">
        <f t="shared" si="0"/>
        <v>412.40000000000003</v>
      </c>
      <c r="AL15" s="2797" t="s">
        <v>141</v>
      </c>
      <c r="AM15" s="2798"/>
      <c r="AO15" s="2793"/>
    </row>
    <row r="16" spans="1:41" ht="18.75">
      <c r="A16" s="933">
        <v>6</v>
      </c>
      <c r="B16" s="2794" t="s">
        <v>1261</v>
      </c>
      <c r="C16" s="2795"/>
      <c r="D16" s="2795" t="s">
        <v>451</v>
      </c>
      <c r="E16" s="2796">
        <v>28</v>
      </c>
      <c r="F16" s="2796">
        <v>39</v>
      </c>
      <c r="G16" s="2796">
        <v>32</v>
      </c>
      <c r="H16" s="2796">
        <v>32</v>
      </c>
      <c r="I16" s="2796">
        <v>22</v>
      </c>
      <c r="J16" s="2796">
        <v>32</v>
      </c>
      <c r="K16" s="2796">
        <v>25</v>
      </c>
      <c r="L16" s="2796">
        <v>20</v>
      </c>
      <c r="M16" s="2796">
        <v>38</v>
      </c>
      <c r="N16" s="2796">
        <v>32</v>
      </c>
      <c r="O16" s="2796">
        <v>61</v>
      </c>
      <c r="P16" s="2796">
        <v>109</v>
      </c>
      <c r="Q16" s="2796">
        <v>31</v>
      </c>
      <c r="R16" s="2796">
        <v>51</v>
      </c>
      <c r="S16" s="2796">
        <v>58</v>
      </c>
      <c r="T16" s="2796">
        <v>80</v>
      </c>
      <c r="U16" s="2796">
        <v>75</v>
      </c>
      <c r="V16" s="2796">
        <v>0</v>
      </c>
      <c r="W16" s="2796">
        <v>39</v>
      </c>
      <c r="X16" s="2796">
        <v>0</v>
      </c>
      <c r="Y16" s="2796">
        <v>35</v>
      </c>
      <c r="Z16" s="2796">
        <v>70</v>
      </c>
      <c r="AA16" s="2796">
        <v>48</v>
      </c>
      <c r="AB16" s="2796">
        <v>38</v>
      </c>
      <c r="AC16" s="2796">
        <v>64</v>
      </c>
      <c r="AD16" s="2796">
        <v>50</v>
      </c>
      <c r="AE16" s="2796">
        <v>50</v>
      </c>
      <c r="AF16" s="2796">
        <v>49</v>
      </c>
      <c r="AG16" s="2796">
        <v>56</v>
      </c>
      <c r="AH16" s="2796">
        <v>46</v>
      </c>
      <c r="AI16" s="2796">
        <v>50</v>
      </c>
      <c r="AJ16" s="2790">
        <f t="shared" si="1"/>
        <v>1360</v>
      </c>
      <c r="AK16" s="2790">
        <f t="shared" si="0"/>
        <v>544</v>
      </c>
      <c r="AL16" s="2797" t="s">
        <v>141</v>
      </c>
      <c r="AM16" s="2798"/>
      <c r="AO16" s="2793"/>
    </row>
    <row r="17" spans="1:41" ht="18.75">
      <c r="A17" s="933">
        <v>7</v>
      </c>
      <c r="B17" s="2794" t="s">
        <v>1672</v>
      </c>
      <c r="C17" s="2795"/>
      <c r="D17" s="2795" t="s">
        <v>451</v>
      </c>
      <c r="E17" s="2796">
        <v>42</v>
      </c>
      <c r="F17" s="2796">
        <v>53</v>
      </c>
      <c r="G17" s="2796">
        <v>50</v>
      </c>
      <c r="H17" s="2796">
        <v>106</v>
      </c>
      <c r="I17" s="2796">
        <v>36</v>
      </c>
      <c r="J17" s="2796">
        <v>56</v>
      </c>
      <c r="K17" s="2796">
        <v>47</v>
      </c>
      <c r="L17" s="2796">
        <v>64</v>
      </c>
      <c r="M17" s="2796">
        <v>44</v>
      </c>
      <c r="N17" s="2796">
        <v>26</v>
      </c>
      <c r="O17" s="2796">
        <v>55</v>
      </c>
      <c r="P17" s="2796">
        <v>97</v>
      </c>
      <c r="Q17" s="2796">
        <v>42</v>
      </c>
      <c r="R17" s="2796">
        <v>60</v>
      </c>
      <c r="S17" s="2796">
        <v>57</v>
      </c>
      <c r="T17" s="2796">
        <v>91</v>
      </c>
      <c r="U17" s="2796">
        <v>0</v>
      </c>
      <c r="V17" s="2796">
        <v>0</v>
      </c>
      <c r="W17" s="2796">
        <v>47</v>
      </c>
      <c r="X17" s="2796">
        <v>103</v>
      </c>
      <c r="Y17" s="2796">
        <v>32</v>
      </c>
      <c r="Z17" s="2796">
        <v>54</v>
      </c>
      <c r="AA17" s="2796">
        <v>0</v>
      </c>
      <c r="AB17" s="2796">
        <v>118</v>
      </c>
      <c r="AC17" s="2796">
        <v>52</v>
      </c>
      <c r="AD17" s="2796">
        <v>70</v>
      </c>
      <c r="AE17" s="2796">
        <v>62</v>
      </c>
      <c r="AF17" s="2796">
        <v>99</v>
      </c>
      <c r="AG17" s="2796">
        <v>46</v>
      </c>
      <c r="AH17" s="2796">
        <v>67</v>
      </c>
      <c r="AI17" s="2796">
        <v>100</v>
      </c>
      <c r="AJ17" s="2790">
        <f t="shared" si="1"/>
        <v>1776</v>
      </c>
      <c r="AK17" s="2790">
        <f t="shared" si="0"/>
        <v>710.40000000000009</v>
      </c>
      <c r="AL17" s="2797" t="s">
        <v>141</v>
      </c>
      <c r="AM17" s="2798"/>
      <c r="AN17">
        <f>+'[29]Báo cáo đội'!$H$43</f>
        <v>212.2</v>
      </c>
      <c r="AO17" s="2793" t="e">
        <f>+AN17-#REF!</f>
        <v>#REF!</v>
      </c>
    </row>
    <row r="18" spans="1:41" ht="18.75">
      <c r="A18" s="933">
        <v>8</v>
      </c>
      <c r="B18" s="2794" t="s">
        <v>1553</v>
      </c>
      <c r="C18" s="2795"/>
      <c r="D18" s="2795" t="s">
        <v>451</v>
      </c>
      <c r="E18" s="2796">
        <v>30</v>
      </c>
      <c r="F18" s="2796">
        <v>31</v>
      </c>
      <c r="G18" s="2796">
        <v>49</v>
      </c>
      <c r="H18" s="2796">
        <v>51</v>
      </c>
      <c r="I18" s="2796">
        <v>27</v>
      </c>
      <c r="J18" s="2796">
        <v>24</v>
      </c>
      <c r="K18" s="2796">
        <v>0</v>
      </c>
      <c r="L18" s="2796">
        <v>58</v>
      </c>
      <c r="M18" s="2796">
        <v>25</v>
      </c>
      <c r="N18" s="2796">
        <v>25</v>
      </c>
      <c r="O18" s="2796">
        <v>53</v>
      </c>
      <c r="P18" s="2796">
        <v>58</v>
      </c>
      <c r="Q18" s="2796">
        <v>23</v>
      </c>
      <c r="R18" s="2796">
        <v>25</v>
      </c>
      <c r="S18" s="2796">
        <v>43</v>
      </c>
      <c r="T18" s="2796">
        <v>65</v>
      </c>
      <c r="U18" s="2796">
        <v>33</v>
      </c>
      <c r="V18" s="2796">
        <v>26</v>
      </c>
      <c r="W18" s="2796">
        <v>21</v>
      </c>
      <c r="X18" s="2796">
        <v>68</v>
      </c>
      <c r="Y18" s="2796">
        <v>0</v>
      </c>
      <c r="Z18" s="2796">
        <v>0</v>
      </c>
      <c r="AA18" s="2796">
        <v>41</v>
      </c>
      <c r="AB18" s="2796">
        <v>49</v>
      </c>
      <c r="AC18" s="2796">
        <v>36</v>
      </c>
      <c r="AD18" s="2796">
        <v>24</v>
      </c>
      <c r="AE18" s="2796">
        <v>50</v>
      </c>
      <c r="AF18" s="2796">
        <v>68</v>
      </c>
      <c r="AG18" s="2796">
        <v>0</v>
      </c>
      <c r="AH18" s="2796">
        <v>0</v>
      </c>
      <c r="AI18" s="2796">
        <v>57</v>
      </c>
      <c r="AJ18" s="2790">
        <f t="shared" si="1"/>
        <v>1060</v>
      </c>
      <c r="AK18" s="2790">
        <f t="shared" si="0"/>
        <v>424</v>
      </c>
      <c r="AL18" s="2797" t="s">
        <v>141</v>
      </c>
      <c r="AM18" s="2798"/>
      <c r="AO18" s="2793"/>
    </row>
    <row r="19" spans="1:41" ht="18.75">
      <c r="A19" s="933">
        <v>9</v>
      </c>
      <c r="B19" s="2794" t="s">
        <v>1673</v>
      </c>
      <c r="C19" s="2795"/>
      <c r="D19" s="2795" t="s">
        <v>451</v>
      </c>
      <c r="E19" s="2796">
        <v>0</v>
      </c>
      <c r="F19" s="2796">
        <v>0</v>
      </c>
      <c r="G19" s="2796">
        <v>0</v>
      </c>
      <c r="H19" s="2796">
        <v>0</v>
      </c>
      <c r="I19" s="2796">
        <v>90</v>
      </c>
      <c r="J19" s="2796">
        <v>0</v>
      </c>
      <c r="K19" s="2796">
        <v>128</v>
      </c>
      <c r="L19" s="2796">
        <v>0</v>
      </c>
      <c r="M19" s="2796">
        <v>115</v>
      </c>
      <c r="N19" s="2796">
        <v>86</v>
      </c>
      <c r="O19" s="2796">
        <v>43</v>
      </c>
      <c r="P19" s="2796">
        <v>53</v>
      </c>
      <c r="Q19" s="2796">
        <v>52</v>
      </c>
      <c r="R19" s="2796">
        <v>0</v>
      </c>
      <c r="S19" s="2796">
        <v>0</v>
      </c>
      <c r="T19" s="2796">
        <v>0</v>
      </c>
      <c r="U19" s="2796">
        <v>22</v>
      </c>
      <c r="V19" s="2796">
        <v>24</v>
      </c>
      <c r="W19" s="2796">
        <v>63</v>
      </c>
      <c r="X19" s="2796">
        <v>105</v>
      </c>
      <c r="Y19" s="2796">
        <v>0</v>
      </c>
      <c r="Z19" s="2796">
        <v>0</v>
      </c>
      <c r="AA19" s="2796">
        <v>0</v>
      </c>
      <c r="AB19" s="2796">
        <v>0</v>
      </c>
      <c r="AC19" s="2796">
        <v>29</v>
      </c>
      <c r="AD19" s="2796">
        <v>39</v>
      </c>
      <c r="AE19" s="2796">
        <v>121</v>
      </c>
      <c r="AF19" s="2796">
        <v>73</v>
      </c>
      <c r="AG19" s="2796">
        <v>14</v>
      </c>
      <c r="AH19" s="2796">
        <v>0</v>
      </c>
      <c r="AI19" s="2796">
        <v>0</v>
      </c>
      <c r="AJ19" s="2790">
        <f t="shared" si="1"/>
        <v>1057</v>
      </c>
      <c r="AK19" s="2790">
        <f t="shared" si="0"/>
        <v>422.8</v>
      </c>
      <c r="AL19" s="2797" t="s">
        <v>138</v>
      </c>
      <c r="AM19" s="2798"/>
      <c r="AO19" s="2793"/>
    </row>
    <row r="20" spans="1:41" ht="18.75">
      <c r="A20" s="933">
        <v>10</v>
      </c>
      <c r="B20" s="2794" t="s">
        <v>1525</v>
      </c>
      <c r="C20" s="2795"/>
      <c r="D20" s="2795" t="s">
        <v>451</v>
      </c>
      <c r="E20" s="2796">
        <v>67</v>
      </c>
      <c r="F20" s="2796">
        <v>0</v>
      </c>
      <c r="G20" s="2796">
        <v>47</v>
      </c>
      <c r="H20" s="2796">
        <v>0</v>
      </c>
      <c r="I20" s="2796">
        <v>24</v>
      </c>
      <c r="J20" s="2796">
        <v>30</v>
      </c>
      <c r="K20" s="2796">
        <v>0</v>
      </c>
      <c r="L20" s="2796">
        <v>105</v>
      </c>
      <c r="M20" s="2796">
        <v>34</v>
      </c>
      <c r="N20" s="2796">
        <v>0</v>
      </c>
      <c r="O20" s="2796">
        <v>49</v>
      </c>
      <c r="P20" s="2796">
        <v>40</v>
      </c>
      <c r="Q20" s="2796">
        <v>52</v>
      </c>
      <c r="R20" s="2796">
        <v>49</v>
      </c>
      <c r="S20" s="2796">
        <v>0</v>
      </c>
      <c r="T20" s="2796">
        <v>94</v>
      </c>
      <c r="U20" s="2796">
        <v>27</v>
      </c>
      <c r="V20" s="2796">
        <v>0</v>
      </c>
      <c r="W20" s="2796">
        <v>55</v>
      </c>
      <c r="X20" s="2796">
        <v>0</v>
      </c>
      <c r="Y20" s="2796">
        <v>0</v>
      </c>
      <c r="Z20" s="2796">
        <v>38</v>
      </c>
      <c r="AA20" s="2796">
        <v>41</v>
      </c>
      <c r="AB20" s="2796">
        <v>63</v>
      </c>
      <c r="AC20" s="2796">
        <v>43</v>
      </c>
      <c r="AD20" s="2796">
        <v>48</v>
      </c>
      <c r="AE20" s="2796">
        <v>63</v>
      </c>
      <c r="AF20" s="2796">
        <v>41</v>
      </c>
      <c r="AG20" s="2796">
        <v>43</v>
      </c>
      <c r="AH20" s="2796">
        <v>45</v>
      </c>
      <c r="AI20" s="2796">
        <v>69</v>
      </c>
      <c r="AJ20" s="2790">
        <f t="shared" si="1"/>
        <v>1167</v>
      </c>
      <c r="AK20" s="2790">
        <f t="shared" si="0"/>
        <v>466.8</v>
      </c>
      <c r="AL20" s="2797" t="s">
        <v>141</v>
      </c>
      <c r="AM20" s="2798"/>
      <c r="AO20" s="2793"/>
    </row>
    <row r="21" spans="1:41" ht="18.75">
      <c r="A21" s="933">
        <v>11</v>
      </c>
      <c r="B21" s="2794" t="s">
        <v>1554</v>
      </c>
      <c r="C21" s="2795"/>
      <c r="D21" s="2795" t="s">
        <v>451</v>
      </c>
      <c r="E21" s="2796">
        <v>40</v>
      </c>
      <c r="F21" s="2796">
        <v>0</v>
      </c>
      <c r="G21" s="2796">
        <v>45</v>
      </c>
      <c r="H21" s="2796">
        <v>0</v>
      </c>
      <c r="I21" s="2796">
        <v>37</v>
      </c>
      <c r="J21" s="2796">
        <v>57</v>
      </c>
      <c r="K21" s="2796">
        <v>59</v>
      </c>
      <c r="L21" s="2796">
        <v>54</v>
      </c>
      <c r="M21" s="2796">
        <v>0</v>
      </c>
      <c r="N21" s="2796">
        <v>0</v>
      </c>
      <c r="O21" s="2796">
        <v>45</v>
      </c>
      <c r="P21" s="2796">
        <v>20</v>
      </c>
      <c r="Q21" s="2796">
        <v>32</v>
      </c>
      <c r="R21" s="2796">
        <v>100</v>
      </c>
      <c r="S21" s="2796">
        <v>40</v>
      </c>
      <c r="T21" s="2796">
        <v>46</v>
      </c>
      <c r="U21" s="2796">
        <v>52</v>
      </c>
      <c r="V21" s="2796">
        <v>42</v>
      </c>
      <c r="W21" s="2796">
        <v>49</v>
      </c>
      <c r="X21" s="2796">
        <v>49</v>
      </c>
      <c r="Y21" s="2796">
        <v>41</v>
      </c>
      <c r="Z21" s="2796">
        <v>60</v>
      </c>
      <c r="AA21" s="2796">
        <v>41</v>
      </c>
      <c r="AB21" s="2796">
        <v>51</v>
      </c>
      <c r="AC21" s="2796">
        <v>52</v>
      </c>
      <c r="AD21" s="2796">
        <v>61</v>
      </c>
      <c r="AE21" s="2796">
        <v>58</v>
      </c>
      <c r="AF21" s="2796">
        <v>60</v>
      </c>
      <c r="AG21" s="2796">
        <v>50</v>
      </c>
      <c r="AH21" s="2796">
        <v>0</v>
      </c>
      <c r="AI21" s="2796">
        <v>55</v>
      </c>
      <c r="AJ21" s="2790">
        <f t="shared" si="1"/>
        <v>1296</v>
      </c>
      <c r="AK21" s="2790">
        <f t="shared" si="0"/>
        <v>518.4</v>
      </c>
      <c r="AL21" s="2797" t="s">
        <v>141</v>
      </c>
      <c r="AM21" s="2798"/>
      <c r="AO21" s="2793"/>
    </row>
    <row r="22" spans="1:41" ht="18.75">
      <c r="A22" s="933">
        <v>12</v>
      </c>
      <c r="B22" s="2794" t="s">
        <v>1674</v>
      </c>
      <c r="C22" s="2795"/>
      <c r="D22" s="2795" t="s">
        <v>451</v>
      </c>
      <c r="E22" s="2796">
        <v>0</v>
      </c>
      <c r="F22" s="2796">
        <v>39</v>
      </c>
      <c r="G22" s="2796">
        <v>62</v>
      </c>
      <c r="H22" s="2796">
        <v>115</v>
      </c>
      <c r="I22" s="2796">
        <v>43</v>
      </c>
      <c r="J22" s="2796">
        <v>24</v>
      </c>
      <c r="K22" s="2796">
        <v>0</v>
      </c>
      <c r="L22" s="2796">
        <v>36</v>
      </c>
      <c r="M22" s="2796">
        <v>17</v>
      </c>
      <c r="N22" s="2796">
        <v>41</v>
      </c>
      <c r="O22" s="2796">
        <v>0</v>
      </c>
      <c r="P22" s="2796">
        <v>42</v>
      </c>
      <c r="Q22" s="2796">
        <v>32</v>
      </c>
      <c r="R22" s="2796">
        <v>31</v>
      </c>
      <c r="S22" s="2796">
        <v>71</v>
      </c>
      <c r="T22" s="2796">
        <v>44</v>
      </c>
      <c r="U22" s="2796">
        <v>0</v>
      </c>
      <c r="V22" s="2796">
        <v>30</v>
      </c>
      <c r="W22" s="2796">
        <v>26</v>
      </c>
      <c r="X22" s="2796">
        <v>41</v>
      </c>
      <c r="Y22" s="2796">
        <v>62</v>
      </c>
      <c r="Z22" s="2796">
        <v>23</v>
      </c>
      <c r="AA22" s="2796">
        <v>0</v>
      </c>
      <c r="AB22" s="2796">
        <v>0</v>
      </c>
      <c r="AC22" s="2796">
        <v>57</v>
      </c>
      <c r="AD22" s="2796">
        <v>45</v>
      </c>
      <c r="AE22" s="2796">
        <v>51</v>
      </c>
      <c r="AF22" s="2796">
        <v>40</v>
      </c>
      <c r="AG22" s="2796">
        <v>30</v>
      </c>
      <c r="AH22" s="2796">
        <v>47</v>
      </c>
      <c r="AI22" s="2796">
        <v>38</v>
      </c>
      <c r="AJ22" s="2790">
        <f t="shared" si="1"/>
        <v>1087</v>
      </c>
      <c r="AK22" s="2790">
        <f t="shared" si="0"/>
        <v>434.8</v>
      </c>
      <c r="AL22" s="2797" t="s">
        <v>141</v>
      </c>
      <c r="AM22" s="2798"/>
      <c r="AO22" s="2793"/>
    </row>
    <row r="23" spans="1:41" ht="18.75">
      <c r="A23" s="933">
        <v>13</v>
      </c>
      <c r="B23" s="2794" t="s">
        <v>1555</v>
      </c>
      <c r="C23" s="2795"/>
      <c r="D23" s="2795" t="s">
        <v>451</v>
      </c>
      <c r="E23" s="2796">
        <v>88</v>
      </c>
      <c r="F23" s="2796">
        <v>36</v>
      </c>
      <c r="G23" s="2796">
        <v>73</v>
      </c>
      <c r="H23" s="2796">
        <v>48</v>
      </c>
      <c r="I23" s="2796">
        <v>72</v>
      </c>
      <c r="J23" s="2796">
        <v>29</v>
      </c>
      <c r="K23" s="2796">
        <v>0</v>
      </c>
      <c r="L23" s="2796">
        <v>142</v>
      </c>
      <c r="M23" s="2796">
        <v>73</v>
      </c>
      <c r="N23" s="2796">
        <v>0</v>
      </c>
      <c r="O23" s="2796">
        <v>76</v>
      </c>
      <c r="P23" s="2796">
        <v>82</v>
      </c>
      <c r="Q23" s="2796">
        <v>74</v>
      </c>
      <c r="R23" s="2796">
        <v>64</v>
      </c>
      <c r="S23" s="2796">
        <v>73</v>
      </c>
      <c r="T23" s="2796">
        <v>91</v>
      </c>
      <c r="U23" s="2796">
        <v>46</v>
      </c>
      <c r="V23" s="2796">
        <v>38</v>
      </c>
      <c r="W23" s="2796">
        <v>0</v>
      </c>
      <c r="X23" s="2796">
        <v>78</v>
      </c>
      <c r="Y23" s="2796">
        <v>80</v>
      </c>
      <c r="Z23" s="2796">
        <v>0</v>
      </c>
      <c r="AA23" s="2796">
        <v>69</v>
      </c>
      <c r="AB23" s="2796">
        <v>70</v>
      </c>
      <c r="AC23" s="2796">
        <v>59</v>
      </c>
      <c r="AD23" s="2796">
        <v>0</v>
      </c>
      <c r="AE23" s="2796">
        <v>86</v>
      </c>
      <c r="AF23" s="2796">
        <v>88</v>
      </c>
      <c r="AG23" s="2796">
        <v>30</v>
      </c>
      <c r="AH23" s="2796">
        <v>86</v>
      </c>
      <c r="AI23" s="2796">
        <v>77</v>
      </c>
      <c r="AJ23" s="2790">
        <f t="shared" si="1"/>
        <v>1828</v>
      </c>
      <c r="AK23" s="2790">
        <f t="shared" si="0"/>
        <v>731.2</v>
      </c>
      <c r="AL23" s="2797" t="s">
        <v>141</v>
      </c>
      <c r="AM23" s="2798"/>
      <c r="AO23" s="2793"/>
    </row>
    <row r="24" spans="1:41" ht="18.75">
      <c r="A24" s="933">
        <v>14</v>
      </c>
      <c r="B24" s="2794" t="s">
        <v>552</v>
      </c>
      <c r="C24" s="2795"/>
      <c r="D24" s="2795" t="s">
        <v>451</v>
      </c>
      <c r="E24" s="2796">
        <v>73</v>
      </c>
      <c r="F24" s="2796">
        <v>65</v>
      </c>
      <c r="G24" s="2796">
        <v>92</v>
      </c>
      <c r="H24" s="2796">
        <v>117</v>
      </c>
      <c r="I24" s="2796">
        <v>69</v>
      </c>
      <c r="J24" s="2796">
        <v>64</v>
      </c>
      <c r="K24" s="2796">
        <v>65</v>
      </c>
      <c r="L24" s="2796">
        <v>97</v>
      </c>
      <c r="M24" s="2796">
        <v>58</v>
      </c>
      <c r="N24" s="2796">
        <v>56</v>
      </c>
      <c r="O24" s="2796">
        <v>85</v>
      </c>
      <c r="P24" s="2796">
        <v>92</v>
      </c>
      <c r="Q24" s="2796">
        <v>66</v>
      </c>
      <c r="R24" s="2796">
        <v>58</v>
      </c>
      <c r="S24" s="2796">
        <v>0</v>
      </c>
      <c r="T24" s="2796">
        <v>181</v>
      </c>
      <c r="U24" s="2796">
        <v>54</v>
      </c>
      <c r="V24" s="2796">
        <v>0</v>
      </c>
      <c r="W24" s="2796">
        <v>0</v>
      </c>
      <c r="X24" s="2796">
        <v>89</v>
      </c>
      <c r="Y24" s="2796">
        <v>55</v>
      </c>
      <c r="Z24" s="2796">
        <v>60</v>
      </c>
      <c r="AA24" s="2796">
        <v>59</v>
      </c>
      <c r="AB24" s="2796">
        <v>73</v>
      </c>
      <c r="AC24" s="2796">
        <v>56</v>
      </c>
      <c r="AD24" s="2796">
        <v>54</v>
      </c>
      <c r="AE24" s="2796">
        <v>86</v>
      </c>
      <c r="AF24" s="2796">
        <v>88</v>
      </c>
      <c r="AG24" s="2796">
        <v>0</v>
      </c>
      <c r="AH24" s="2796">
        <v>63</v>
      </c>
      <c r="AI24" s="2796">
        <v>31</v>
      </c>
      <c r="AJ24" s="2790">
        <f t="shared" si="1"/>
        <v>2006</v>
      </c>
      <c r="AK24" s="2790">
        <f t="shared" si="0"/>
        <v>802.40000000000009</v>
      </c>
      <c r="AL24" s="2797" t="s">
        <v>141</v>
      </c>
      <c r="AM24" s="2798"/>
      <c r="AO24" s="2793"/>
    </row>
    <row r="25" spans="1:41" ht="18.75">
      <c r="A25" s="933">
        <v>15</v>
      </c>
      <c r="B25" s="2794" t="s">
        <v>1675</v>
      </c>
      <c r="C25" s="2795"/>
      <c r="D25" s="2795" t="s">
        <v>451</v>
      </c>
      <c r="E25" s="2796">
        <v>46</v>
      </c>
      <c r="F25" s="2796">
        <v>53</v>
      </c>
      <c r="G25" s="2796">
        <v>72</v>
      </c>
      <c r="H25" s="2796">
        <v>80</v>
      </c>
      <c r="I25" s="2796">
        <v>42</v>
      </c>
      <c r="J25" s="2796">
        <v>38</v>
      </c>
      <c r="K25" s="2796">
        <v>43</v>
      </c>
      <c r="L25" s="2796">
        <v>55</v>
      </c>
      <c r="M25" s="2796">
        <v>51</v>
      </c>
      <c r="N25" s="2796">
        <v>40</v>
      </c>
      <c r="O25" s="2796">
        <v>82</v>
      </c>
      <c r="P25" s="2796">
        <v>0</v>
      </c>
      <c r="Q25" s="2796">
        <v>117</v>
      </c>
      <c r="R25" s="2796">
        <v>54</v>
      </c>
      <c r="S25" s="2796">
        <v>85</v>
      </c>
      <c r="T25" s="2796">
        <v>75</v>
      </c>
      <c r="U25" s="2796">
        <v>0</v>
      </c>
      <c r="V25" s="2796">
        <v>0</v>
      </c>
      <c r="W25" s="2796">
        <v>0</v>
      </c>
      <c r="X25" s="2796">
        <v>0</v>
      </c>
      <c r="Y25" s="2796">
        <v>0</v>
      </c>
      <c r="Z25" s="2796">
        <v>0</v>
      </c>
      <c r="AA25" s="2796">
        <v>0</v>
      </c>
      <c r="AB25" s="2796">
        <v>0</v>
      </c>
      <c r="AC25" s="2796">
        <v>0</v>
      </c>
      <c r="AD25" s="2796">
        <v>0</v>
      </c>
      <c r="AE25" s="2796">
        <v>0</v>
      </c>
      <c r="AF25" s="2796">
        <v>0</v>
      </c>
      <c r="AG25" s="2796">
        <v>0</v>
      </c>
      <c r="AH25" s="2796">
        <v>0</v>
      </c>
      <c r="AI25" s="2796">
        <v>0</v>
      </c>
      <c r="AJ25" s="2790">
        <f t="shared" si="1"/>
        <v>933</v>
      </c>
      <c r="AK25" s="2790">
        <f t="shared" si="0"/>
        <v>373.20000000000005</v>
      </c>
      <c r="AL25" s="2797" t="s">
        <v>138</v>
      </c>
      <c r="AM25" s="2798"/>
      <c r="AO25" s="2793"/>
    </row>
    <row r="26" spans="1:41" ht="18.75">
      <c r="A26" s="933">
        <v>16</v>
      </c>
      <c r="B26" s="2794" t="s">
        <v>1526</v>
      </c>
      <c r="C26" s="2795"/>
      <c r="D26" s="2795" t="s">
        <v>451</v>
      </c>
      <c r="E26" s="2796">
        <v>0</v>
      </c>
      <c r="F26" s="2796">
        <v>48</v>
      </c>
      <c r="G26" s="2796">
        <v>69</v>
      </c>
      <c r="H26" s="2796">
        <v>70</v>
      </c>
      <c r="I26" s="2796">
        <v>0</v>
      </c>
      <c r="J26" s="2796">
        <v>60</v>
      </c>
      <c r="K26" s="2796">
        <v>69</v>
      </c>
      <c r="L26" s="2796">
        <v>56</v>
      </c>
      <c r="M26" s="2796">
        <v>74</v>
      </c>
      <c r="N26" s="2796">
        <v>22</v>
      </c>
      <c r="O26" s="2796">
        <v>0</v>
      </c>
      <c r="P26" s="2796">
        <v>41</v>
      </c>
      <c r="Q26" s="2796">
        <v>44</v>
      </c>
      <c r="R26" s="2796">
        <v>47</v>
      </c>
      <c r="S26" s="2796">
        <v>0</v>
      </c>
      <c r="T26" s="2796">
        <v>112</v>
      </c>
      <c r="U26" s="2796">
        <v>47</v>
      </c>
      <c r="V26" s="2796">
        <v>0</v>
      </c>
      <c r="W26" s="2796">
        <v>56</v>
      </c>
      <c r="X26" s="2796">
        <v>100</v>
      </c>
      <c r="Y26" s="2796">
        <v>0</v>
      </c>
      <c r="Z26" s="2796">
        <v>55</v>
      </c>
      <c r="AA26" s="2796">
        <v>0</v>
      </c>
      <c r="AB26" s="2796">
        <v>0</v>
      </c>
      <c r="AC26" s="2796">
        <v>50</v>
      </c>
      <c r="AD26" s="2796">
        <v>68</v>
      </c>
      <c r="AE26" s="2796">
        <v>120</v>
      </c>
      <c r="AF26" s="2796">
        <v>60</v>
      </c>
      <c r="AG26" s="2796">
        <v>51</v>
      </c>
      <c r="AH26" s="2796">
        <v>0</v>
      </c>
      <c r="AI26" s="2796">
        <v>79</v>
      </c>
      <c r="AJ26" s="2790">
        <f t="shared" si="1"/>
        <v>1398</v>
      </c>
      <c r="AK26" s="2790">
        <f t="shared" si="0"/>
        <v>559.20000000000005</v>
      </c>
      <c r="AL26" s="2797" t="s">
        <v>141</v>
      </c>
      <c r="AM26" s="2798"/>
      <c r="AO26" s="2793"/>
    </row>
    <row r="27" spans="1:41" ht="18.75">
      <c r="A27" s="933">
        <v>17</v>
      </c>
      <c r="B27" s="2794" t="s">
        <v>1236</v>
      </c>
      <c r="C27" s="2795"/>
      <c r="D27" s="2795" t="s">
        <v>451</v>
      </c>
      <c r="E27" s="2796">
        <v>76</v>
      </c>
      <c r="F27" s="2796">
        <v>35</v>
      </c>
      <c r="G27" s="2796">
        <v>112</v>
      </c>
      <c r="H27" s="2796">
        <v>123</v>
      </c>
      <c r="I27" s="2796">
        <v>67</v>
      </c>
      <c r="J27" s="2796">
        <v>43</v>
      </c>
      <c r="K27" s="2796">
        <v>0</v>
      </c>
      <c r="L27" s="2796">
        <v>80</v>
      </c>
      <c r="M27" s="2796">
        <v>52</v>
      </c>
      <c r="N27" s="2796">
        <v>32</v>
      </c>
      <c r="O27" s="2796">
        <v>125</v>
      </c>
      <c r="P27" s="2796">
        <v>86</v>
      </c>
      <c r="Q27" s="2796">
        <v>66</v>
      </c>
      <c r="R27" s="2796">
        <v>36</v>
      </c>
      <c r="S27" s="2796">
        <v>0</v>
      </c>
      <c r="T27" s="2796">
        <v>174</v>
      </c>
      <c r="U27" s="2796">
        <v>0</v>
      </c>
      <c r="V27" s="2796">
        <v>0</v>
      </c>
      <c r="W27" s="2796">
        <v>0</v>
      </c>
      <c r="X27" s="2796">
        <v>0</v>
      </c>
      <c r="Y27" s="2796">
        <v>114</v>
      </c>
      <c r="Z27" s="2796">
        <v>28</v>
      </c>
      <c r="AA27" s="2796" t="s">
        <v>1888</v>
      </c>
      <c r="AB27" s="2796">
        <v>108</v>
      </c>
      <c r="AC27" s="2796">
        <v>68</v>
      </c>
      <c r="AD27" s="2796">
        <v>72</v>
      </c>
      <c r="AE27" s="2796">
        <v>35</v>
      </c>
      <c r="AF27" s="2796">
        <v>74</v>
      </c>
      <c r="AG27" s="2796">
        <v>88</v>
      </c>
      <c r="AH27" s="2796">
        <v>0</v>
      </c>
      <c r="AI27" s="2796">
        <v>80</v>
      </c>
      <c r="AJ27" s="2790">
        <f t="shared" si="1"/>
        <v>1774</v>
      </c>
      <c r="AK27" s="2790">
        <f t="shared" si="0"/>
        <v>709.6</v>
      </c>
      <c r="AL27" s="2797" t="s">
        <v>141</v>
      </c>
      <c r="AM27" s="2798"/>
      <c r="AO27" s="2793"/>
    </row>
    <row r="28" spans="1:41" ht="18.75">
      <c r="A28" s="933">
        <v>18</v>
      </c>
      <c r="B28" s="2794" t="s">
        <v>1676</v>
      </c>
      <c r="C28" s="2795"/>
      <c r="D28" s="2795" t="s">
        <v>451</v>
      </c>
      <c r="E28" s="2796">
        <v>42</v>
      </c>
      <c r="F28" s="2796">
        <v>61</v>
      </c>
      <c r="G28" s="2796">
        <v>0</v>
      </c>
      <c r="H28" s="2796">
        <v>0</v>
      </c>
      <c r="I28" s="2796">
        <v>48</v>
      </c>
      <c r="J28" s="2796">
        <v>27</v>
      </c>
      <c r="K28" s="2796">
        <v>30</v>
      </c>
      <c r="L28" s="2796">
        <v>85</v>
      </c>
      <c r="M28" s="2796">
        <v>32</v>
      </c>
      <c r="N28" s="2796">
        <v>0</v>
      </c>
      <c r="O28" s="2796">
        <v>48</v>
      </c>
      <c r="P28" s="2796">
        <v>0</v>
      </c>
      <c r="Q28" s="2796">
        <v>44</v>
      </c>
      <c r="R28" s="2796">
        <v>57</v>
      </c>
      <c r="S28" s="2796">
        <v>0</v>
      </c>
      <c r="T28" s="2796">
        <v>145</v>
      </c>
      <c r="U28" s="2796">
        <v>35</v>
      </c>
      <c r="V28" s="2796">
        <v>0</v>
      </c>
      <c r="W28" s="2796">
        <v>0</v>
      </c>
      <c r="X28" s="2796">
        <v>0</v>
      </c>
      <c r="Y28" s="2796">
        <v>138</v>
      </c>
      <c r="Z28" s="2796">
        <v>36</v>
      </c>
      <c r="AA28" s="2796">
        <v>47</v>
      </c>
      <c r="AB28" s="2796">
        <v>0</v>
      </c>
      <c r="AC28" s="2790">
        <v>35</v>
      </c>
      <c r="AD28" s="2790">
        <v>31</v>
      </c>
      <c r="AE28" s="2790">
        <v>37</v>
      </c>
      <c r="AF28" s="2790">
        <v>60</v>
      </c>
      <c r="AG28" s="2790">
        <v>95</v>
      </c>
      <c r="AH28" s="2790">
        <v>38</v>
      </c>
      <c r="AI28" s="2790">
        <v>39</v>
      </c>
      <c r="AJ28" s="2790">
        <f t="shared" si="1"/>
        <v>1210</v>
      </c>
      <c r="AK28" s="2790">
        <f t="shared" si="0"/>
        <v>484</v>
      </c>
      <c r="AL28" s="2797" t="s">
        <v>141</v>
      </c>
      <c r="AM28" s="2798"/>
      <c r="AO28" s="2793"/>
    </row>
    <row r="29" spans="1:41" ht="18.75">
      <c r="A29" s="933">
        <v>19</v>
      </c>
      <c r="B29" s="2794" t="s">
        <v>1556</v>
      </c>
      <c r="C29" s="2795"/>
      <c r="D29" s="2795" t="s">
        <v>451</v>
      </c>
      <c r="E29" s="2796"/>
      <c r="F29" s="2796"/>
      <c r="G29" s="2796">
        <v>0</v>
      </c>
      <c r="H29" s="2796">
        <v>0</v>
      </c>
      <c r="I29" s="2796">
        <v>37</v>
      </c>
      <c r="J29" s="2796">
        <v>0</v>
      </c>
      <c r="K29" s="2796">
        <v>28</v>
      </c>
      <c r="L29" s="2796">
        <v>0</v>
      </c>
      <c r="M29" s="2796">
        <v>0</v>
      </c>
      <c r="N29" s="2796">
        <v>89</v>
      </c>
      <c r="O29" s="2796">
        <v>45</v>
      </c>
      <c r="P29" s="2796">
        <v>69</v>
      </c>
      <c r="Q29" s="2796">
        <v>61</v>
      </c>
      <c r="R29" s="2796">
        <v>26</v>
      </c>
      <c r="S29" s="2796">
        <v>0</v>
      </c>
      <c r="T29" s="2796">
        <v>0</v>
      </c>
      <c r="U29" s="2796">
        <v>33</v>
      </c>
      <c r="V29" s="2796">
        <v>0</v>
      </c>
      <c r="W29" s="2796">
        <v>0</v>
      </c>
      <c r="X29" s="2796">
        <v>169</v>
      </c>
      <c r="Y29" s="2796">
        <v>0</v>
      </c>
      <c r="Z29" s="2796">
        <v>0</v>
      </c>
      <c r="AA29" s="2796">
        <v>0</v>
      </c>
      <c r="AB29" s="2796">
        <v>60</v>
      </c>
      <c r="AC29" s="2796">
        <v>54</v>
      </c>
      <c r="AD29" s="2796">
        <v>0</v>
      </c>
      <c r="AE29" s="2796">
        <v>57</v>
      </c>
      <c r="AF29" s="2796">
        <v>0</v>
      </c>
      <c r="AG29" s="2796">
        <v>32</v>
      </c>
      <c r="AH29" s="2796">
        <v>0</v>
      </c>
      <c r="AI29" s="2796">
        <v>0</v>
      </c>
      <c r="AJ29" s="2790">
        <f t="shared" si="1"/>
        <v>760</v>
      </c>
      <c r="AK29" s="2790">
        <f t="shared" si="0"/>
        <v>304</v>
      </c>
      <c r="AL29" s="2797" t="s">
        <v>138</v>
      </c>
      <c r="AM29" s="2798"/>
      <c r="AO29" s="2793"/>
    </row>
    <row r="30" spans="1:41" ht="18.75">
      <c r="A30" s="933">
        <v>20</v>
      </c>
      <c r="B30" s="2794" t="s">
        <v>1557</v>
      </c>
      <c r="C30" s="2795"/>
      <c r="D30" s="2795" t="s">
        <v>451</v>
      </c>
      <c r="E30" s="2796">
        <v>42</v>
      </c>
      <c r="F30" s="2796">
        <v>42</v>
      </c>
      <c r="G30" s="2796">
        <v>0</v>
      </c>
      <c r="H30" s="2796">
        <v>0</v>
      </c>
      <c r="I30" s="2796">
        <v>78</v>
      </c>
      <c r="J30" s="2796">
        <v>57</v>
      </c>
      <c r="K30" s="2796">
        <v>59</v>
      </c>
      <c r="L30" s="2796">
        <v>240</v>
      </c>
      <c r="M30" s="2796">
        <v>40</v>
      </c>
      <c r="N30" s="2796">
        <v>60</v>
      </c>
      <c r="O30" s="2796">
        <v>40</v>
      </c>
      <c r="P30" s="2796">
        <v>139</v>
      </c>
      <c r="Q30" s="2796">
        <v>65</v>
      </c>
      <c r="R30" s="2796">
        <v>51</v>
      </c>
      <c r="S30" s="2796">
        <v>40</v>
      </c>
      <c r="T30" s="2796">
        <v>120</v>
      </c>
      <c r="U30" s="2796">
        <v>48</v>
      </c>
      <c r="V30" s="2796">
        <v>49</v>
      </c>
      <c r="W30" s="2796">
        <v>22</v>
      </c>
      <c r="X30" s="2796">
        <v>64</v>
      </c>
      <c r="Y30" s="2796">
        <v>42</v>
      </c>
      <c r="Z30" s="2796">
        <v>34</v>
      </c>
      <c r="AA30" s="2796">
        <v>40</v>
      </c>
      <c r="AB30" s="2796">
        <v>65</v>
      </c>
      <c r="AC30" s="2796">
        <v>50</v>
      </c>
      <c r="AD30" s="2796">
        <v>60</v>
      </c>
      <c r="AE30" s="2796">
        <v>53</v>
      </c>
      <c r="AF30" s="2796">
        <v>91</v>
      </c>
      <c r="AG30" s="2796">
        <v>60</v>
      </c>
      <c r="AH30" s="2796">
        <v>50</v>
      </c>
      <c r="AI30" s="2796">
        <v>77</v>
      </c>
      <c r="AJ30" s="2790">
        <f t="shared" si="1"/>
        <v>1878</v>
      </c>
      <c r="AK30" s="2790">
        <f t="shared" si="0"/>
        <v>751.2</v>
      </c>
      <c r="AL30" s="2797" t="s">
        <v>141</v>
      </c>
      <c r="AM30" s="2798"/>
      <c r="AO30" s="2793"/>
    </row>
    <row r="31" spans="1:41" ht="18.75">
      <c r="A31" s="933">
        <v>21</v>
      </c>
      <c r="B31" s="2794" t="s">
        <v>1677</v>
      </c>
      <c r="C31" s="2795"/>
      <c r="D31" s="2795" t="s">
        <v>451</v>
      </c>
      <c r="E31" s="2796">
        <v>76</v>
      </c>
      <c r="F31" s="2796">
        <v>72</v>
      </c>
      <c r="G31" s="2796">
        <v>82</v>
      </c>
      <c r="H31" s="2796">
        <v>83</v>
      </c>
      <c r="I31" s="2796">
        <v>52</v>
      </c>
      <c r="J31" s="2796">
        <v>50</v>
      </c>
      <c r="K31" s="2796">
        <v>43</v>
      </c>
      <c r="L31" s="2796">
        <v>55</v>
      </c>
      <c r="M31" s="2796">
        <v>51</v>
      </c>
      <c r="N31" s="2796">
        <v>38</v>
      </c>
      <c r="O31" s="2796">
        <v>78</v>
      </c>
      <c r="P31" s="2796">
        <v>61</v>
      </c>
      <c r="Q31" s="2796">
        <v>97</v>
      </c>
      <c r="R31" s="2796">
        <v>68</v>
      </c>
      <c r="S31" s="2796">
        <v>84</v>
      </c>
      <c r="T31" s="2796">
        <v>75</v>
      </c>
      <c r="U31" s="2796">
        <v>0</v>
      </c>
      <c r="V31" s="2796">
        <v>0</v>
      </c>
      <c r="W31" s="2796">
        <v>0</v>
      </c>
      <c r="X31" s="2796">
        <v>0</v>
      </c>
      <c r="Y31" s="2796">
        <v>0</v>
      </c>
      <c r="Z31" s="2796">
        <v>0</v>
      </c>
      <c r="AA31" s="2796">
        <v>0</v>
      </c>
      <c r="AB31" s="2796">
        <v>0</v>
      </c>
      <c r="AC31" s="2796">
        <v>0</v>
      </c>
      <c r="AD31" s="2796">
        <v>0</v>
      </c>
      <c r="AE31" s="2796">
        <v>0</v>
      </c>
      <c r="AF31" s="2796">
        <v>0</v>
      </c>
      <c r="AG31" s="2796">
        <v>0</v>
      </c>
      <c r="AH31" s="2796">
        <v>0</v>
      </c>
      <c r="AI31" s="2796">
        <v>0</v>
      </c>
      <c r="AJ31" s="2790">
        <f t="shared" si="1"/>
        <v>1065</v>
      </c>
      <c r="AK31" s="2790">
        <f t="shared" si="0"/>
        <v>426</v>
      </c>
      <c r="AL31" s="2797" t="s">
        <v>138</v>
      </c>
      <c r="AM31" s="2798"/>
      <c r="AO31" s="2793"/>
    </row>
    <row r="32" spans="1:41" ht="18.75">
      <c r="A32" s="933">
        <v>22</v>
      </c>
      <c r="B32" s="2794" t="s">
        <v>1558</v>
      </c>
      <c r="C32" s="2795"/>
      <c r="D32" s="2795" t="s">
        <v>451</v>
      </c>
      <c r="E32" s="2796">
        <v>38</v>
      </c>
      <c r="F32" s="2796">
        <v>82</v>
      </c>
      <c r="G32" s="2796">
        <v>79</v>
      </c>
      <c r="H32" s="2796">
        <v>86</v>
      </c>
      <c r="I32" s="2796">
        <v>50</v>
      </c>
      <c r="J32" s="2796">
        <v>76</v>
      </c>
      <c r="K32" s="2796">
        <v>45</v>
      </c>
      <c r="L32" s="2796">
        <v>70</v>
      </c>
      <c r="M32" s="2796">
        <v>44</v>
      </c>
      <c r="N32" s="2796">
        <v>50</v>
      </c>
      <c r="O32" s="2796">
        <v>80</v>
      </c>
      <c r="P32" s="2796">
        <v>53</v>
      </c>
      <c r="Q32" s="2796">
        <v>30</v>
      </c>
      <c r="R32" s="2796">
        <v>92</v>
      </c>
      <c r="S32" s="2796">
        <v>65</v>
      </c>
      <c r="T32" s="2796">
        <v>57</v>
      </c>
      <c r="U32" s="2796">
        <v>35</v>
      </c>
      <c r="V32" s="2796">
        <v>98</v>
      </c>
      <c r="W32" s="2796">
        <v>30</v>
      </c>
      <c r="X32" s="2796">
        <v>60</v>
      </c>
      <c r="Y32" s="2796">
        <v>38</v>
      </c>
      <c r="Z32" s="2796">
        <v>64</v>
      </c>
      <c r="AA32" s="2796">
        <v>0</v>
      </c>
      <c r="AB32" s="2796">
        <v>35</v>
      </c>
      <c r="AC32" s="2796">
        <v>29</v>
      </c>
      <c r="AD32" s="2796">
        <v>80</v>
      </c>
      <c r="AE32" s="2796">
        <v>114</v>
      </c>
      <c r="AF32" s="2796">
        <v>57</v>
      </c>
      <c r="AG32" s="2796">
        <v>47</v>
      </c>
      <c r="AH32" s="2796">
        <v>103</v>
      </c>
      <c r="AI32" s="2796">
        <v>62</v>
      </c>
      <c r="AJ32" s="2790">
        <f t="shared" si="1"/>
        <v>1849</v>
      </c>
      <c r="AK32" s="2790">
        <f t="shared" si="0"/>
        <v>739.6</v>
      </c>
      <c r="AL32" s="2797" t="s">
        <v>141</v>
      </c>
      <c r="AM32" s="2798"/>
      <c r="AO32" s="2793"/>
    </row>
    <row r="33" spans="1:44" ht="21.75" customHeight="1">
      <c r="A33" s="933">
        <v>23</v>
      </c>
      <c r="B33" s="2794" t="s">
        <v>1524</v>
      </c>
      <c r="C33" s="2795"/>
      <c r="D33" s="2795" t="s">
        <v>451</v>
      </c>
      <c r="E33" s="2796">
        <v>0</v>
      </c>
      <c r="F33" s="2796">
        <v>77</v>
      </c>
      <c r="G33" s="2796">
        <v>58</v>
      </c>
      <c r="H33" s="2796">
        <v>0</v>
      </c>
      <c r="I33" s="2796">
        <v>49</v>
      </c>
      <c r="J33" s="2796">
        <v>68</v>
      </c>
      <c r="K33" s="2796">
        <v>88</v>
      </c>
      <c r="L33" s="2796">
        <v>40</v>
      </c>
      <c r="M33" s="2796">
        <v>63</v>
      </c>
      <c r="N33" s="2796">
        <v>0</v>
      </c>
      <c r="O33" s="2796">
        <v>65</v>
      </c>
      <c r="P33" s="2796">
        <v>0</v>
      </c>
      <c r="Q33" s="2796">
        <v>27</v>
      </c>
      <c r="R33" s="2796">
        <v>87</v>
      </c>
      <c r="S33" s="2796">
        <v>0</v>
      </c>
      <c r="T33" s="2796">
        <v>85</v>
      </c>
      <c r="U33" s="2796">
        <v>56</v>
      </c>
      <c r="V33" s="2796">
        <v>64</v>
      </c>
      <c r="W33" s="2796">
        <v>0</v>
      </c>
      <c r="X33" s="2796">
        <v>0</v>
      </c>
      <c r="Y33" s="2796">
        <v>56</v>
      </c>
      <c r="Z33" s="2796">
        <v>50</v>
      </c>
      <c r="AA33" s="2796">
        <v>45</v>
      </c>
      <c r="AB33" s="2796">
        <v>0</v>
      </c>
      <c r="AC33" s="2796">
        <v>16</v>
      </c>
      <c r="AD33" s="2796">
        <v>55</v>
      </c>
      <c r="AE33" s="2796">
        <v>50</v>
      </c>
      <c r="AF33" s="2796">
        <v>92</v>
      </c>
      <c r="AG33" s="2796">
        <v>24</v>
      </c>
      <c r="AH33" s="2796">
        <v>64</v>
      </c>
      <c r="AI33" s="2796">
        <v>50</v>
      </c>
      <c r="AJ33" s="2790">
        <f t="shared" si="1"/>
        <v>1329</v>
      </c>
      <c r="AK33" s="2790">
        <f t="shared" si="0"/>
        <v>531.6</v>
      </c>
      <c r="AL33" s="2797" t="s">
        <v>141</v>
      </c>
      <c r="AM33" s="2798"/>
      <c r="AO33" s="2793"/>
    </row>
    <row r="34" spans="1:44" ht="21.75" customHeight="1">
      <c r="A34" s="933">
        <v>24</v>
      </c>
      <c r="B34" s="2794" t="s">
        <v>289</v>
      </c>
      <c r="C34" s="2795"/>
      <c r="D34" s="2795" t="s">
        <v>451</v>
      </c>
      <c r="E34" s="2796">
        <v>0</v>
      </c>
      <c r="F34" s="2796">
        <v>0</v>
      </c>
      <c r="G34" s="2796">
        <v>0</v>
      </c>
      <c r="H34" s="2796">
        <v>0</v>
      </c>
      <c r="I34" s="2796">
        <v>0</v>
      </c>
      <c r="J34" s="2796">
        <v>0</v>
      </c>
      <c r="K34" s="2796">
        <v>35</v>
      </c>
      <c r="L34" s="2796">
        <v>159</v>
      </c>
      <c r="M34" s="2796">
        <v>66</v>
      </c>
      <c r="N34" s="2796">
        <v>36</v>
      </c>
      <c r="O34" s="2796">
        <v>23</v>
      </c>
      <c r="P34" s="2796">
        <v>56</v>
      </c>
      <c r="Q34" s="2796">
        <v>0</v>
      </c>
      <c r="R34" s="2796">
        <v>30</v>
      </c>
      <c r="S34" s="2796">
        <v>0</v>
      </c>
      <c r="T34" s="2796">
        <v>0</v>
      </c>
      <c r="U34" s="2796">
        <v>0</v>
      </c>
      <c r="V34" s="2796">
        <v>0</v>
      </c>
      <c r="W34" s="2796">
        <v>0</v>
      </c>
      <c r="X34" s="2796">
        <v>0</v>
      </c>
      <c r="Y34" s="2796">
        <v>41</v>
      </c>
      <c r="Z34" s="2796">
        <v>0</v>
      </c>
      <c r="AA34" s="2796">
        <v>42</v>
      </c>
      <c r="AB34" s="2796">
        <v>0</v>
      </c>
      <c r="AC34" s="2796">
        <v>0</v>
      </c>
      <c r="AD34" s="2796">
        <v>0</v>
      </c>
      <c r="AE34" s="2796">
        <v>0</v>
      </c>
      <c r="AF34" s="2796">
        <v>65</v>
      </c>
      <c r="AG34" s="2796">
        <v>30</v>
      </c>
      <c r="AH34" s="2796">
        <v>40</v>
      </c>
      <c r="AI34" s="2796">
        <v>100</v>
      </c>
      <c r="AJ34" s="2790">
        <f t="shared" si="1"/>
        <v>723</v>
      </c>
      <c r="AK34" s="2790">
        <f t="shared" si="0"/>
        <v>289.2</v>
      </c>
      <c r="AL34" s="2797" t="s">
        <v>138</v>
      </c>
      <c r="AM34" s="2798"/>
      <c r="AO34" s="2793"/>
    </row>
    <row r="35" spans="1:44" ht="21.75" customHeight="1">
      <c r="A35" s="933">
        <v>25</v>
      </c>
      <c r="B35" s="2794" t="s">
        <v>1678</v>
      </c>
      <c r="C35" s="2795"/>
      <c r="D35" s="2795" t="s">
        <v>451</v>
      </c>
      <c r="E35" s="2796">
        <v>0</v>
      </c>
      <c r="F35" s="2796">
        <v>0</v>
      </c>
      <c r="G35" s="2796">
        <v>141</v>
      </c>
      <c r="H35" s="2796">
        <v>182</v>
      </c>
      <c r="I35" s="2796">
        <v>0</v>
      </c>
      <c r="J35" s="2796">
        <v>49</v>
      </c>
      <c r="K35" s="2796">
        <v>0</v>
      </c>
      <c r="L35" s="2796">
        <v>93</v>
      </c>
      <c r="M35" s="2796">
        <v>0</v>
      </c>
      <c r="N35" s="2796">
        <v>18</v>
      </c>
      <c r="O35" s="2796">
        <v>0</v>
      </c>
      <c r="P35" s="2796">
        <v>102</v>
      </c>
      <c r="Q35" s="2796">
        <v>148</v>
      </c>
      <c r="R35" s="2796">
        <v>0</v>
      </c>
      <c r="S35" s="2796">
        <v>152</v>
      </c>
      <c r="T35" s="2796">
        <v>171</v>
      </c>
      <c r="U35" s="2796">
        <v>0</v>
      </c>
      <c r="V35" s="2796">
        <v>82</v>
      </c>
      <c r="W35" s="2796">
        <v>59</v>
      </c>
      <c r="X35" s="2796">
        <v>122</v>
      </c>
      <c r="Y35" s="2796">
        <v>104</v>
      </c>
      <c r="Z35" s="2796">
        <v>0</v>
      </c>
      <c r="AA35" s="2796">
        <v>0</v>
      </c>
      <c r="AB35" s="2796">
        <v>0</v>
      </c>
      <c r="AC35" s="2796">
        <v>0</v>
      </c>
      <c r="AD35" s="2796">
        <v>43</v>
      </c>
      <c r="AE35" s="2796">
        <v>75</v>
      </c>
      <c r="AF35" s="2796">
        <v>201</v>
      </c>
      <c r="AG35" s="2796">
        <v>133</v>
      </c>
      <c r="AH35" s="2796">
        <v>48</v>
      </c>
      <c r="AI35" s="2796">
        <v>78</v>
      </c>
      <c r="AJ35" s="2790">
        <f t="shared" si="1"/>
        <v>2001</v>
      </c>
      <c r="AK35" s="2790">
        <f t="shared" si="0"/>
        <v>800.40000000000009</v>
      </c>
      <c r="AL35" s="2797" t="s">
        <v>141</v>
      </c>
      <c r="AM35" s="2798"/>
      <c r="AO35" s="2793"/>
    </row>
    <row r="36" spans="1:44" ht="21.75" customHeight="1">
      <c r="A36" s="933">
        <v>26</v>
      </c>
      <c r="B36" s="2794" t="s">
        <v>1528</v>
      </c>
      <c r="C36" s="2799"/>
      <c r="D36" s="2795" t="s">
        <v>451</v>
      </c>
      <c r="E36" s="2796">
        <v>56</v>
      </c>
      <c r="F36" s="2796">
        <v>22</v>
      </c>
      <c r="G36" s="2796">
        <v>40</v>
      </c>
      <c r="H36" s="2796">
        <v>0</v>
      </c>
      <c r="I36" s="2796">
        <v>22</v>
      </c>
      <c r="J36" s="2796">
        <v>21</v>
      </c>
      <c r="K36" s="2796">
        <v>54</v>
      </c>
      <c r="L36" s="2796">
        <v>157</v>
      </c>
      <c r="M36" s="2796">
        <v>25</v>
      </c>
      <c r="N36" s="2796">
        <v>18</v>
      </c>
      <c r="O36" s="2796">
        <v>50</v>
      </c>
      <c r="P36" s="2796">
        <v>85</v>
      </c>
      <c r="Q36" s="2796">
        <v>31</v>
      </c>
      <c r="R36" s="2796">
        <v>33</v>
      </c>
      <c r="S36" s="2796">
        <v>0</v>
      </c>
      <c r="T36" s="2796">
        <v>168</v>
      </c>
      <c r="U36" s="2796">
        <v>0</v>
      </c>
      <c r="V36" s="2796">
        <v>0</v>
      </c>
      <c r="W36" s="2796">
        <v>0</v>
      </c>
      <c r="X36" s="2796">
        <v>0</v>
      </c>
      <c r="Y36" s="2796">
        <v>23</v>
      </c>
      <c r="Z36" s="2796">
        <v>143</v>
      </c>
      <c r="AA36" s="2796">
        <v>29</v>
      </c>
      <c r="AB36" s="2796">
        <v>26</v>
      </c>
      <c r="AC36" s="2796">
        <v>68</v>
      </c>
      <c r="AD36" s="2796">
        <v>27</v>
      </c>
      <c r="AE36" s="2796">
        <v>90</v>
      </c>
      <c r="AF36" s="2796">
        <v>82</v>
      </c>
      <c r="AG36" s="2796">
        <v>67</v>
      </c>
      <c r="AH36" s="2796">
        <v>0</v>
      </c>
      <c r="AI36" s="2796">
        <v>110</v>
      </c>
      <c r="AJ36" s="2790">
        <f t="shared" si="1"/>
        <v>1447</v>
      </c>
      <c r="AK36" s="2790">
        <f t="shared" si="0"/>
        <v>578.80000000000007</v>
      </c>
      <c r="AL36" s="2797" t="s">
        <v>141</v>
      </c>
      <c r="AM36" s="2798"/>
      <c r="AO36" s="2793"/>
    </row>
    <row r="37" spans="1:44" ht="21.75" customHeight="1">
      <c r="A37" s="933">
        <v>27</v>
      </c>
      <c r="B37" s="2794" t="s">
        <v>1679</v>
      </c>
      <c r="C37" s="2795"/>
      <c r="D37" s="2795" t="s">
        <v>451</v>
      </c>
      <c r="E37" s="2796">
        <v>0</v>
      </c>
      <c r="F37" s="2796">
        <v>16</v>
      </c>
      <c r="G37" s="2796">
        <v>50</v>
      </c>
      <c r="H37" s="2796">
        <v>122</v>
      </c>
      <c r="I37" s="2796">
        <v>73</v>
      </c>
      <c r="J37" s="2796">
        <v>0</v>
      </c>
      <c r="K37" s="2796">
        <v>42</v>
      </c>
      <c r="L37" s="2796">
        <v>46</v>
      </c>
      <c r="M37" s="2796">
        <v>24</v>
      </c>
      <c r="N37" s="2796">
        <v>25</v>
      </c>
      <c r="O37" s="2796">
        <v>37</v>
      </c>
      <c r="P37" s="2796">
        <v>45</v>
      </c>
      <c r="Q37" s="2796">
        <v>27</v>
      </c>
      <c r="R37" s="2796">
        <v>32</v>
      </c>
      <c r="S37" s="2796">
        <v>55</v>
      </c>
      <c r="T37" s="2796">
        <v>98</v>
      </c>
      <c r="U37" s="2796">
        <v>0</v>
      </c>
      <c r="V37" s="2796">
        <v>0</v>
      </c>
      <c r="W37" s="2796">
        <v>0</v>
      </c>
      <c r="X37" s="2796">
        <v>0</v>
      </c>
      <c r="Y37" s="2796">
        <v>63</v>
      </c>
      <c r="Z37" s="2796">
        <v>47</v>
      </c>
      <c r="AA37" s="2796">
        <v>42</v>
      </c>
      <c r="AB37" s="2796">
        <v>65</v>
      </c>
      <c r="AC37" s="2796">
        <v>54</v>
      </c>
      <c r="AD37" s="2796">
        <v>37</v>
      </c>
      <c r="AE37" s="2796">
        <v>59</v>
      </c>
      <c r="AF37" s="2796">
        <v>90</v>
      </c>
      <c r="AG37" s="2796">
        <v>55</v>
      </c>
      <c r="AH37" s="2796">
        <v>28</v>
      </c>
      <c r="AI37" s="2796">
        <v>63</v>
      </c>
      <c r="AJ37" s="2790">
        <f t="shared" si="1"/>
        <v>1295</v>
      </c>
      <c r="AK37" s="2790">
        <f t="shared" si="0"/>
        <v>518</v>
      </c>
      <c r="AL37" s="2797" t="s">
        <v>141</v>
      </c>
      <c r="AM37" s="2798"/>
      <c r="AO37" s="2793"/>
      <c r="AP37">
        <f>+COUNTIF(AL11:AL44,"A")</f>
        <v>26</v>
      </c>
    </row>
    <row r="38" spans="1:44" ht="21.75" customHeight="1">
      <c r="A38" s="933">
        <v>28</v>
      </c>
      <c r="B38" s="2794" t="s">
        <v>1529</v>
      </c>
      <c r="C38" s="2795"/>
      <c r="D38" s="2795" t="s">
        <v>451</v>
      </c>
      <c r="E38" s="2796">
        <v>47</v>
      </c>
      <c r="F38" s="2796">
        <v>32</v>
      </c>
      <c r="G38" s="2796">
        <v>62</v>
      </c>
      <c r="H38" s="2796">
        <v>0</v>
      </c>
      <c r="I38" s="2796">
        <v>68</v>
      </c>
      <c r="J38" s="2796">
        <v>21</v>
      </c>
      <c r="K38" s="2796">
        <v>108</v>
      </c>
      <c r="L38" s="2796">
        <v>66</v>
      </c>
      <c r="M38" s="2796">
        <v>66</v>
      </c>
      <c r="N38" s="2796">
        <v>0</v>
      </c>
      <c r="O38" s="2796">
        <v>73</v>
      </c>
      <c r="P38" s="2796">
        <v>0</v>
      </c>
      <c r="Q38" s="2796">
        <v>47</v>
      </c>
      <c r="R38" s="2796">
        <v>40</v>
      </c>
      <c r="S38" s="2796">
        <v>0</v>
      </c>
      <c r="T38" s="2796">
        <v>93</v>
      </c>
      <c r="U38" s="2796">
        <v>63</v>
      </c>
      <c r="V38" s="2796">
        <v>0</v>
      </c>
      <c r="W38" s="2796">
        <v>0</v>
      </c>
      <c r="X38" s="2796">
        <v>0</v>
      </c>
      <c r="Y38" s="2796">
        <v>105</v>
      </c>
      <c r="Z38" s="2796">
        <v>10</v>
      </c>
      <c r="AA38" s="2796">
        <v>48</v>
      </c>
      <c r="AB38" s="2796">
        <v>0</v>
      </c>
      <c r="AC38" s="2796">
        <v>21</v>
      </c>
      <c r="AD38" s="2796">
        <v>25</v>
      </c>
      <c r="AE38" s="2796">
        <v>62</v>
      </c>
      <c r="AF38" s="2796">
        <v>88</v>
      </c>
      <c r="AG38" s="2796">
        <v>53</v>
      </c>
      <c r="AH38" s="2796">
        <v>41</v>
      </c>
      <c r="AI38" s="2796">
        <v>62</v>
      </c>
      <c r="AJ38" s="2790">
        <f t="shared" si="1"/>
        <v>1301</v>
      </c>
      <c r="AK38" s="2790">
        <f t="shared" si="0"/>
        <v>520.4</v>
      </c>
      <c r="AL38" s="2797" t="s">
        <v>141</v>
      </c>
      <c r="AM38" s="2798"/>
      <c r="AO38" s="2793"/>
    </row>
    <row r="39" spans="1:44" ht="21.75" customHeight="1">
      <c r="A39" s="933">
        <v>29</v>
      </c>
      <c r="B39" s="2794" t="s">
        <v>1487</v>
      </c>
      <c r="C39" s="2799"/>
      <c r="D39" s="2795" t="s">
        <v>451</v>
      </c>
      <c r="E39" s="2796">
        <v>68</v>
      </c>
      <c r="F39" s="2796">
        <v>25</v>
      </c>
      <c r="G39" s="2796">
        <v>76</v>
      </c>
      <c r="H39" s="2796">
        <v>129</v>
      </c>
      <c r="I39" s="2796">
        <v>27</v>
      </c>
      <c r="J39" s="2796">
        <v>25</v>
      </c>
      <c r="K39" s="2796">
        <v>0</v>
      </c>
      <c r="L39" s="2796">
        <v>70</v>
      </c>
      <c r="M39" s="2796">
        <v>32</v>
      </c>
      <c r="N39" s="2796">
        <v>20</v>
      </c>
      <c r="O39" s="2796">
        <v>63</v>
      </c>
      <c r="P39" s="2796">
        <v>76</v>
      </c>
      <c r="Q39" s="2796">
        <v>0</v>
      </c>
      <c r="R39" s="2796">
        <v>30</v>
      </c>
      <c r="S39" s="2796">
        <v>55</v>
      </c>
      <c r="T39" s="2796">
        <v>0</v>
      </c>
      <c r="U39" s="2796">
        <v>0</v>
      </c>
      <c r="V39" s="2796">
        <v>31</v>
      </c>
      <c r="W39" s="2796">
        <v>0</v>
      </c>
      <c r="X39" s="2796">
        <v>52</v>
      </c>
      <c r="Y39" s="2796">
        <v>38</v>
      </c>
      <c r="Z39" s="2796">
        <v>27</v>
      </c>
      <c r="AA39" s="2796">
        <v>51</v>
      </c>
      <c r="AB39" s="2796">
        <v>0</v>
      </c>
      <c r="AC39" s="2796">
        <v>0</v>
      </c>
      <c r="AD39" s="2796">
        <v>28</v>
      </c>
      <c r="AE39" s="2796">
        <v>62</v>
      </c>
      <c r="AF39" s="2796">
        <v>77</v>
      </c>
      <c r="AG39" s="2796">
        <v>55</v>
      </c>
      <c r="AH39" s="2796">
        <v>0</v>
      </c>
      <c r="AI39" s="2796">
        <v>55</v>
      </c>
      <c r="AJ39" s="2790">
        <f t="shared" si="1"/>
        <v>1172</v>
      </c>
      <c r="AK39" s="2790">
        <f t="shared" si="0"/>
        <v>468.8</v>
      </c>
      <c r="AL39" s="2797" t="s">
        <v>141</v>
      </c>
      <c r="AM39" s="2798"/>
      <c r="AO39" s="2793"/>
    </row>
    <row r="40" spans="1:44" ht="21.75" customHeight="1">
      <c r="A40" s="933">
        <v>30</v>
      </c>
      <c r="B40" s="2794" t="s">
        <v>1559</v>
      </c>
      <c r="C40" s="2795"/>
      <c r="D40" s="2795" t="s">
        <v>451</v>
      </c>
      <c r="E40" s="2796">
        <v>30</v>
      </c>
      <c r="F40" s="2796">
        <v>28</v>
      </c>
      <c r="G40" s="2796">
        <v>60</v>
      </c>
      <c r="H40" s="2796">
        <v>202</v>
      </c>
      <c r="I40" s="2796">
        <v>29</v>
      </c>
      <c r="J40" s="2796">
        <v>40</v>
      </c>
      <c r="K40" s="2796">
        <v>30</v>
      </c>
      <c r="L40" s="2796">
        <v>62</v>
      </c>
      <c r="M40" s="2796">
        <v>20</v>
      </c>
      <c r="N40" s="2796">
        <v>0</v>
      </c>
      <c r="O40" s="2796">
        <v>94</v>
      </c>
      <c r="P40" s="2796">
        <v>54</v>
      </c>
      <c r="Q40" s="2796">
        <v>77</v>
      </c>
      <c r="R40" s="2796">
        <v>35</v>
      </c>
      <c r="S40" s="2796">
        <v>0</v>
      </c>
      <c r="T40" s="2796">
        <v>137</v>
      </c>
      <c r="U40" s="2796">
        <v>0</v>
      </c>
      <c r="V40" s="2796">
        <v>29</v>
      </c>
      <c r="W40" s="2796">
        <v>0</v>
      </c>
      <c r="X40" s="2796">
        <v>79</v>
      </c>
      <c r="Y40" s="2796">
        <v>37</v>
      </c>
      <c r="Z40" s="2796">
        <v>0</v>
      </c>
      <c r="AA40" s="2796">
        <v>0</v>
      </c>
      <c r="AB40" s="2796">
        <v>100</v>
      </c>
      <c r="AC40" s="2796">
        <v>30</v>
      </c>
      <c r="AD40" s="2796">
        <v>0</v>
      </c>
      <c r="AE40" s="2796">
        <v>84</v>
      </c>
      <c r="AF40" s="2796">
        <v>36</v>
      </c>
      <c r="AG40" s="2796">
        <v>0</v>
      </c>
      <c r="AH40" s="2796">
        <v>45</v>
      </c>
      <c r="AI40" s="2796">
        <v>50</v>
      </c>
      <c r="AJ40" s="2790">
        <f t="shared" si="1"/>
        <v>1388</v>
      </c>
      <c r="AK40" s="2790">
        <f t="shared" si="0"/>
        <v>555.20000000000005</v>
      </c>
      <c r="AL40" s="2797" t="s">
        <v>141</v>
      </c>
      <c r="AM40" s="2798"/>
      <c r="AO40" s="2793"/>
    </row>
    <row r="41" spans="1:44" ht="21.75" customHeight="1">
      <c r="A41" s="933">
        <v>31</v>
      </c>
      <c r="B41" s="2794" t="s">
        <v>1238</v>
      </c>
      <c r="C41" s="2795"/>
      <c r="D41" s="2795" t="s">
        <v>451</v>
      </c>
      <c r="E41" s="2796">
        <v>56</v>
      </c>
      <c r="F41" s="2796">
        <v>39</v>
      </c>
      <c r="G41" s="2796">
        <v>62</v>
      </c>
      <c r="H41" s="2796">
        <v>102</v>
      </c>
      <c r="I41" s="2796">
        <v>55</v>
      </c>
      <c r="J41" s="2796">
        <v>27</v>
      </c>
      <c r="K41" s="2796">
        <v>30</v>
      </c>
      <c r="L41" s="2796">
        <v>35</v>
      </c>
      <c r="M41" s="2796">
        <v>40</v>
      </c>
      <c r="N41" s="2796">
        <v>30</v>
      </c>
      <c r="O41" s="2796">
        <v>57</v>
      </c>
      <c r="P41" s="2796">
        <v>135</v>
      </c>
      <c r="Q41" s="2796">
        <v>45</v>
      </c>
      <c r="R41" s="2796">
        <v>43</v>
      </c>
      <c r="S41" s="2796">
        <v>72</v>
      </c>
      <c r="T41" s="2796">
        <v>104</v>
      </c>
      <c r="U41" s="2796">
        <v>0</v>
      </c>
      <c r="V41" s="2796">
        <v>45</v>
      </c>
      <c r="W41" s="2796">
        <v>0</v>
      </c>
      <c r="X41" s="2796">
        <v>84</v>
      </c>
      <c r="Y41" s="2796">
        <v>56</v>
      </c>
      <c r="Z41" s="2796">
        <v>35</v>
      </c>
      <c r="AA41" s="2796">
        <v>0</v>
      </c>
      <c r="AB41" s="2796">
        <v>60</v>
      </c>
      <c r="AC41" s="2796">
        <v>72</v>
      </c>
      <c r="AD41" s="2796">
        <v>39</v>
      </c>
      <c r="AE41" s="2796">
        <v>65</v>
      </c>
      <c r="AF41" s="2796">
        <v>59</v>
      </c>
      <c r="AG41" s="2796">
        <v>46</v>
      </c>
      <c r="AH41" s="2796">
        <v>44</v>
      </c>
      <c r="AI41" s="2796">
        <v>67</v>
      </c>
      <c r="AJ41" s="2790">
        <f t="shared" si="1"/>
        <v>1604</v>
      </c>
      <c r="AK41" s="2790">
        <f t="shared" si="0"/>
        <v>641.6</v>
      </c>
      <c r="AL41" s="2800" t="s">
        <v>141</v>
      </c>
      <c r="AM41" s="2798"/>
      <c r="AO41" s="2793"/>
    </row>
    <row r="42" spans="1:44" ht="21.75" customHeight="1">
      <c r="A42" s="933">
        <v>32</v>
      </c>
      <c r="B42" s="2794" t="s">
        <v>1488</v>
      </c>
      <c r="C42" s="2795"/>
      <c r="D42" s="2795" t="s">
        <v>451</v>
      </c>
      <c r="E42" s="2796">
        <v>61</v>
      </c>
      <c r="F42" s="2796">
        <v>39</v>
      </c>
      <c r="G42" s="2796">
        <v>87</v>
      </c>
      <c r="H42" s="2796">
        <v>180</v>
      </c>
      <c r="I42" s="2796">
        <v>59</v>
      </c>
      <c r="J42" s="2796">
        <v>49</v>
      </c>
      <c r="K42" s="2796">
        <v>76</v>
      </c>
      <c r="L42" s="2796">
        <v>87</v>
      </c>
      <c r="M42" s="2796">
        <v>41</v>
      </c>
      <c r="N42" s="2796">
        <v>38</v>
      </c>
      <c r="O42" s="2796">
        <v>83</v>
      </c>
      <c r="P42" s="2796">
        <v>87</v>
      </c>
      <c r="Q42" s="2796">
        <v>51</v>
      </c>
      <c r="R42" s="2796">
        <v>35</v>
      </c>
      <c r="S42" s="2796">
        <v>78</v>
      </c>
      <c r="T42" s="2796">
        <v>84</v>
      </c>
      <c r="U42" s="2796">
        <v>46</v>
      </c>
      <c r="V42" s="2796">
        <v>0</v>
      </c>
      <c r="W42" s="2796">
        <v>73</v>
      </c>
      <c r="X42" s="2796">
        <v>67</v>
      </c>
      <c r="Y42" s="2796">
        <v>48</v>
      </c>
      <c r="Z42" s="2796">
        <v>59</v>
      </c>
      <c r="AA42" s="2796">
        <v>0</v>
      </c>
      <c r="AB42" s="2796">
        <v>99</v>
      </c>
      <c r="AC42" s="2796">
        <v>0</v>
      </c>
      <c r="AD42" s="2796">
        <v>76</v>
      </c>
      <c r="AE42" s="2796">
        <v>80</v>
      </c>
      <c r="AF42" s="2796">
        <v>70</v>
      </c>
      <c r="AG42" s="2796">
        <v>41</v>
      </c>
      <c r="AH42" s="2796">
        <v>31</v>
      </c>
      <c r="AI42" s="2796">
        <v>52</v>
      </c>
      <c r="AJ42" s="2790">
        <f>+SUM(E42:AI42)</f>
        <v>1877</v>
      </c>
      <c r="AK42" s="2790">
        <f t="shared" si="0"/>
        <v>750.80000000000007</v>
      </c>
      <c r="AL42" s="2797" t="s">
        <v>141</v>
      </c>
      <c r="AM42" s="2798"/>
      <c r="AO42" s="2793"/>
    </row>
    <row r="43" spans="1:44" ht="21.75" customHeight="1">
      <c r="A43" s="933">
        <v>33</v>
      </c>
      <c r="B43" s="2794" t="s">
        <v>1680</v>
      </c>
      <c r="C43" s="2795"/>
      <c r="D43" s="2795" t="s">
        <v>451</v>
      </c>
      <c r="E43" s="2796">
        <v>42</v>
      </c>
      <c r="F43" s="2796">
        <v>86</v>
      </c>
      <c r="G43" s="2796">
        <v>80</v>
      </c>
      <c r="H43" s="2796">
        <v>52</v>
      </c>
      <c r="I43" s="2796">
        <v>0</v>
      </c>
      <c r="J43" s="2796">
        <v>41</v>
      </c>
      <c r="K43" s="2796">
        <v>36</v>
      </c>
      <c r="L43" s="2796">
        <v>144</v>
      </c>
      <c r="M43" s="2796">
        <v>53</v>
      </c>
      <c r="N43" s="2796">
        <v>42</v>
      </c>
      <c r="O43" s="2796">
        <v>80</v>
      </c>
      <c r="P43" s="2796">
        <v>0</v>
      </c>
      <c r="Q43" s="2796">
        <v>40</v>
      </c>
      <c r="R43" s="2796">
        <v>0</v>
      </c>
      <c r="S43" s="2796">
        <v>80</v>
      </c>
      <c r="T43" s="2796">
        <v>143</v>
      </c>
      <c r="U43" s="2796">
        <v>50</v>
      </c>
      <c r="V43" s="2796">
        <v>50</v>
      </c>
      <c r="W43" s="2796">
        <v>71</v>
      </c>
      <c r="X43" s="2796">
        <v>34</v>
      </c>
      <c r="Y43" s="2796">
        <v>0</v>
      </c>
      <c r="Z43" s="2796">
        <v>53</v>
      </c>
      <c r="AA43" s="2796">
        <v>41</v>
      </c>
      <c r="AB43" s="2796">
        <v>71</v>
      </c>
      <c r="AC43" s="2796">
        <v>90</v>
      </c>
      <c r="AD43" s="2796">
        <v>65</v>
      </c>
      <c r="AE43" s="2796">
        <v>76</v>
      </c>
      <c r="AF43" s="2796">
        <v>0</v>
      </c>
      <c r="AG43" s="2796">
        <v>58</v>
      </c>
      <c r="AH43" s="2796">
        <v>63</v>
      </c>
      <c r="AI43" s="2796">
        <v>100</v>
      </c>
      <c r="AJ43" s="2790">
        <f>+SUM(E43:AI43)</f>
        <v>1741</v>
      </c>
      <c r="AK43" s="2790">
        <f t="shared" si="0"/>
        <v>696.40000000000009</v>
      </c>
      <c r="AL43" s="2797" t="s">
        <v>141</v>
      </c>
      <c r="AM43" s="2798"/>
      <c r="AO43" s="2793"/>
    </row>
    <row r="44" spans="1:44" ht="21.75" customHeight="1">
      <c r="A44" s="2918">
        <v>34</v>
      </c>
      <c r="B44" s="2919" t="s">
        <v>1681</v>
      </c>
      <c r="C44" s="2920"/>
      <c r="D44" s="2920" t="s">
        <v>451</v>
      </c>
      <c r="E44" s="2901">
        <v>0</v>
      </c>
      <c r="F44" s="2901">
        <v>0</v>
      </c>
      <c r="G44" s="2901">
        <v>92</v>
      </c>
      <c r="H44" s="2901">
        <v>0</v>
      </c>
      <c r="I44" s="2901">
        <v>0</v>
      </c>
      <c r="J44" s="2901">
        <v>0</v>
      </c>
      <c r="K44" s="2901">
        <v>0</v>
      </c>
      <c r="L44" s="2901">
        <v>0</v>
      </c>
      <c r="M44" s="2901">
        <v>0</v>
      </c>
      <c r="N44" s="2901">
        <v>0</v>
      </c>
      <c r="O44" s="2901">
        <v>0</v>
      </c>
      <c r="P44" s="2901">
        <v>0</v>
      </c>
      <c r="Q44" s="2901">
        <v>0</v>
      </c>
      <c r="R44" s="2901">
        <v>0</v>
      </c>
      <c r="S44" s="2901">
        <v>0</v>
      </c>
      <c r="T44" s="2901">
        <v>59</v>
      </c>
      <c r="U44" s="2901">
        <v>0</v>
      </c>
      <c r="V44" s="2901">
        <v>0</v>
      </c>
      <c r="W44" s="2901">
        <v>53</v>
      </c>
      <c r="X44" s="2901">
        <v>0</v>
      </c>
      <c r="Y44" s="2901">
        <v>45</v>
      </c>
      <c r="Z44" s="2901">
        <v>48</v>
      </c>
      <c r="AA44" s="2901">
        <v>52</v>
      </c>
      <c r="AB44" s="2901">
        <v>151</v>
      </c>
      <c r="AC44" s="2901">
        <v>113</v>
      </c>
      <c r="AD44" s="2901">
        <v>105</v>
      </c>
      <c r="AE44" s="2901">
        <v>123</v>
      </c>
      <c r="AF44" s="2901">
        <v>0</v>
      </c>
      <c r="AG44" s="2901">
        <v>128</v>
      </c>
      <c r="AH44" s="2901">
        <v>0</v>
      </c>
      <c r="AI44" s="2901">
        <v>0</v>
      </c>
      <c r="AJ44" s="2902">
        <f>+SUM(E44:AI44)</f>
        <v>969</v>
      </c>
      <c r="AK44" s="2790">
        <f t="shared" si="0"/>
        <v>387.6</v>
      </c>
      <c r="AL44" s="2921" t="s">
        <v>168</v>
      </c>
      <c r="AM44" s="2798"/>
      <c r="AO44" s="2793"/>
    </row>
    <row r="45" spans="1:44" ht="21.75" customHeight="1">
      <c r="A45" s="2922" t="s">
        <v>1862</v>
      </c>
      <c r="B45" s="2923"/>
      <c r="C45" s="2923"/>
      <c r="D45" s="2924"/>
      <c r="E45" s="2909">
        <f t="shared" ref="E45:AL45" si="2">SUM(E11:E44)</f>
        <v>1048</v>
      </c>
      <c r="F45" s="2909">
        <f t="shared" si="2"/>
        <v>1054</v>
      </c>
      <c r="G45" s="2909">
        <f t="shared" si="2"/>
        <v>1702</v>
      </c>
      <c r="H45" s="2909">
        <f t="shared" si="2"/>
        <v>1880</v>
      </c>
      <c r="I45" s="2909">
        <f t="shared" si="2"/>
        <v>1399</v>
      </c>
      <c r="J45" s="2909">
        <f t="shared" si="2"/>
        <v>1284</v>
      </c>
      <c r="K45" s="2909">
        <f t="shared" si="2"/>
        <v>1278</v>
      </c>
      <c r="L45" s="2909">
        <f t="shared" si="2"/>
        <v>2554</v>
      </c>
      <c r="M45" s="2909">
        <f t="shared" si="2"/>
        <v>1272</v>
      </c>
      <c r="N45" s="2909">
        <f t="shared" si="2"/>
        <v>973</v>
      </c>
      <c r="O45" s="2909">
        <f t="shared" si="2"/>
        <v>1749</v>
      </c>
      <c r="P45" s="2909">
        <f t="shared" si="2"/>
        <v>1983</v>
      </c>
      <c r="Q45" s="2909">
        <f t="shared" si="2"/>
        <v>1629</v>
      </c>
      <c r="R45" s="2909">
        <f t="shared" si="2"/>
        <v>1500</v>
      </c>
      <c r="S45" s="2909">
        <f t="shared" si="2"/>
        <v>1302</v>
      </c>
      <c r="T45" s="2909">
        <f t="shared" si="2"/>
        <v>2932</v>
      </c>
      <c r="U45" s="2909">
        <f t="shared" si="2"/>
        <v>789</v>
      </c>
      <c r="V45" s="2909">
        <f t="shared" si="2"/>
        <v>709</v>
      </c>
      <c r="W45" s="2909">
        <f t="shared" si="2"/>
        <v>783</v>
      </c>
      <c r="X45" s="2909">
        <f t="shared" si="2"/>
        <v>1595</v>
      </c>
      <c r="Y45" s="2909">
        <f t="shared" si="2"/>
        <v>1513</v>
      </c>
      <c r="Z45" s="2909">
        <f t="shared" si="2"/>
        <v>1248</v>
      </c>
      <c r="AA45" s="2909">
        <f t="shared" si="2"/>
        <v>770</v>
      </c>
      <c r="AB45" s="2909">
        <f t="shared" si="2"/>
        <v>1405</v>
      </c>
      <c r="AC45" s="2909">
        <f t="shared" si="2"/>
        <v>1429</v>
      </c>
      <c r="AD45" s="2909">
        <f t="shared" si="2"/>
        <v>1407</v>
      </c>
      <c r="AE45" s="2909">
        <f t="shared" si="2"/>
        <v>2231</v>
      </c>
      <c r="AF45" s="2909">
        <f t="shared" si="2"/>
        <v>2056</v>
      </c>
      <c r="AG45" s="2909">
        <f t="shared" si="2"/>
        <v>1555</v>
      </c>
      <c r="AH45" s="2909">
        <f t="shared" si="2"/>
        <v>1117</v>
      </c>
      <c r="AI45" s="2909">
        <f t="shared" si="2"/>
        <v>1814</v>
      </c>
      <c r="AJ45" s="2909">
        <f>SUM(AJ11:AJ44)</f>
        <v>45960</v>
      </c>
      <c r="AK45" s="2909">
        <f t="shared" si="2"/>
        <v>18384</v>
      </c>
      <c r="AL45" s="2801">
        <f t="shared" si="2"/>
        <v>0</v>
      </c>
      <c r="AM45" s="2802"/>
      <c r="AN45" s="2793">
        <f>+AJ45+AJ73</f>
        <v>77206</v>
      </c>
      <c r="AO45" s="2793" t="e">
        <f>+#REF!+#REF!</f>
        <v>#REF!</v>
      </c>
      <c r="AP45" s="2793">
        <f>+AK45+AK73</f>
        <v>30882.400000000005</v>
      </c>
      <c r="AQ45" s="2793" t="e">
        <f>+#REF!+#REF!</f>
        <v>#REF!</v>
      </c>
      <c r="AR45" s="2803">
        <f>+AL45+AL73</f>
        <v>0</v>
      </c>
    </row>
    <row r="46" spans="1:44" ht="21.75" customHeight="1">
      <c r="A46" s="2787">
        <v>1</v>
      </c>
      <c r="B46" s="2804" t="s">
        <v>1081</v>
      </c>
      <c r="C46" s="2804"/>
      <c r="D46" s="2804" t="s">
        <v>451</v>
      </c>
      <c r="E46" s="2790">
        <v>75</v>
      </c>
      <c r="F46" s="2790">
        <v>35</v>
      </c>
      <c r="G46" s="2790">
        <v>0</v>
      </c>
      <c r="H46" s="2790">
        <v>0</v>
      </c>
      <c r="I46" s="2790">
        <v>72</v>
      </c>
      <c r="J46" s="2790">
        <v>50</v>
      </c>
      <c r="K46" s="2790">
        <v>55</v>
      </c>
      <c r="L46" s="2790">
        <v>100</v>
      </c>
      <c r="M46" s="2790">
        <v>40</v>
      </c>
      <c r="N46" s="2790">
        <v>44</v>
      </c>
      <c r="O46" s="2790">
        <v>0</v>
      </c>
      <c r="P46" s="2790">
        <v>45</v>
      </c>
      <c r="Q46" s="2790">
        <v>56</v>
      </c>
      <c r="R46" s="2790">
        <v>60</v>
      </c>
      <c r="S46" s="2790">
        <v>0</v>
      </c>
      <c r="T46" s="2790">
        <v>41</v>
      </c>
      <c r="U46" s="2790">
        <v>58</v>
      </c>
      <c r="V46" s="2790">
        <v>66</v>
      </c>
      <c r="W46" s="2790">
        <v>115</v>
      </c>
      <c r="X46" s="2790">
        <v>0</v>
      </c>
      <c r="Y46" s="2790">
        <v>0</v>
      </c>
      <c r="Z46" s="2790">
        <v>0</v>
      </c>
      <c r="AA46" s="2790">
        <v>58</v>
      </c>
      <c r="AB46" s="2790">
        <v>58</v>
      </c>
      <c r="AC46" s="2790">
        <v>34</v>
      </c>
      <c r="AD46" s="2790">
        <v>73</v>
      </c>
      <c r="AE46" s="2790">
        <v>71</v>
      </c>
      <c r="AF46" s="2790">
        <v>45</v>
      </c>
      <c r="AG46" s="2790">
        <v>57</v>
      </c>
      <c r="AH46" s="2790">
        <v>46</v>
      </c>
      <c r="AI46" s="2790">
        <v>51</v>
      </c>
      <c r="AJ46" s="2790">
        <f>+SUM(E46:AI46)</f>
        <v>1405</v>
      </c>
      <c r="AK46" s="2790">
        <f t="shared" si="0"/>
        <v>562</v>
      </c>
      <c r="AL46" s="2805" t="s">
        <v>141</v>
      </c>
      <c r="AM46" s="2806"/>
      <c r="AN46">
        <f>191*0.5</f>
        <v>95.5</v>
      </c>
    </row>
    <row r="47" spans="1:44" ht="21.75" customHeight="1">
      <c r="A47" s="933">
        <v>2</v>
      </c>
      <c r="B47" s="2795" t="s">
        <v>1682</v>
      </c>
      <c r="C47" s="2795"/>
      <c r="D47" s="2795" t="s">
        <v>451</v>
      </c>
      <c r="E47" s="2796">
        <v>0</v>
      </c>
      <c r="F47" s="2796">
        <v>0</v>
      </c>
      <c r="G47" s="2796">
        <v>0</v>
      </c>
      <c r="H47" s="2796">
        <v>106</v>
      </c>
      <c r="I47" s="2796">
        <v>54</v>
      </c>
      <c r="J47" s="2796">
        <v>65</v>
      </c>
      <c r="K47" s="2796">
        <v>61</v>
      </c>
      <c r="L47" s="2796">
        <v>42</v>
      </c>
      <c r="M47" s="2796">
        <v>30</v>
      </c>
      <c r="N47" s="2796">
        <v>0</v>
      </c>
      <c r="O47" s="2796">
        <v>0</v>
      </c>
      <c r="P47" s="2796">
        <v>0</v>
      </c>
      <c r="Q47" s="2796">
        <v>40</v>
      </c>
      <c r="R47" s="2796">
        <v>0</v>
      </c>
      <c r="S47" s="2796">
        <v>0</v>
      </c>
      <c r="T47" s="2796">
        <v>0</v>
      </c>
      <c r="U47" s="2796">
        <v>68</v>
      </c>
      <c r="V47" s="2796">
        <v>91</v>
      </c>
      <c r="W47" s="2796">
        <v>60</v>
      </c>
      <c r="X47" s="2796">
        <v>0</v>
      </c>
      <c r="Y47" s="2796">
        <v>0</v>
      </c>
      <c r="Z47" s="2796">
        <v>41</v>
      </c>
      <c r="AA47" s="2796">
        <v>49</v>
      </c>
      <c r="AB47" s="2796">
        <v>48</v>
      </c>
      <c r="AC47" s="2796">
        <v>0</v>
      </c>
      <c r="AD47" s="2796">
        <v>64</v>
      </c>
      <c r="AE47" s="2796">
        <v>37</v>
      </c>
      <c r="AF47" s="2796">
        <v>86</v>
      </c>
      <c r="AG47" s="2796">
        <v>83</v>
      </c>
      <c r="AH47" s="2796">
        <v>76</v>
      </c>
      <c r="AI47" s="2796">
        <v>34</v>
      </c>
      <c r="AJ47" s="2790">
        <f>+SUM(E47:AI47)</f>
        <v>1135</v>
      </c>
      <c r="AK47" s="2790">
        <f t="shared" si="0"/>
        <v>454</v>
      </c>
      <c r="AL47" s="2797" t="s">
        <v>141</v>
      </c>
      <c r="AM47" s="2798"/>
    </row>
    <row r="48" spans="1:44" ht="21.75" customHeight="1">
      <c r="A48" s="2787">
        <v>3</v>
      </c>
      <c r="B48" s="2795" t="s">
        <v>1530</v>
      </c>
      <c r="C48" s="2795"/>
      <c r="D48" s="2804" t="s">
        <v>451</v>
      </c>
      <c r="E48" s="2796">
        <v>75</v>
      </c>
      <c r="F48" s="2796">
        <v>35</v>
      </c>
      <c r="G48" s="2796">
        <v>0</v>
      </c>
      <c r="H48" s="2796">
        <v>0</v>
      </c>
      <c r="I48" s="2796">
        <v>72</v>
      </c>
      <c r="J48" s="2796">
        <v>50</v>
      </c>
      <c r="K48" s="2796">
        <v>55</v>
      </c>
      <c r="L48" s="2796">
        <v>91</v>
      </c>
      <c r="M48" s="2796">
        <v>40</v>
      </c>
      <c r="N48" s="2796">
        <v>43</v>
      </c>
      <c r="O48" s="2796">
        <v>0</v>
      </c>
      <c r="P48" s="2796">
        <v>45</v>
      </c>
      <c r="Q48" s="2796">
        <v>0</v>
      </c>
      <c r="R48" s="2796">
        <v>60</v>
      </c>
      <c r="S48" s="2796">
        <v>0</v>
      </c>
      <c r="T48" s="2796">
        <v>41</v>
      </c>
      <c r="U48" s="2796">
        <v>68</v>
      </c>
      <c r="V48" s="2796">
        <v>66</v>
      </c>
      <c r="W48" s="2796">
        <v>116</v>
      </c>
      <c r="X48" s="2796">
        <v>0</v>
      </c>
      <c r="Y48" s="2796">
        <v>0</v>
      </c>
      <c r="Z48" s="2796">
        <v>0</v>
      </c>
      <c r="AA48" s="2796">
        <v>0</v>
      </c>
      <c r="AB48" s="2796">
        <v>58</v>
      </c>
      <c r="AC48" s="2796">
        <v>38</v>
      </c>
      <c r="AD48" s="2796">
        <v>72</v>
      </c>
      <c r="AE48" s="2796">
        <v>71</v>
      </c>
      <c r="AF48" s="2796">
        <v>43</v>
      </c>
      <c r="AG48" s="2796">
        <v>57</v>
      </c>
      <c r="AH48" s="2796">
        <v>45</v>
      </c>
      <c r="AI48" s="2796">
        <v>51</v>
      </c>
      <c r="AJ48" s="2790">
        <f t="shared" ref="AJ48:AJ71" si="3">+SUM(E48:AI48)</f>
        <v>1292</v>
      </c>
      <c r="AK48" s="2790">
        <f t="shared" si="0"/>
        <v>516.80000000000007</v>
      </c>
      <c r="AL48" s="2797" t="s">
        <v>141</v>
      </c>
      <c r="AM48" s="2798"/>
    </row>
    <row r="49" spans="1:39" ht="18.75">
      <c r="A49" s="933">
        <v>4</v>
      </c>
      <c r="B49" s="2795" t="s">
        <v>1243</v>
      </c>
      <c r="C49" s="2795"/>
      <c r="D49" s="2795" t="s">
        <v>451</v>
      </c>
      <c r="E49" s="2796">
        <v>53</v>
      </c>
      <c r="F49" s="2796">
        <v>0</v>
      </c>
      <c r="G49" s="2796">
        <v>0</v>
      </c>
      <c r="H49" s="2796">
        <v>0</v>
      </c>
      <c r="I49" s="2796">
        <v>0</v>
      </c>
      <c r="J49" s="2796">
        <v>65</v>
      </c>
      <c r="K49" s="2796">
        <v>0</v>
      </c>
      <c r="L49" s="2796">
        <v>86</v>
      </c>
      <c r="M49" s="2796">
        <v>37</v>
      </c>
      <c r="N49" s="2796">
        <v>0</v>
      </c>
      <c r="O49" s="2796">
        <v>0</v>
      </c>
      <c r="P49" s="2796">
        <v>0</v>
      </c>
      <c r="Q49" s="2796">
        <v>0</v>
      </c>
      <c r="R49" s="2796">
        <v>0</v>
      </c>
      <c r="S49" s="2796">
        <v>0</v>
      </c>
      <c r="T49" s="2796">
        <v>0</v>
      </c>
      <c r="U49" s="2796">
        <v>0</v>
      </c>
      <c r="V49" s="2796">
        <v>84</v>
      </c>
      <c r="W49" s="2796">
        <v>60</v>
      </c>
      <c r="X49" s="2796">
        <v>0</v>
      </c>
      <c r="Y49" s="2796">
        <v>0</v>
      </c>
      <c r="Z49" s="2796">
        <v>0</v>
      </c>
      <c r="AA49" s="2796">
        <v>0</v>
      </c>
      <c r="AB49" s="2796">
        <v>0</v>
      </c>
      <c r="AC49" s="2796">
        <v>58</v>
      </c>
      <c r="AD49" s="2796">
        <v>0</v>
      </c>
      <c r="AE49" s="2796">
        <v>0</v>
      </c>
      <c r="AF49" s="2796">
        <v>78</v>
      </c>
      <c r="AG49" s="2796">
        <v>0</v>
      </c>
      <c r="AH49" s="2796">
        <v>30</v>
      </c>
      <c r="AI49" s="2796">
        <v>35</v>
      </c>
      <c r="AJ49" s="2790">
        <f t="shared" si="3"/>
        <v>586</v>
      </c>
      <c r="AK49" s="2790">
        <f t="shared" si="0"/>
        <v>234.4</v>
      </c>
      <c r="AL49" s="2797" t="s">
        <v>141</v>
      </c>
      <c r="AM49" s="2798"/>
    </row>
    <row r="50" spans="1:39" ht="18.75">
      <c r="A50" s="2787">
        <v>5</v>
      </c>
      <c r="B50" s="2795" t="s">
        <v>1342</v>
      </c>
      <c r="C50" s="2795"/>
      <c r="D50" s="2804" t="s">
        <v>451</v>
      </c>
      <c r="E50" s="2796">
        <v>0</v>
      </c>
      <c r="F50" s="2796">
        <v>0</v>
      </c>
      <c r="G50" s="2796">
        <v>0</v>
      </c>
      <c r="H50" s="2796">
        <v>0</v>
      </c>
      <c r="I50" s="2796">
        <v>214</v>
      </c>
      <c r="J50" s="2796">
        <v>157</v>
      </c>
      <c r="K50" s="2796">
        <v>172</v>
      </c>
      <c r="L50" s="2796">
        <v>0</v>
      </c>
      <c r="M50" s="2796">
        <v>0</v>
      </c>
      <c r="N50" s="2796">
        <v>238</v>
      </c>
      <c r="O50" s="2796">
        <v>0</v>
      </c>
      <c r="P50" s="2796">
        <v>0</v>
      </c>
      <c r="Q50" s="2796">
        <v>0</v>
      </c>
      <c r="R50" s="2796">
        <v>184</v>
      </c>
      <c r="S50" s="2796">
        <v>0</v>
      </c>
      <c r="T50" s="2796">
        <v>242</v>
      </c>
      <c r="U50" s="2796">
        <v>0</v>
      </c>
      <c r="V50" s="2796">
        <v>0</v>
      </c>
      <c r="W50" s="2796">
        <v>0</v>
      </c>
      <c r="X50" s="2796">
        <v>182</v>
      </c>
      <c r="Y50" s="2796">
        <v>0</v>
      </c>
      <c r="Z50" s="2796">
        <v>0</v>
      </c>
      <c r="AA50" s="2796">
        <v>0</v>
      </c>
      <c r="AB50" s="2796">
        <v>0</v>
      </c>
      <c r="AC50" s="2796">
        <v>0</v>
      </c>
      <c r="AD50" s="2796">
        <v>256</v>
      </c>
      <c r="AE50" s="2796">
        <v>141</v>
      </c>
      <c r="AF50" s="2796">
        <v>0</v>
      </c>
      <c r="AG50" s="2796">
        <v>190</v>
      </c>
      <c r="AH50" s="2796">
        <v>0</v>
      </c>
      <c r="AI50" s="2796">
        <v>0</v>
      </c>
      <c r="AJ50" s="2790">
        <f t="shared" si="3"/>
        <v>1976</v>
      </c>
      <c r="AK50" s="2790">
        <f t="shared" si="0"/>
        <v>790.40000000000009</v>
      </c>
      <c r="AL50" s="2797" t="s">
        <v>141</v>
      </c>
      <c r="AM50" s="2798"/>
    </row>
    <row r="51" spans="1:39" ht="18.75">
      <c r="A51" s="933">
        <v>6</v>
      </c>
      <c r="B51" s="2795" t="s">
        <v>1179</v>
      </c>
      <c r="C51" s="2795"/>
      <c r="D51" s="2795" t="s">
        <v>451</v>
      </c>
      <c r="E51" s="2796">
        <v>133</v>
      </c>
      <c r="F51" s="2796">
        <v>44</v>
      </c>
      <c r="G51" s="2796">
        <v>0</v>
      </c>
      <c r="H51" s="2796">
        <v>185</v>
      </c>
      <c r="I51" s="2796">
        <v>30</v>
      </c>
      <c r="J51" s="2796">
        <v>0</v>
      </c>
      <c r="K51" s="2796">
        <v>68</v>
      </c>
      <c r="L51" s="2796">
        <v>104</v>
      </c>
      <c r="M51" s="2796">
        <v>71</v>
      </c>
      <c r="N51" s="2796">
        <v>0</v>
      </c>
      <c r="O51" s="2796">
        <v>0</v>
      </c>
      <c r="P51" s="2796">
        <v>108</v>
      </c>
      <c r="Q51" s="2796">
        <v>0</v>
      </c>
      <c r="R51" s="2796">
        <v>57</v>
      </c>
      <c r="S51" s="2796">
        <v>0</v>
      </c>
      <c r="T51" s="2796">
        <v>93</v>
      </c>
      <c r="U51" s="2796">
        <v>143</v>
      </c>
      <c r="V51" s="2796">
        <v>53</v>
      </c>
      <c r="W51" s="2796">
        <v>127</v>
      </c>
      <c r="X51" s="2796">
        <v>0</v>
      </c>
      <c r="Y51" s="2796">
        <v>101</v>
      </c>
      <c r="Z51" s="2796">
        <v>0</v>
      </c>
      <c r="AA51" s="2796">
        <v>0</v>
      </c>
      <c r="AB51" s="2796">
        <v>146</v>
      </c>
      <c r="AC51" s="2796">
        <v>101</v>
      </c>
      <c r="AD51" s="2796">
        <v>0</v>
      </c>
      <c r="AE51" s="2796">
        <v>100</v>
      </c>
      <c r="AF51" s="2796">
        <v>106</v>
      </c>
      <c r="AG51" s="2796">
        <v>117</v>
      </c>
      <c r="AH51" s="2796">
        <v>154</v>
      </c>
      <c r="AI51" s="2796">
        <v>167</v>
      </c>
      <c r="AJ51" s="2790">
        <f t="shared" si="3"/>
        <v>2208</v>
      </c>
      <c r="AK51" s="2790">
        <f t="shared" si="0"/>
        <v>883.2</v>
      </c>
      <c r="AL51" s="2797" t="s">
        <v>141</v>
      </c>
      <c r="AM51" s="2798"/>
    </row>
    <row r="52" spans="1:39" ht="18.75">
      <c r="A52" s="2787">
        <v>7</v>
      </c>
      <c r="B52" s="2795" t="s">
        <v>1560</v>
      </c>
      <c r="C52" s="2795"/>
      <c r="D52" s="2804" t="s">
        <v>451</v>
      </c>
      <c r="E52" s="2796">
        <v>135</v>
      </c>
      <c r="F52" s="2796">
        <v>213</v>
      </c>
      <c r="G52" s="2796">
        <v>95</v>
      </c>
      <c r="H52" s="2796">
        <v>157</v>
      </c>
      <c r="I52" s="2796">
        <v>169</v>
      </c>
      <c r="J52" s="2796">
        <v>0</v>
      </c>
      <c r="K52" s="2796">
        <v>65</v>
      </c>
      <c r="L52" s="2796">
        <v>100</v>
      </c>
      <c r="M52" s="2796">
        <v>175</v>
      </c>
      <c r="N52" s="2796">
        <v>227</v>
      </c>
      <c r="O52" s="2796">
        <v>83</v>
      </c>
      <c r="P52" s="2796">
        <v>200</v>
      </c>
      <c r="Q52" s="2796">
        <v>266</v>
      </c>
      <c r="R52" s="2796">
        <v>254</v>
      </c>
      <c r="S52" s="2796">
        <v>100</v>
      </c>
      <c r="T52" s="2796">
        <v>102</v>
      </c>
      <c r="U52" s="2796">
        <v>100</v>
      </c>
      <c r="V52" s="2796">
        <v>104</v>
      </c>
      <c r="W52" s="2796">
        <v>23</v>
      </c>
      <c r="X52" s="2796">
        <v>0</v>
      </c>
      <c r="Y52" s="2796">
        <v>100</v>
      </c>
      <c r="Z52" s="2796">
        <v>91</v>
      </c>
      <c r="AA52" s="2796">
        <v>39</v>
      </c>
      <c r="AB52" s="2796">
        <v>140</v>
      </c>
      <c r="AC52" s="2796">
        <v>108</v>
      </c>
      <c r="AD52" s="2796">
        <v>113</v>
      </c>
      <c r="AE52" s="2796">
        <v>93</v>
      </c>
      <c r="AF52" s="2796">
        <v>95</v>
      </c>
      <c r="AG52" s="2796">
        <v>158</v>
      </c>
      <c r="AH52" s="2796">
        <v>211</v>
      </c>
      <c r="AI52" s="2796">
        <v>108</v>
      </c>
      <c r="AJ52" s="2790">
        <f t="shared" si="3"/>
        <v>3824</v>
      </c>
      <c r="AK52" s="2790">
        <f t="shared" si="0"/>
        <v>1529.6000000000001</v>
      </c>
      <c r="AL52" s="2797" t="s">
        <v>141</v>
      </c>
      <c r="AM52" s="2798"/>
    </row>
    <row r="53" spans="1:39" ht="18.75">
      <c r="A53" s="933">
        <v>8</v>
      </c>
      <c r="B53" s="2795" t="s">
        <v>1561</v>
      </c>
      <c r="C53" s="2795"/>
      <c r="D53" s="2795" t="s">
        <v>451</v>
      </c>
      <c r="E53" s="2796">
        <v>135</v>
      </c>
      <c r="F53" s="2796">
        <v>213</v>
      </c>
      <c r="G53" s="2796">
        <v>95</v>
      </c>
      <c r="H53" s="2796">
        <v>157</v>
      </c>
      <c r="I53" s="2796">
        <v>169</v>
      </c>
      <c r="J53" s="2796">
        <v>0</v>
      </c>
      <c r="K53" s="2796">
        <v>65</v>
      </c>
      <c r="L53" s="2796">
        <v>95</v>
      </c>
      <c r="M53" s="2796">
        <v>175</v>
      </c>
      <c r="N53" s="2796">
        <v>227</v>
      </c>
      <c r="O53" s="2796">
        <v>83</v>
      </c>
      <c r="P53" s="2796">
        <v>163</v>
      </c>
      <c r="Q53" s="2796">
        <v>150</v>
      </c>
      <c r="R53" s="2796">
        <v>254</v>
      </c>
      <c r="S53" s="2796">
        <v>92</v>
      </c>
      <c r="T53" s="2796">
        <v>102</v>
      </c>
      <c r="U53" s="2796">
        <v>94</v>
      </c>
      <c r="V53" s="2796">
        <v>104</v>
      </c>
      <c r="W53" s="2796">
        <v>0</v>
      </c>
      <c r="X53" s="2796">
        <v>0</v>
      </c>
      <c r="Y53" s="2796">
        <v>94</v>
      </c>
      <c r="Z53" s="2796">
        <v>91</v>
      </c>
      <c r="AA53" s="2796">
        <v>0</v>
      </c>
      <c r="AB53" s="2796">
        <v>145</v>
      </c>
      <c r="AC53" s="2796">
        <v>108</v>
      </c>
      <c r="AD53" s="2796">
        <v>113</v>
      </c>
      <c r="AE53" s="2796">
        <v>0</v>
      </c>
      <c r="AF53" s="2796">
        <v>95</v>
      </c>
      <c r="AG53" s="2796">
        <v>158</v>
      </c>
      <c r="AH53" s="2796">
        <v>211</v>
      </c>
      <c r="AI53" s="2796">
        <v>108</v>
      </c>
      <c r="AJ53" s="2790">
        <f t="shared" si="3"/>
        <v>3496</v>
      </c>
      <c r="AK53" s="2790">
        <f t="shared" si="0"/>
        <v>1398.4</v>
      </c>
      <c r="AL53" s="2797" t="s">
        <v>141</v>
      </c>
      <c r="AM53" s="2798"/>
    </row>
    <row r="54" spans="1:39" ht="18.75">
      <c r="A54" s="2787">
        <v>9</v>
      </c>
      <c r="B54" s="2795" t="s">
        <v>1683</v>
      </c>
      <c r="C54" s="2795"/>
      <c r="D54" s="2804" t="s">
        <v>451</v>
      </c>
      <c r="E54" s="2796">
        <v>0</v>
      </c>
      <c r="F54" s="2796">
        <v>0</v>
      </c>
      <c r="G54" s="2796">
        <v>0</v>
      </c>
      <c r="H54" s="2796">
        <v>71</v>
      </c>
      <c r="I54" s="2796">
        <v>90</v>
      </c>
      <c r="J54" s="2796">
        <v>0</v>
      </c>
      <c r="K54" s="2796">
        <v>0</v>
      </c>
      <c r="L54" s="2796">
        <v>123</v>
      </c>
      <c r="M54" s="2796">
        <v>59</v>
      </c>
      <c r="N54" s="2796">
        <v>0</v>
      </c>
      <c r="O54" s="2796">
        <v>0</v>
      </c>
      <c r="P54" s="2796">
        <v>80</v>
      </c>
      <c r="Q54" s="2796">
        <v>0</v>
      </c>
      <c r="R54" s="2796">
        <v>37</v>
      </c>
      <c r="S54" s="2796">
        <v>52</v>
      </c>
      <c r="T54" s="2796">
        <v>133</v>
      </c>
      <c r="U54" s="2796">
        <v>90</v>
      </c>
      <c r="V54" s="2796">
        <v>0</v>
      </c>
      <c r="W54" s="2796">
        <v>0</v>
      </c>
      <c r="X54" s="2796">
        <v>86</v>
      </c>
      <c r="Y54" s="2796">
        <v>112</v>
      </c>
      <c r="Z54" s="2796">
        <v>0</v>
      </c>
      <c r="AA54" s="2796">
        <v>0</v>
      </c>
      <c r="AB54" s="2796">
        <v>155</v>
      </c>
      <c r="AC54" s="2796">
        <v>69</v>
      </c>
      <c r="AD54" s="2796">
        <v>0</v>
      </c>
      <c r="AE54" s="2796">
        <v>0</v>
      </c>
      <c r="AF54" s="2796">
        <v>225</v>
      </c>
      <c r="AG54" s="2796">
        <v>113</v>
      </c>
      <c r="AH54" s="2796">
        <v>122</v>
      </c>
      <c r="AI54" s="2796">
        <v>75</v>
      </c>
      <c r="AJ54" s="2790">
        <f t="shared" si="3"/>
        <v>1692</v>
      </c>
      <c r="AK54" s="2790">
        <f t="shared" si="0"/>
        <v>676.80000000000007</v>
      </c>
      <c r="AL54" s="2797" t="s">
        <v>138</v>
      </c>
      <c r="AM54" s="2798"/>
    </row>
    <row r="55" spans="1:39" ht="18.75">
      <c r="A55" s="933">
        <v>10</v>
      </c>
      <c r="B55" s="2795" t="s">
        <v>1307</v>
      </c>
      <c r="C55" s="2795"/>
      <c r="D55" s="2795" t="s">
        <v>451</v>
      </c>
      <c r="E55" s="2796">
        <v>45</v>
      </c>
      <c r="F55" s="2796">
        <v>68</v>
      </c>
      <c r="G55" s="2796">
        <v>80</v>
      </c>
      <c r="H55" s="2796">
        <v>0</v>
      </c>
      <c r="I55" s="2796">
        <v>72</v>
      </c>
      <c r="J55" s="2796">
        <v>58</v>
      </c>
      <c r="K55" s="2796">
        <v>95</v>
      </c>
      <c r="L55" s="2796">
        <v>0</v>
      </c>
      <c r="M55" s="2796">
        <v>73</v>
      </c>
      <c r="N55" s="2796">
        <v>56</v>
      </c>
      <c r="O55" s="2796">
        <v>52</v>
      </c>
      <c r="P55" s="2796">
        <v>47</v>
      </c>
      <c r="Q55" s="2796">
        <v>30</v>
      </c>
      <c r="R55" s="2796">
        <v>97</v>
      </c>
      <c r="S55" s="2796">
        <v>51</v>
      </c>
      <c r="T55" s="2796">
        <v>59</v>
      </c>
      <c r="U55" s="2796">
        <v>0</v>
      </c>
      <c r="V55" s="2796">
        <v>56</v>
      </c>
      <c r="W55" s="2796">
        <v>47</v>
      </c>
      <c r="X55" s="2796">
        <v>60</v>
      </c>
      <c r="Y55" s="2796">
        <v>0</v>
      </c>
      <c r="Z55" s="2796">
        <v>70</v>
      </c>
      <c r="AA55" s="2796">
        <v>70</v>
      </c>
      <c r="AB55" s="2796">
        <v>0</v>
      </c>
      <c r="AC55" s="2796">
        <v>108</v>
      </c>
      <c r="AD55" s="2796">
        <v>0</v>
      </c>
      <c r="AE55" s="2796">
        <v>100</v>
      </c>
      <c r="AF55" s="2796">
        <v>54</v>
      </c>
      <c r="AG55" s="2796">
        <v>159</v>
      </c>
      <c r="AH55" s="2796">
        <v>211</v>
      </c>
      <c r="AI55" s="2796">
        <v>109</v>
      </c>
      <c r="AJ55" s="2790">
        <f t="shared" si="3"/>
        <v>1927</v>
      </c>
      <c r="AK55" s="2790">
        <f t="shared" si="0"/>
        <v>770.80000000000007</v>
      </c>
      <c r="AL55" s="2797" t="s">
        <v>141</v>
      </c>
      <c r="AM55" s="2798"/>
    </row>
    <row r="56" spans="1:39" ht="18.75">
      <c r="A56" s="2787">
        <v>11</v>
      </c>
      <c r="B56" s="2795" t="s">
        <v>1177</v>
      </c>
      <c r="C56" s="2795"/>
      <c r="D56" s="2804" t="s">
        <v>451</v>
      </c>
      <c r="E56" s="2796">
        <v>0</v>
      </c>
      <c r="F56" s="2796">
        <v>0</v>
      </c>
      <c r="G56" s="2796">
        <v>0</v>
      </c>
      <c r="H56" s="2796">
        <v>68</v>
      </c>
      <c r="I56" s="2796">
        <v>0</v>
      </c>
      <c r="J56" s="2796">
        <v>0</v>
      </c>
      <c r="K56" s="2796">
        <v>0</v>
      </c>
      <c r="L56" s="2796">
        <v>0</v>
      </c>
      <c r="M56" s="2796">
        <v>0</v>
      </c>
      <c r="N56" s="2796">
        <v>32</v>
      </c>
      <c r="O56" s="2796">
        <v>0</v>
      </c>
      <c r="P56" s="2796">
        <v>0</v>
      </c>
      <c r="Q56" s="2796">
        <v>0</v>
      </c>
      <c r="R56" s="2796">
        <v>0</v>
      </c>
      <c r="S56" s="2796">
        <v>0</v>
      </c>
      <c r="T56" s="2796">
        <v>97</v>
      </c>
      <c r="U56" s="2796">
        <v>0</v>
      </c>
      <c r="V56" s="2796">
        <v>0</v>
      </c>
      <c r="W56" s="2796">
        <v>109</v>
      </c>
      <c r="X56" s="2796">
        <v>0</v>
      </c>
      <c r="Y56" s="2796">
        <v>0</v>
      </c>
      <c r="Z56" s="2796">
        <v>0</v>
      </c>
      <c r="AA56" s="2796">
        <v>114</v>
      </c>
      <c r="AB56" s="2796">
        <v>0</v>
      </c>
      <c r="AC56" s="2796">
        <v>0</v>
      </c>
      <c r="AD56" s="2796">
        <v>114</v>
      </c>
      <c r="AE56" s="2796">
        <v>104</v>
      </c>
      <c r="AF56" s="2796">
        <v>0</v>
      </c>
      <c r="AG56" s="2796">
        <v>0</v>
      </c>
      <c r="AH56" s="2796">
        <v>49</v>
      </c>
      <c r="AI56" s="2796">
        <v>42</v>
      </c>
      <c r="AJ56" s="2790">
        <f t="shared" si="3"/>
        <v>729</v>
      </c>
      <c r="AK56" s="2790">
        <f t="shared" si="0"/>
        <v>291.60000000000002</v>
      </c>
      <c r="AL56" s="2797" t="s">
        <v>138</v>
      </c>
      <c r="AM56" s="2798"/>
    </row>
    <row r="57" spans="1:39" ht="18.75">
      <c r="A57" s="933">
        <v>12</v>
      </c>
      <c r="B57" s="2795" t="s">
        <v>1272</v>
      </c>
      <c r="C57" s="2795"/>
      <c r="D57" s="2795" t="s">
        <v>451</v>
      </c>
      <c r="E57" s="2796">
        <v>0</v>
      </c>
      <c r="F57" s="2796">
        <v>0</v>
      </c>
      <c r="G57" s="2796">
        <v>0</v>
      </c>
      <c r="H57" s="2796">
        <v>0</v>
      </c>
      <c r="I57" s="2796">
        <v>0</v>
      </c>
      <c r="J57" s="2796">
        <v>0</v>
      </c>
      <c r="K57" s="2796">
        <v>0</v>
      </c>
      <c r="L57" s="2796">
        <v>0</v>
      </c>
      <c r="M57" s="2796">
        <v>0</v>
      </c>
      <c r="N57" s="2796">
        <v>0</v>
      </c>
      <c r="O57" s="2796">
        <v>0</v>
      </c>
      <c r="P57" s="2796">
        <v>0</v>
      </c>
      <c r="Q57" s="2796">
        <v>119</v>
      </c>
      <c r="R57" s="2796">
        <v>0</v>
      </c>
      <c r="S57" s="2796">
        <v>55</v>
      </c>
      <c r="T57" s="2796">
        <v>90</v>
      </c>
      <c r="U57" s="2796">
        <v>0</v>
      </c>
      <c r="V57" s="2796">
        <v>0</v>
      </c>
      <c r="W57" s="2796">
        <v>0</v>
      </c>
      <c r="X57" s="2796">
        <v>0</v>
      </c>
      <c r="Y57" s="2796">
        <v>0</v>
      </c>
      <c r="Z57" s="2796">
        <v>114</v>
      </c>
      <c r="AA57" s="2796">
        <v>0</v>
      </c>
      <c r="AB57" s="2796">
        <v>0</v>
      </c>
      <c r="AC57" s="2796">
        <v>0</v>
      </c>
      <c r="AD57" s="2796">
        <v>0</v>
      </c>
      <c r="AE57" s="2796">
        <v>0</v>
      </c>
      <c r="AF57" s="2796">
        <v>174</v>
      </c>
      <c r="AG57" s="2796">
        <v>154</v>
      </c>
      <c r="AH57" s="2796">
        <v>0</v>
      </c>
      <c r="AI57" s="2796">
        <v>299</v>
      </c>
      <c r="AJ57" s="2790">
        <f t="shared" si="3"/>
        <v>1005</v>
      </c>
      <c r="AK57" s="2790">
        <f t="shared" si="0"/>
        <v>402</v>
      </c>
      <c r="AL57" s="2797" t="s">
        <v>138</v>
      </c>
      <c r="AM57" s="2798"/>
    </row>
    <row r="58" spans="1:39" ht="18.75">
      <c r="A58" s="2787">
        <v>13</v>
      </c>
      <c r="B58" s="2795" t="s">
        <v>1562</v>
      </c>
      <c r="C58" s="2795"/>
      <c r="D58" s="2804" t="s">
        <v>451</v>
      </c>
      <c r="E58" s="2796">
        <v>0</v>
      </c>
      <c r="F58" s="2796">
        <v>0</v>
      </c>
      <c r="G58" s="2796">
        <v>0</v>
      </c>
      <c r="H58" s="2796">
        <v>65</v>
      </c>
      <c r="I58" s="2796">
        <v>0</v>
      </c>
      <c r="J58" s="2796">
        <v>0</v>
      </c>
      <c r="K58" s="2796">
        <v>0</v>
      </c>
      <c r="L58" s="2796">
        <v>0</v>
      </c>
      <c r="M58" s="2796">
        <v>0</v>
      </c>
      <c r="N58" s="2796">
        <v>0</v>
      </c>
      <c r="O58" s="2796">
        <v>0</v>
      </c>
      <c r="P58" s="2796">
        <v>0</v>
      </c>
      <c r="Q58" s="2796">
        <v>0</v>
      </c>
      <c r="R58" s="2796">
        <v>0</v>
      </c>
      <c r="S58" s="2796">
        <v>58</v>
      </c>
      <c r="T58" s="2796">
        <v>107</v>
      </c>
      <c r="U58" s="2796">
        <v>0</v>
      </c>
      <c r="V58" s="2796">
        <v>65</v>
      </c>
      <c r="W58" s="2796">
        <v>0</v>
      </c>
      <c r="X58" s="2796">
        <v>54</v>
      </c>
      <c r="Y58" s="2796">
        <v>56</v>
      </c>
      <c r="Z58" s="2796">
        <v>0</v>
      </c>
      <c r="AA58" s="2796">
        <v>0</v>
      </c>
      <c r="AB58" s="2796">
        <v>0</v>
      </c>
      <c r="AC58" s="2796">
        <v>0</v>
      </c>
      <c r="AD58" s="2796">
        <v>35</v>
      </c>
      <c r="AE58" s="2796">
        <v>0</v>
      </c>
      <c r="AF58" s="2796">
        <v>0</v>
      </c>
      <c r="AG58" s="2796">
        <v>0</v>
      </c>
      <c r="AH58" s="2796">
        <v>0</v>
      </c>
      <c r="AI58" s="2796">
        <v>0</v>
      </c>
      <c r="AJ58" s="2790">
        <f t="shared" si="3"/>
        <v>440</v>
      </c>
      <c r="AK58" s="2790">
        <f t="shared" si="0"/>
        <v>176</v>
      </c>
      <c r="AL58" s="2797" t="s">
        <v>138</v>
      </c>
      <c r="AM58" s="2798"/>
    </row>
    <row r="59" spans="1:39" ht="18.75">
      <c r="A59" s="933">
        <v>14</v>
      </c>
      <c r="B59" s="2795" t="s">
        <v>1563</v>
      </c>
      <c r="C59" s="2795"/>
      <c r="D59" s="2795" t="s">
        <v>451</v>
      </c>
      <c r="E59" s="2796">
        <v>0</v>
      </c>
      <c r="F59" s="2796">
        <v>0</v>
      </c>
      <c r="G59" s="2796">
        <v>0</v>
      </c>
      <c r="H59" s="2796">
        <v>62</v>
      </c>
      <c r="I59" s="2796">
        <v>0</v>
      </c>
      <c r="J59" s="2796">
        <v>0</v>
      </c>
      <c r="K59" s="2796">
        <v>37</v>
      </c>
      <c r="L59" s="2796">
        <v>28</v>
      </c>
      <c r="M59" s="2796">
        <v>41</v>
      </c>
      <c r="N59" s="2796">
        <v>0</v>
      </c>
      <c r="O59" s="2796">
        <v>0</v>
      </c>
      <c r="P59" s="2796">
        <v>0</v>
      </c>
      <c r="Q59" s="2796">
        <v>0</v>
      </c>
      <c r="R59" s="2796">
        <v>0</v>
      </c>
      <c r="S59" s="2796">
        <v>0</v>
      </c>
      <c r="T59" s="2796">
        <v>0</v>
      </c>
      <c r="U59" s="2796">
        <v>0</v>
      </c>
      <c r="V59" s="2796">
        <v>0</v>
      </c>
      <c r="W59" s="2796">
        <v>40</v>
      </c>
      <c r="X59" s="2796">
        <v>0</v>
      </c>
      <c r="Y59" s="2796">
        <v>0</v>
      </c>
      <c r="Z59" s="2796">
        <v>32</v>
      </c>
      <c r="AA59" s="2796">
        <v>0</v>
      </c>
      <c r="AB59" s="2796">
        <v>55</v>
      </c>
      <c r="AC59" s="2796">
        <v>78</v>
      </c>
      <c r="AD59" s="2796">
        <v>45</v>
      </c>
      <c r="AE59" s="2796">
        <v>69</v>
      </c>
      <c r="AF59" s="2796">
        <v>43</v>
      </c>
      <c r="AG59" s="2796">
        <v>98</v>
      </c>
      <c r="AH59" s="2796">
        <v>78</v>
      </c>
      <c r="AI59" s="2796">
        <v>56</v>
      </c>
      <c r="AJ59" s="2790">
        <f t="shared" si="3"/>
        <v>762</v>
      </c>
      <c r="AK59" s="2790">
        <f t="shared" si="0"/>
        <v>304.8</v>
      </c>
      <c r="AL59" s="2797" t="s">
        <v>138</v>
      </c>
      <c r="AM59" s="2798"/>
    </row>
    <row r="60" spans="1:39" ht="18.75">
      <c r="A60" s="2787">
        <v>15</v>
      </c>
      <c r="B60" s="2795" t="s">
        <v>1684</v>
      </c>
      <c r="C60" s="2795"/>
      <c r="D60" s="2804" t="s">
        <v>451</v>
      </c>
      <c r="E60" s="2796">
        <v>0</v>
      </c>
      <c r="F60" s="2796">
        <v>0</v>
      </c>
      <c r="G60" s="2796">
        <v>0</v>
      </c>
      <c r="H60" s="2796">
        <v>0</v>
      </c>
      <c r="I60" s="2796">
        <v>0</v>
      </c>
      <c r="J60" s="2796">
        <v>0</v>
      </c>
      <c r="K60" s="2796">
        <v>0</v>
      </c>
      <c r="L60" s="2796">
        <v>0</v>
      </c>
      <c r="M60" s="2796">
        <v>0</v>
      </c>
      <c r="N60" s="2796">
        <v>0</v>
      </c>
      <c r="O60" s="2796">
        <v>0</v>
      </c>
      <c r="P60" s="2796">
        <v>0</v>
      </c>
      <c r="Q60" s="2796">
        <v>0</v>
      </c>
      <c r="R60" s="2796">
        <v>0</v>
      </c>
      <c r="S60" s="2796">
        <v>0</v>
      </c>
      <c r="T60" s="2796">
        <v>0</v>
      </c>
      <c r="U60" s="2796">
        <v>0</v>
      </c>
      <c r="V60" s="2796">
        <v>0</v>
      </c>
      <c r="W60" s="2796">
        <v>0</v>
      </c>
      <c r="X60" s="2796">
        <v>0</v>
      </c>
      <c r="Y60" s="2796">
        <v>0</v>
      </c>
      <c r="Z60" s="2796">
        <v>0</v>
      </c>
      <c r="AA60" s="2796">
        <v>0</v>
      </c>
      <c r="AB60" s="2796">
        <v>0</v>
      </c>
      <c r="AC60" s="2796">
        <v>0</v>
      </c>
      <c r="AD60" s="2796">
        <v>0</v>
      </c>
      <c r="AE60" s="2796">
        <v>0</v>
      </c>
      <c r="AF60" s="2796">
        <v>150</v>
      </c>
      <c r="AG60" s="2796">
        <v>203</v>
      </c>
      <c r="AH60" s="2796">
        <v>0</v>
      </c>
      <c r="AI60" s="2796">
        <v>0</v>
      </c>
      <c r="AJ60" s="2790">
        <f t="shared" si="3"/>
        <v>353</v>
      </c>
      <c r="AK60" s="2790">
        <f t="shared" si="0"/>
        <v>141.20000000000002</v>
      </c>
      <c r="AL60" s="2797" t="s">
        <v>138</v>
      </c>
      <c r="AM60" s="2798"/>
    </row>
    <row r="61" spans="1:39" ht="18.75">
      <c r="A61" s="933">
        <v>16</v>
      </c>
      <c r="B61" s="2795" t="s">
        <v>1564</v>
      </c>
      <c r="C61" s="2795"/>
      <c r="D61" s="2795" t="s">
        <v>451</v>
      </c>
      <c r="E61" s="2796">
        <v>0</v>
      </c>
      <c r="F61" s="2796">
        <v>0</v>
      </c>
      <c r="G61" s="2796">
        <v>0</v>
      </c>
      <c r="H61" s="2796">
        <v>55</v>
      </c>
      <c r="I61" s="2796">
        <v>46</v>
      </c>
      <c r="J61" s="2796">
        <v>0</v>
      </c>
      <c r="K61" s="2796">
        <v>37</v>
      </c>
      <c r="L61" s="2796">
        <v>49</v>
      </c>
      <c r="M61" s="2796">
        <v>23</v>
      </c>
      <c r="N61" s="2796">
        <v>70</v>
      </c>
      <c r="O61" s="2796">
        <v>0</v>
      </c>
      <c r="P61" s="2796">
        <v>28</v>
      </c>
      <c r="Q61" s="2796">
        <v>29</v>
      </c>
      <c r="R61" s="2796">
        <v>92</v>
      </c>
      <c r="S61" s="2796">
        <v>0</v>
      </c>
      <c r="T61" s="2796">
        <v>0</v>
      </c>
      <c r="U61" s="2796">
        <v>26</v>
      </c>
      <c r="V61" s="2796">
        <v>0</v>
      </c>
      <c r="W61" s="2796">
        <v>97</v>
      </c>
      <c r="X61" s="2796">
        <v>70</v>
      </c>
      <c r="Y61" s="2796">
        <v>80</v>
      </c>
      <c r="Z61" s="2796">
        <v>134</v>
      </c>
      <c r="AA61" s="2796">
        <v>39</v>
      </c>
      <c r="AB61" s="2796">
        <v>143</v>
      </c>
      <c r="AC61" s="2796">
        <v>125</v>
      </c>
      <c r="AD61" s="2796">
        <v>125</v>
      </c>
      <c r="AE61" s="2796">
        <v>42</v>
      </c>
      <c r="AF61" s="2796">
        <v>116</v>
      </c>
      <c r="AG61" s="2796">
        <v>78</v>
      </c>
      <c r="AH61" s="2796">
        <v>125</v>
      </c>
      <c r="AI61" s="2796">
        <v>81</v>
      </c>
      <c r="AJ61" s="2790">
        <f t="shared" si="3"/>
        <v>1710</v>
      </c>
      <c r="AK61" s="2790">
        <f t="shared" si="0"/>
        <v>684</v>
      </c>
      <c r="AL61" s="2797" t="s">
        <v>138</v>
      </c>
      <c r="AM61" s="2798"/>
    </row>
    <row r="62" spans="1:39" ht="18.75">
      <c r="A62" s="2787">
        <v>17</v>
      </c>
      <c r="B62" s="2795" t="s">
        <v>1685</v>
      </c>
      <c r="C62" s="2795"/>
      <c r="D62" s="2804" t="s">
        <v>451</v>
      </c>
      <c r="E62" s="2796">
        <v>0</v>
      </c>
      <c r="F62" s="2796">
        <v>0</v>
      </c>
      <c r="G62" s="2796">
        <v>0</v>
      </c>
      <c r="H62" s="2796">
        <v>0</v>
      </c>
      <c r="I62" s="2796">
        <v>0</v>
      </c>
      <c r="J62" s="2796">
        <v>75</v>
      </c>
      <c r="K62" s="2796">
        <v>0</v>
      </c>
      <c r="L62" s="2796">
        <v>0</v>
      </c>
      <c r="M62" s="2796">
        <v>0</v>
      </c>
      <c r="N62" s="2796">
        <v>49</v>
      </c>
      <c r="O62" s="2796">
        <v>0</v>
      </c>
      <c r="P62" s="2796">
        <v>0</v>
      </c>
      <c r="Q62" s="2796">
        <v>0</v>
      </c>
      <c r="R62" s="2796">
        <v>0</v>
      </c>
      <c r="S62" s="2796">
        <v>46</v>
      </c>
      <c r="T62" s="2796">
        <v>27</v>
      </c>
      <c r="U62" s="2796">
        <v>0</v>
      </c>
      <c r="V62" s="2796">
        <v>24</v>
      </c>
      <c r="W62" s="2796">
        <v>50</v>
      </c>
      <c r="X62" s="2796">
        <v>0</v>
      </c>
      <c r="Y62" s="2796">
        <v>0</v>
      </c>
      <c r="Z62" s="2796">
        <v>0</v>
      </c>
      <c r="AA62" s="2796">
        <v>0</v>
      </c>
      <c r="AB62" s="2796">
        <v>35</v>
      </c>
      <c r="AC62" s="2796">
        <v>0</v>
      </c>
      <c r="AD62" s="2796">
        <v>0</v>
      </c>
      <c r="AE62" s="2796">
        <v>0</v>
      </c>
      <c r="AF62" s="2796">
        <v>0</v>
      </c>
      <c r="AG62" s="2796">
        <v>0</v>
      </c>
      <c r="AH62" s="2796">
        <v>0</v>
      </c>
      <c r="AI62" s="2796">
        <v>0</v>
      </c>
      <c r="AJ62" s="2790">
        <f t="shared" si="3"/>
        <v>306</v>
      </c>
      <c r="AK62" s="2790">
        <f t="shared" si="0"/>
        <v>122.4</v>
      </c>
      <c r="AL62" s="2797" t="s">
        <v>138</v>
      </c>
      <c r="AM62" s="2798"/>
    </row>
    <row r="63" spans="1:39" ht="18.75">
      <c r="A63" s="933">
        <v>18</v>
      </c>
      <c r="B63" s="2795" t="s">
        <v>1566</v>
      </c>
      <c r="C63" s="2795"/>
      <c r="D63" s="2795" t="s">
        <v>451</v>
      </c>
      <c r="E63" s="2796">
        <v>97</v>
      </c>
      <c r="F63" s="2796">
        <v>39</v>
      </c>
      <c r="G63" s="2796">
        <v>0</v>
      </c>
      <c r="H63" s="2796">
        <v>90</v>
      </c>
      <c r="I63" s="2796">
        <v>72</v>
      </c>
      <c r="J63" s="2796">
        <v>0</v>
      </c>
      <c r="K63" s="2796">
        <v>38</v>
      </c>
      <c r="L63" s="2796">
        <v>37</v>
      </c>
      <c r="M63" s="2796">
        <v>69</v>
      </c>
      <c r="N63" s="2796">
        <v>43</v>
      </c>
      <c r="O63" s="2796">
        <v>0</v>
      </c>
      <c r="P63" s="2796">
        <v>33</v>
      </c>
      <c r="Q63" s="2796">
        <v>0</v>
      </c>
      <c r="R63" s="2796">
        <v>45</v>
      </c>
      <c r="S63" s="2796">
        <v>0</v>
      </c>
      <c r="T63" s="2796">
        <v>0</v>
      </c>
      <c r="U63" s="2796">
        <v>145</v>
      </c>
      <c r="V63" s="2796">
        <v>0</v>
      </c>
      <c r="W63" s="2796">
        <v>27</v>
      </c>
      <c r="X63" s="2796">
        <v>68</v>
      </c>
      <c r="Y63" s="2796">
        <v>64</v>
      </c>
      <c r="Z63" s="2796">
        <v>53</v>
      </c>
      <c r="AA63" s="2796">
        <v>59</v>
      </c>
      <c r="AB63" s="2796">
        <v>128</v>
      </c>
      <c r="AC63" s="2790">
        <v>56</v>
      </c>
      <c r="AD63" s="2790">
        <v>63</v>
      </c>
      <c r="AE63" s="2790">
        <v>40</v>
      </c>
      <c r="AF63" s="2790">
        <v>109</v>
      </c>
      <c r="AG63" s="2790">
        <v>73</v>
      </c>
      <c r="AH63" s="2790">
        <v>65</v>
      </c>
      <c r="AI63" s="2790">
        <v>0</v>
      </c>
      <c r="AJ63" s="2790">
        <f t="shared" si="3"/>
        <v>1513</v>
      </c>
      <c r="AK63" s="2790">
        <f t="shared" si="0"/>
        <v>605.20000000000005</v>
      </c>
      <c r="AL63" s="2797" t="s">
        <v>141</v>
      </c>
      <c r="AM63" s="2798"/>
    </row>
    <row r="64" spans="1:39" ht="18.75">
      <c r="A64" s="2787">
        <v>19</v>
      </c>
      <c r="B64" s="2795" t="s">
        <v>1686</v>
      </c>
      <c r="C64" s="2795"/>
      <c r="D64" s="2804" t="s">
        <v>451</v>
      </c>
      <c r="E64" s="2796">
        <v>0</v>
      </c>
      <c r="F64" s="2796">
        <v>0</v>
      </c>
      <c r="G64" s="2796">
        <v>0</v>
      </c>
      <c r="H64" s="2796">
        <v>58</v>
      </c>
      <c r="I64" s="2796">
        <v>49</v>
      </c>
      <c r="J64" s="2796">
        <v>25</v>
      </c>
      <c r="K64" s="2796">
        <v>53</v>
      </c>
      <c r="L64" s="2796">
        <v>101</v>
      </c>
      <c r="M64" s="2796">
        <v>43</v>
      </c>
      <c r="N64" s="2796">
        <v>0</v>
      </c>
      <c r="O64" s="2796">
        <v>0</v>
      </c>
      <c r="P64" s="2796">
        <v>144</v>
      </c>
      <c r="Q64" s="2796">
        <v>68</v>
      </c>
      <c r="R64" s="2796">
        <v>0</v>
      </c>
      <c r="S64" s="2796">
        <v>0</v>
      </c>
      <c r="T64" s="2796">
        <v>82</v>
      </c>
      <c r="U64" s="2796">
        <v>88</v>
      </c>
      <c r="V64" s="2796">
        <v>0</v>
      </c>
      <c r="W64" s="2796">
        <v>75</v>
      </c>
      <c r="X64" s="2796">
        <v>0</v>
      </c>
      <c r="Y64" s="2796">
        <v>0</v>
      </c>
      <c r="Z64" s="2796">
        <v>0</v>
      </c>
      <c r="AA64" s="2796">
        <v>49</v>
      </c>
      <c r="AB64" s="2796">
        <v>84</v>
      </c>
      <c r="AC64" s="2796">
        <v>105</v>
      </c>
      <c r="AD64" s="2796">
        <v>28</v>
      </c>
      <c r="AE64" s="2796">
        <v>50</v>
      </c>
      <c r="AF64" s="2796">
        <v>0</v>
      </c>
      <c r="AG64" s="2796">
        <v>217</v>
      </c>
      <c r="AH64" s="2796">
        <v>116</v>
      </c>
      <c r="AI64" s="2796">
        <v>68</v>
      </c>
      <c r="AJ64" s="2790">
        <f t="shared" si="3"/>
        <v>1503</v>
      </c>
      <c r="AK64" s="2790">
        <f t="shared" si="0"/>
        <v>601.20000000000005</v>
      </c>
      <c r="AL64" s="2797" t="s">
        <v>141</v>
      </c>
      <c r="AM64" s="2798"/>
    </row>
    <row r="65" spans="1:41" ht="18.75">
      <c r="A65" s="933">
        <v>20</v>
      </c>
      <c r="B65" s="2795" t="s">
        <v>1565</v>
      </c>
      <c r="C65" s="2795"/>
      <c r="D65" s="2795" t="s">
        <v>451</v>
      </c>
      <c r="E65" s="2796">
        <v>0</v>
      </c>
      <c r="F65" s="2796">
        <v>0</v>
      </c>
      <c r="G65" s="2796">
        <v>0</v>
      </c>
      <c r="H65" s="2796">
        <v>0</v>
      </c>
      <c r="I65" s="2796">
        <v>34</v>
      </c>
      <c r="J65" s="2796">
        <v>0</v>
      </c>
      <c r="K65" s="2796">
        <v>0</v>
      </c>
      <c r="L65" s="2796">
        <v>119</v>
      </c>
      <c r="M65" s="2796">
        <v>30</v>
      </c>
      <c r="N65" s="2796">
        <v>120</v>
      </c>
      <c r="O65" s="2796">
        <v>0</v>
      </c>
      <c r="P65" s="2796">
        <v>0</v>
      </c>
      <c r="Q65" s="2796">
        <v>0</v>
      </c>
      <c r="R65" s="2796">
        <v>72</v>
      </c>
      <c r="S65" s="2796">
        <v>0</v>
      </c>
      <c r="T65" s="2796">
        <v>91</v>
      </c>
      <c r="U65" s="2796">
        <v>89</v>
      </c>
      <c r="V65" s="2796">
        <v>0</v>
      </c>
      <c r="W65" s="2796">
        <v>0</v>
      </c>
      <c r="X65" s="2796">
        <v>0</v>
      </c>
      <c r="Y65" s="2796">
        <v>0</v>
      </c>
      <c r="Z65" s="2796">
        <v>0</v>
      </c>
      <c r="AA65" s="2796">
        <v>0</v>
      </c>
      <c r="AB65" s="2796">
        <v>61</v>
      </c>
      <c r="AC65" s="2796">
        <v>0</v>
      </c>
      <c r="AD65" s="2796">
        <v>145</v>
      </c>
      <c r="AE65" s="2796">
        <v>40</v>
      </c>
      <c r="AF65" s="2796">
        <v>38</v>
      </c>
      <c r="AG65" s="2796">
        <v>75</v>
      </c>
      <c r="AH65" s="2796">
        <v>0</v>
      </c>
      <c r="AI65" s="2796">
        <v>0</v>
      </c>
      <c r="AJ65" s="2790">
        <f t="shared" si="3"/>
        <v>914</v>
      </c>
      <c r="AK65" s="2790">
        <f t="shared" si="0"/>
        <v>365.6</v>
      </c>
      <c r="AL65" s="2797" t="s">
        <v>141</v>
      </c>
      <c r="AM65" s="2798"/>
      <c r="AO65">
        <f>+COUNTIF(AL46:AL72,"A")</f>
        <v>16</v>
      </c>
    </row>
    <row r="66" spans="1:41" ht="18.75">
      <c r="A66" s="2787">
        <v>21</v>
      </c>
      <c r="B66" s="2795" t="s">
        <v>1567</v>
      </c>
      <c r="C66" s="2795"/>
      <c r="D66" s="2804" t="s">
        <v>451</v>
      </c>
      <c r="E66" s="2796">
        <v>0</v>
      </c>
      <c r="F66" s="2796">
        <v>0</v>
      </c>
      <c r="G66" s="2796">
        <v>0</v>
      </c>
      <c r="H66" s="2796">
        <v>66</v>
      </c>
      <c r="I66" s="2796">
        <v>0</v>
      </c>
      <c r="J66" s="2796">
        <v>0</v>
      </c>
      <c r="K66" s="2796">
        <v>0</v>
      </c>
      <c r="L66" s="2796">
        <v>59</v>
      </c>
      <c r="M66" s="2796">
        <v>69</v>
      </c>
      <c r="N66" s="2796">
        <v>42</v>
      </c>
      <c r="O66" s="2796">
        <v>0</v>
      </c>
      <c r="P66" s="2796">
        <v>0</v>
      </c>
      <c r="Q66" s="2796">
        <v>0</v>
      </c>
      <c r="R66" s="2796">
        <v>0</v>
      </c>
      <c r="S66" s="2796">
        <v>0</v>
      </c>
      <c r="T66" s="2796">
        <v>58</v>
      </c>
      <c r="U66" s="2796">
        <v>0</v>
      </c>
      <c r="V66" s="2796">
        <v>0</v>
      </c>
      <c r="W66" s="2796">
        <v>90</v>
      </c>
      <c r="X66" s="2796">
        <v>81</v>
      </c>
      <c r="Y66" s="2796">
        <v>0</v>
      </c>
      <c r="Z66" s="2796">
        <v>0</v>
      </c>
      <c r="AA66" s="2796">
        <v>0</v>
      </c>
      <c r="AB66" s="2796">
        <v>32</v>
      </c>
      <c r="AC66" s="2796">
        <v>52</v>
      </c>
      <c r="AD66" s="2796">
        <v>0</v>
      </c>
      <c r="AE66" s="2796">
        <v>56</v>
      </c>
      <c r="AF66" s="2796">
        <v>0</v>
      </c>
      <c r="AG66" s="2796">
        <v>94</v>
      </c>
      <c r="AH66" s="2796">
        <v>0</v>
      </c>
      <c r="AI66" s="2796">
        <v>0</v>
      </c>
      <c r="AJ66" s="2790">
        <f t="shared" si="3"/>
        <v>699</v>
      </c>
      <c r="AK66" s="2790">
        <f t="shared" si="0"/>
        <v>279.60000000000002</v>
      </c>
      <c r="AL66" s="2797" t="s">
        <v>141</v>
      </c>
      <c r="AM66" s="2798"/>
    </row>
    <row r="67" spans="1:41" ht="18.75">
      <c r="A67" s="933">
        <v>22</v>
      </c>
      <c r="B67" s="2795" t="s">
        <v>1687</v>
      </c>
      <c r="C67" s="2795"/>
      <c r="D67" s="2795" t="s">
        <v>451</v>
      </c>
      <c r="E67" s="2796">
        <v>75</v>
      </c>
      <c r="F67" s="2796">
        <v>0</v>
      </c>
      <c r="G67" s="2796">
        <v>0</v>
      </c>
      <c r="H67" s="2796">
        <v>74</v>
      </c>
      <c r="I67" s="2796">
        <v>39</v>
      </c>
      <c r="J67" s="2796">
        <v>0</v>
      </c>
      <c r="K67" s="2796">
        <v>0</v>
      </c>
      <c r="L67" s="2796">
        <v>0</v>
      </c>
      <c r="M67" s="2796">
        <v>0</v>
      </c>
      <c r="N67" s="2796">
        <v>60</v>
      </c>
      <c r="O67" s="2796">
        <v>0</v>
      </c>
      <c r="P67" s="2796">
        <v>0</v>
      </c>
      <c r="Q67" s="2796">
        <v>0</v>
      </c>
      <c r="R67" s="2796">
        <v>0</v>
      </c>
      <c r="S67" s="2796">
        <v>58</v>
      </c>
      <c r="T67" s="2796">
        <v>60</v>
      </c>
      <c r="U67" s="2796">
        <v>0</v>
      </c>
      <c r="V67" s="2796">
        <v>0</v>
      </c>
      <c r="W67" s="2796">
        <v>0</v>
      </c>
      <c r="X67" s="2796">
        <v>32</v>
      </c>
      <c r="Y67" s="2796">
        <v>0</v>
      </c>
      <c r="Z67" s="2796">
        <v>0</v>
      </c>
      <c r="AA67" s="2796">
        <v>0</v>
      </c>
      <c r="AB67" s="2796">
        <v>0</v>
      </c>
      <c r="AC67" s="2796">
        <v>0</v>
      </c>
      <c r="AD67" s="2796">
        <v>0</v>
      </c>
      <c r="AE67" s="2796">
        <v>103</v>
      </c>
      <c r="AF67" s="2796">
        <v>99</v>
      </c>
      <c r="AG67" s="2796">
        <v>0</v>
      </c>
      <c r="AH67" s="2796">
        <v>50</v>
      </c>
      <c r="AI67" s="2796">
        <v>0</v>
      </c>
      <c r="AJ67" s="2790">
        <f t="shared" si="3"/>
        <v>650</v>
      </c>
      <c r="AK67" s="2790">
        <f t="shared" si="0"/>
        <v>260</v>
      </c>
      <c r="AL67" s="2797" t="s">
        <v>141</v>
      </c>
      <c r="AM67" s="2798"/>
    </row>
    <row r="68" spans="1:41" ht="18.75">
      <c r="A68" s="2787">
        <v>23</v>
      </c>
      <c r="B68" s="2795" t="s">
        <v>1568</v>
      </c>
      <c r="C68" s="2795"/>
      <c r="D68" s="2804" t="s">
        <v>451</v>
      </c>
      <c r="E68" s="2796">
        <v>0</v>
      </c>
      <c r="F68" s="2796">
        <v>0</v>
      </c>
      <c r="G68" s="2796">
        <v>0</v>
      </c>
      <c r="H68" s="2796">
        <v>0</v>
      </c>
      <c r="I68" s="2796">
        <v>0</v>
      </c>
      <c r="J68" s="2796">
        <v>0</v>
      </c>
      <c r="K68" s="2796">
        <v>0</v>
      </c>
      <c r="L68" s="2796">
        <v>0</v>
      </c>
      <c r="M68" s="2796">
        <v>0</v>
      </c>
      <c r="N68" s="2796">
        <v>0</v>
      </c>
      <c r="O68" s="2796">
        <v>0</v>
      </c>
      <c r="P68" s="2796">
        <v>0</v>
      </c>
      <c r="Q68" s="2796">
        <v>0</v>
      </c>
      <c r="R68" s="2796">
        <v>0</v>
      </c>
      <c r="S68" s="2796">
        <v>0</v>
      </c>
      <c r="T68" s="2796">
        <v>0</v>
      </c>
      <c r="U68" s="2796">
        <v>0</v>
      </c>
      <c r="V68" s="2796">
        <v>0</v>
      </c>
      <c r="W68" s="2796">
        <v>0</v>
      </c>
      <c r="X68" s="2796">
        <v>0</v>
      </c>
      <c r="Y68" s="2796">
        <v>0</v>
      </c>
      <c r="Z68" s="2796">
        <v>0</v>
      </c>
      <c r="AA68" s="2796">
        <v>0</v>
      </c>
      <c r="AB68" s="2796">
        <v>0</v>
      </c>
      <c r="AC68" s="2796">
        <v>0</v>
      </c>
      <c r="AD68" s="2796">
        <v>0</v>
      </c>
      <c r="AE68" s="2796">
        <v>0</v>
      </c>
      <c r="AF68" s="2796">
        <v>0</v>
      </c>
      <c r="AG68" s="2796">
        <v>0</v>
      </c>
      <c r="AH68" s="2796">
        <v>0</v>
      </c>
      <c r="AI68" s="2796">
        <v>0</v>
      </c>
      <c r="AJ68" s="2790">
        <f>+SUM(E68:AI68)</f>
        <v>0</v>
      </c>
      <c r="AK68" s="2790">
        <f t="shared" si="0"/>
        <v>0</v>
      </c>
      <c r="AL68" s="2797" t="s">
        <v>168</v>
      </c>
      <c r="AM68" s="2798"/>
    </row>
    <row r="69" spans="1:41" ht="18.75">
      <c r="A69" s="933">
        <v>24</v>
      </c>
      <c r="B69" s="2795" t="s">
        <v>1178</v>
      </c>
      <c r="C69" s="2795"/>
      <c r="D69" s="2795" t="s">
        <v>451</v>
      </c>
      <c r="E69" s="2796">
        <v>0</v>
      </c>
      <c r="F69" s="2796">
        <v>0</v>
      </c>
      <c r="G69" s="2796">
        <v>0</v>
      </c>
      <c r="H69" s="2796">
        <v>0</v>
      </c>
      <c r="I69" s="2796">
        <v>0</v>
      </c>
      <c r="J69" s="2796">
        <v>0</v>
      </c>
      <c r="K69" s="2796">
        <v>0</v>
      </c>
      <c r="L69" s="2796">
        <v>29</v>
      </c>
      <c r="M69" s="2796">
        <v>36</v>
      </c>
      <c r="N69" s="2796">
        <v>0</v>
      </c>
      <c r="O69" s="2796">
        <v>0</v>
      </c>
      <c r="P69" s="2796">
        <v>0</v>
      </c>
      <c r="Q69" s="2796">
        <v>0</v>
      </c>
      <c r="R69" s="2796">
        <v>0</v>
      </c>
      <c r="S69" s="2796">
        <v>27</v>
      </c>
      <c r="T69" s="2796">
        <v>32</v>
      </c>
      <c r="U69" s="2796">
        <v>0</v>
      </c>
      <c r="V69" s="2796">
        <v>21</v>
      </c>
      <c r="W69" s="2796">
        <v>0</v>
      </c>
      <c r="X69" s="2796">
        <v>28</v>
      </c>
      <c r="Y69" s="2796">
        <v>34</v>
      </c>
      <c r="Z69" s="2796">
        <v>0</v>
      </c>
      <c r="AA69" s="2796">
        <v>0</v>
      </c>
      <c r="AB69" s="2796">
        <v>0</v>
      </c>
      <c r="AC69" s="2796">
        <v>0</v>
      </c>
      <c r="AD69" s="2796">
        <v>0</v>
      </c>
      <c r="AE69" s="2796">
        <v>27</v>
      </c>
      <c r="AF69" s="2796">
        <v>64</v>
      </c>
      <c r="AG69" s="2796">
        <v>0</v>
      </c>
      <c r="AH69" s="2796">
        <v>0</v>
      </c>
      <c r="AI69" s="2796">
        <v>0</v>
      </c>
      <c r="AJ69" s="2790">
        <f>+SUM(E69:AI69)</f>
        <v>298</v>
      </c>
      <c r="AK69" s="2790">
        <f t="shared" si="0"/>
        <v>119.2</v>
      </c>
      <c r="AL69" s="2797" t="s">
        <v>141</v>
      </c>
      <c r="AM69" s="2798"/>
    </row>
    <row r="70" spans="1:41" ht="18.75">
      <c r="A70" s="2787">
        <v>25</v>
      </c>
      <c r="B70" s="2795" t="s">
        <v>1688</v>
      </c>
      <c r="C70" s="2795"/>
      <c r="D70" s="2804" t="s">
        <v>451</v>
      </c>
      <c r="E70" s="2796">
        <v>0</v>
      </c>
      <c r="F70" s="2796">
        <v>0</v>
      </c>
      <c r="G70" s="2796">
        <v>0</v>
      </c>
      <c r="H70" s="2796">
        <v>0</v>
      </c>
      <c r="I70" s="2796">
        <v>0</v>
      </c>
      <c r="J70" s="2796">
        <v>0</v>
      </c>
      <c r="K70" s="2796">
        <v>0</v>
      </c>
      <c r="L70" s="2796">
        <v>0</v>
      </c>
      <c r="M70" s="2796">
        <v>0</v>
      </c>
      <c r="N70" s="2796">
        <v>0</v>
      </c>
      <c r="O70" s="2796">
        <v>0</v>
      </c>
      <c r="P70" s="2796">
        <v>0</v>
      </c>
      <c r="Q70" s="2796">
        <v>0</v>
      </c>
      <c r="R70" s="2796">
        <v>0</v>
      </c>
      <c r="S70" s="2796">
        <v>0</v>
      </c>
      <c r="T70" s="2796">
        <v>0</v>
      </c>
      <c r="U70" s="2796">
        <v>0</v>
      </c>
      <c r="V70" s="2796">
        <v>0</v>
      </c>
      <c r="W70" s="2796">
        <v>165</v>
      </c>
      <c r="X70" s="2796">
        <v>0</v>
      </c>
      <c r="Y70" s="2796">
        <v>0</v>
      </c>
      <c r="Z70" s="2796">
        <v>0</v>
      </c>
      <c r="AA70" s="2796">
        <v>0</v>
      </c>
      <c r="AB70" s="2796">
        <v>41</v>
      </c>
      <c r="AC70" s="2796">
        <v>0</v>
      </c>
      <c r="AD70" s="2796">
        <v>0</v>
      </c>
      <c r="AE70" s="2796">
        <v>126</v>
      </c>
      <c r="AF70" s="2796">
        <v>112</v>
      </c>
      <c r="AG70" s="2796">
        <v>0</v>
      </c>
      <c r="AH70" s="2796">
        <v>0</v>
      </c>
      <c r="AI70" s="2796">
        <v>0</v>
      </c>
      <c r="AJ70" s="2790">
        <f>+SUM(E70:AI70)</f>
        <v>444</v>
      </c>
      <c r="AK70" s="2790">
        <f t="shared" si="0"/>
        <v>177.60000000000002</v>
      </c>
      <c r="AL70" s="2797" t="s">
        <v>141</v>
      </c>
      <c r="AM70" s="2798"/>
    </row>
    <row r="71" spans="1:41" ht="18.75">
      <c r="A71" s="933">
        <v>26</v>
      </c>
      <c r="B71" s="2795" t="s">
        <v>1689</v>
      </c>
      <c r="C71" s="2795"/>
      <c r="D71" s="2795" t="s">
        <v>451</v>
      </c>
      <c r="E71" s="2796">
        <v>0</v>
      </c>
      <c r="F71" s="2796">
        <v>0</v>
      </c>
      <c r="G71" s="2796">
        <v>0</v>
      </c>
      <c r="H71" s="2796">
        <v>0</v>
      </c>
      <c r="I71" s="2796">
        <v>0</v>
      </c>
      <c r="J71" s="2796">
        <v>0</v>
      </c>
      <c r="K71" s="2796">
        <v>0</v>
      </c>
      <c r="L71" s="2796">
        <v>0</v>
      </c>
      <c r="M71" s="2796">
        <v>0</v>
      </c>
      <c r="N71" s="2796">
        <v>0</v>
      </c>
      <c r="O71" s="2796">
        <v>0</v>
      </c>
      <c r="P71" s="2796">
        <v>0</v>
      </c>
      <c r="Q71" s="2796">
        <v>0</v>
      </c>
      <c r="R71" s="2796">
        <v>0</v>
      </c>
      <c r="S71" s="2796">
        <v>0</v>
      </c>
      <c r="T71" s="2796">
        <v>66</v>
      </c>
      <c r="U71" s="2796">
        <v>0</v>
      </c>
      <c r="V71" s="2796">
        <v>0</v>
      </c>
      <c r="W71" s="2796">
        <v>0</v>
      </c>
      <c r="X71" s="2796">
        <v>0</v>
      </c>
      <c r="Y71" s="2796">
        <v>0</v>
      </c>
      <c r="Z71" s="2796">
        <v>0</v>
      </c>
      <c r="AA71" s="2796">
        <v>0</v>
      </c>
      <c r="AB71" s="2796">
        <v>54</v>
      </c>
      <c r="AC71" s="2796">
        <v>75</v>
      </c>
      <c r="AD71" s="2796">
        <v>59</v>
      </c>
      <c r="AE71" s="2796">
        <v>0</v>
      </c>
      <c r="AF71" s="2796">
        <v>0</v>
      </c>
      <c r="AG71" s="2796">
        <v>51</v>
      </c>
      <c r="AH71" s="2796">
        <v>0</v>
      </c>
      <c r="AI71" s="2796">
        <v>0</v>
      </c>
      <c r="AJ71" s="2790">
        <f t="shared" si="3"/>
        <v>305</v>
      </c>
      <c r="AK71" s="2790">
        <f t="shared" si="0"/>
        <v>122</v>
      </c>
      <c r="AL71" s="2797" t="s">
        <v>168</v>
      </c>
      <c r="AM71" s="2798"/>
    </row>
    <row r="72" spans="1:41" ht="18.75">
      <c r="A72" s="2787">
        <v>27</v>
      </c>
      <c r="B72" s="2795" t="s">
        <v>1690</v>
      </c>
      <c r="C72" s="2795"/>
      <c r="D72" s="2804" t="s">
        <v>451</v>
      </c>
      <c r="E72" s="2796">
        <v>0</v>
      </c>
      <c r="F72" s="2796">
        <v>0</v>
      </c>
      <c r="G72" s="2796">
        <v>0</v>
      </c>
      <c r="H72" s="2796">
        <v>0</v>
      </c>
      <c r="I72" s="2796">
        <v>0</v>
      </c>
      <c r="J72" s="2796">
        <v>0</v>
      </c>
      <c r="K72" s="2796">
        <v>0</v>
      </c>
      <c r="L72" s="2796">
        <v>0</v>
      </c>
      <c r="M72" s="2796">
        <v>0</v>
      </c>
      <c r="N72" s="2796">
        <v>0</v>
      </c>
      <c r="O72" s="2796">
        <v>0</v>
      </c>
      <c r="P72" s="2796">
        <v>0</v>
      </c>
      <c r="Q72" s="2796">
        <v>0</v>
      </c>
      <c r="R72" s="2796">
        <v>0</v>
      </c>
      <c r="S72" s="2796">
        <v>0</v>
      </c>
      <c r="T72" s="2796">
        <v>0</v>
      </c>
      <c r="U72" s="2796">
        <v>0</v>
      </c>
      <c r="V72" s="2796">
        <v>0</v>
      </c>
      <c r="W72" s="2796">
        <v>0</v>
      </c>
      <c r="X72" s="2796">
        <v>0</v>
      </c>
      <c r="Y72" s="2796">
        <v>0</v>
      </c>
      <c r="Z72" s="2796">
        <v>0</v>
      </c>
      <c r="AA72" s="2796">
        <v>0</v>
      </c>
      <c r="AB72" s="2796">
        <v>0</v>
      </c>
      <c r="AC72" s="2796">
        <v>74</v>
      </c>
      <c r="AD72" s="2796">
        <v>0</v>
      </c>
      <c r="AE72" s="2796">
        <v>0</v>
      </c>
      <c r="AF72" s="2796">
        <v>0</v>
      </c>
      <c r="AG72" s="2796">
        <v>0</v>
      </c>
      <c r="AH72" s="2796">
        <v>0</v>
      </c>
      <c r="AI72" s="2901">
        <v>0</v>
      </c>
      <c r="AJ72" s="2902">
        <f>+SUM(E72:AI72)</f>
        <v>74</v>
      </c>
      <c r="AK72" s="2790">
        <f t="shared" si="0"/>
        <v>29.6</v>
      </c>
      <c r="AL72" s="2797" t="s">
        <v>168</v>
      </c>
      <c r="AM72" s="2798"/>
      <c r="AN72">
        <f>1932-1899</f>
        <v>33</v>
      </c>
    </row>
    <row r="73" spans="1:41" ht="18.75">
      <c r="A73" s="2922" t="s">
        <v>1863</v>
      </c>
      <c r="B73" s="2923"/>
      <c r="C73" s="2923"/>
      <c r="D73" s="2924"/>
      <c r="E73" s="2909">
        <f t="shared" ref="E73:AL73" si="4">SUBTOTAL(9,E46:E72)</f>
        <v>823</v>
      </c>
      <c r="F73" s="2909">
        <f t="shared" si="4"/>
        <v>647</v>
      </c>
      <c r="G73" s="2909">
        <f t="shared" si="4"/>
        <v>270</v>
      </c>
      <c r="H73" s="2909">
        <f t="shared" si="4"/>
        <v>1214</v>
      </c>
      <c r="I73" s="2909">
        <f t="shared" si="4"/>
        <v>1182</v>
      </c>
      <c r="J73" s="2909">
        <f t="shared" si="4"/>
        <v>545</v>
      </c>
      <c r="K73" s="2909">
        <f t="shared" si="4"/>
        <v>801</v>
      </c>
      <c r="L73" s="2909">
        <f t="shared" si="4"/>
        <v>1163</v>
      </c>
      <c r="M73" s="2909">
        <f t="shared" si="4"/>
        <v>1011</v>
      </c>
      <c r="N73" s="2909">
        <f t="shared" si="4"/>
        <v>1251</v>
      </c>
      <c r="O73" s="2909">
        <f t="shared" si="4"/>
        <v>218</v>
      </c>
      <c r="P73" s="2909">
        <f t="shared" si="4"/>
        <v>893</v>
      </c>
      <c r="Q73" s="2909">
        <f t="shared" si="4"/>
        <v>758</v>
      </c>
      <c r="R73" s="2909">
        <f t="shared" si="4"/>
        <v>1212</v>
      </c>
      <c r="S73" s="2909">
        <f t="shared" si="4"/>
        <v>539</v>
      </c>
      <c r="T73" s="2909">
        <f t="shared" si="4"/>
        <v>1523</v>
      </c>
      <c r="U73" s="2909">
        <f t="shared" si="4"/>
        <v>969</v>
      </c>
      <c r="V73" s="2909">
        <f t="shared" si="4"/>
        <v>734</v>
      </c>
      <c r="W73" s="2909">
        <f t="shared" si="4"/>
        <v>1201</v>
      </c>
      <c r="X73" s="2909">
        <f t="shared" si="4"/>
        <v>661</v>
      </c>
      <c r="Y73" s="2909">
        <f t="shared" si="4"/>
        <v>641</v>
      </c>
      <c r="Z73" s="2909">
        <f t="shared" si="4"/>
        <v>626</v>
      </c>
      <c r="AA73" s="2909">
        <f t="shared" si="4"/>
        <v>477</v>
      </c>
      <c r="AB73" s="2909">
        <f t="shared" si="4"/>
        <v>1383</v>
      </c>
      <c r="AC73" s="2909">
        <f t="shared" si="4"/>
        <v>1189</v>
      </c>
      <c r="AD73" s="2909">
        <f t="shared" si="4"/>
        <v>1305</v>
      </c>
      <c r="AE73" s="2909">
        <f t="shared" si="4"/>
        <v>1270</v>
      </c>
      <c r="AF73" s="2909">
        <f t="shared" si="4"/>
        <v>1732</v>
      </c>
      <c r="AG73" s="2909">
        <f t="shared" si="4"/>
        <v>2135</v>
      </c>
      <c r="AH73" s="2909">
        <f t="shared" si="4"/>
        <v>1589</v>
      </c>
      <c r="AI73" s="2909">
        <f t="shared" si="4"/>
        <v>1284</v>
      </c>
      <c r="AJ73" s="2909">
        <f>SUBTOTAL(9,AJ46:AJ72)</f>
        <v>31246</v>
      </c>
      <c r="AK73" s="2909">
        <f t="shared" si="4"/>
        <v>12498.400000000005</v>
      </c>
      <c r="AL73" s="2916">
        <f t="shared" si="4"/>
        <v>0</v>
      </c>
      <c r="AM73" s="2917"/>
    </row>
    <row r="74" spans="1:41" ht="18.75">
      <c r="A74" s="2807">
        <v>1</v>
      </c>
      <c r="B74" s="2808" t="s">
        <v>1489</v>
      </c>
      <c r="C74" s="2809"/>
      <c r="D74" s="2809" t="s">
        <v>452</v>
      </c>
      <c r="E74" s="2790">
        <v>106</v>
      </c>
      <c r="F74" s="2790">
        <v>109</v>
      </c>
      <c r="G74" s="2790">
        <v>113</v>
      </c>
      <c r="H74" s="2790">
        <v>81</v>
      </c>
      <c r="I74" s="2790">
        <v>105</v>
      </c>
      <c r="J74" s="2790">
        <v>89</v>
      </c>
      <c r="K74" s="2790">
        <v>109</v>
      </c>
      <c r="L74" s="2790">
        <v>82</v>
      </c>
      <c r="M74" s="2790">
        <v>93</v>
      </c>
      <c r="N74" s="2790">
        <v>125</v>
      </c>
      <c r="O74" s="2790">
        <v>113</v>
      </c>
      <c r="P74" s="2790">
        <v>83</v>
      </c>
      <c r="Q74" s="2790">
        <v>91</v>
      </c>
      <c r="R74" s="2790">
        <v>96</v>
      </c>
      <c r="S74" s="2790">
        <v>100</v>
      </c>
      <c r="T74" s="2790">
        <v>70</v>
      </c>
      <c r="U74" s="2790">
        <v>0</v>
      </c>
      <c r="V74" s="2790">
        <v>94</v>
      </c>
      <c r="W74" s="2790">
        <v>67</v>
      </c>
      <c r="X74" s="2790">
        <v>95</v>
      </c>
      <c r="Y74" s="2790">
        <v>100</v>
      </c>
      <c r="Z74" s="2790">
        <v>85</v>
      </c>
      <c r="AA74" s="2790">
        <v>90</v>
      </c>
      <c r="AB74" s="2790">
        <v>70</v>
      </c>
      <c r="AC74" s="2790">
        <v>68</v>
      </c>
      <c r="AD74" s="2790">
        <v>77</v>
      </c>
      <c r="AE74" s="2790">
        <v>90</v>
      </c>
      <c r="AF74" s="2790">
        <v>73</v>
      </c>
      <c r="AG74" s="2790">
        <v>100</v>
      </c>
      <c r="AH74" s="2790">
        <v>72</v>
      </c>
      <c r="AI74" s="2790">
        <v>94</v>
      </c>
      <c r="AJ74" s="2790">
        <f>+SUM(E74:AI74)</f>
        <v>2740</v>
      </c>
      <c r="AK74" s="2790">
        <f t="shared" si="0"/>
        <v>1096</v>
      </c>
      <c r="AL74" s="2810" t="s">
        <v>141</v>
      </c>
      <c r="AM74" s="2809"/>
    </row>
    <row r="75" spans="1:41" ht="18.75">
      <c r="A75" s="2811">
        <v>2</v>
      </c>
      <c r="B75" s="2812" t="s">
        <v>1532</v>
      </c>
      <c r="C75" s="2813"/>
      <c r="D75" s="2813" t="s">
        <v>452</v>
      </c>
      <c r="E75" s="2796">
        <v>106</v>
      </c>
      <c r="F75" s="2796">
        <v>108</v>
      </c>
      <c r="G75" s="2796">
        <v>114</v>
      </c>
      <c r="H75" s="2796">
        <v>93</v>
      </c>
      <c r="I75" s="2796">
        <v>106</v>
      </c>
      <c r="J75" s="2796">
        <v>90</v>
      </c>
      <c r="K75" s="2796">
        <v>109</v>
      </c>
      <c r="L75" s="2796">
        <v>83</v>
      </c>
      <c r="M75" s="2796">
        <v>94</v>
      </c>
      <c r="N75" s="2796">
        <v>125</v>
      </c>
      <c r="O75" s="2796">
        <v>113</v>
      </c>
      <c r="P75" s="2796">
        <v>83</v>
      </c>
      <c r="Q75" s="2796">
        <v>91</v>
      </c>
      <c r="R75" s="2796">
        <v>96</v>
      </c>
      <c r="S75" s="2796">
        <v>101</v>
      </c>
      <c r="T75" s="2796">
        <v>71</v>
      </c>
      <c r="U75" s="2796">
        <v>0</v>
      </c>
      <c r="V75" s="2796">
        <v>95</v>
      </c>
      <c r="W75" s="2796">
        <v>67</v>
      </c>
      <c r="X75" s="2796">
        <v>96</v>
      </c>
      <c r="Y75" s="2796">
        <v>100</v>
      </c>
      <c r="Z75" s="2796">
        <v>86</v>
      </c>
      <c r="AA75" s="2796">
        <v>90</v>
      </c>
      <c r="AB75" s="2796">
        <v>70</v>
      </c>
      <c r="AC75" s="2796">
        <v>68</v>
      </c>
      <c r="AD75" s="2796">
        <v>77</v>
      </c>
      <c r="AE75" s="2796">
        <v>90</v>
      </c>
      <c r="AF75" s="2796">
        <v>73</v>
      </c>
      <c r="AG75" s="2796">
        <v>100</v>
      </c>
      <c r="AH75" s="2796">
        <v>72</v>
      </c>
      <c r="AI75" s="2796">
        <v>94</v>
      </c>
      <c r="AJ75" s="2790">
        <f t="shared" ref="AJ75:AJ135" si="5">+SUM(E75:AI75)</f>
        <v>2761</v>
      </c>
      <c r="AK75" s="2790">
        <f t="shared" si="0"/>
        <v>1104.4000000000001</v>
      </c>
      <c r="AL75" s="2814" t="s">
        <v>141</v>
      </c>
      <c r="AM75" s="2798"/>
    </row>
    <row r="76" spans="1:41" ht="18.75">
      <c r="A76" s="2807">
        <v>3</v>
      </c>
      <c r="B76" s="2812" t="s">
        <v>1691</v>
      </c>
      <c r="C76" s="2813"/>
      <c r="D76" s="2813" t="s">
        <v>452</v>
      </c>
      <c r="E76" s="2796">
        <v>57</v>
      </c>
      <c r="F76" s="2796">
        <v>68</v>
      </c>
      <c r="G76" s="2796">
        <v>68</v>
      </c>
      <c r="H76" s="2796">
        <v>73</v>
      </c>
      <c r="I76" s="2796">
        <v>51</v>
      </c>
      <c r="J76" s="2796">
        <v>67</v>
      </c>
      <c r="K76" s="2796">
        <v>0</v>
      </c>
      <c r="L76" s="2796">
        <v>0</v>
      </c>
      <c r="M76" s="2796">
        <v>0</v>
      </c>
      <c r="N76" s="2796">
        <v>0</v>
      </c>
      <c r="O76" s="2796">
        <v>114</v>
      </c>
      <c r="P76" s="2796">
        <v>84</v>
      </c>
      <c r="Q76" s="2796">
        <v>92</v>
      </c>
      <c r="R76" s="2796">
        <v>97</v>
      </c>
      <c r="S76" s="2796">
        <v>101</v>
      </c>
      <c r="T76" s="2796">
        <v>70</v>
      </c>
      <c r="U76" s="2796">
        <v>0</v>
      </c>
      <c r="V76" s="2796">
        <v>95</v>
      </c>
      <c r="W76" s="2796">
        <v>66</v>
      </c>
      <c r="X76" s="2796">
        <v>96</v>
      </c>
      <c r="Y76" s="2796">
        <v>98</v>
      </c>
      <c r="Z76" s="2796">
        <v>86</v>
      </c>
      <c r="AA76" s="2796">
        <v>89</v>
      </c>
      <c r="AB76" s="2796">
        <v>65</v>
      </c>
      <c r="AC76" s="2796">
        <v>69</v>
      </c>
      <c r="AD76" s="2796">
        <v>77</v>
      </c>
      <c r="AE76" s="2796">
        <v>90</v>
      </c>
      <c r="AF76" s="2796">
        <v>74</v>
      </c>
      <c r="AG76" s="2796">
        <v>100</v>
      </c>
      <c r="AH76" s="2796">
        <v>73</v>
      </c>
      <c r="AI76" s="2796">
        <v>94</v>
      </c>
      <c r="AJ76" s="2790">
        <f t="shared" si="5"/>
        <v>2114</v>
      </c>
      <c r="AK76" s="2790">
        <f t="shared" ref="AK76:AK139" si="6">+AJ76*0.4</f>
        <v>845.6</v>
      </c>
      <c r="AL76" s="2814" t="s">
        <v>141</v>
      </c>
      <c r="AM76" s="2798"/>
    </row>
    <row r="77" spans="1:41" ht="18.75">
      <c r="A77" s="2811">
        <v>4</v>
      </c>
      <c r="B77" s="2812" t="s">
        <v>1692</v>
      </c>
      <c r="C77" s="2813"/>
      <c r="D77" s="2813" t="s">
        <v>452</v>
      </c>
      <c r="E77" s="2796">
        <v>58</v>
      </c>
      <c r="F77" s="2796">
        <v>68</v>
      </c>
      <c r="G77" s="2796">
        <v>68</v>
      </c>
      <c r="H77" s="2796">
        <v>74</v>
      </c>
      <c r="I77" s="2796">
        <v>53</v>
      </c>
      <c r="J77" s="2796">
        <v>67</v>
      </c>
      <c r="K77" s="2796">
        <v>0</v>
      </c>
      <c r="L77" s="2796">
        <v>0</v>
      </c>
      <c r="M77" s="2796">
        <v>0</v>
      </c>
      <c r="N77" s="2796">
        <v>0</v>
      </c>
      <c r="O77" s="2796">
        <v>102</v>
      </c>
      <c r="P77" s="2796">
        <v>76</v>
      </c>
      <c r="Q77" s="2796">
        <v>84</v>
      </c>
      <c r="R77" s="2796">
        <v>115</v>
      </c>
      <c r="S77" s="2796">
        <v>103</v>
      </c>
      <c r="T77" s="2796">
        <v>67</v>
      </c>
      <c r="U77" s="2796">
        <v>0</v>
      </c>
      <c r="V77" s="2796">
        <v>65</v>
      </c>
      <c r="W77" s="2796">
        <v>79</v>
      </c>
      <c r="X77" s="2796">
        <v>71</v>
      </c>
      <c r="Y77" s="2796">
        <v>97</v>
      </c>
      <c r="Z77" s="2796">
        <v>94</v>
      </c>
      <c r="AA77" s="2796">
        <v>86</v>
      </c>
      <c r="AB77" s="2796">
        <v>73</v>
      </c>
      <c r="AC77" s="2796">
        <v>76</v>
      </c>
      <c r="AD77" s="2796">
        <v>87</v>
      </c>
      <c r="AE77" s="2796">
        <v>81</v>
      </c>
      <c r="AF77" s="2796">
        <v>68</v>
      </c>
      <c r="AG77" s="2796">
        <v>80</v>
      </c>
      <c r="AH77" s="2796">
        <v>95</v>
      </c>
      <c r="AI77" s="2796">
        <v>90</v>
      </c>
      <c r="AJ77" s="2790">
        <f t="shared" si="5"/>
        <v>2077</v>
      </c>
      <c r="AK77" s="2790">
        <f t="shared" si="6"/>
        <v>830.80000000000007</v>
      </c>
      <c r="AL77" s="2814" t="s">
        <v>138</v>
      </c>
      <c r="AM77" s="2798"/>
    </row>
    <row r="78" spans="1:41" ht="18.75">
      <c r="A78" s="2807">
        <v>5</v>
      </c>
      <c r="B78" s="2812" t="s">
        <v>1693</v>
      </c>
      <c r="C78" s="2813"/>
      <c r="D78" s="2813" t="s">
        <v>452</v>
      </c>
      <c r="E78" s="2796">
        <v>50</v>
      </c>
      <c r="F78" s="2796">
        <v>0</v>
      </c>
      <c r="G78" s="2796">
        <v>74</v>
      </c>
      <c r="H78" s="2796">
        <v>57</v>
      </c>
      <c r="I78" s="2796">
        <v>0</v>
      </c>
      <c r="J78" s="2796">
        <v>50</v>
      </c>
      <c r="K78" s="2796">
        <v>65</v>
      </c>
      <c r="L78" s="2796">
        <v>65</v>
      </c>
      <c r="M78" s="2796">
        <v>51</v>
      </c>
      <c r="N78" s="2796">
        <v>50</v>
      </c>
      <c r="O78" s="2796">
        <v>39</v>
      </c>
      <c r="P78" s="2796">
        <v>63</v>
      </c>
      <c r="Q78" s="2796">
        <v>39</v>
      </c>
      <c r="R78" s="2796">
        <v>65</v>
      </c>
      <c r="S78" s="2796">
        <v>83</v>
      </c>
      <c r="T78" s="2796">
        <v>54</v>
      </c>
      <c r="U78" s="2796">
        <v>0</v>
      </c>
      <c r="V78" s="2796">
        <v>41</v>
      </c>
      <c r="W78" s="2796">
        <v>0</v>
      </c>
      <c r="X78" s="2796">
        <v>75</v>
      </c>
      <c r="Y78" s="2796">
        <v>0</v>
      </c>
      <c r="Z78" s="2796">
        <v>65</v>
      </c>
      <c r="AA78" s="2796">
        <v>83</v>
      </c>
      <c r="AB78" s="2796">
        <v>0</v>
      </c>
      <c r="AC78" s="2796">
        <v>53</v>
      </c>
      <c r="AD78" s="2796">
        <v>55</v>
      </c>
      <c r="AE78" s="2796">
        <v>83</v>
      </c>
      <c r="AF78" s="2796">
        <v>73</v>
      </c>
      <c r="AG78" s="2796">
        <v>53</v>
      </c>
      <c r="AH78" s="2796">
        <v>68</v>
      </c>
      <c r="AI78" s="2796">
        <v>93</v>
      </c>
      <c r="AJ78" s="2790">
        <f t="shared" si="5"/>
        <v>1547</v>
      </c>
      <c r="AK78" s="2790">
        <f t="shared" si="6"/>
        <v>618.80000000000007</v>
      </c>
      <c r="AL78" s="2814" t="s">
        <v>141</v>
      </c>
      <c r="AM78" s="2798"/>
    </row>
    <row r="79" spans="1:41" ht="18.75">
      <c r="A79" s="2811">
        <v>6</v>
      </c>
      <c r="B79" s="2812" t="s">
        <v>281</v>
      </c>
      <c r="C79" s="2813"/>
      <c r="D79" s="2813" t="s">
        <v>452</v>
      </c>
      <c r="E79" s="2796">
        <v>0</v>
      </c>
      <c r="F79" s="2796">
        <v>0</v>
      </c>
      <c r="G79" s="2796">
        <v>57</v>
      </c>
      <c r="H79" s="2796">
        <v>107</v>
      </c>
      <c r="I79" s="2796">
        <v>0</v>
      </c>
      <c r="J79" s="2796">
        <v>51</v>
      </c>
      <c r="K79" s="2796">
        <v>64</v>
      </c>
      <c r="L79" s="2796">
        <v>63</v>
      </c>
      <c r="M79" s="2796">
        <v>27</v>
      </c>
      <c r="N79" s="2796">
        <v>43</v>
      </c>
      <c r="O79" s="2796">
        <v>105</v>
      </c>
      <c r="P79" s="2796">
        <v>64</v>
      </c>
      <c r="Q79" s="2796">
        <v>21</v>
      </c>
      <c r="R79" s="2796">
        <v>71</v>
      </c>
      <c r="S79" s="2796">
        <v>101</v>
      </c>
      <c r="T79" s="2796">
        <v>56</v>
      </c>
      <c r="U79" s="2796">
        <v>19</v>
      </c>
      <c r="V79" s="2796">
        <v>0</v>
      </c>
      <c r="W79" s="2796">
        <v>0</v>
      </c>
      <c r="X79" s="2796">
        <v>63</v>
      </c>
      <c r="Y79" s="2796">
        <v>26</v>
      </c>
      <c r="Z79" s="2796">
        <v>105</v>
      </c>
      <c r="AA79" s="2796">
        <v>112</v>
      </c>
      <c r="AB79" s="2796">
        <v>52</v>
      </c>
      <c r="AC79" s="2796">
        <v>20</v>
      </c>
      <c r="AD79" s="2796">
        <v>128</v>
      </c>
      <c r="AE79" s="2796">
        <v>123</v>
      </c>
      <c r="AF79" s="2796">
        <v>53</v>
      </c>
      <c r="AG79" s="2796">
        <v>28</v>
      </c>
      <c r="AH79" s="2796">
        <v>100</v>
      </c>
      <c r="AI79" s="2796">
        <v>110</v>
      </c>
      <c r="AJ79" s="2790">
        <f t="shared" si="5"/>
        <v>1769</v>
      </c>
      <c r="AK79" s="2790">
        <f t="shared" si="6"/>
        <v>707.6</v>
      </c>
      <c r="AL79" s="2814" t="s">
        <v>138</v>
      </c>
      <c r="AM79" s="2798"/>
    </row>
    <row r="80" spans="1:41" ht="18.75">
      <c r="A80" s="2807">
        <v>7</v>
      </c>
      <c r="B80" s="2812" t="s">
        <v>1183</v>
      </c>
      <c r="C80" s="2813"/>
      <c r="D80" s="2813" t="s">
        <v>452</v>
      </c>
      <c r="E80" s="2796">
        <v>105</v>
      </c>
      <c r="F80" s="2796">
        <v>131</v>
      </c>
      <c r="G80" s="2796">
        <v>109</v>
      </c>
      <c r="H80" s="2796">
        <v>67</v>
      </c>
      <c r="I80" s="2796">
        <v>107</v>
      </c>
      <c r="J80" s="2796">
        <v>145</v>
      </c>
      <c r="K80" s="2796">
        <v>120</v>
      </c>
      <c r="L80" s="2796">
        <v>76</v>
      </c>
      <c r="M80" s="2796">
        <v>88</v>
      </c>
      <c r="N80" s="2796">
        <v>116</v>
      </c>
      <c r="O80" s="2796">
        <v>101</v>
      </c>
      <c r="P80" s="2796">
        <v>76</v>
      </c>
      <c r="Q80" s="2796">
        <v>84</v>
      </c>
      <c r="R80" s="2796">
        <v>116</v>
      </c>
      <c r="S80" s="2796">
        <v>103</v>
      </c>
      <c r="T80" s="2796">
        <v>67</v>
      </c>
      <c r="U80" s="2796">
        <v>0</v>
      </c>
      <c r="V80" s="2796">
        <v>64</v>
      </c>
      <c r="W80" s="2796">
        <v>80</v>
      </c>
      <c r="X80" s="2796">
        <v>71</v>
      </c>
      <c r="Y80" s="2796">
        <v>100</v>
      </c>
      <c r="Z80" s="2796">
        <v>95</v>
      </c>
      <c r="AA80" s="2796">
        <v>87</v>
      </c>
      <c r="AB80" s="2796">
        <v>73</v>
      </c>
      <c r="AC80" s="2796">
        <v>75</v>
      </c>
      <c r="AD80" s="2796">
        <v>86</v>
      </c>
      <c r="AE80" s="2796">
        <v>81</v>
      </c>
      <c r="AF80" s="2796">
        <v>68</v>
      </c>
      <c r="AG80" s="2796">
        <v>80</v>
      </c>
      <c r="AH80" s="2796">
        <v>95</v>
      </c>
      <c r="AI80" s="2796">
        <v>90</v>
      </c>
      <c r="AJ80" s="2790">
        <f t="shared" si="5"/>
        <v>2756</v>
      </c>
      <c r="AK80" s="2790">
        <f t="shared" si="6"/>
        <v>1102.4000000000001</v>
      </c>
      <c r="AL80" s="2814" t="s">
        <v>141</v>
      </c>
      <c r="AM80" s="2798"/>
    </row>
    <row r="81" spans="1:39" ht="18.75">
      <c r="A81" s="2811">
        <v>8</v>
      </c>
      <c r="B81" s="2812" t="s">
        <v>1184</v>
      </c>
      <c r="C81" s="2813"/>
      <c r="D81" s="2813" t="s">
        <v>452</v>
      </c>
      <c r="E81" s="2796">
        <v>105</v>
      </c>
      <c r="F81" s="2796">
        <v>131</v>
      </c>
      <c r="G81" s="2796">
        <v>109</v>
      </c>
      <c r="H81" s="2796">
        <v>67</v>
      </c>
      <c r="I81" s="2796">
        <v>107</v>
      </c>
      <c r="J81" s="2796">
        <v>145</v>
      </c>
      <c r="K81" s="2796">
        <v>120</v>
      </c>
      <c r="L81" s="2796">
        <v>76</v>
      </c>
      <c r="M81" s="2796">
        <v>88</v>
      </c>
      <c r="N81" s="2796">
        <v>117</v>
      </c>
      <c r="O81" s="2796">
        <v>102</v>
      </c>
      <c r="P81" s="2796">
        <v>77</v>
      </c>
      <c r="Q81" s="2796">
        <v>84</v>
      </c>
      <c r="R81" s="2796">
        <v>116</v>
      </c>
      <c r="S81" s="2796">
        <v>103</v>
      </c>
      <c r="T81" s="2796">
        <v>67</v>
      </c>
      <c r="U81" s="2796">
        <v>0</v>
      </c>
      <c r="V81" s="2796">
        <v>64</v>
      </c>
      <c r="W81" s="2796">
        <v>80</v>
      </c>
      <c r="X81" s="2796">
        <v>71</v>
      </c>
      <c r="Y81" s="2796">
        <v>100</v>
      </c>
      <c r="Z81" s="2796">
        <v>95</v>
      </c>
      <c r="AA81" s="2796">
        <v>87</v>
      </c>
      <c r="AB81" s="2796">
        <v>72</v>
      </c>
      <c r="AC81" s="2796">
        <v>75</v>
      </c>
      <c r="AD81" s="2796">
        <v>87</v>
      </c>
      <c r="AE81" s="2796">
        <v>82</v>
      </c>
      <c r="AF81" s="2796">
        <v>68</v>
      </c>
      <c r="AG81" s="2796">
        <v>80</v>
      </c>
      <c r="AH81" s="2796">
        <v>95</v>
      </c>
      <c r="AI81" s="2796">
        <v>90</v>
      </c>
      <c r="AJ81" s="2790">
        <f t="shared" si="5"/>
        <v>2760</v>
      </c>
      <c r="AK81" s="2790">
        <f t="shared" si="6"/>
        <v>1104</v>
      </c>
      <c r="AL81" s="2814" t="s">
        <v>141</v>
      </c>
      <c r="AM81" s="2798"/>
    </row>
    <row r="82" spans="1:39" ht="18.75">
      <c r="A82" s="2807">
        <v>9</v>
      </c>
      <c r="B82" s="2812" t="s">
        <v>1615</v>
      </c>
      <c r="C82" s="2813"/>
      <c r="D82" s="2813" t="s">
        <v>452</v>
      </c>
      <c r="E82" s="2796">
        <v>82</v>
      </c>
      <c r="F82" s="2796">
        <v>114</v>
      </c>
      <c r="G82" s="2796">
        <v>123</v>
      </c>
      <c r="H82" s="2796">
        <v>100</v>
      </c>
      <c r="I82" s="2796">
        <v>95</v>
      </c>
      <c r="J82" s="2796">
        <v>104</v>
      </c>
      <c r="K82" s="2796">
        <v>115</v>
      </c>
      <c r="L82" s="2796">
        <v>86</v>
      </c>
      <c r="M82" s="2796">
        <v>77</v>
      </c>
      <c r="N82" s="2796">
        <v>95</v>
      </c>
      <c r="O82" s="2796">
        <v>93</v>
      </c>
      <c r="P82" s="2796">
        <v>93</v>
      </c>
      <c r="Q82" s="2796">
        <v>83</v>
      </c>
      <c r="R82" s="2796">
        <v>101</v>
      </c>
      <c r="S82" s="2796">
        <v>100</v>
      </c>
      <c r="T82" s="2796">
        <v>75</v>
      </c>
      <c r="U82" s="2796">
        <v>70</v>
      </c>
      <c r="V82" s="2796">
        <v>87</v>
      </c>
      <c r="W82" s="2796">
        <v>91</v>
      </c>
      <c r="X82" s="2796">
        <v>121</v>
      </c>
      <c r="Y82" s="2796">
        <v>60</v>
      </c>
      <c r="Z82" s="2796">
        <v>90</v>
      </c>
      <c r="AA82" s="2796">
        <v>97</v>
      </c>
      <c r="AB82" s="2796">
        <v>78</v>
      </c>
      <c r="AC82" s="2796">
        <v>72</v>
      </c>
      <c r="AD82" s="2796">
        <v>83</v>
      </c>
      <c r="AE82" s="2796">
        <v>99</v>
      </c>
      <c r="AF82" s="2796">
        <v>71</v>
      </c>
      <c r="AG82" s="2796">
        <v>71</v>
      </c>
      <c r="AH82" s="2796">
        <v>80</v>
      </c>
      <c r="AI82" s="2796">
        <v>114</v>
      </c>
      <c r="AJ82" s="2790">
        <f t="shared" si="5"/>
        <v>2820</v>
      </c>
      <c r="AK82" s="2790">
        <f t="shared" si="6"/>
        <v>1128</v>
      </c>
      <c r="AL82" s="2814" t="s">
        <v>141</v>
      </c>
      <c r="AM82" s="2798"/>
    </row>
    <row r="83" spans="1:39" ht="18.75">
      <c r="A83" s="2811">
        <v>10</v>
      </c>
      <c r="B83" s="2812" t="s">
        <v>1490</v>
      </c>
      <c r="C83" s="2813"/>
      <c r="D83" s="2813" t="s">
        <v>452</v>
      </c>
      <c r="E83" s="2796">
        <v>82</v>
      </c>
      <c r="F83" s="2796">
        <v>115</v>
      </c>
      <c r="G83" s="2796">
        <v>123</v>
      </c>
      <c r="H83" s="2796">
        <v>100</v>
      </c>
      <c r="I83" s="2796">
        <v>95</v>
      </c>
      <c r="J83" s="2796">
        <v>104</v>
      </c>
      <c r="K83" s="2796">
        <v>126</v>
      </c>
      <c r="L83" s="2796">
        <v>86</v>
      </c>
      <c r="M83" s="2796">
        <v>77</v>
      </c>
      <c r="N83" s="2796">
        <v>95</v>
      </c>
      <c r="O83" s="2796">
        <v>94</v>
      </c>
      <c r="P83" s="2796">
        <v>93</v>
      </c>
      <c r="Q83" s="2796">
        <v>84</v>
      </c>
      <c r="R83" s="2796">
        <v>101</v>
      </c>
      <c r="S83" s="2796">
        <v>101</v>
      </c>
      <c r="T83" s="2796">
        <v>74</v>
      </c>
      <c r="U83" s="2796">
        <v>70</v>
      </c>
      <c r="V83" s="2796">
        <v>87</v>
      </c>
      <c r="W83" s="2796">
        <v>91</v>
      </c>
      <c r="X83" s="2796">
        <v>121</v>
      </c>
      <c r="Y83" s="2796">
        <v>60</v>
      </c>
      <c r="Z83" s="2796">
        <v>90</v>
      </c>
      <c r="AA83" s="2796">
        <v>97</v>
      </c>
      <c r="AB83" s="2796">
        <v>78</v>
      </c>
      <c r="AC83" s="2796">
        <v>72</v>
      </c>
      <c r="AD83" s="2796">
        <v>83</v>
      </c>
      <c r="AE83" s="2796">
        <v>99</v>
      </c>
      <c r="AF83" s="2796">
        <v>71</v>
      </c>
      <c r="AG83" s="2796">
        <v>72</v>
      </c>
      <c r="AH83" s="2796">
        <v>80</v>
      </c>
      <c r="AI83" s="2796">
        <v>114</v>
      </c>
      <c r="AJ83" s="2790">
        <f t="shared" si="5"/>
        <v>2835</v>
      </c>
      <c r="AK83" s="2790">
        <f t="shared" si="6"/>
        <v>1134</v>
      </c>
      <c r="AL83" s="2814" t="s">
        <v>141</v>
      </c>
      <c r="AM83" s="2798"/>
    </row>
    <row r="84" spans="1:39" ht="18.75">
      <c r="A84" s="2807">
        <v>11</v>
      </c>
      <c r="B84" s="2812" t="s">
        <v>1491</v>
      </c>
      <c r="C84" s="2813"/>
      <c r="D84" s="2813" t="s">
        <v>452</v>
      </c>
      <c r="E84" s="2796">
        <v>83</v>
      </c>
      <c r="F84" s="2796">
        <v>75</v>
      </c>
      <c r="G84" s="2796">
        <v>59</v>
      </c>
      <c r="H84" s="2796">
        <v>63</v>
      </c>
      <c r="I84" s="2796">
        <v>83</v>
      </c>
      <c r="J84" s="2796">
        <v>70</v>
      </c>
      <c r="K84" s="2796">
        <v>0</v>
      </c>
      <c r="L84" s="2796">
        <v>126</v>
      </c>
      <c r="M84" s="2796">
        <v>75</v>
      </c>
      <c r="N84" s="2796">
        <v>81</v>
      </c>
      <c r="O84" s="2796">
        <v>0</v>
      </c>
      <c r="P84" s="2796">
        <v>68</v>
      </c>
      <c r="Q84" s="2796">
        <v>141</v>
      </c>
      <c r="R84" s="2796">
        <v>96</v>
      </c>
      <c r="S84" s="2796">
        <v>0</v>
      </c>
      <c r="T84" s="2796">
        <v>61</v>
      </c>
      <c r="U84" s="2796">
        <v>83</v>
      </c>
      <c r="V84" s="2796">
        <v>57</v>
      </c>
      <c r="W84" s="2796">
        <v>45</v>
      </c>
      <c r="X84" s="2796">
        <v>55</v>
      </c>
      <c r="Y84" s="2796">
        <v>0</v>
      </c>
      <c r="Z84" s="2796">
        <v>51</v>
      </c>
      <c r="AA84" s="2796">
        <v>0</v>
      </c>
      <c r="AB84" s="2796">
        <v>53</v>
      </c>
      <c r="AC84" s="2796">
        <v>142</v>
      </c>
      <c r="AD84" s="2796">
        <v>59</v>
      </c>
      <c r="AE84" s="2796">
        <v>60</v>
      </c>
      <c r="AF84" s="2796">
        <v>45</v>
      </c>
      <c r="AG84" s="2796">
        <v>63</v>
      </c>
      <c r="AH84" s="2796">
        <v>58</v>
      </c>
      <c r="AI84" s="2796">
        <v>0</v>
      </c>
      <c r="AJ84" s="2790">
        <f t="shared" si="5"/>
        <v>1852</v>
      </c>
      <c r="AK84" s="2790">
        <f t="shared" si="6"/>
        <v>740.80000000000007</v>
      </c>
      <c r="AL84" s="2814" t="s">
        <v>141</v>
      </c>
      <c r="AM84" s="2798"/>
    </row>
    <row r="85" spans="1:39" ht="18.75">
      <c r="A85" s="2811">
        <v>12</v>
      </c>
      <c r="B85" s="2812" t="s">
        <v>1492</v>
      </c>
      <c r="C85" s="2813"/>
      <c r="D85" s="2813" t="s">
        <v>452</v>
      </c>
      <c r="E85" s="2796">
        <v>84</v>
      </c>
      <c r="F85" s="2796">
        <v>75</v>
      </c>
      <c r="G85" s="2796">
        <v>59</v>
      </c>
      <c r="H85" s="2796">
        <v>64</v>
      </c>
      <c r="I85" s="2796">
        <v>84</v>
      </c>
      <c r="J85" s="2796">
        <v>71</v>
      </c>
      <c r="K85" s="2796">
        <v>0</v>
      </c>
      <c r="L85" s="2796">
        <v>127</v>
      </c>
      <c r="M85" s="2796">
        <v>75</v>
      </c>
      <c r="N85" s="2796">
        <v>0</v>
      </c>
      <c r="O85" s="2796">
        <v>0</v>
      </c>
      <c r="P85" s="2796">
        <v>69</v>
      </c>
      <c r="Q85" s="2796">
        <v>142</v>
      </c>
      <c r="R85" s="2796">
        <v>96</v>
      </c>
      <c r="S85" s="2796">
        <v>0</v>
      </c>
      <c r="T85" s="2796">
        <v>62</v>
      </c>
      <c r="U85" s="2796">
        <v>84</v>
      </c>
      <c r="V85" s="2796">
        <v>57</v>
      </c>
      <c r="W85" s="2796">
        <v>46</v>
      </c>
      <c r="X85" s="2796">
        <v>56</v>
      </c>
      <c r="Y85" s="2796">
        <v>0</v>
      </c>
      <c r="Z85" s="2796">
        <v>52</v>
      </c>
      <c r="AA85" s="2796">
        <v>0</v>
      </c>
      <c r="AB85" s="2796">
        <v>53</v>
      </c>
      <c r="AC85" s="2796">
        <v>143</v>
      </c>
      <c r="AD85" s="2796">
        <v>60</v>
      </c>
      <c r="AE85" s="2796">
        <v>60</v>
      </c>
      <c r="AF85" s="2796">
        <v>45</v>
      </c>
      <c r="AG85" s="2796">
        <v>63</v>
      </c>
      <c r="AH85" s="2796">
        <v>58</v>
      </c>
      <c r="AI85" s="2796">
        <v>0</v>
      </c>
      <c r="AJ85" s="2790">
        <f t="shared" si="5"/>
        <v>1785</v>
      </c>
      <c r="AK85" s="2790">
        <f t="shared" si="6"/>
        <v>714</v>
      </c>
      <c r="AL85" s="2814" t="s">
        <v>141</v>
      </c>
      <c r="AM85" s="2798"/>
    </row>
    <row r="86" spans="1:39" ht="18.75">
      <c r="A86" s="2807">
        <v>13</v>
      </c>
      <c r="B86" s="2812" t="s">
        <v>1694</v>
      </c>
      <c r="C86" s="2813"/>
      <c r="D86" s="2813" t="s">
        <v>452</v>
      </c>
      <c r="E86" s="2796">
        <v>72</v>
      </c>
      <c r="F86" s="2796">
        <v>68</v>
      </c>
      <c r="G86" s="2796">
        <v>92</v>
      </c>
      <c r="H86" s="2796">
        <v>72</v>
      </c>
      <c r="I86" s="2796">
        <v>80</v>
      </c>
      <c r="J86" s="2796">
        <v>94</v>
      </c>
      <c r="K86" s="2796">
        <v>96</v>
      </c>
      <c r="L86" s="2796">
        <v>76</v>
      </c>
      <c r="M86" s="2796">
        <v>72</v>
      </c>
      <c r="N86" s="2796">
        <v>92</v>
      </c>
      <c r="O86" s="2796">
        <v>74</v>
      </c>
      <c r="P86" s="2796">
        <v>84</v>
      </c>
      <c r="Q86" s="2796">
        <v>71</v>
      </c>
      <c r="R86" s="2796">
        <v>84</v>
      </c>
      <c r="S86" s="2796">
        <v>93</v>
      </c>
      <c r="T86" s="2796">
        <v>69</v>
      </c>
      <c r="U86" s="2796">
        <v>71</v>
      </c>
      <c r="V86" s="2796">
        <v>46</v>
      </c>
      <c r="W86" s="2796">
        <v>80</v>
      </c>
      <c r="X86" s="2796">
        <v>85</v>
      </c>
      <c r="Y86" s="2796">
        <v>67</v>
      </c>
      <c r="Z86" s="2796">
        <v>68</v>
      </c>
      <c r="AA86" s="2796">
        <v>87</v>
      </c>
      <c r="AB86" s="2796">
        <v>75</v>
      </c>
      <c r="AC86" s="2796">
        <v>56</v>
      </c>
      <c r="AD86" s="2796">
        <v>106</v>
      </c>
      <c r="AE86" s="2796">
        <v>78</v>
      </c>
      <c r="AF86" s="2796">
        <v>62</v>
      </c>
      <c r="AG86" s="2796">
        <v>53</v>
      </c>
      <c r="AH86" s="2796">
        <v>70</v>
      </c>
      <c r="AI86" s="2796">
        <v>77</v>
      </c>
      <c r="AJ86" s="2790">
        <f t="shared" si="5"/>
        <v>2370</v>
      </c>
      <c r="AK86" s="2790">
        <f t="shared" si="6"/>
        <v>948</v>
      </c>
      <c r="AL86" s="2814" t="s">
        <v>141</v>
      </c>
      <c r="AM86" s="2798"/>
    </row>
    <row r="87" spans="1:39" ht="18.75">
      <c r="A87" s="2811">
        <v>14</v>
      </c>
      <c r="B87" s="2812" t="s">
        <v>1616</v>
      </c>
      <c r="C87" s="2813"/>
      <c r="D87" s="2813" t="s">
        <v>452</v>
      </c>
      <c r="E87" s="2796">
        <v>73</v>
      </c>
      <c r="F87" s="2796">
        <v>68</v>
      </c>
      <c r="G87" s="2796">
        <v>92</v>
      </c>
      <c r="H87" s="2796">
        <v>73</v>
      </c>
      <c r="I87" s="2796">
        <v>81</v>
      </c>
      <c r="J87" s="2796">
        <v>94</v>
      </c>
      <c r="K87" s="2796">
        <v>97</v>
      </c>
      <c r="L87" s="2796">
        <v>76</v>
      </c>
      <c r="M87" s="2796">
        <v>73</v>
      </c>
      <c r="N87" s="2796">
        <v>93</v>
      </c>
      <c r="O87" s="2796">
        <v>74</v>
      </c>
      <c r="P87" s="2796">
        <v>85</v>
      </c>
      <c r="Q87" s="2796">
        <v>71</v>
      </c>
      <c r="R87" s="2796">
        <v>85</v>
      </c>
      <c r="S87" s="2796">
        <v>94</v>
      </c>
      <c r="T87" s="2796">
        <v>70</v>
      </c>
      <c r="U87" s="2796">
        <v>71</v>
      </c>
      <c r="V87" s="2796">
        <v>46</v>
      </c>
      <c r="W87" s="2796">
        <v>81</v>
      </c>
      <c r="X87" s="2796">
        <v>85</v>
      </c>
      <c r="Y87" s="2796">
        <v>67</v>
      </c>
      <c r="Z87" s="2796">
        <v>68</v>
      </c>
      <c r="AA87" s="2796">
        <v>87</v>
      </c>
      <c r="AB87" s="2796">
        <v>75</v>
      </c>
      <c r="AC87" s="2796">
        <v>57</v>
      </c>
      <c r="AD87" s="2796">
        <v>106</v>
      </c>
      <c r="AE87" s="2796">
        <v>78</v>
      </c>
      <c r="AF87" s="2796">
        <v>63</v>
      </c>
      <c r="AG87" s="2796">
        <v>54</v>
      </c>
      <c r="AH87" s="2796">
        <v>70</v>
      </c>
      <c r="AI87" s="2796">
        <v>78</v>
      </c>
      <c r="AJ87" s="2790">
        <f t="shared" si="5"/>
        <v>2385</v>
      </c>
      <c r="AK87" s="2790">
        <f t="shared" si="6"/>
        <v>954</v>
      </c>
      <c r="AL87" s="2814" t="s">
        <v>141</v>
      </c>
      <c r="AM87" s="2798"/>
    </row>
    <row r="88" spans="1:39" ht="18.75">
      <c r="A88" s="2807">
        <v>15</v>
      </c>
      <c r="B88" s="2812" t="s">
        <v>1229</v>
      </c>
      <c r="C88" s="2813"/>
      <c r="D88" s="2813" t="s">
        <v>452</v>
      </c>
      <c r="E88" s="2796">
        <v>52</v>
      </c>
      <c r="F88" s="2796">
        <v>108</v>
      </c>
      <c r="G88" s="2796">
        <v>67</v>
      </c>
      <c r="H88" s="2796">
        <v>83</v>
      </c>
      <c r="I88" s="2796">
        <v>65</v>
      </c>
      <c r="J88" s="2796">
        <v>104</v>
      </c>
      <c r="K88" s="2796">
        <v>70</v>
      </c>
      <c r="L88" s="2796">
        <v>80</v>
      </c>
      <c r="M88" s="2796">
        <v>58</v>
      </c>
      <c r="N88" s="2796">
        <v>0</v>
      </c>
      <c r="O88" s="2796">
        <v>58</v>
      </c>
      <c r="P88" s="2796">
        <v>74</v>
      </c>
      <c r="Q88" s="2796">
        <v>53</v>
      </c>
      <c r="R88" s="2796">
        <v>98</v>
      </c>
      <c r="S88" s="2796">
        <v>55</v>
      </c>
      <c r="T88" s="2796">
        <v>67</v>
      </c>
      <c r="U88" s="2796">
        <v>62</v>
      </c>
      <c r="V88" s="2796">
        <v>94</v>
      </c>
      <c r="W88" s="2796">
        <v>0</v>
      </c>
      <c r="X88" s="2796">
        <v>85</v>
      </c>
      <c r="Y88" s="2796">
        <v>61</v>
      </c>
      <c r="Z88" s="2796">
        <v>75</v>
      </c>
      <c r="AA88" s="2796">
        <v>51</v>
      </c>
      <c r="AB88" s="2796">
        <v>77</v>
      </c>
      <c r="AC88" s="2796">
        <v>60</v>
      </c>
      <c r="AD88" s="2796">
        <v>81</v>
      </c>
      <c r="AE88" s="2796">
        <v>55</v>
      </c>
      <c r="AF88" s="2796">
        <v>75</v>
      </c>
      <c r="AG88" s="2796">
        <v>58</v>
      </c>
      <c r="AH88" s="2796">
        <v>90</v>
      </c>
      <c r="AI88" s="2796">
        <v>44</v>
      </c>
      <c r="AJ88" s="2790">
        <f t="shared" si="5"/>
        <v>2060</v>
      </c>
      <c r="AK88" s="2790">
        <f t="shared" si="6"/>
        <v>824</v>
      </c>
      <c r="AL88" s="2814" t="s">
        <v>141</v>
      </c>
      <c r="AM88" s="2798"/>
    </row>
    <row r="89" spans="1:39" ht="18.75">
      <c r="A89" s="2811">
        <v>16</v>
      </c>
      <c r="B89" s="2812" t="s">
        <v>1494</v>
      </c>
      <c r="C89" s="2813"/>
      <c r="D89" s="2813" t="s">
        <v>452</v>
      </c>
      <c r="E89" s="2796">
        <v>125</v>
      </c>
      <c r="F89" s="2796">
        <v>96</v>
      </c>
      <c r="G89" s="2796">
        <v>94</v>
      </c>
      <c r="H89" s="2796">
        <v>80</v>
      </c>
      <c r="I89" s="2796">
        <v>116</v>
      </c>
      <c r="J89" s="2796">
        <v>91</v>
      </c>
      <c r="K89" s="2796">
        <v>95</v>
      </c>
      <c r="L89" s="2796">
        <v>79</v>
      </c>
      <c r="M89" s="2796">
        <v>106</v>
      </c>
      <c r="N89" s="2796">
        <v>86</v>
      </c>
      <c r="O89" s="2796">
        <v>96</v>
      </c>
      <c r="P89" s="2796">
        <v>69</v>
      </c>
      <c r="Q89" s="2796">
        <v>107</v>
      </c>
      <c r="R89" s="2796">
        <v>93</v>
      </c>
      <c r="S89" s="2796">
        <v>83</v>
      </c>
      <c r="T89" s="2796">
        <v>60</v>
      </c>
      <c r="U89" s="2796">
        <v>75</v>
      </c>
      <c r="V89" s="2796">
        <v>71</v>
      </c>
      <c r="W89" s="2796">
        <v>65</v>
      </c>
      <c r="X89" s="2796">
        <v>64</v>
      </c>
      <c r="Y89" s="2796">
        <v>102</v>
      </c>
      <c r="Z89" s="2796">
        <v>70</v>
      </c>
      <c r="AA89" s="2796">
        <v>75</v>
      </c>
      <c r="AB89" s="2796">
        <v>65</v>
      </c>
      <c r="AC89" s="2796">
        <v>91</v>
      </c>
      <c r="AD89" s="2796">
        <v>68</v>
      </c>
      <c r="AE89" s="2796">
        <v>76</v>
      </c>
      <c r="AF89" s="2796">
        <v>60</v>
      </c>
      <c r="AG89" s="2796">
        <v>100</v>
      </c>
      <c r="AH89" s="2796">
        <v>61</v>
      </c>
      <c r="AI89" s="2796">
        <v>74</v>
      </c>
      <c r="AJ89" s="2790">
        <f t="shared" si="5"/>
        <v>2593</v>
      </c>
      <c r="AK89" s="2790">
        <f t="shared" si="6"/>
        <v>1037.2</v>
      </c>
      <c r="AL89" s="2814" t="s">
        <v>141</v>
      </c>
      <c r="AM89" s="2798"/>
    </row>
    <row r="90" spans="1:39" ht="18.75">
      <c r="A90" s="2807">
        <v>17</v>
      </c>
      <c r="B90" s="2812" t="s">
        <v>243</v>
      </c>
      <c r="C90" s="2813"/>
      <c r="D90" s="2813" t="s">
        <v>452</v>
      </c>
      <c r="E90" s="2796">
        <v>105</v>
      </c>
      <c r="F90" s="2796">
        <v>70</v>
      </c>
      <c r="G90" s="2796">
        <v>73</v>
      </c>
      <c r="H90" s="2796">
        <v>51</v>
      </c>
      <c r="I90" s="2796">
        <v>75</v>
      </c>
      <c r="J90" s="2796">
        <v>104</v>
      </c>
      <c r="K90" s="2796">
        <v>81</v>
      </c>
      <c r="L90" s="2796">
        <v>59</v>
      </c>
      <c r="M90" s="2796">
        <v>100</v>
      </c>
      <c r="N90" s="2796">
        <v>70</v>
      </c>
      <c r="O90" s="2796">
        <v>70</v>
      </c>
      <c r="P90" s="2796">
        <v>50</v>
      </c>
      <c r="Q90" s="2796">
        <v>112</v>
      </c>
      <c r="R90" s="2796">
        <v>86</v>
      </c>
      <c r="S90" s="2796">
        <v>67</v>
      </c>
      <c r="T90" s="2796">
        <v>31</v>
      </c>
      <c r="U90" s="2796">
        <v>80</v>
      </c>
      <c r="V90" s="2796">
        <v>87</v>
      </c>
      <c r="W90" s="2796">
        <v>67</v>
      </c>
      <c r="X90" s="2796">
        <v>47</v>
      </c>
      <c r="Y90" s="2796">
        <v>138</v>
      </c>
      <c r="Z90" s="2796">
        <v>92</v>
      </c>
      <c r="AA90" s="2796">
        <v>64</v>
      </c>
      <c r="AB90" s="2796">
        <v>51</v>
      </c>
      <c r="AC90" s="2796">
        <v>72</v>
      </c>
      <c r="AD90" s="2796">
        <v>79</v>
      </c>
      <c r="AE90" s="2796">
        <v>62</v>
      </c>
      <c r="AF90" s="2796">
        <v>53</v>
      </c>
      <c r="AG90" s="2796">
        <v>94</v>
      </c>
      <c r="AH90" s="2796">
        <v>74</v>
      </c>
      <c r="AI90" s="2796">
        <v>63</v>
      </c>
      <c r="AJ90" s="2790">
        <f t="shared" si="5"/>
        <v>2327</v>
      </c>
      <c r="AK90" s="2790">
        <f t="shared" si="6"/>
        <v>930.80000000000007</v>
      </c>
      <c r="AL90" s="2814" t="s">
        <v>138</v>
      </c>
      <c r="AM90" s="2798"/>
    </row>
    <row r="91" spans="1:39" ht="18.75">
      <c r="A91" s="2811">
        <v>18</v>
      </c>
      <c r="B91" s="2812" t="s">
        <v>1533</v>
      </c>
      <c r="C91" s="2813"/>
      <c r="D91" s="2813" t="s">
        <v>452</v>
      </c>
      <c r="E91" s="2796">
        <v>125</v>
      </c>
      <c r="F91" s="2796">
        <v>96</v>
      </c>
      <c r="G91" s="2796">
        <v>94</v>
      </c>
      <c r="H91" s="2796">
        <v>81</v>
      </c>
      <c r="I91" s="2796">
        <v>117</v>
      </c>
      <c r="J91" s="2796">
        <v>91</v>
      </c>
      <c r="K91" s="2796">
        <v>95</v>
      </c>
      <c r="L91" s="2796">
        <v>79</v>
      </c>
      <c r="M91" s="2796">
        <v>106</v>
      </c>
      <c r="N91" s="2796">
        <v>87</v>
      </c>
      <c r="O91" s="2796">
        <v>96</v>
      </c>
      <c r="P91" s="2796">
        <v>70</v>
      </c>
      <c r="Q91" s="2796">
        <v>107</v>
      </c>
      <c r="R91" s="2796">
        <v>93</v>
      </c>
      <c r="S91" s="2796">
        <v>84</v>
      </c>
      <c r="T91" s="2796">
        <v>60</v>
      </c>
      <c r="U91" s="2796">
        <v>75</v>
      </c>
      <c r="V91" s="2796">
        <v>72</v>
      </c>
      <c r="W91" s="2796">
        <v>65</v>
      </c>
      <c r="X91" s="2796">
        <v>64</v>
      </c>
      <c r="Y91" s="2796">
        <v>102</v>
      </c>
      <c r="Z91" s="2796">
        <v>70</v>
      </c>
      <c r="AA91" s="2796">
        <v>75</v>
      </c>
      <c r="AB91" s="2796">
        <v>65</v>
      </c>
      <c r="AC91" s="2790">
        <v>92</v>
      </c>
      <c r="AD91" s="2790">
        <v>68</v>
      </c>
      <c r="AE91" s="2790">
        <v>76</v>
      </c>
      <c r="AF91" s="2790">
        <v>60</v>
      </c>
      <c r="AG91" s="2790">
        <v>100</v>
      </c>
      <c r="AH91" s="2790">
        <v>61</v>
      </c>
      <c r="AI91" s="2790">
        <v>75</v>
      </c>
      <c r="AJ91" s="2790">
        <f t="shared" si="5"/>
        <v>2601</v>
      </c>
      <c r="AK91" s="2790">
        <f t="shared" si="6"/>
        <v>1040.4000000000001</v>
      </c>
      <c r="AL91" s="2814" t="s">
        <v>141</v>
      </c>
      <c r="AM91" s="2798"/>
    </row>
    <row r="92" spans="1:39" ht="18.75">
      <c r="A92" s="2807">
        <v>19</v>
      </c>
      <c r="B92" s="2812" t="s">
        <v>1534</v>
      </c>
      <c r="C92" s="2813"/>
      <c r="D92" s="2813" t="s">
        <v>452</v>
      </c>
      <c r="E92" s="2796">
        <v>127</v>
      </c>
      <c r="F92" s="2796">
        <v>95</v>
      </c>
      <c r="G92" s="2796">
        <v>95</v>
      </c>
      <c r="H92" s="2796">
        <v>81</v>
      </c>
      <c r="I92" s="2796">
        <v>116</v>
      </c>
      <c r="J92" s="2796">
        <v>91</v>
      </c>
      <c r="K92" s="2796">
        <v>96</v>
      </c>
      <c r="L92" s="2796">
        <v>79</v>
      </c>
      <c r="M92" s="2796">
        <v>106</v>
      </c>
      <c r="N92" s="2796">
        <v>87</v>
      </c>
      <c r="O92" s="2796">
        <v>97</v>
      </c>
      <c r="P92" s="2796">
        <v>70</v>
      </c>
      <c r="Q92" s="2796">
        <v>107</v>
      </c>
      <c r="R92" s="2796">
        <v>94</v>
      </c>
      <c r="S92" s="2796">
        <v>84</v>
      </c>
      <c r="T92" s="2796">
        <v>59</v>
      </c>
      <c r="U92" s="2796">
        <v>77</v>
      </c>
      <c r="V92" s="2796">
        <v>72</v>
      </c>
      <c r="W92" s="2796">
        <v>66</v>
      </c>
      <c r="X92" s="2796">
        <v>64</v>
      </c>
      <c r="Y92" s="2796">
        <v>103</v>
      </c>
      <c r="Z92" s="2796">
        <v>72</v>
      </c>
      <c r="AA92" s="2796">
        <v>76</v>
      </c>
      <c r="AB92" s="2796">
        <v>64</v>
      </c>
      <c r="AC92" s="2796">
        <v>92</v>
      </c>
      <c r="AD92" s="2796">
        <v>64</v>
      </c>
      <c r="AE92" s="2796">
        <v>78</v>
      </c>
      <c r="AF92" s="2796">
        <v>60</v>
      </c>
      <c r="AG92" s="2796">
        <v>99</v>
      </c>
      <c r="AH92" s="2796">
        <v>61</v>
      </c>
      <c r="AI92" s="2796">
        <v>74</v>
      </c>
      <c r="AJ92" s="2790">
        <f t="shared" si="5"/>
        <v>2606</v>
      </c>
      <c r="AK92" s="2790">
        <f t="shared" si="6"/>
        <v>1042.4000000000001</v>
      </c>
      <c r="AL92" s="2814" t="s">
        <v>141</v>
      </c>
      <c r="AM92" s="2798"/>
    </row>
    <row r="93" spans="1:39" ht="18.75">
      <c r="A93" s="2811">
        <v>20</v>
      </c>
      <c r="B93" s="2812" t="s">
        <v>1695</v>
      </c>
      <c r="C93" s="2813"/>
      <c r="D93" s="2813" t="s">
        <v>452</v>
      </c>
      <c r="E93" s="2796">
        <v>131</v>
      </c>
      <c r="F93" s="2796">
        <v>71</v>
      </c>
      <c r="G93" s="2796">
        <v>96</v>
      </c>
      <c r="H93" s="2796">
        <v>85</v>
      </c>
      <c r="I93" s="2796">
        <v>121</v>
      </c>
      <c r="J93" s="2796">
        <v>80</v>
      </c>
      <c r="K93" s="2796">
        <v>105</v>
      </c>
      <c r="L93" s="2796">
        <v>95</v>
      </c>
      <c r="M93" s="2796">
        <v>114</v>
      </c>
      <c r="N93" s="2796">
        <v>86</v>
      </c>
      <c r="O93" s="2796">
        <v>112</v>
      </c>
      <c r="P93" s="2796">
        <v>71</v>
      </c>
      <c r="Q93" s="2796">
        <v>114</v>
      </c>
      <c r="R93" s="2796">
        <v>78</v>
      </c>
      <c r="S93" s="2796">
        <v>0</v>
      </c>
      <c r="T93" s="2796">
        <v>55</v>
      </c>
      <c r="U93" s="2796">
        <v>77</v>
      </c>
      <c r="V93" s="2796">
        <v>67</v>
      </c>
      <c r="W93" s="2796">
        <v>151</v>
      </c>
      <c r="X93" s="2796">
        <v>57</v>
      </c>
      <c r="Y93" s="2796">
        <v>92</v>
      </c>
      <c r="Z93" s="2796">
        <v>55</v>
      </c>
      <c r="AA93" s="2796">
        <v>78</v>
      </c>
      <c r="AB93" s="2796">
        <v>50</v>
      </c>
      <c r="AC93" s="2796">
        <v>80</v>
      </c>
      <c r="AD93" s="2796">
        <v>60</v>
      </c>
      <c r="AE93" s="2796">
        <v>75</v>
      </c>
      <c r="AF93" s="2796">
        <v>45</v>
      </c>
      <c r="AG93" s="2796">
        <v>93</v>
      </c>
      <c r="AH93" s="2796">
        <v>56</v>
      </c>
      <c r="AI93" s="2796">
        <v>74</v>
      </c>
      <c r="AJ93" s="2790">
        <f t="shared" si="5"/>
        <v>2524</v>
      </c>
      <c r="AK93" s="2790">
        <f t="shared" si="6"/>
        <v>1009.6</v>
      </c>
      <c r="AL93" s="2814" t="s">
        <v>141</v>
      </c>
      <c r="AM93" s="2798"/>
    </row>
    <row r="94" spans="1:39" ht="18.75">
      <c r="A94" s="2807">
        <v>21</v>
      </c>
      <c r="B94" s="2812" t="s">
        <v>1535</v>
      </c>
      <c r="C94" s="2813"/>
      <c r="D94" s="2813" t="s">
        <v>452</v>
      </c>
      <c r="E94" s="2796">
        <v>71</v>
      </c>
      <c r="F94" s="2796">
        <v>75</v>
      </c>
      <c r="G94" s="2796">
        <v>51</v>
      </c>
      <c r="H94" s="2796">
        <v>68</v>
      </c>
      <c r="I94" s="2796">
        <v>72</v>
      </c>
      <c r="J94" s="2796">
        <v>93</v>
      </c>
      <c r="K94" s="2796">
        <v>52</v>
      </c>
      <c r="L94" s="2796">
        <v>84</v>
      </c>
      <c r="M94" s="2796">
        <v>61</v>
      </c>
      <c r="N94" s="2796">
        <v>78</v>
      </c>
      <c r="O94" s="2796">
        <v>52</v>
      </c>
      <c r="P94" s="2796">
        <v>57</v>
      </c>
      <c r="Q94" s="2796">
        <v>64</v>
      </c>
      <c r="R94" s="2796">
        <v>98</v>
      </c>
      <c r="S94" s="2796">
        <v>0</v>
      </c>
      <c r="T94" s="2796">
        <v>58</v>
      </c>
      <c r="U94" s="2796">
        <v>42</v>
      </c>
      <c r="V94" s="2796">
        <v>47</v>
      </c>
      <c r="W94" s="2796">
        <v>48</v>
      </c>
      <c r="X94" s="2796">
        <v>71</v>
      </c>
      <c r="Y94" s="2796">
        <v>0</v>
      </c>
      <c r="Z94" s="2796">
        <v>83</v>
      </c>
      <c r="AA94" s="2796">
        <v>63</v>
      </c>
      <c r="AB94" s="2796">
        <v>58</v>
      </c>
      <c r="AC94" s="2796">
        <v>69</v>
      </c>
      <c r="AD94" s="2796">
        <v>67</v>
      </c>
      <c r="AE94" s="2796">
        <v>56</v>
      </c>
      <c r="AF94" s="2796">
        <v>65</v>
      </c>
      <c r="AG94" s="2796">
        <v>74</v>
      </c>
      <c r="AH94" s="2796">
        <v>76</v>
      </c>
      <c r="AI94" s="2796">
        <v>58</v>
      </c>
      <c r="AJ94" s="2790">
        <f t="shared" si="5"/>
        <v>1911</v>
      </c>
      <c r="AK94" s="2790">
        <f t="shared" si="6"/>
        <v>764.40000000000009</v>
      </c>
      <c r="AL94" s="2814" t="s">
        <v>141</v>
      </c>
      <c r="AM94" s="2798"/>
    </row>
    <row r="95" spans="1:39" ht="18.75">
      <c r="A95" s="2811">
        <v>22</v>
      </c>
      <c r="B95" s="2812" t="s">
        <v>1696</v>
      </c>
      <c r="C95" s="2813"/>
      <c r="D95" s="2813" t="s">
        <v>452</v>
      </c>
      <c r="E95" s="2796">
        <v>132</v>
      </c>
      <c r="F95" s="2796">
        <v>71</v>
      </c>
      <c r="G95" s="2796">
        <v>97</v>
      </c>
      <c r="H95" s="2796">
        <v>86</v>
      </c>
      <c r="I95" s="2796">
        <v>121</v>
      </c>
      <c r="J95" s="2796">
        <v>81</v>
      </c>
      <c r="K95" s="2796">
        <v>105</v>
      </c>
      <c r="L95" s="2796">
        <v>95</v>
      </c>
      <c r="M95" s="2796">
        <v>115</v>
      </c>
      <c r="N95" s="2796">
        <v>86</v>
      </c>
      <c r="O95" s="2796">
        <v>111</v>
      </c>
      <c r="P95" s="2796">
        <v>72</v>
      </c>
      <c r="Q95" s="2796">
        <v>114</v>
      </c>
      <c r="R95" s="2796">
        <v>79</v>
      </c>
      <c r="S95" s="2796">
        <v>0</v>
      </c>
      <c r="T95" s="2796">
        <v>55</v>
      </c>
      <c r="U95" s="2796">
        <v>78</v>
      </c>
      <c r="V95" s="2796">
        <v>68</v>
      </c>
      <c r="W95" s="2796">
        <v>151</v>
      </c>
      <c r="X95" s="2796">
        <v>57</v>
      </c>
      <c r="Y95" s="2796">
        <v>93</v>
      </c>
      <c r="Z95" s="2796">
        <v>56</v>
      </c>
      <c r="AA95" s="2796">
        <v>79</v>
      </c>
      <c r="AB95" s="2796">
        <v>50</v>
      </c>
      <c r="AC95" s="2796">
        <v>81</v>
      </c>
      <c r="AD95" s="2796">
        <v>61</v>
      </c>
      <c r="AE95" s="2796">
        <v>75</v>
      </c>
      <c r="AF95" s="2796">
        <v>45</v>
      </c>
      <c r="AG95" s="2796">
        <v>93</v>
      </c>
      <c r="AH95" s="2796">
        <v>56</v>
      </c>
      <c r="AI95" s="2796">
        <v>74</v>
      </c>
      <c r="AJ95" s="2790">
        <f t="shared" si="5"/>
        <v>2537</v>
      </c>
      <c r="AK95" s="2790">
        <f t="shared" si="6"/>
        <v>1014.8000000000001</v>
      </c>
      <c r="AL95" s="2814" t="s">
        <v>141</v>
      </c>
      <c r="AM95" s="2798"/>
    </row>
    <row r="96" spans="1:39" ht="18.75">
      <c r="A96" s="2807">
        <v>23</v>
      </c>
      <c r="B96" s="2812" t="s">
        <v>1495</v>
      </c>
      <c r="C96" s="2813"/>
      <c r="D96" s="2813" t="s">
        <v>452</v>
      </c>
      <c r="E96" s="2796">
        <v>113</v>
      </c>
      <c r="F96" s="2796">
        <v>102</v>
      </c>
      <c r="G96" s="2796">
        <v>119</v>
      </c>
      <c r="H96" s="2796">
        <v>117</v>
      </c>
      <c r="I96" s="2796">
        <v>114</v>
      </c>
      <c r="J96" s="2796">
        <v>101</v>
      </c>
      <c r="K96" s="2796">
        <v>121</v>
      </c>
      <c r="L96" s="2796">
        <v>115</v>
      </c>
      <c r="M96" s="2796">
        <v>91</v>
      </c>
      <c r="N96" s="2796">
        <v>108</v>
      </c>
      <c r="O96" s="2796">
        <v>122</v>
      </c>
      <c r="P96" s="2796">
        <v>111</v>
      </c>
      <c r="Q96" s="2796">
        <v>98</v>
      </c>
      <c r="R96" s="2796">
        <v>107</v>
      </c>
      <c r="S96" s="2796">
        <v>114</v>
      </c>
      <c r="T96" s="2796">
        <v>96</v>
      </c>
      <c r="U96" s="2796">
        <v>56</v>
      </c>
      <c r="V96" s="2796">
        <v>88</v>
      </c>
      <c r="W96" s="2796">
        <v>103</v>
      </c>
      <c r="X96" s="2796">
        <v>100</v>
      </c>
      <c r="Y96" s="2796">
        <v>90</v>
      </c>
      <c r="Z96" s="2796">
        <v>79</v>
      </c>
      <c r="AA96" s="2796">
        <v>104</v>
      </c>
      <c r="AB96" s="2796">
        <v>89</v>
      </c>
      <c r="AC96" s="2796">
        <v>74</v>
      </c>
      <c r="AD96" s="2796">
        <v>71</v>
      </c>
      <c r="AE96" s="2796">
        <v>105</v>
      </c>
      <c r="AF96" s="2796">
        <v>95</v>
      </c>
      <c r="AG96" s="2796">
        <v>90</v>
      </c>
      <c r="AH96" s="2796">
        <v>75</v>
      </c>
      <c r="AI96" s="2796">
        <v>107</v>
      </c>
      <c r="AJ96" s="2790">
        <f t="shared" si="5"/>
        <v>3075</v>
      </c>
      <c r="AK96" s="2790">
        <f t="shared" si="6"/>
        <v>1230</v>
      </c>
      <c r="AL96" s="2814" t="s">
        <v>141</v>
      </c>
      <c r="AM96" s="2798"/>
    </row>
    <row r="97" spans="1:42" ht="18.75">
      <c r="A97" s="2811">
        <v>24</v>
      </c>
      <c r="B97" s="2812" t="s">
        <v>1496</v>
      </c>
      <c r="C97" s="2813"/>
      <c r="D97" s="2813" t="s">
        <v>452</v>
      </c>
      <c r="E97" s="2796">
        <v>113</v>
      </c>
      <c r="F97" s="2796">
        <v>102</v>
      </c>
      <c r="G97" s="2796">
        <v>118</v>
      </c>
      <c r="H97" s="2796">
        <v>119</v>
      </c>
      <c r="I97" s="2796">
        <v>114</v>
      </c>
      <c r="J97" s="2796">
        <v>101</v>
      </c>
      <c r="K97" s="2796">
        <v>121</v>
      </c>
      <c r="L97" s="2796">
        <v>115</v>
      </c>
      <c r="M97" s="2796">
        <v>91</v>
      </c>
      <c r="N97" s="2796">
        <v>108</v>
      </c>
      <c r="O97" s="2796">
        <v>123</v>
      </c>
      <c r="P97" s="2796">
        <v>111</v>
      </c>
      <c r="Q97" s="2796">
        <v>98</v>
      </c>
      <c r="R97" s="2796">
        <v>108</v>
      </c>
      <c r="S97" s="2796">
        <v>114</v>
      </c>
      <c r="T97" s="2796">
        <v>96</v>
      </c>
      <c r="U97" s="2796">
        <v>56</v>
      </c>
      <c r="V97" s="2796">
        <v>88</v>
      </c>
      <c r="W97" s="2796">
        <v>103</v>
      </c>
      <c r="X97" s="2796">
        <v>100</v>
      </c>
      <c r="Y97" s="2796">
        <v>90</v>
      </c>
      <c r="Z97" s="2796">
        <v>79</v>
      </c>
      <c r="AA97" s="2796">
        <v>104</v>
      </c>
      <c r="AB97" s="2796">
        <v>89</v>
      </c>
      <c r="AC97" s="2796">
        <v>75</v>
      </c>
      <c r="AD97" s="2796">
        <v>71</v>
      </c>
      <c r="AE97" s="2796">
        <v>106</v>
      </c>
      <c r="AF97" s="2796">
        <v>95</v>
      </c>
      <c r="AG97" s="2796">
        <v>90</v>
      </c>
      <c r="AH97" s="2796">
        <v>75</v>
      </c>
      <c r="AI97" s="2796">
        <v>107</v>
      </c>
      <c r="AJ97" s="2790">
        <f t="shared" si="5"/>
        <v>3080</v>
      </c>
      <c r="AK97" s="2790">
        <f t="shared" si="6"/>
        <v>1232</v>
      </c>
      <c r="AL97" s="2814" t="s">
        <v>141</v>
      </c>
      <c r="AM97" s="2798"/>
    </row>
    <row r="98" spans="1:42" ht="18.75">
      <c r="A98" s="2807">
        <v>25</v>
      </c>
      <c r="B98" s="2812" t="s">
        <v>1697</v>
      </c>
      <c r="C98" s="2813"/>
      <c r="D98" s="2813" t="s">
        <v>452</v>
      </c>
      <c r="E98" s="2796">
        <v>70</v>
      </c>
      <c r="F98" s="2796">
        <v>110</v>
      </c>
      <c r="G98" s="2796">
        <v>58</v>
      </c>
      <c r="H98" s="2796">
        <v>50</v>
      </c>
      <c r="I98" s="2796">
        <v>83</v>
      </c>
      <c r="J98" s="2796">
        <v>95</v>
      </c>
      <c r="K98" s="2796">
        <v>0</v>
      </c>
      <c r="L98" s="2796">
        <v>91</v>
      </c>
      <c r="M98" s="2796">
        <v>71</v>
      </c>
      <c r="N98" s="2796">
        <v>36</v>
      </c>
      <c r="O98" s="2796">
        <v>0</v>
      </c>
      <c r="P98" s="2796">
        <v>62</v>
      </c>
      <c r="Q98" s="2796">
        <v>87</v>
      </c>
      <c r="R98" s="2796">
        <v>100</v>
      </c>
      <c r="S98" s="2796">
        <v>0</v>
      </c>
      <c r="T98" s="2796">
        <v>125</v>
      </c>
      <c r="U98" s="2796">
        <v>30</v>
      </c>
      <c r="V98" s="2796">
        <v>66</v>
      </c>
      <c r="W98" s="2796">
        <v>50</v>
      </c>
      <c r="X98" s="2796">
        <v>50</v>
      </c>
      <c r="Y98" s="2796">
        <v>64</v>
      </c>
      <c r="Z98" s="2796">
        <v>89</v>
      </c>
      <c r="AA98" s="2796">
        <v>54</v>
      </c>
      <c r="AB98" s="2796">
        <v>46</v>
      </c>
      <c r="AC98" s="2796">
        <v>67</v>
      </c>
      <c r="AD98" s="2796">
        <v>81</v>
      </c>
      <c r="AE98" s="2796">
        <v>50</v>
      </c>
      <c r="AF98" s="2796">
        <v>50</v>
      </c>
      <c r="AG98" s="2796">
        <v>67</v>
      </c>
      <c r="AH98" s="2796">
        <v>87</v>
      </c>
      <c r="AI98" s="2796">
        <v>55</v>
      </c>
      <c r="AJ98" s="2790">
        <f t="shared" si="5"/>
        <v>1944</v>
      </c>
      <c r="AK98" s="2790">
        <f t="shared" si="6"/>
        <v>777.6</v>
      </c>
      <c r="AL98" s="2814" t="s">
        <v>141</v>
      </c>
      <c r="AM98" s="2798"/>
    </row>
    <row r="99" spans="1:42" ht="18.75">
      <c r="A99" s="2811">
        <v>26</v>
      </c>
      <c r="B99" s="2812" t="s">
        <v>1698</v>
      </c>
      <c r="C99" s="2813"/>
      <c r="D99" s="2813" t="s">
        <v>452</v>
      </c>
      <c r="E99" s="2796">
        <v>70</v>
      </c>
      <c r="F99" s="2796">
        <v>67</v>
      </c>
      <c r="G99" s="2796">
        <v>51</v>
      </c>
      <c r="H99" s="2796">
        <v>75</v>
      </c>
      <c r="I99" s="2796">
        <v>0</v>
      </c>
      <c r="J99" s="2796">
        <v>65</v>
      </c>
      <c r="K99" s="2796">
        <v>50</v>
      </c>
      <c r="L99" s="2796">
        <v>75</v>
      </c>
      <c r="M99" s="2796">
        <v>105</v>
      </c>
      <c r="N99" s="2796">
        <v>0</v>
      </c>
      <c r="O99" s="2796">
        <v>0</v>
      </c>
      <c r="P99" s="2796">
        <v>64</v>
      </c>
      <c r="Q99" s="2796">
        <v>45</v>
      </c>
      <c r="R99" s="2796">
        <v>112</v>
      </c>
      <c r="S99" s="2796">
        <v>61</v>
      </c>
      <c r="T99" s="2796">
        <v>60</v>
      </c>
      <c r="U99" s="2796">
        <v>48</v>
      </c>
      <c r="V99" s="2796">
        <v>62</v>
      </c>
      <c r="W99" s="2796">
        <v>40</v>
      </c>
      <c r="X99" s="2796">
        <v>67</v>
      </c>
      <c r="Y99" s="2796">
        <v>54</v>
      </c>
      <c r="Z99" s="2796">
        <v>52</v>
      </c>
      <c r="AA99" s="2796">
        <v>40</v>
      </c>
      <c r="AB99" s="2796">
        <v>56</v>
      </c>
      <c r="AC99" s="2796">
        <v>25</v>
      </c>
      <c r="AD99" s="2796">
        <v>56</v>
      </c>
      <c r="AE99" s="2796">
        <v>37</v>
      </c>
      <c r="AF99" s="2796">
        <v>55</v>
      </c>
      <c r="AG99" s="2796">
        <v>58</v>
      </c>
      <c r="AH99" s="2796">
        <v>46</v>
      </c>
      <c r="AI99" s="2796">
        <v>41</v>
      </c>
      <c r="AJ99" s="2790">
        <f t="shared" si="5"/>
        <v>1637</v>
      </c>
      <c r="AK99" s="2790">
        <f t="shared" si="6"/>
        <v>654.80000000000007</v>
      </c>
      <c r="AL99" s="2814" t="s">
        <v>141</v>
      </c>
      <c r="AM99" s="2798"/>
    </row>
    <row r="100" spans="1:42" ht="18.75">
      <c r="A100" s="2807">
        <v>27</v>
      </c>
      <c r="B100" s="2812" t="s">
        <v>1699</v>
      </c>
      <c r="C100" s="2813"/>
      <c r="D100" s="2813" t="s">
        <v>452</v>
      </c>
      <c r="E100" s="2796">
        <v>70</v>
      </c>
      <c r="F100" s="2796">
        <v>110</v>
      </c>
      <c r="G100" s="2796">
        <v>58</v>
      </c>
      <c r="H100" s="2796">
        <v>50</v>
      </c>
      <c r="I100" s="2796">
        <v>84</v>
      </c>
      <c r="J100" s="2796">
        <v>95</v>
      </c>
      <c r="K100" s="2796">
        <v>0</v>
      </c>
      <c r="L100" s="2796">
        <v>91</v>
      </c>
      <c r="M100" s="2796">
        <v>70</v>
      </c>
      <c r="N100" s="2796">
        <v>35</v>
      </c>
      <c r="O100" s="2796">
        <v>0</v>
      </c>
      <c r="P100" s="2796">
        <v>62</v>
      </c>
      <c r="Q100" s="2796">
        <v>87</v>
      </c>
      <c r="R100" s="2796">
        <v>100</v>
      </c>
      <c r="S100" s="2796">
        <v>0</v>
      </c>
      <c r="T100" s="2796">
        <v>126</v>
      </c>
      <c r="U100" s="2796">
        <v>32</v>
      </c>
      <c r="V100" s="2796">
        <v>67</v>
      </c>
      <c r="W100" s="2796">
        <v>50</v>
      </c>
      <c r="X100" s="2796">
        <v>50</v>
      </c>
      <c r="Y100" s="2796">
        <v>64</v>
      </c>
      <c r="Z100" s="2796">
        <v>89</v>
      </c>
      <c r="AA100" s="2796">
        <v>54</v>
      </c>
      <c r="AB100" s="2796">
        <v>46</v>
      </c>
      <c r="AC100" s="2796">
        <v>67</v>
      </c>
      <c r="AD100" s="2796">
        <v>81</v>
      </c>
      <c r="AE100" s="2796">
        <v>50</v>
      </c>
      <c r="AF100" s="2796">
        <v>50</v>
      </c>
      <c r="AG100" s="2796">
        <v>67</v>
      </c>
      <c r="AH100" s="2796">
        <v>87</v>
      </c>
      <c r="AI100" s="2796">
        <v>55</v>
      </c>
      <c r="AJ100" s="2790">
        <f t="shared" si="5"/>
        <v>1947</v>
      </c>
      <c r="AK100" s="2790">
        <f t="shared" si="6"/>
        <v>778.80000000000007</v>
      </c>
      <c r="AL100" s="2814" t="s">
        <v>141</v>
      </c>
      <c r="AM100" s="2798"/>
    </row>
    <row r="101" spans="1:42" ht="18.75">
      <c r="A101" s="2811">
        <v>28</v>
      </c>
      <c r="B101" s="2812" t="s">
        <v>1700</v>
      </c>
      <c r="C101" s="2813"/>
      <c r="D101" s="2813" t="s">
        <v>452</v>
      </c>
      <c r="E101" s="2790">
        <v>70</v>
      </c>
      <c r="F101" s="2790">
        <v>111</v>
      </c>
      <c r="G101" s="2790">
        <v>0</v>
      </c>
      <c r="H101" s="2790">
        <v>51</v>
      </c>
      <c r="I101" s="2790">
        <v>84</v>
      </c>
      <c r="J101" s="2790">
        <v>96</v>
      </c>
      <c r="K101" s="2790">
        <v>0</v>
      </c>
      <c r="L101" s="2790">
        <v>91</v>
      </c>
      <c r="M101" s="2790">
        <v>70</v>
      </c>
      <c r="N101" s="2790">
        <v>36</v>
      </c>
      <c r="O101" s="2790">
        <v>0</v>
      </c>
      <c r="P101" s="2790">
        <v>62</v>
      </c>
      <c r="Q101" s="2790">
        <v>87</v>
      </c>
      <c r="R101" s="2790">
        <v>100</v>
      </c>
      <c r="S101" s="2790">
        <v>0</v>
      </c>
      <c r="T101" s="2790">
        <v>125</v>
      </c>
      <c r="U101" s="2790">
        <v>0</v>
      </c>
      <c r="V101" s="2790">
        <v>0</v>
      </c>
      <c r="W101" s="2790">
        <v>48</v>
      </c>
      <c r="X101" s="2790">
        <v>42</v>
      </c>
      <c r="Y101" s="2790">
        <v>64</v>
      </c>
      <c r="Z101" s="2790">
        <v>89</v>
      </c>
      <c r="AA101" s="2790">
        <v>53</v>
      </c>
      <c r="AB101" s="2790">
        <v>46</v>
      </c>
      <c r="AC101" s="2790">
        <v>69</v>
      </c>
      <c r="AD101" s="2790">
        <v>81</v>
      </c>
      <c r="AE101" s="2790">
        <v>51</v>
      </c>
      <c r="AF101" s="2790">
        <v>52</v>
      </c>
      <c r="AG101" s="2790">
        <v>66</v>
      </c>
      <c r="AH101" s="2790">
        <v>87</v>
      </c>
      <c r="AI101" s="2790">
        <v>56</v>
      </c>
      <c r="AJ101" s="2790">
        <f t="shared" si="5"/>
        <v>1787</v>
      </c>
      <c r="AK101" s="2790">
        <f t="shared" si="6"/>
        <v>714.80000000000007</v>
      </c>
      <c r="AL101" s="2814" t="s">
        <v>141</v>
      </c>
      <c r="AM101" s="2798"/>
    </row>
    <row r="102" spans="1:42" ht="18.75">
      <c r="A102" s="2807">
        <v>29</v>
      </c>
      <c r="B102" s="2812" t="s">
        <v>1701</v>
      </c>
      <c r="C102" s="2813"/>
      <c r="D102" s="2813" t="s">
        <v>452</v>
      </c>
      <c r="E102" s="2796">
        <v>0</v>
      </c>
      <c r="F102" s="2796">
        <v>59</v>
      </c>
      <c r="G102" s="2796">
        <v>0</v>
      </c>
      <c r="H102" s="2796">
        <v>59</v>
      </c>
      <c r="I102" s="2796">
        <v>40</v>
      </c>
      <c r="J102" s="2796">
        <v>72</v>
      </c>
      <c r="K102" s="2796">
        <v>71</v>
      </c>
      <c r="L102" s="2796">
        <v>65</v>
      </c>
      <c r="M102" s="2796">
        <v>49</v>
      </c>
      <c r="N102" s="2796">
        <v>40</v>
      </c>
      <c r="O102" s="2796">
        <v>62</v>
      </c>
      <c r="P102" s="2796">
        <v>103</v>
      </c>
      <c r="Q102" s="2796">
        <v>65</v>
      </c>
      <c r="R102" s="2796">
        <v>0</v>
      </c>
      <c r="S102" s="2796">
        <v>135</v>
      </c>
      <c r="T102" s="2796">
        <v>0</v>
      </c>
      <c r="U102" s="2796">
        <v>0</v>
      </c>
      <c r="V102" s="2796">
        <v>0</v>
      </c>
      <c r="W102" s="2796">
        <v>0</v>
      </c>
      <c r="X102" s="2796">
        <v>118</v>
      </c>
      <c r="Y102" s="2796">
        <v>30</v>
      </c>
      <c r="Z102" s="2796">
        <v>144</v>
      </c>
      <c r="AA102" s="2796">
        <v>0</v>
      </c>
      <c r="AB102" s="2796">
        <v>0</v>
      </c>
      <c r="AC102" s="2796">
        <v>0</v>
      </c>
      <c r="AD102" s="2796">
        <v>0</v>
      </c>
      <c r="AE102" s="2796">
        <v>135</v>
      </c>
      <c r="AF102" s="2796">
        <v>98</v>
      </c>
      <c r="AG102" s="2796">
        <v>47</v>
      </c>
      <c r="AH102" s="2796">
        <v>90</v>
      </c>
      <c r="AI102" s="2796">
        <v>96</v>
      </c>
      <c r="AJ102" s="2790">
        <f t="shared" si="5"/>
        <v>1578</v>
      </c>
      <c r="AK102" s="2790">
        <f t="shared" si="6"/>
        <v>631.20000000000005</v>
      </c>
      <c r="AL102" s="2814" t="s">
        <v>138</v>
      </c>
      <c r="AM102" s="2798"/>
    </row>
    <row r="103" spans="1:42" ht="18.75">
      <c r="A103" s="2811">
        <v>30</v>
      </c>
      <c r="B103" s="2812" t="s">
        <v>1702</v>
      </c>
      <c r="C103" s="2813"/>
      <c r="D103" s="2813" t="s">
        <v>452</v>
      </c>
      <c r="E103" s="2796">
        <v>55</v>
      </c>
      <c r="F103" s="2796">
        <v>68</v>
      </c>
      <c r="G103" s="2796">
        <v>111</v>
      </c>
      <c r="H103" s="2796">
        <v>159</v>
      </c>
      <c r="I103" s="2796">
        <v>59</v>
      </c>
      <c r="J103" s="2796">
        <v>123</v>
      </c>
      <c r="K103" s="2796">
        <v>117</v>
      </c>
      <c r="L103" s="2796">
        <v>165</v>
      </c>
      <c r="M103" s="2796">
        <v>52</v>
      </c>
      <c r="N103" s="2796">
        <v>87</v>
      </c>
      <c r="O103" s="2796">
        <v>112</v>
      </c>
      <c r="P103" s="2796">
        <v>156</v>
      </c>
      <c r="Q103" s="2796">
        <v>54</v>
      </c>
      <c r="R103" s="2796">
        <v>108</v>
      </c>
      <c r="S103" s="2796">
        <v>111</v>
      </c>
      <c r="T103" s="2796">
        <v>140</v>
      </c>
      <c r="U103" s="2796">
        <v>51</v>
      </c>
      <c r="V103" s="2796">
        <v>108</v>
      </c>
      <c r="W103" s="2796">
        <v>105</v>
      </c>
      <c r="X103" s="2796">
        <v>173</v>
      </c>
      <c r="Y103" s="2796">
        <v>26</v>
      </c>
      <c r="Z103" s="2796">
        <v>118</v>
      </c>
      <c r="AA103" s="2796">
        <v>100</v>
      </c>
      <c r="AB103" s="2796">
        <v>116</v>
      </c>
      <c r="AC103" s="2796">
        <v>35</v>
      </c>
      <c r="AD103" s="2796">
        <v>70</v>
      </c>
      <c r="AE103" s="2796">
        <v>84</v>
      </c>
      <c r="AF103" s="2796">
        <v>101</v>
      </c>
      <c r="AG103" s="2796">
        <v>49</v>
      </c>
      <c r="AH103" s="2796">
        <v>72</v>
      </c>
      <c r="AI103" s="2796">
        <v>210</v>
      </c>
      <c r="AJ103" s="2790">
        <f t="shared" si="5"/>
        <v>3095</v>
      </c>
      <c r="AK103" s="2790">
        <f t="shared" si="6"/>
        <v>1238</v>
      </c>
      <c r="AL103" s="2814" t="s">
        <v>141</v>
      </c>
      <c r="AM103" s="2798"/>
    </row>
    <row r="104" spans="1:42" ht="18.75">
      <c r="A104" s="2807">
        <v>31</v>
      </c>
      <c r="B104" s="2812" t="s">
        <v>1536</v>
      </c>
      <c r="C104" s="2813"/>
      <c r="D104" s="2813" t="s">
        <v>452</v>
      </c>
      <c r="E104" s="2796">
        <v>75</v>
      </c>
      <c r="F104" s="2796">
        <v>80</v>
      </c>
      <c r="G104" s="2796">
        <v>134</v>
      </c>
      <c r="H104" s="2796">
        <v>113</v>
      </c>
      <c r="I104" s="2796">
        <v>75</v>
      </c>
      <c r="J104" s="2796">
        <v>70</v>
      </c>
      <c r="K104" s="2796">
        <v>129</v>
      </c>
      <c r="L104" s="2796">
        <v>101</v>
      </c>
      <c r="M104" s="2796">
        <v>66</v>
      </c>
      <c r="N104" s="2796">
        <v>74</v>
      </c>
      <c r="O104" s="2796">
        <v>136</v>
      </c>
      <c r="P104" s="2796">
        <v>104</v>
      </c>
      <c r="Q104" s="2796">
        <v>65</v>
      </c>
      <c r="R104" s="2796">
        <v>78</v>
      </c>
      <c r="S104" s="2796">
        <v>117</v>
      </c>
      <c r="T104" s="2796">
        <v>91</v>
      </c>
      <c r="U104" s="2796">
        <v>65</v>
      </c>
      <c r="V104" s="2796">
        <v>72</v>
      </c>
      <c r="W104" s="2796">
        <v>115</v>
      </c>
      <c r="X104" s="2796">
        <v>89</v>
      </c>
      <c r="Y104" s="2796">
        <v>50</v>
      </c>
      <c r="Z104" s="2796">
        <v>61</v>
      </c>
      <c r="AA104" s="2796">
        <v>110</v>
      </c>
      <c r="AB104" s="2796">
        <v>80</v>
      </c>
      <c r="AC104" s="2796">
        <v>53</v>
      </c>
      <c r="AD104" s="2796">
        <v>55</v>
      </c>
      <c r="AE104" s="2796">
        <v>101</v>
      </c>
      <c r="AF104" s="2796">
        <v>81</v>
      </c>
      <c r="AG104" s="2796">
        <v>53</v>
      </c>
      <c r="AH104" s="2796">
        <v>61</v>
      </c>
      <c r="AI104" s="2796">
        <v>104</v>
      </c>
      <c r="AJ104" s="2790">
        <f t="shared" si="5"/>
        <v>2658</v>
      </c>
      <c r="AK104" s="2790">
        <f t="shared" si="6"/>
        <v>1063.2</v>
      </c>
      <c r="AL104" s="2814" t="s">
        <v>138</v>
      </c>
      <c r="AM104" s="2798"/>
    </row>
    <row r="105" spans="1:42" ht="18.75">
      <c r="A105" s="2811">
        <v>32</v>
      </c>
      <c r="B105" s="2812" t="s">
        <v>1703</v>
      </c>
      <c r="C105" s="2813"/>
      <c r="D105" s="2813" t="s">
        <v>452</v>
      </c>
      <c r="E105" s="2796">
        <v>75</v>
      </c>
      <c r="F105" s="2796">
        <v>80</v>
      </c>
      <c r="G105" s="2796">
        <v>134</v>
      </c>
      <c r="H105" s="2796">
        <v>113</v>
      </c>
      <c r="I105" s="2796">
        <v>75</v>
      </c>
      <c r="J105" s="2796">
        <v>71</v>
      </c>
      <c r="K105" s="2796">
        <v>129</v>
      </c>
      <c r="L105" s="2796">
        <v>102</v>
      </c>
      <c r="M105" s="2796">
        <v>67</v>
      </c>
      <c r="N105" s="2796">
        <v>74</v>
      </c>
      <c r="O105" s="2796">
        <v>136</v>
      </c>
      <c r="P105" s="2796">
        <v>104</v>
      </c>
      <c r="Q105" s="2796">
        <v>65</v>
      </c>
      <c r="R105" s="2796">
        <v>78</v>
      </c>
      <c r="S105" s="2796">
        <v>118</v>
      </c>
      <c r="T105" s="2796">
        <v>92</v>
      </c>
      <c r="U105" s="2796">
        <v>66</v>
      </c>
      <c r="V105" s="2796">
        <v>72</v>
      </c>
      <c r="W105" s="2796">
        <v>115</v>
      </c>
      <c r="X105" s="2796">
        <v>89</v>
      </c>
      <c r="Y105" s="2796">
        <v>50</v>
      </c>
      <c r="Z105" s="2796">
        <v>61</v>
      </c>
      <c r="AA105" s="2796">
        <v>110</v>
      </c>
      <c r="AB105" s="2796">
        <v>80</v>
      </c>
      <c r="AC105" s="2796">
        <v>53</v>
      </c>
      <c r="AD105" s="2796">
        <v>55</v>
      </c>
      <c r="AE105" s="2796">
        <v>101</v>
      </c>
      <c r="AF105" s="2796">
        <v>82</v>
      </c>
      <c r="AG105" s="2796">
        <v>53</v>
      </c>
      <c r="AH105" s="2796">
        <v>62</v>
      </c>
      <c r="AI105" s="2796">
        <v>104</v>
      </c>
      <c r="AJ105" s="2790">
        <f t="shared" si="5"/>
        <v>2666</v>
      </c>
      <c r="AK105" s="2790">
        <f t="shared" si="6"/>
        <v>1066.4000000000001</v>
      </c>
      <c r="AL105" s="2814" t="s">
        <v>141</v>
      </c>
      <c r="AM105" s="2798"/>
    </row>
    <row r="106" spans="1:42" ht="18.75">
      <c r="A106" s="2807">
        <v>33</v>
      </c>
      <c r="B106" s="2812" t="s">
        <v>1500</v>
      </c>
      <c r="C106" s="2813"/>
      <c r="D106" s="2813" t="s">
        <v>452</v>
      </c>
      <c r="E106" s="2796">
        <v>76</v>
      </c>
      <c r="F106" s="2796">
        <v>80</v>
      </c>
      <c r="G106" s="2796">
        <v>134</v>
      </c>
      <c r="H106" s="2796">
        <v>113</v>
      </c>
      <c r="I106" s="2796">
        <v>75</v>
      </c>
      <c r="J106" s="2796">
        <v>71</v>
      </c>
      <c r="K106" s="2796">
        <v>130</v>
      </c>
      <c r="L106" s="2796">
        <v>101</v>
      </c>
      <c r="M106" s="2796">
        <v>67</v>
      </c>
      <c r="N106" s="2796">
        <v>74</v>
      </c>
      <c r="O106" s="2796">
        <v>136</v>
      </c>
      <c r="P106" s="2796">
        <v>105</v>
      </c>
      <c r="Q106" s="2796">
        <v>66</v>
      </c>
      <c r="R106" s="2796">
        <v>78</v>
      </c>
      <c r="S106" s="2796">
        <v>118</v>
      </c>
      <c r="T106" s="2796">
        <v>91</v>
      </c>
      <c r="U106" s="2796">
        <v>66</v>
      </c>
      <c r="V106" s="2796">
        <v>73</v>
      </c>
      <c r="W106" s="2796">
        <v>116</v>
      </c>
      <c r="X106" s="2796">
        <v>88</v>
      </c>
      <c r="Y106" s="2796">
        <v>56</v>
      </c>
      <c r="Z106" s="2796">
        <v>62</v>
      </c>
      <c r="AA106" s="2796">
        <v>106</v>
      </c>
      <c r="AB106" s="2796">
        <v>82</v>
      </c>
      <c r="AC106" s="2796">
        <v>52</v>
      </c>
      <c r="AD106" s="2796">
        <v>53</v>
      </c>
      <c r="AE106" s="2796">
        <v>102</v>
      </c>
      <c r="AF106" s="2796">
        <v>82</v>
      </c>
      <c r="AG106" s="2796">
        <v>53</v>
      </c>
      <c r="AH106" s="2796">
        <v>62</v>
      </c>
      <c r="AI106" s="2796">
        <v>104</v>
      </c>
      <c r="AJ106" s="2790">
        <f t="shared" si="5"/>
        <v>2672</v>
      </c>
      <c r="AK106" s="2790">
        <f t="shared" si="6"/>
        <v>1068.8</v>
      </c>
      <c r="AL106" s="2814" t="s">
        <v>141</v>
      </c>
      <c r="AM106" s="2798"/>
    </row>
    <row r="107" spans="1:42" ht="18.75">
      <c r="A107" s="2811">
        <v>34</v>
      </c>
      <c r="B107" s="2812" t="s">
        <v>1704</v>
      </c>
      <c r="C107" s="2813"/>
      <c r="D107" s="2813" t="s">
        <v>452</v>
      </c>
      <c r="E107" s="2796">
        <v>52</v>
      </c>
      <c r="F107" s="2796">
        <v>68</v>
      </c>
      <c r="G107" s="2796">
        <v>75</v>
      </c>
      <c r="H107" s="2796">
        <v>95</v>
      </c>
      <c r="I107" s="2796">
        <v>52</v>
      </c>
      <c r="J107" s="2796">
        <v>68</v>
      </c>
      <c r="K107" s="2796">
        <v>75</v>
      </c>
      <c r="L107" s="2796">
        <v>70</v>
      </c>
      <c r="M107" s="2796">
        <v>52</v>
      </c>
      <c r="N107" s="2796">
        <v>42</v>
      </c>
      <c r="O107" s="2796">
        <v>78</v>
      </c>
      <c r="P107" s="2796">
        <v>120</v>
      </c>
      <c r="Q107" s="2796">
        <v>51</v>
      </c>
      <c r="R107" s="2796">
        <v>69</v>
      </c>
      <c r="S107" s="2796">
        <v>0</v>
      </c>
      <c r="T107" s="2796">
        <v>79</v>
      </c>
      <c r="U107" s="2796">
        <v>0</v>
      </c>
      <c r="V107" s="2796">
        <v>70</v>
      </c>
      <c r="W107" s="2796">
        <v>110</v>
      </c>
      <c r="X107" s="2796">
        <v>73</v>
      </c>
      <c r="Y107" s="2796">
        <v>41</v>
      </c>
      <c r="Z107" s="2796">
        <v>63</v>
      </c>
      <c r="AA107" s="2796">
        <v>75</v>
      </c>
      <c r="AB107" s="2796">
        <v>76</v>
      </c>
      <c r="AC107" s="2796">
        <v>40</v>
      </c>
      <c r="AD107" s="2796">
        <v>63</v>
      </c>
      <c r="AE107" s="2796">
        <v>75</v>
      </c>
      <c r="AF107" s="2796">
        <v>102</v>
      </c>
      <c r="AG107" s="2796">
        <v>41</v>
      </c>
      <c r="AH107" s="2796">
        <v>65</v>
      </c>
      <c r="AI107" s="2796">
        <v>75</v>
      </c>
      <c r="AJ107" s="2790">
        <f t="shared" si="5"/>
        <v>2015</v>
      </c>
      <c r="AK107" s="2790">
        <f t="shared" si="6"/>
        <v>806</v>
      </c>
      <c r="AL107" s="2814" t="s">
        <v>138</v>
      </c>
      <c r="AM107" s="2798"/>
    </row>
    <row r="108" spans="1:42" ht="18.75">
      <c r="A108" s="2807">
        <v>35</v>
      </c>
      <c r="B108" s="2812" t="s">
        <v>1504</v>
      </c>
      <c r="C108" s="2813"/>
      <c r="D108" s="2813" t="s">
        <v>452</v>
      </c>
      <c r="E108" s="2796">
        <v>179</v>
      </c>
      <c r="F108" s="2796">
        <v>75</v>
      </c>
      <c r="G108" s="2796">
        <v>53</v>
      </c>
      <c r="H108" s="2796">
        <v>0</v>
      </c>
      <c r="I108" s="2796">
        <v>115</v>
      </c>
      <c r="J108" s="2796">
        <v>0</v>
      </c>
      <c r="K108" s="2796">
        <v>0</v>
      </c>
      <c r="L108" s="2796">
        <v>0</v>
      </c>
      <c r="M108" s="2796">
        <v>75</v>
      </c>
      <c r="N108" s="2796">
        <v>120</v>
      </c>
      <c r="O108" s="2796">
        <v>174</v>
      </c>
      <c r="P108" s="2796">
        <v>100</v>
      </c>
      <c r="Q108" s="2796">
        <v>207</v>
      </c>
      <c r="R108" s="2796">
        <v>128</v>
      </c>
      <c r="S108" s="2796">
        <v>0</v>
      </c>
      <c r="T108" s="2796">
        <v>144</v>
      </c>
      <c r="U108" s="2796">
        <v>0</v>
      </c>
      <c r="V108" s="2796">
        <v>90</v>
      </c>
      <c r="W108" s="2796">
        <v>0</v>
      </c>
      <c r="X108" s="2796">
        <v>100</v>
      </c>
      <c r="Y108" s="2796">
        <v>163</v>
      </c>
      <c r="Z108" s="2796">
        <v>100</v>
      </c>
      <c r="AA108" s="2796">
        <v>84</v>
      </c>
      <c r="AB108" s="2796">
        <v>69</v>
      </c>
      <c r="AC108" s="2796">
        <v>78</v>
      </c>
      <c r="AD108" s="2796">
        <v>118</v>
      </c>
      <c r="AE108" s="2796">
        <v>0</v>
      </c>
      <c r="AF108" s="2796">
        <v>200</v>
      </c>
      <c r="AG108" s="2796">
        <v>57</v>
      </c>
      <c r="AH108" s="2796">
        <v>0</v>
      </c>
      <c r="AI108" s="2796">
        <v>103</v>
      </c>
      <c r="AJ108" s="2790">
        <f t="shared" si="5"/>
        <v>2532</v>
      </c>
      <c r="AK108" s="2790">
        <f t="shared" si="6"/>
        <v>1012.8000000000001</v>
      </c>
      <c r="AL108" s="2814" t="s">
        <v>141</v>
      </c>
      <c r="AM108" s="2798"/>
    </row>
    <row r="109" spans="1:42" ht="18.75">
      <c r="A109" s="2811">
        <v>36</v>
      </c>
      <c r="B109" s="2812" t="s">
        <v>1537</v>
      </c>
      <c r="C109" s="2813"/>
      <c r="D109" s="2813" t="s">
        <v>452</v>
      </c>
      <c r="E109" s="2796">
        <v>52</v>
      </c>
      <c r="F109" s="2796">
        <v>68</v>
      </c>
      <c r="G109" s="2796">
        <v>75</v>
      </c>
      <c r="H109" s="2796">
        <v>95</v>
      </c>
      <c r="I109" s="2796">
        <v>52</v>
      </c>
      <c r="J109" s="2796">
        <v>68</v>
      </c>
      <c r="K109" s="2796">
        <v>75</v>
      </c>
      <c r="L109" s="2796">
        <v>71</v>
      </c>
      <c r="M109" s="2796">
        <v>50</v>
      </c>
      <c r="N109" s="2796">
        <v>87</v>
      </c>
      <c r="O109" s="2796">
        <v>88</v>
      </c>
      <c r="P109" s="2796">
        <v>119</v>
      </c>
      <c r="Q109" s="2796">
        <v>51</v>
      </c>
      <c r="R109" s="2796">
        <v>70</v>
      </c>
      <c r="S109" s="2796">
        <v>0</v>
      </c>
      <c r="T109" s="2796">
        <v>78</v>
      </c>
      <c r="U109" s="2796">
        <v>35</v>
      </c>
      <c r="V109" s="2796">
        <v>70</v>
      </c>
      <c r="W109" s="2796">
        <v>111</v>
      </c>
      <c r="X109" s="2796">
        <v>72</v>
      </c>
      <c r="Y109" s="2796">
        <v>41</v>
      </c>
      <c r="Z109" s="2796">
        <v>63</v>
      </c>
      <c r="AA109" s="2796">
        <v>75</v>
      </c>
      <c r="AB109" s="2796">
        <v>76</v>
      </c>
      <c r="AC109" s="2796">
        <v>40</v>
      </c>
      <c r="AD109" s="2796">
        <v>63</v>
      </c>
      <c r="AE109" s="2796">
        <v>74</v>
      </c>
      <c r="AF109" s="2796">
        <v>101</v>
      </c>
      <c r="AG109" s="2796">
        <v>40</v>
      </c>
      <c r="AH109" s="2796">
        <v>64</v>
      </c>
      <c r="AI109" s="2796">
        <v>75</v>
      </c>
      <c r="AJ109" s="2790">
        <f t="shared" si="5"/>
        <v>2099</v>
      </c>
      <c r="AK109" s="2790">
        <f t="shared" si="6"/>
        <v>839.6</v>
      </c>
      <c r="AL109" s="2814" t="s">
        <v>141</v>
      </c>
      <c r="AM109" s="2798"/>
    </row>
    <row r="110" spans="1:42" ht="18.75">
      <c r="A110" s="2807">
        <v>37</v>
      </c>
      <c r="B110" s="2812" t="s">
        <v>1501</v>
      </c>
      <c r="C110" s="2813"/>
      <c r="D110" s="2813" t="s">
        <v>452</v>
      </c>
      <c r="E110" s="2796">
        <v>52</v>
      </c>
      <c r="F110" s="2796">
        <v>69</v>
      </c>
      <c r="G110" s="2796">
        <v>75</v>
      </c>
      <c r="H110" s="2796">
        <v>96</v>
      </c>
      <c r="I110" s="2796">
        <v>52</v>
      </c>
      <c r="J110" s="2796">
        <v>70</v>
      </c>
      <c r="K110" s="2796">
        <v>75</v>
      </c>
      <c r="L110" s="2796">
        <v>71</v>
      </c>
      <c r="M110" s="2796">
        <v>51</v>
      </c>
      <c r="N110" s="2796">
        <v>44</v>
      </c>
      <c r="O110" s="2796">
        <v>88</v>
      </c>
      <c r="P110" s="2796">
        <v>119</v>
      </c>
      <c r="Q110" s="2796">
        <v>52</v>
      </c>
      <c r="R110" s="2796">
        <v>69</v>
      </c>
      <c r="S110" s="2796">
        <v>0</v>
      </c>
      <c r="T110" s="2796">
        <v>78</v>
      </c>
      <c r="U110" s="2796">
        <v>40</v>
      </c>
      <c r="V110" s="2796">
        <v>70</v>
      </c>
      <c r="W110" s="2796">
        <v>111</v>
      </c>
      <c r="X110" s="2796">
        <v>72</v>
      </c>
      <c r="Y110" s="2796">
        <v>41</v>
      </c>
      <c r="Z110" s="2796">
        <v>63</v>
      </c>
      <c r="AA110" s="2796">
        <v>74</v>
      </c>
      <c r="AB110" s="2796">
        <v>77</v>
      </c>
      <c r="AC110" s="2796">
        <v>40</v>
      </c>
      <c r="AD110" s="2796">
        <v>62</v>
      </c>
      <c r="AE110" s="2796">
        <v>75</v>
      </c>
      <c r="AF110" s="2796">
        <v>101</v>
      </c>
      <c r="AG110" s="2796">
        <v>40</v>
      </c>
      <c r="AH110" s="2796">
        <v>65</v>
      </c>
      <c r="AI110" s="2796">
        <v>75</v>
      </c>
      <c r="AJ110" s="2790">
        <f t="shared" si="5"/>
        <v>2067</v>
      </c>
      <c r="AK110" s="2790">
        <f t="shared" si="6"/>
        <v>826.80000000000007</v>
      </c>
      <c r="AL110" s="2814" t="s">
        <v>141</v>
      </c>
      <c r="AM110" s="2798"/>
    </row>
    <row r="111" spans="1:42" ht="18.75">
      <c r="A111" s="2811">
        <v>38</v>
      </c>
      <c r="B111" s="2812" t="s">
        <v>1502</v>
      </c>
      <c r="C111" s="2813"/>
      <c r="D111" s="2813" t="s">
        <v>452</v>
      </c>
      <c r="E111" s="2796">
        <v>50</v>
      </c>
      <c r="F111" s="2796">
        <v>65</v>
      </c>
      <c r="G111" s="2796">
        <v>50</v>
      </c>
      <c r="H111" s="2796">
        <v>90</v>
      </c>
      <c r="I111" s="2796">
        <v>51</v>
      </c>
      <c r="J111" s="2796">
        <v>0</v>
      </c>
      <c r="K111" s="2796">
        <v>50</v>
      </c>
      <c r="L111" s="2796">
        <v>85</v>
      </c>
      <c r="M111" s="2796">
        <v>42</v>
      </c>
      <c r="N111" s="2796">
        <v>98</v>
      </c>
      <c r="O111" s="2796">
        <v>0</v>
      </c>
      <c r="P111" s="2796">
        <v>80</v>
      </c>
      <c r="Q111" s="2796">
        <v>37</v>
      </c>
      <c r="R111" s="2796">
        <v>88</v>
      </c>
      <c r="S111" s="2796">
        <v>55</v>
      </c>
      <c r="T111" s="2796">
        <v>100</v>
      </c>
      <c r="U111" s="2796">
        <v>37</v>
      </c>
      <c r="V111" s="2796">
        <v>60</v>
      </c>
      <c r="W111" s="2796">
        <v>60</v>
      </c>
      <c r="X111" s="2796">
        <v>82</v>
      </c>
      <c r="Y111" s="2796">
        <v>29</v>
      </c>
      <c r="Z111" s="2796">
        <v>67</v>
      </c>
      <c r="AA111" s="2796">
        <v>42</v>
      </c>
      <c r="AB111" s="2796">
        <v>0</v>
      </c>
      <c r="AC111" s="2796">
        <v>26</v>
      </c>
      <c r="AD111" s="2796">
        <v>61</v>
      </c>
      <c r="AE111" s="2796">
        <v>33</v>
      </c>
      <c r="AF111" s="2796">
        <v>73</v>
      </c>
      <c r="AG111" s="2796">
        <v>28</v>
      </c>
      <c r="AH111" s="2796">
        <v>68</v>
      </c>
      <c r="AI111" s="2796">
        <v>46</v>
      </c>
      <c r="AJ111" s="2790">
        <f t="shared" si="5"/>
        <v>1653</v>
      </c>
      <c r="AK111" s="2790">
        <f t="shared" si="6"/>
        <v>661.2</v>
      </c>
      <c r="AL111" s="2814" t="s">
        <v>141</v>
      </c>
      <c r="AM111" s="2798"/>
      <c r="AP111">
        <f>+COUNTIF(AL74:AL135,"A")</f>
        <v>53</v>
      </c>
    </row>
    <row r="112" spans="1:42" ht="18.75">
      <c r="A112" s="2807">
        <v>39</v>
      </c>
      <c r="B112" s="2812" t="s">
        <v>1705</v>
      </c>
      <c r="C112" s="2813"/>
      <c r="D112" s="2813" t="s">
        <v>452</v>
      </c>
      <c r="E112" s="2796">
        <v>101</v>
      </c>
      <c r="F112" s="2796">
        <v>51</v>
      </c>
      <c r="G112" s="2796">
        <v>68</v>
      </c>
      <c r="H112" s="2796">
        <v>107</v>
      </c>
      <c r="I112" s="2796">
        <v>79</v>
      </c>
      <c r="J112" s="2796">
        <v>135</v>
      </c>
      <c r="K112" s="2796">
        <v>82</v>
      </c>
      <c r="L112" s="2796">
        <v>169</v>
      </c>
      <c r="M112" s="2796">
        <v>66</v>
      </c>
      <c r="N112" s="2796">
        <v>102</v>
      </c>
      <c r="O112" s="2796">
        <v>70</v>
      </c>
      <c r="P112" s="2796">
        <v>136</v>
      </c>
      <c r="Q112" s="2796">
        <v>82</v>
      </c>
      <c r="R112" s="2796">
        <v>139</v>
      </c>
      <c r="S112" s="2796">
        <v>87</v>
      </c>
      <c r="T112" s="2796">
        <v>109</v>
      </c>
      <c r="U112" s="2796">
        <v>81</v>
      </c>
      <c r="V112" s="2796">
        <v>121</v>
      </c>
      <c r="W112" s="2796">
        <v>90</v>
      </c>
      <c r="X112" s="2796">
        <v>94</v>
      </c>
      <c r="Y112" s="2796">
        <v>58</v>
      </c>
      <c r="Z112" s="2796">
        <v>110</v>
      </c>
      <c r="AA112" s="2796">
        <v>76</v>
      </c>
      <c r="AB112" s="2796">
        <v>90</v>
      </c>
      <c r="AC112" s="2796">
        <v>87</v>
      </c>
      <c r="AD112" s="2796">
        <v>91</v>
      </c>
      <c r="AE112" s="2796">
        <v>67</v>
      </c>
      <c r="AF112" s="2796">
        <v>89</v>
      </c>
      <c r="AG112" s="2796">
        <v>57</v>
      </c>
      <c r="AH112" s="2796">
        <v>107</v>
      </c>
      <c r="AI112" s="2796">
        <v>61</v>
      </c>
      <c r="AJ112" s="2790">
        <f t="shared" si="5"/>
        <v>2862</v>
      </c>
      <c r="AK112" s="2790">
        <f t="shared" si="6"/>
        <v>1144.8</v>
      </c>
      <c r="AL112" s="2814" t="s">
        <v>141</v>
      </c>
      <c r="AM112" s="2798"/>
    </row>
    <row r="113" spans="1:39" ht="18.75">
      <c r="A113" s="2811">
        <v>40</v>
      </c>
      <c r="B113" s="2812" t="s">
        <v>1706</v>
      </c>
      <c r="C113" s="2813"/>
      <c r="D113" s="2813" t="s">
        <v>452</v>
      </c>
      <c r="E113" s="2796">
        <v>75</v>
      </c>
      <c r="F113" s="2796">
        <v>61</v>
      </c>
      <c r="G113" s="2796">
        <v>60</v>
      </c>
      <c r="H113" s="2796">
        <v>0</v>
      </c>
      <c r="I113" s="2796">
        <v>0</v>
      </c>
      <c r="J113" s="2796">
        <v>0</v>
      </c>
      <c r="K113" s="2796">
        <v>52</v>
      </c>
      <c r="L113" s="2796">
        <v>0</v>
      </c>
      <c r="M113" s="2796">
        <v>0</v>
      </c>
      <c r="N113" s="2796">
        <v>0</v>
      </c>
      <c r="O113" s="2796">
        <v>63</v>
      </c>
      <c r="P113" s="2796">
        <v>136</v>
      </c>
      <c r="Q113" s="2796">
        <v>64</v>
      </c>
      <c r="R113" s="2796">
        <v>214</v>
      </c>
      <c r="S113" s="2796">
        <v>71</v>
      </c>
      <c r="T113" s="2796">
        <v>109</v>
      </c>
      <c r="U113" s="2796">
        <v>51</v>
      </c>
      <c r="V113" s="2796">
        <v>114</v>
      </c>
      <c r="W113" s="2796">
        <v>43</v>
      </c>
      <c r="X113" s="2796">
        <v>118</v>
      </c>
      <c r="Y113" s="2796">
        <v>50</v>
      </c>
      <c r="Z113" s="2796">
        <v>171</v>
      </c>
      <c r="AA113" s="2796">
        <v>59</v>
      </c>
      <c r="AB113" s="2796">
        <v>76</v>
      </c>
      <c r="AC113" s="2796">
        <v>45</v>
      </c>
      <c r="AD113" s="2796">
        <v>181</v>
      </c>
      <c r="AE113" s="2796">
        <v>60</v>
      </c>
      <c r="AF113" s="2796">
        <v>118</v>
      </c>
      <c r="AG113" s="2796">
        <v>59</v>
      </c>
      <c r="AH113" s="2796">
        <v>192</v>
      </c>
      <c r="AI113" s="2796">
        <v>60</v>
      </c>
      <c r="AJ113" s="2790">
        <f t="shared" si="5"/>
        <v>2302</v>
      </c>
      <c r="AK113" s="2790">
        <f t="shared" si="6"/>
        <v>920.80000000000007</v>
      </c>
      <c r="AL113" s="2814" t="s">
        <v>141</v>
      </c>
      <c r="AM113" s="2798"/>
    </row>
    <row r="114" spans="1:39" ht="18.75">
      <c r="A114" s="2807">
        <v>41</v>
      </c>
      <c r="B114" s="2812" t="s">
        <v>1707</v>
      </c>
      <c r="C114" s="2813"/>
      <c r="D114" s="2813" t="s">
        <v>452</v>
      </c>
      <c r="E114" s="2796">
        <v>81</v>
      </c>
      <c r="F114" s="2796">
        <v>68</v>
      </c>
      <c r="G114" s="2796">
        <v>124</v>
      </c>
      <c r="H114" s="2796">
        <v>131</v>
      </c>
      <c r="I114" s="2796">
        <v>63</v>
      </c>
      <c r="J114" s="2796">
        <v>78</v>
      </c>
      <c r="K114" s="2796">
        <v>88</v>
      </c>
      <c r="L114" s="2796">
        <v>110</v>
      </c>
      <c r="M114" s="2796">
        <v>55</v>
      </c>
      <c r="N114" s="2796">
        <v>52</v>
      </c>
      <c r="O114" s="2796">
        <v>60</v>
      </c>
      <c r="P114" s="2796">
        <v>118</v>
      </c>
      <c r="Q114" s="2796">
        <v>50</v>
      </c>
      <c r="R114" s="2796">
        <v>102</v>
      </c>
      <c r="S114" s="2796">
        <v>0</v>
      </c>
      <c r="T114" s="2796">
        <v>84</v>
      </c>
      <c r="U114" s="2796">
        <v>32</v>
      </c>
      <c r="V114" s="2796">
        <v>112</v>
      </c>
      <c r="W114" s="2796">
        <v>67</v>
      </c>
      <c r="X114" s="2796">
        <v>103</v>
      </c>
      <c r="Y114" s="2796">
        <v>41</v>
      </c>
      <c r="Z114" s="2796">
        <v>84</v>
      </c>
      <c r="AA114" s="2796">
        <v>72</v>
      </c>
      <c r="AB114" s="2796">
        <v>0</v>
      </c>
      <c r="AC114" s="2796">
        <v>36</v>
      </c>
      <c r="AD114" s="2796">
        <v>70</v>
      </c>
      <c r="AE114" s="2796">
        <v>76</v>
      </c>
      <c r="AF114" s="2796">
        <v>0</v>
      </c>
      <c r="AG114" s="2796">
        <v>46</v>
      </c>
      <c r="AH114" s="2796">
        <v>99</v>
      </c>
      <c r="AI114" s="2796">
        <v>58</v>
      </c>
      <c r="AJ114" s="2790">
        <f t="shared" si="5"/>
        <v>2160</v>
      </c>
      <c r="AK114" s="2790">
        <f t="shared" si="6"/>
        <v>864</v>
      </c>
      <c r="AL114" s="2814" t="s">
        <v>141</v>
      </c>
      <c r="AM114" s="2798"/>
    </row>
    <row r="115" spans="1:39" ht="18.75">
      <c r="A115" s="2811">
        <v>42</v>
      </c>
      <c r="B115" s="2812" t="s">
        <v>1708</v>
      </c>
      <c r="C115" s="2813"/>
      <c r="D115" s="2813" t="s">
        <v>452</v>
      </c>
      <c r="E115" s="2796">
        <v>51</v>
      </c>
      <c r="F115" s="2796">
        <v>0</v>
      </c>
      <c r="G115" s="2796">
        <v>0</v>
      </c>
      <c r="H115" s="2796">
        <v>0</v>
      </c>
      <c r="I115" s="2796">
        <v>56</v>
      </c>
      <c r="J115" s="2796">
        <v>0</v>
      </c>
      <c r="K115" s="2796">
        <v>0</v>
      </c>
      <c r="L115" s="2796">
        <v>0</v>
      </c>
      <c r="M115" s="2796">
        <v>51</v>
      </c>
      <c r="N115" s="2796">
        <v>85</v>
      </c>
      <c r="O115" s="2796">
        <v>0</v>
      </c>
      <c r="P115" s="2796">
        <v>64</v>
      </c>
      <c r="Q115" s="2796">
        <v>0</v>
      </c>
      <c r="R115" s="2796">
        <v>69</v>
      </c>
      <c r="S115" s="2796">
        <v>0</v>
      </c>
      <c r="T115" s="2796">
        <v>65</v>
      </c>
      <c r="U115" s="2796">
        <v>0</v>
      </c>
      <c r="V115" s="2796">
        <v>0</v>
      </c>
      <c r="W115" s="2796">
        <v>0</v>
      </c>
      <c r="X115" s="2796">
        <v>0</v>
      </c>
      <c r="Y115" s="2796">
        <v>67</v>
      </c>
      <c r="Z115" s="2796">
        <v>72</v>
      </c>
      <c r="AA115" s="2796">
        <v>50</v>
      </c>
      <c r="AB115" s="2796">
        <v>81</v>
      </c>
      <c r="AC115" s="2796">
        <v>35</v>
      </c>
      <c r="AD115" s="2796">
        <v>67</v>
      </c>
      <c r="AE115" s="2796">
        <v>40</v>
      </c>
      <c r="AF115" s="2796">
        <v>75</v>
      </c>
      <c r="AG115" s="2796">
        <v>0</v>
      </c>
      <c r="AH115" s="2796">
        <v>65</v>
      </c>
      <c r="AI115" s="2796">
        <v>49</v>
      </c>
      <c r="AJ115" s="2790">
        <f t="shared" si="5"/>
        <v>1042</v>
      </c>
      <c r="AK115" s="2790">
        <f t="shared" si="6"/>
        <v>416.8</v>
      </c>
      <c r="AL115" s="2814" t="s">
        <v>138</v>
      </c>
      <c r="AM115" s="2798"/>
    </row>
    <row r="116" spans="1:39" ht="18.75">
      <c r="A116" s="2807">
        <v>43</v>
      </c>
      <c r="B116" s="2812" t="s">
        <v>1505</v>
      </c>
      <c r="C116" s="2813"/>
      <c r="D116" s="2813" t="s">
        <v>452</v>
      </c>
      <c r="E116" s="2796">
        <v>88</v>
      </c>
      <c r="F116" s="2796">
        <v>90</v>
      </c>
      <c r="G116" s="2796">
        <v>82</v>
      </c>
      <c r="H116" s="2796">
        <v>119</v>
      </c>
      <c r="I116" s="2796">
        <v>76</v>
      </c>
      <c r="J116" s="2796">
        <v>96</v>
      </c>
      <c r="K116" s="2796">
        <v>118</v>
      </c>
      <c r="L116" s="2796">
        <v>106</v>
      </c>
      <c r="M116" s="2796">
        <v>76</v>
      </c>
      <c r="N116" s="2796">
        <v>90</v>
      </c>
      <c r="O116" s="2796">
        <v>112</v>
      </c>
      <c r="P116" s="2796">
        <v>103</v>
      </c>
      <c r="Q116" s="2796">
        <v>86</v>
      </c>
      <c r="R116" s="2796">
        <v>102</v>
      </c>
      <c r="S116" s="2796">
        <v>98</v>
      </c>
      <c r="T116" s="2796">
        <v>84</v>
      </c>
      <c r="U116" s="2796">
        <v>68</v>
      </c>
      <c r="V116" s="2796">
        <v>93</v>
      </c>
      <c r="W116" s="2796">
        <v>89</v>
      </c>
      <c r="X116" s="2796">
        <v>90</v>
      </c>
      <c r="Y116" s="2796">
        <v>75</v>
      </c>
      <c r="Z116" s="2796">
        <v>94</v>
      </c>
      <c r="AA116" s="2796">
        <v>101</v>
      </c>
      <c r="AB116" s="2796">
        <v>78</v>
      </c>
      <c r="AC116" s="2796">
        <v>69</v>
      </c>
      <c r="AD116" s="2796">
        <v>92</v>
      </c>
      <c r="AE116" s="2796">
        <v>89</v>
      </c>
      <c r="AF116" s="2796">
        <v>77</v>
      </c>
      <c r="AG116" s="2796">
        <v>73</v>
      </c>
      <c r="AH116" s="2796">
        <v>92</v>
      </c>
      <c r="AI116" s="2796">
        <v>97</v>
      </c>
      <c r="AJ116" s="2790">
        <f t="shared" si="5"/>
        <v>2803</v>
      </c>
      <c r="AK116" s="2790">
        <f t="shared" si="6"/>
        <v>1121.2</v>
      </c>
      <c r="AL116" s="2814" t="s">
        <v>141</v>
      </c>
      <c r="AM116" s="2798"/>
    </row>
    <row r="117" spans="1:39" ht="18.75">
      <c r="A117" s="2811">
        <v>44</v>
      </c>
      <c r="B117" s="2812" t="s">
        <v>1075</v>
      </c>
      <c r="C117" s="2813"/>
      <c r="D117" s="2813" t="s">
        <v>452</v>
      </c>
      <c r="E117" s="2796">
        <v>113</v>
      </c>
      <c r="F117" s="2796">
        <v>102</v>
      </c>
      <c r="G117" s="2796">
        <v>118</v>
      </c>
      <c r="H117" s="2796">
        <v>117</v>
      </c>
      <c r="I117" s="2796">
        <v>114</v>
      </c>
      <c r="J117" s="2796">
        <v>101</v>
      </c>
      <c r="K117" s="2796">
        <v>121</v>
      </c>
      <c r="L117" s="2796">
        <v>114</v>
      </c>
      <c r="M117" s="2796">
        <v>91</v>
      </c>
      <c r="N117" s="2796">
        <v>109</v>
      </c>
      <c r="O117" s="2796">
        <v>123</v>
      </c>
      <c r="P117" s="2796">
        <v>112</v>
      </c>
      <c r="Q117" s="2796">
        <v>98</v>
      </c>
      <c r="R117" s="2796">
        <v>108</v>
      </c>
      <c r="S117" s="2796">
        <v>114</v>
      </c>
      <c r="T117" s="2796">
        <v>95</v>
      </c>
      <c r="U117" s="2796">
        <v>57</v>
      </c>
      <c r="V117" s="2796">
        <v>89</v>
      </c>
      <c r="W117" s="2796">
        <v>103</v>
      </c>
      <c r="X117" s="2796">
        <v>100</v>
      </c>
      <c r="Y117" s="2796">
        <v>89</v>
      </c>
      <c r="Z117" s="2796">
        <v>80</v>
      </c>
      <c r="AA117" s="2796">
        <v>104</v>
      </c>
      <c r="AB117" s="2796">
        <v>89</v>
      </c>
      <c r="AC117" s="2796">
        <v>74</v>
      </c>
      <c r="AD117" s="2796">
        <v>72</v>
      </c>
      <c r="AE117" s="2796">
        <v>106</v>
      </c>
      <c r="AF117" s="2796">
        <v>95</v>
      </c>
      <c r="AG117" s="2796">
        <v>90</v>
      </c>
      <c r="AH117" s="2796">
        <v>73</v>
      </c>
      <c r="AI117" s="2796">
        <v>107</v>
      </c>
      <c r="AJ117" s="2790">
        <f t="shared" si="5"/>
        <v>3078</v>
      </c>
      <c r="AK117" s="2790">
        <f t="shared" si="6"/>
        <v>1231.2</v>
      </c>
      <c r="AL117" s="2814" t="s">
        <v>141</v>
      </c>
      <c r="AM117" s="2798"/>
    </row>
    <row r="118" spans="1:39" ht="18.75">
      <c r="A118" s="2807">
        <v>45</v>
      </c>
      <c r="B118" s="2812" t="s">
        <v>1506</v>
      </c>
      <c r="C118" s="2813"/>
      <c r="D118" s="2813" t="s">
        <v>452</v>
      </c>
      <c r="E118" s="2796">
        <v>80</v>
      </c>
      <c r="F118" s="2796">
        <v>116</v>
      </c>
      <c r="G118" s="2796">
        <v>122</v>
      </c>
      <c r="H118" s="2796">
        <v>95</v>
      </c>
      <c r="I118" s="2796">
        <v>67</v>
      </c>
      <c r="J118" s="2796">
        <v>104</v>
      </c>
      <c r="K118" s="2796">
        <v>116</v>
      </c>
      <c r="L118" s="2796">
        <v>88</v>
      </c>
      <c r="M118" s="2796">
        <v>78</v>
      </c>
      <c r="N118" s="2796">
        <v>94</v>
      </c>
      <c r="O118" s="2796">
        <v>93</v>
      </c>
      <c r="P118" s="2796">
        <v>93</v>
      </c>
      <c r="Q118" s="2796">
        <v>84</v>
      </c>
      <c r="R118" s="2796">
        <v>102</v>
      </c>
      <c r="S118" s="2796">
        <v>0</v>
      </c>
      <c r="T118" s="2796">
        <v>74</v>
      </c>
      <c r="U118" s="2796">
        <v>68</v>
      </c>
      <c r="V118" s="2796">
        <v>87</v>
      </c>
      <c r="W118" s="2796">
        <v>91</v>
      </c>
      <c r="X118" s="2796">
        <v>121</v>
      </c>
      <c r="Y118" s="2796">
        <v>61</v>
      </c>
      <c r="Z118" s="2796">
        <v>88</v>
      </c>
      <c r="AA118" s="2796">
        <v>97</v>
      </c>
      <c r="AB118" s="2796">
        <v>79</v>
      </c>
      <c r="AC118" s="2790">
        <v>72</v>
      </c>
      <c r="AD118" s="2790">
        <v>83</v>
      </c>
      <c r="AE118" s="2790">
        <v>99</v>
      </c>
      <c r="AF118" s="2790">
        <v>71</v>
      </c>
      <c r="AG118" s="2790">
        <v>72</v>
      </c>
      <c r="AH118" s="2790">
        <v>79</v>
      </c>
      <c r="AI118" s="2790">
        <v>113</v>
      </c>
      <c r="AJ118" s="2790">
        <f t="shared" si="5"/>
        <v>2687</v>
      </c>
      <c r="AK118" s="2790">
        <f t="shared" si="6"/>
        <v>1074.8</v>
      </c>
      <c r="AL118" s="2814" t="s">
        <v>141</v>
      </c>
      <c r="AM118" s="2798"/>
    </row>
    <row r="119" spans="1:39" ht="18.75">
      <c r="A119" s="2811">
        <v>46</v>
      </c>
      <c r="B119" s="2812" t="s">
        <v>1622</v>
      </c>
      <c r="C119" s="2813"/>
      <c r="D119" s="2813" t="s">
        <v>452</v>
      </c>
      <c r="E119" s="2796">
        <v>107</v>
      </c>
      <c r="F119" s="2796">
        <v>51</v>
      </c>
      <c r="G119" s="2796">
        <v>66</v>
      </c>
      <c r="H119" s="2796">
        <v>90</v>
      </c>
      <c r="I119" s="2796">
        <v>112</v>
      </c>
      <c r="J119" s="2796">
        <v>60</v>
      </c>
      <c r="K119" s="2796">
        <v>71</v>
      </c>
      <c r="L119" s="2796">
        <v>103</v>
      </c>
      <c r="M119" s="2796">
        <v>108</v>
      </c>
      <c r="N119" s="2796">
        <v>64</v>
      </c>
      <c r="O119" s="2796">
        <v>0</v>
      </c>
      <c r="P119" s="2796">
        <v>91</v>
      </c>
      <c r="Q119" s="2796">
        <v>99</v>
      </c>
      <c r="R119" s="2796">
        <v>75</v>
      </c>
      <c r="S119" s="2796">
        <v>0</v>
      </c>
      <c r="T119" s="2796">
        <v>91</v>
      </c>
      <c r="U119" s="2796">
        <v>100</v>
      </c>
      <c r="V119" s="2796">
        <v>62</v>
      </c>
      <c r="W119" s="2796">
        <v>112</v>
      </c>
      <c r="X119" s="2796">
        <v>105</v>
      </c>
      <c r="Y119" s="2796">
        <v>112</v>
      </c>
      <c r="Z119" s="2796">
        <v>71</v>
      </c>
      <c r="AA119" s="2796">
        <v>65</v>
      </c>
      <c r="AB119" s="2796">
        <v>77</v>
      </c>
      <c r="AC119" s="2796">
        <v>90</v>
      </c>
      <c r="AD119" s="2796">
        <v>0</v>
      </c>
      <c r="AE119" s="2796">
        <v>64</v>
      </c>
      <c r="AF119" s="2796">
        <v>87</v>
      </c>
      <c r="AG119" s="2796">
        <v>0</v>
      </c>
      <c r="AH119" s="2796">
        <v>65</v>
      </c>
      <c r="AI119" s="2796">
        <v>57</v>
      </c>
      <c r="AJ119" s="2790">
        <f t="shared" si="5"/>
        <v>2255</v>
      </c>
      <c r="AK119" s="2790">
        <f t="shared" si="6"/>
        <v>902</v>
      </c>
      <c r="AL119" s="2814" t="s">
        <v>141</v>
      </c>
      <c r="AM119" s="2798"/>
    </row>
    <row r="120" spans="1:39" ht="18.75">
      <c r="A120" s="2807">
        <v>47</v>
      </c>
      <c r="B120" s="2812" t="s">
        <v>1507</v>
      </c>
      <c r="C120" s="2813"/>
      <c r="D120" s="2813" t="s">
        <v>452</v>
      </c>
      <c r="E120" s="2796">
        <v>78</v>
      </c>
      <c r="F120" s="2796">
        <v>111</v>
      </c>
      <c r="G120" s="2796">
        <v>0</v>
      </c>
      <c r="H120" s="2796">
        <v>105</v>
      </c>
      <c r="I120" s="2796">
        <v>60</v>
      </c>
      <c r="J120" s="2796">
        <v>98</v>
      </c>
      <c r="K120" s="2796">
        <v>66</v>
      </c>
      <c r="L120" s="2796">
        <v>91</v>
      </c>
      <c r="M120" s="2796">
        <v>55</v>
      </c>
      <c r="N120" s="2796">
        <v>96</v>
      </c>
      <c r="O120" s="2796">
        <v>107</v>
      </c>
      <c r="P120" s="2796">
        <v>96</v>
      </c>
      <c r="Q120" s="2796">
        <v>55</v>
      </c>
      <c r="R120" s="2796">
        <v>111</v>
      </c>
      <c r="S120" s="2796">
        <v>71</v>
      </c>
      <c r="T120" s="2796">
        <v>70</v>
      </c>
      <c r="U120" s="2796">
        <v>73</v>
      </c>
      <c r="V120" s="2796">
        <v>95</v>
      </c>
      <c r="W120" s="2796">
        <v>115</v>
      </c>
      <c r="X120" s="2796">
        <v>74</v>
      </c>
      <c r="Y120" s="2796">
        <v>60</v>
      </c>
      <c r="Z120" s="2796">
        <v>96</v>
      </c>
      <c r="AA120" s="2796">
        <v>84</v>
      </c>
      <c r="AB120" s="2796">
        <v>88</v>
      </c>
      <c r="AC120" s="2796">
        <v>58</v>
      </c>
      <c r="AD120" s="2796">
        <v>97</v>
      </c>
      <c r="AE120" s="2796">
        <v>80</v>
      </c>
      <c r="AF120" s="2796">
        <v>78</v>
      </c>
      <c r="AG120" s="2796">
        <v>62</v>
      </c>
      <c r="AH120" s="2796">
        <v>103</v>
      </c>
      <c r="AI120" s="2796">
        <v>86</v>
      </c>
      <c r="AJ120" s="2790">
        <f t="shared" si="5"/>
        <v>2519</v>
      </c>
      <c r="AK120" s="2790">
        <f t="shared" si="6"/>
        <v>1007.6</v>
      </c>
      <c r="AL120" s="2814" t="s">
        <v>141</v>
      </c>
      <c r="AM120" s="2798"/>
    </row>
    <row r="121" spans="1:39" ht="18.75">
      <c r="A121" s="2811">
        <v>48</v>
      </c>
      <c r="B121" s="2812" t="s">
        <v>1538</v>
      </c>
      <c r="C121" s="2813"/>
      <c r="D121" s="2813" t="s">
        <v>452</v>
      </c>
      <c r="E121" s="2796">
        <v>50</v>
      </c>
      <c r="F121" s="2796">
        <v>126</v>
      </c>
      <c r="G121" s="2796">
        <v>64</v>
      </c>
      <c r="H121" s="2796">
        <v>170</v>
      </c>
      <c r="I121" s="2796">
        <v>58</v>
      </c>
      <c r="J121" s="2796">
        <v>109</v>
      </c>
      <c r="K121" s="2796">
        <v>102</v>
      </c>
      <c r="L121" s="2796">
        <v>155</v>
      </c>
      <c r="M121" s="2796">
        <v>52</v>
      </c>
      <c r="N121" s="2796">
        <v>121</v>
      </c>
      <c r="O121" s="2796">
        <v>97</v>
      </c>
      <c r="P121" s="2796">
        <v>158</v>
      </c>
      <c r="Q121" s="2796">
        <v>72</v>
      </c>
      <c r="R121" s="2796">
        <v>145</v>
      </c>
      <c r="S121" s="2796">
        <v>97</v>
      </c>
      <c r="T121" s="2796">
        <v>152</v>
      </c>
      <c r="U121" s="2796">
        <v>27</v>
      </c>
      <c r="V121" s="2796">
        <v>145</v>
      </c>
      <c r="W121" s="2796">
        <v>96</v>
      </c>
      <c r="X121" s="2796">
        <v>156</v>
      </c>
      <c r="Y121" s="2796">
        <v>83</v>
      </c>
      <c r="Z121" s="2796">
        <v>132</v>
      </c>
      <c r="AA121" s="2796">
        <v>105</v>
      </c>
      <c r="AB121" s="2796">
        <v>154</v>
      </c>
      <c r="AC121" s="2796">
        <v>100</v>
      </c>
      <c r="AD121" s="2796">
        <v>135</v>
      </c>
      <c r="AE121" s="2796">
        <v>105</v>
      </c>
      <c r="AF121" s="2796">
        <v>142</v>
      </c>
      <c r="AG121" s="2796">
        <v>92</v>
      </c>
      <c r="AH121" s="2796">
        <v>134</v>
      </c>
      <c r="AI121" s="2796">
        <v>110</v>
      </c>
      <c r="AJ121" s="2790">
        <f t="shared" si="5"/>
        <v>3444</v>
      </c>
      <c r="AK121" s="2790">
        <f t="shared" si="6"/>
        <v>1377.6000000000001</v>
      </c>
      <c r="AL121" s="2814" t="s">
        <v>141</v>
      </c>
      <c r="AM121" s="2798"/>
    </row>
    <row r="122" spans="1:39" ht="18.75">
      <c r="A122" s="2807">
        <v>49</v>
      </c>
      <c r="B122" s="2812" t="s">
        <v>1539</v>
      </c>
      <c r="C122" s="2813"/>
      <c r="D122" s="2813" t="s">
        <v>452</v>
      </c>
      <c r="E122" s="2796">
        <v>50</v>
      </c>
      <c r="F122" s="2796">
        <v>126</v>
      </c>
      <c r="G122" s="2796">
        <v>65</v>
      </c>
      <c r="H122" s="2796">
        <v>171</v>
      </c>
      <c r="I122" s="2796">
        <v>59</v>
      </c>
      <c r="J122" s="2796">
        <v>110</v>
      </c>
      <c r="K122" s="2796">
        <v>102</v>
      </c>
      <c r="L122" s="2796">
        <v>156</v>
      </c>
      <c r="M122" s="2796">
        <v>53</v>
      </c>
      <c r="N122" s="2796">
        <v>122</v>
      </c>
      <c r="O122" s="2796">
        <v>97</v>
      </c>
      <c r="P122" s="2796">
        <v>159</v>
      </c>
      <c r="Q122" s="2796">
        <v>73</v>
      </c>
      <c r="R122" s="2796">
        <v>146</v>
      </c>
      <c r="S122" s="2796">
        <v>98</v>
      </c>
      <c r="T122" s="2796">
        <v>152</v>
      </c>
      <c r="U122" s="2796">
        <v>0</v>
      </c>
      <c r="V122" s="2796">
        <v>146</v>
      </c>
      <c r="W122" s="2796">
        <v>96</v>
      </c>
      <c r="X122" s="2796">
        <v>56</v>
      </c>
      <c r="Y122" s="2796">
        <v>83</v>
      </c>
      <c r="Z122" s="2796">
        <v>133</v>
      </c>
      <c r="AA122" s="2796">
        <v>105</v>
      </c>
      <c r="AB122" s="2796">
        <v>154</v>
      </c>
      <c r="AC122" s="2796">
        <v>101</v>
      </c>
      <c r="AD122" s="2796">
        <v>135</v>
      </c>
      <c r="AE122" s="2796">
        <v>105</v>
      </c>
      <c r="AF122" s="2796">
        <v>142</v>
      </c>
      <c r="AG122" s="2796">
        <v>92</v>
      </c>
      <c r="AH122" s="2796">
        <v>134</v>
      </c>
      <c r="AI122" s="2796">
        <v>111</v>
      </c>
      <c r="AJ122" s="2790">
        <f t="shared" si="5"/>
        <v>3332</v>
      </c>
      <c r="AK122" s="2790">
        <f t="shared" si="6"/>
        <v>1332.8000000000002</v>
      </c>
      <c r="AL122" s="2814" t="s">
        <v>141</v>
      </c>
      <c r="AM122" s="2798"/>
    </row>
    <row r="123" spans="1:39" ht="18.75">
      <c r="A123" s="2811">
        <v>50</v>
      </c>
      <c r="B123" s="2812" t="s">
        <v>1508</v>
      </c>
      <c r="C123" s="2813"/>
      <c r="D123" s="2813" t="s">
        <v>452</v>
      </c>
      <c r="E123" s="2796">
        <v>102</v>
      </c>
      <c r="F123" s="2796">
        <v>67</v>
      </c>
      <c r="G123" s="2796">
        <v>84</v>
      </c>
      <c r="H123" s="2796">
        <v>131</v>
      </c>
      <c r="I123" s="2796">
        <v>98</v>
      </c>
      <c r="J123" s="2796">
        <v>93</v>
      </c>
      <c r="K123" s="2796">
        <v>111</v>
      </c>
      <c r="L123" s="2796">
        <v>130</v>
      </c>
      <c r="M123" s="2796">
        <v>97</v>
      </c>
      <c r="N123" s="2796">
        <v>88</v>
      </c>
      <c r="O123" s="2796">
        <v>0</v>
      </c>
      <c r="P123" s="2796">
        <v>136</v>
      </c>
      <c r="Q123" s="2796">
        <v>101</v>
      </c>
      <c r="R123" s="2796">
        <v>108</v>
      </c>
      <c r="S123" s="2796">
        <v>0</v>
      </c>
      <c r="T123" s="2796">
        <v>79</v>
      </c>
      <c r="U123" s="2796">
        <v>82</v>
      </c>
      <c r="V123" s="2796">
        <v>93</v>
      </c>
      <c r="W123" s="2796">
        <v>201</v>
      </c>
      <c r="X123" s="2796">
        <v>111</v>
      </c>
      <c r="Y123" s="2796">
        <v>85</v>
      </c>
      <c r="Z123" s="2796">
        <v>75</v>
      </c>
      <c r="AA123" s="2796">
        <v>83</v>
      </c>
      <c r="AB123" s="2796">
        <v>84</v>
      </c>
      <c r="AC123" s="2796">
        <v>90</v>
      </c>
      <c r="AD123" s="2796">
        <v>78</v>
      </c>
      <c r="AE123" s="2796">
        <v>80</v>
      </c>
      <c r="AF123" s="2796">
        <v>100</v>
      </c>
      <c r="AG123" s="2796">
        <v>87</v>
      </c>
      <c r="AH123" s="2796">
        <v>74</v>
      </c>
      <c r="AI123" s="2796">
        <v>91</v>
      </c>
      <c r="AJ123" s="2790">
        <f t="shared" si="5"/>
        <v>2839</v>
      </c>
      <c r="AK123" s="2790">
        <f t="shared" si="6"/>
        <v>1135.6000000000001</v>
      </c>
      <c r="AL123" s="2814" t="s">
        <v>141</v>
      </c>
      <c r="AM123" s="2798"/>
    </row>
    <row r="124" spans="1:39" ht="18.75">
      <c r="A124" s="2807">
        <v>51</v>
      </c>
      <c r="B124" s="2812" t="s">
        <v>1540</v>
      </c>
      <c r="C124" s="2813"/>
      <c r="D124" s="2813" t="s">
        <v>452</v>
      </c>
      <c r="E124" s="2796">
        <v>57</v>
      </c>
      <c r="F124" s="2796">
        <v>86</v>
      </c>
      <c r="G124" s="2796">
        <v>70</v>
      </c>
      <c r="H124" s="2796">
        <v>68</v>
      </c>
      <c r="I124" s="2796">
        <v>71</v>
      </c>
      <c r="J124" s="2796">
        <v>97</v>
      </c>
      <c r="K124" s="2796">
        <v>94</v>
      </c>
      <c r="L124" s="2796">
        <v>66</v>
      </c>
      <c r="M124" s="2796">
        <v>64</v>
      </c>
      <c r="N124" s="2796">
        <v>106</v>
      </c>
      <c r="O124" s="2796">
        <v>83</v>
      </c>
      <c r="P124" s="2796">
        <v>66</v>
      </c>
      <c r="Q124" s="2796">
        <v>75</v>
      </c>
      <c r="R124" s="2796">
        <v>118</v>
      </c>
      <c r="S124" s="2796">
        <v>89</v>
      </c>
      <c r="T124" s="2796">
        <v>55</v>
      </c>
      <c r="U124" s="2796">
        <v>47</v>
      </c>
      <c r="V124" s="2796">
        <v>114</v>
      </c>
      <c r="W124" s="2796">
        <v>88</v>
      </c>
      <c r="X124" s="2796">
        <v>84</v>
      </c>
      <c r="Y124" s="2796">
        <v>83</v>
      </c>
      <c r="Z124" s="2796">
        <v>100</v>
      </c>
      <c r="AA124" s="2796">
        <v>79</v>
      </c>
      <c r="AB124" s="2796">
        <v>76</v>
      </c>
      <c r="AC124" s="2796">
        <v>81</v>
      </c>
      <c r="AD124" s="2796">
        <v>100</v>
      </c>
      <c r="AE124" s="2796">
        <v>84</v>
      </c>
      <c r="AF124" s="2796">
        <v>92</v>
      </c>
      <c r="AG124" s="2796">
        <v>83</v>
      </c>
      <c r="AH124" s="2796">
        <v>105</v>
      </c>
      <c r="AI124" s="2796">
        <v>81</v>
      </c>
      <c r="AJ124" s="2790">
        <f t="shared" si="5"/>
        <v>2562</v>
      </c>
      <c r="AK124" s="2790">
        <f t="shared" si="6"/>
        <v>1024.8</v>
      </c>
      <c r="AL124" s="2814" t="s">
        <v>141</v>
      </c>
      <c r="AM124" s="2798"/>
    </row>
    <row r="125" spans="1:39" ht="18.75">
      <c r="A125" s="2811">
        <v>52</v>
      </c>
      <c r="B125" s="2812" t="s">
        <v>1709</v>
      </c>
      <c r="C125" s="2813"/>
      <c r="D125" s="2813" t="s">
        <v>452</v>
      </c>
      <c r="E125" s="2796">
        <v>53</v>
      </c>
      <c r="F125" s="2796">
        <v>86</v>
      </c>
      <c r="G125" s="2796">
        <v>70</v>
      </c>
      <c r="H125" s="2796">
        <v>68</v>
      </c>
      <c r="I125" s="2796">
        <v>71</v>
      </c>
      <c r="J125" s="2796">
        <v>98</v>
      </c>
      <c r="K125" s="2796">
        <v>94</v>
      </c>
      <c r="L125" s="2796">
        <v>67</v>
      </c>
      <c r="M125" s="2796">
        <v>64</v>
      </c>
      <c r="N125" s="2796">
        <v>107</v>
      </c>
      <c r="O125" s="2796">
        <v>83</v>
      </c>
      <c r="P125" s="2796">
        <v>66</v>
      </c>
      <c r="Q125" s="2796">
        <v>75</v>
      </c>
      <c r="R125" s="2796">
        <v>124</v>
      </c>
      <c r="S125" s="2796">
        <v>90</v>
      </c>
      <c r="T125" s="2796">
        <v>55</v>
      </c>
      <c r="U125" s="2796">
        <v>47</v>
      </c>
      <c r="V125" s="2796">
        <v>115</v>
      </c>
      <c r="W125" s="2796">
        <v>88</v>
      </c>
      <c r="X125" s="2796">
        <v>85</v>
      </c>
      <c r="Y125" s="2796">
        <v>83</v>
      </c>
      <c r="Z125" s="2796">
        <v>89</v>
      </c>
      <c r="AA125" s="2796">
        <v>79</v>
      </c>
      <c r="AB125" s="2796">
        <v>77</v>
      </c>
      <c r="AC125" s="2796">
        <v>82</v>
      </c>
      <c r="AD125" s="2796">
        <v>101</v>
      </c>
      <c r="AE125" s="2796">
        <v>84</v>
      </c>
      <c r="AF125" s="2796">
        <v>92</v>
      </c>
      <c r="AG125" s="2796">
        <v>84</v>
      </c>
      <c r="AH125" s="2796">
        <v>105</v>
      </c>
      <c r="AI125" s="2796">
        <v>82</v>
      </c>
      <c r="AJ125" s="2790">
        <f t="shared" si="5"/>
        <v>2564</v>
      </c>
      <c r="AK125" s="2790">
        <f t="shared" si="6"/>
        <v>1025.6000000000001</v>
      </c>
      <c r="AL125" s="2814" t="s">
        <v>141</v>
      </c>
      <c r="AM125" s="2798"/>
    </row>
    <row r="126" spans="1:39" ht="18.75">
      <c r="A126" s="2807">
        <v>53</v>
      </c>
      <c r="B126" s="2812" t="s">
        <v>1710</v>
      </c>
      <c r="C126" s="2813"/>
      <c r="D126" s="2813" t="s">
        <v>452</v>
      </c>
      <c r="E126" s="2796">
        <v>0</v>
      </c>
      <c r="F126" s="2796">
        <v>61</v>
      </c>
      <c r="G126" s="2796">
        <v>0</v>
      </c>
      <c r="H126" s="2796">
        <v>73</v>
      </c>
      <c r="I126" s="2796">
        <v>53</v>
      </c>
      <c r="J126" s="2796">
        <v>60</v>
      </c>
      <c r="K126" s="2796">
        <v>65</v>
      </c>
      <c r="L126" s="2796">
        <v>91</v>
      </c>
      <c r="M126" s="2796">
        <v>51</v>
      </c>
      <c r="N126" s="2796">
        <v>57</v>
      </c>
      <c r="O126" s="2796">
        <v>61</v>
      </c>
      <c r="P126" s="2796">
        <v>62</v>
      </c>
      <c r="Q126" s="2796">
        <v>74</v>
      </c>
      <c r="R126" s="2796">
        <v>70</v>
      </c>
      <c r="S126" s="2796">
        <v>86</v>
      </c>
      <c r="T126" s="2796">
        <v>0</v>
      </c>
      <c r="U126" s="2796">
        <v>79</v>
      </c>
      <c r="V126" s="2796">
        <v>50</v>
      </c>
      <c r="W126" s="2796">
        <v>62</v>
      </c>
      <c r="X126" s="2796">
        <v>84</v>
      </c>
      <c r="Y126" s="2796">
        <v>70</v>
      </c>
      <c r="Z126" s="2796">
        <v>73</v>
      </c>
      <c r="AA126" s="2796">
        <v>0</v>
      </c>
      <c r="AB126" s="2796">
        <v>0</v>
      </c>
      <c r="AC126" s="2796">
        <v>0</v>
      </c>
      <c r="AD126" s="2796">
        <v>0</v>
      </c>
      <c r="AE126" s="2796">
        <v>70</v>
      </c>
      <c r="AF126" s="2796">
        <v>89</v>
      </c>
      <c r="AG126" s="2796">
        <v>143</v>
      </c>
      <c r="AH126" s="2796">
        <v>73</v>
      </c>
      <c r="AI126" s="2796">
        <v>57</v>
      </c>
      <c r="AJ126" s="2790">
        <f t="shared" si="5"/>
        <v>1714</v>
      </c>
      <c r="AK126" s="2790">
        <f t="shared" si="6"/>
        <v>685.6</v>
      </c>
      <c r="AL126" s="2814" t="s">
        <v>138</v>
      </c>
      <c r="AM126" s="2798"/>
    </row>
    <row r="127" spans="1:39" ht="18.75">
      <c r="A127" s="2811">
        <v>54</v>
      </c>
      <c r="B127" s="2812" t="s">
        <v>1201</v>
      </c>
      <c r="C127" s="2813"/>
      <c r="D127" s="2813" t="s">
        <v>452</v>
      </c>
      <c r="E127" s="2796">
        <v>0</v>
      </c>
      <c r="F127" s="2796">
        <v>62</v>
      </c>
      <c r="G127" s="2796">
        <v>50</v>
      </c>
      <c r="H127" s="2796">
        <v>73</v>
      </c>
      <c r="I127" s="2796">
        <v>50</v>
      </c>
      <c r="J127" s="2796">
        <v>79</v>
      </c>
      <c r="K127" s="2796">
        <v>0</v>
      </c>
      <c r="L127" s="2796">
        <v>78</v>
      </c>
      <c r="M127" s="2796">
        <v>75</v>
      </c>
      <c r="N127" s="2796">
        <v>37</v>
      </c>
      <c r="O127" s="2796">
        <v>69</v>
      </c>
      <c r="P127" s="2796">
        <v>42</v>
      </c>
      <c r="Q127" s="2796">
        <v>46</v>
      </c>
      <c r="R127" s="2796">
        <v>47</v>
      </c>
      <c r="S127" s="2796">
        <v>0</v>
      </c>
      <c r="T127" s="2796">
        <v>81</v>
      </c>
      <c r="U127" s="2796">
        <v>43</v>
      </c>
      <c r="V127" s="2796">
        <v>0</v>
      </c>
      <c r="W127" s="2796">
        <v>43</v>
      </c>
      <c r="X127" s="2796">
        <v>72</v>
      </c>
      <c r="Y127" s="2796">
        <v>0</v>
      </c>
      <c r="Z127" s="2796">
        <v>75</v>
      </c>
      <c r="AA127" s="2796">
        <v>77</v>
      </c>
      <c r="AB127" s="2796">
        <v>79</v>
      </c>
      <c r="AC127" s="2796">
        <v>0</v>
      </c>
      <c r="AD127" s="2796">
        <v>74</v>
      </c>
      <c r="AE127" s="2796">
        <v>53</v>
      </c>
      <c r="AF127" s="2796">
        <v>53</v>
      </c>
      <c r="AG127" s="2796">
        <v>65</v>
      </c>
      <c r="AH127" s="2796">
        <v>98</v>
      </c>
      <c r="AI127" s="2796">
        <v>83</v>
      </c>
      <c r="AJ127" s="2790">
        <f t="shared" si="5"/>
        <v>1604</v>
      </c>
      <c r="AK127" s="2790">
        <f t="shared" si="6"/>
        <v>641.6</v>
      </c>
      <c r="AL127" s="2814" t="s">
        <v>138</v>
      </c>
      <c r="AM127" s="2798"/>
    </row>
    <row r="128" spans="1:39" ht="18.75">
      <c r="A128" s="2807">
        <v>55</v>
      </c>
      <c r="B128" s="2812" t="s">
        <v>1711</v>
      </c>
      <c r="C128" s="2813"/>
      <c r="D128" s="2813" t="s">
        <v>452</v>
      </c>
      <c r="E128" s="2790">
        <v>0</v>
      </c>
      <c r="F128" s="2790">
        <v>0</v>
      </c>
      <c r="G128" s="2790">
        <v>0</v>
      </c>
      <c r="H128" s="2790">
        <v>0</v>
      </c>
      <c r="I128" s="2790">
        <v>0</v>
      </c>
      <c r="J128" s="2790">
        <v>0</v>
      </c>
      <c r="K128" s="2790">
        <v>0</v>
      </c>
      <c r="L128" s="2790">
        <v>0</v>
      </c>
      <c r="M128" s="2790">
        <v>39</v>
      </c>
      <c r="N128" s="2790">
        <v>69</v>
      </c>
      <c r="O128" s="2790">
        <v>0</v>
      </c>
      <c r="P128" s="2790">
        <v>73</v>
      </c>
      <c r="Q128" s="2790">
        <v>34</v>
      </c>
      <c r="R128" s="2790">
        <v>81</v>
      </c>
      <c r="S128" s="2790">
        <v>0</v>
      </c>
      <c r="T128" s="2790">
        <v>40</v>
      </c>
      <c r="U128" s="2790">
        <v>60</v>
      </c>
      <c r="V128" s="2790">
        <v>63</v>
      </c>
      <c r="W128" s="2790">
        <v>30</v>
      </c>
      <c r="X128" s="2790">
        <v>0</v>
      </c>
      <c r="Y128" s="2790">
        <v>30</v>
      </c>
      <c r="Z128" s="2790">
        <v>35</v>
      </c>
      <c r="AA128" s="2790">
        <v>40</v>
      </c>
      <c r="AB128" s="2790">
        <v>0</v>
      </c>
      <c r="AC128" s="2790">
        <v>99</v>
      </c>
      <c r="AD128" s="2790">
        <v>43</v>
      </c>
      <c r="AE128" s="2790">
        <v>45</v>
      </c>
      <c r="AF128" s="2790">
        <v>40</v>
      </c>
      <c r="AG128" s="2790">
        <v>34</v>
      </c>
      <c r="AH128" s="2790">
        <v>0</v>
      </c>
      <c r="AI128" s="2790">
        <v>115</v>
      </c>
      <c r="AJ128" s="2790">
        <f t="shared" si="5"/>
        <v>970</v>
      </c>
      <c r="AK128" s="2790">
        <f t="shared" si="6"/>
        <v>388</v>
      </c>
      <c r="AL128" s="2814" t="s">
        <v>141</v>
      </c>
      <c r="AM128" s="2798"/>
    </row>
    <row r="129" spans="1:42" ht="18" customHeight="1">
      <c r="A129" s="2811">
        <v>56</v>
      </c>
      <c r="B129" s="2812" t="s">
        <v>1624</v>
      </c>
      <c r="C129" s="2813"/>
      <c r="D129" s="2813" t="s">
        <v>452</v>
      </c>
      <c r="E129" s="2796">
        <v>0</v>
      </c>
      <c r="F129" s="2796">
        <v>68</v>
      </c>
      <c r="G129" s="2796">
        <v>51</v>
      </c>
      <c r="H129" s="2796">
        <v>0</v>
      </c>
      <c r="I129" s="2796">
        <v>0</v>
      </c>
      <c r="J129" s="2796">
        <v>0</v>
      </c>
      <c r="K129" s="2796">
        <v>0</v>
      </c>
      <c r="L129" s="2796">
        <v>0</v>
      </c>
      <c r="M129" s="2796">
        <v>55</v>
      </c>
      <c r="N129" s="2796">
        <v>0</v>
      </c>
      <c r="O129" s="2796">
        <v>0</v>
      </c>
      <c r="P129" s="2796">
        <v>0</v>
      </c>
      <c r="Q129" s="2796">
        <v>32</v>
      </c>
      <c r="R129" s="2796">
        <v>49</v>
      </c>
      <c r="S129" s="2796">
        <v>36</v>
      </c>
      <c r="T129" s="2796">
        <v>35</v>
      </c>
      <c r="U129" s="2796">
        <v>0</v>
      </c>
      <c r="V129" s="2796">
        <v>56</v>
      </c>
      <c r="W129" s="2796">
        <v>0</v>
      </c>
      <c r="X129" s="2796">
        <v>34</v>
      </c>
      <c r="Y129" s="2796">
        <v>56</v>
      </c>
      <c r="Z129" s="2796">
        <v>54</v>
      </c>
      <c r="AA129" s="2796">
        <v>0</v>
      </c>
      <c r="AB129" s="2796">
        <v>68</v>
      </c>
      <c r="AC129" s="2796">
        <v>51</v>
      </c>
      <c r="AD129" s="2796">
        <v>51</v>
      </c>
      <c r="AE129" s="2796">
        <v>37</v>
      </c>
      <c r="AF129" s="2796">
        <v>0</v>
      </c>
      <c r="AG129" s="2796">
        <v>47</v>
      </c>
      <c r="AH129" s="2796">
        <v>52</v>
      </c>
      <c r="AI129" s="2796">
        <v>61</v>
      </c>
      <c r="AJ129" s="2790">
        <f t="shared" si="5"/>
        <v>893</v>
      </c>
      <c r="AK129" s="2790">
        <f t="shared" si="6"/>
        <v>357.20000000000005</v>
      </c>
      <c r="AL129" s="2814" t="s">
        <v>141</v>
      </c>
      <c r="AM129" s="2798"/>
    </row>
    <row r="130" spans="1:42" ht="18.75">
      <c r="A130" s="2807">
        <v>57</v>
      </c>
      <c r="B130" s="2812" t="s">
        <v>1625</v>
      </c>
      <c r="C130" s="2813"/>
      <c r="D130" s="2813" t="s">
        <v>452</v>
      </c>
      <c r="E130" s="2796">
        <v>0</v>
      </c>
      <c r="F130" s="2796">
        <v>0</v>
      </c>
      <c r="G130" s="2796">
        <v>52</v>
      </c>
      <c r="H130" s="2796">
        <v>0</v>
      </c>
      <c r="I130" s="2796">
        <v>0</v>
      </c>
      <c r="J130" s="2796">
        <v>0</v>
      </c>
      <c r="K130" s="2796">
        <v>0</v>
      </c>
      <c r="L130" s="2796">
        <v>0</v>
      </c>
      <c r="M130" s="2796">
        <v>55</v>
      </c>
      <c r="N130" s="2796">
        <v>0</v>
      </c>
      <c r="O130" s="2796">
        <v>0</v>
      </c>
      <c r="P130" s="2796">
        <v>0</v>
      </c>
      <c r="Q130" s="2796">
        <v>32</v>
      </c>
      <c r="R130" s="2796">
        <v>49</v>
      </c>
      <c r="S130" s="2796">
        <v>36</v>
      </c>
      <c r="T130" s="2796">
        <v>35</v>
      </c>
      <c r="U130" s="2796">
        <v>0</v>
      </c>
      <c r="V130" s="2796">
        <v>0</v>
      </c>
      <c r="W130" s="2796">
        <v>0</v>
      </c>
      <c r="X130" s="2796">
        <v>33</v>
      </c>
      <c r="Y130" s="2796">
        <v>51</v>
      </c>
      <c r="Z130" s="2796">
        <v>55</v>
      </c>
      <c r="AA130" s="2796">
        <v>0</v>
      </c>
      <c r="AB130" s="2796">
        <v>0</v>
      </c>
      <c r="AC130" s="2796">
        <v>51</v>
      </c>
      <c r="AD130" s="2796">
        <v>50</v>
      </c>
      <c r="AE130" s="2796">
        <v>0</v>
      </c>
      <c r="AF130" s="2796">
        <v>0</v>
      </c>
      <c r="AG130" s="2796">
        <v>46</v>
      </c>
      <c r="AH130" s="2796">
        <v>52</v>
      </c>
      <c r="AI130" s="2796">
        <v>61</v>
      </c>
      <c r="AJ130" s="2790">
        <f t="shared" si="5"/>
        <v>658</v>
      </c>
      <c r="AK130" s="2790">
        <f t="shared" si="6"/>
        <v>263.2</v>
      </c>
      <c r="AL130" s="2814" t="s">
        <v>141</v>
      </c>
      <c r="AM130" s="2798"/>
    </row>
    <row r="131" spans="1:42" ht="18.75">
      <c r="A131" s="2811">
        <v>58</v>
      </c>
      <c r="B131" s="2812" t="s">
        <v>1509</v>
      </c>
      <c r="C131" s="2813"/>
      <c r="D131" s="2813" t="s">
        <v>452</v>
      </c>
      <c r="E131" s="2796">
        <v>50</v>
      </c>
      <c r="F131" s="2796">
        <v>54</v>
      </c>
      <c r="G131" s="2796">
        <v>64</v>
      </c>
      <c r="H131" s="2796">
        <v>86</v>
      </c>
      <c r="I131" s="2796">
        <v>78</v>
      </c>
      <c r="J131" s="2796">
        <v>50</v>
      </c>
      <c r="K131" s="2796">
        <v>150</v>
      </c>
      <c r="L131" s="2796">
        <v>0</v>
      </c>
      <c r="M131" s="2796">
        <v>55</v>
      </c>
      <c r="N131" s="2796">
        <v>81</v>
      </c>
      <c r="O131" s="2796">
        <v>0</v>
      </c>
      <c r="P131" s="2796">
        <v>110</v>
      </c>
      <c r="Q131" s="2796">
        <v>124</v>
      </c>
      <c r="R131" s="2796">
        <v>117</v>
      </c>
      <c r="S131" s="2796">
        <v>42</v>
      </c>
      <c r="T131" s="2796">
        <v>55</v>
      </c>
      <c r="U131" s="2796">
        <v>0</v>
      </c>
      <c r="V131" s="2796">
        <v>0</v>
      </c>
      <c r="W131" s="2796">
        <v>50</v>
      </c>
      <c r="X131" s="2796">
        <v>81</v>
      </c>
      <c r="Y131" s="2796">
        <v>45</v>
      </c>
      <c r="Z131" s="2796">
        <v>71</v>
      </c>
      <c r="AA131" s="2796">
        <v>93</v>
      </c>
      <c r="AB131" s="2796">
        <v>95</v>
      </c>
      <c r="AC131" s="2796">
        <v>50</v>
      </c>
      <c r="AD131" s="2796">
        <v>60</v>
      </c>
      <c r="AE131" s="2796">
        <v>45</v>
      </c>
      <c r="AF131" s="2796">
        <v>70</v>
      </c>
      <c r="AG131" s="2796">
        <v>71</v>
      </c>
      <c r="AH131" s="2796">
        <v>40</v>
      </c>
      <c r="AI131" s="2796">
        <v>83</v>
      </c>
      <c r="AJ131" s="2790">
        <f t="shared" si="5"/>
        <v>1970</v>
      </c>
      <c r="AK131" s="2790">
        <f t="shared" si="6"/>
        <v>788</v>
      </c>
      <c r="AL131" s="2814" t="s">
        <v>141</v>
      </c>
      <c r="AM131" s="2798"/>
    </row>
    <row r="132" spans="1:42" ht="18.75">
      <c r="A132" s="2807">
        <v>59</v>
      </c>
      <c r="B132" s="2812" t="s">
        <v>1510</v>
      </c>
      <c r="C132" s="2813"/>
      <c r="D132" s="2813" t="s">
        <v>452</v>
      </c>
      <c r="E132" s="2796">
        <v>50</v>
      </c>
      <c r="F132" s="2796">
        <v>0</v>
      </c>
      <c r="G132" s="2796">
        <v>64</v>
      </c>
      <c r="H132" s="2796">
        <v>87</v>
      </c>
      <c r="I132" s="2796">
        <v>78</v>
      </c>
      <c r="J132" s="2796">
        <v>50</v>
      </c>
      <c r="K132" s="2796">
        <v>152</v>
      </c>
      <c r="L132" s="2796">
        <v>104</v>
      </c>
      <c r="M132" s="2796">
        <v>54</v>
      </c>
      <c r="N132" s="2796">
        <v>81</v>
      </c>
      <c r="O132" s="2796">
        <v>0</v>
      </c>
      <c r="P132" s="2796">
        <v>111</v>
      </c>
      <c r="Q132" s="2796">
        <v>124</v>
      </c>
      <c r="R132" s="2796">
        <v>0</v>
      </c>
      <c r="S132" s="2796">
        <v>42</v>
      </c>
      <c r="T132" s="2796">
        <v>55</v>
      </c>
      <c r="U132" s="2796">
        <v>0</v>
      </c>
      <c r="V132" s="2796">
        <v>0</v>
      </c>
      <c r="W132" s="2796">
        <v>50</v>
      </c>
      <c r="X132" s="2796">
        <v>82</v>
      </c>
      <c r="Y132" s="2796">
        <v>46</v>
      </c>
      <c r="Z132" s="2796">
        <v>72</v>
      </c>
      <c r="AA132" s="2796">
        <v>94</v>
      </c>
      <c r="AB132" s="2796">
        <v>95</v>
      </c>
      <c r="AC132" s="2796">
        <v>51</v>
      </c>
      <c r="AD132" s="2796">
        <v>61</v>
      </c>
      <c r="AE132" s="2796">
        <v>45</v>
      </c>
      <c r="AF132" s="2796">
        <v>71</v>
      </c>
      <c r="AG132" s="2796">
        <v>71</v>
      </c>
      <c r="AH132" s="2796">
        <v>40</v>
      </c>
      <c r="AI132" s="2796">
        <v>83</v>
      </c>
      <c r="AJ132" s="2790">
        <f t="shared" si="5"/>
        <v>1913</v>
      </c>
      <c r="AK132" s="2790">
        <f t="shared" si="6"/>
        <v>765.2</v>
      </c>
      <c r="AL132" s="2814" t="s">
        <v>141</v>
      </c>
      <c r="AM132" s="2798"/>
    </row>
    <row r="133" spans="1:42" ht="18.75">
      <c r="A133" s="2811">
        <v>60</v>
      </c>
      <c r="B133" s="2812" t="s">
        <v>1712</v>
      </c>
      <c r="C133" s="2813"/>
      <c r="D133" s="2813" t="s">
        <v>452</v>
      </c>
      <c r="E133" s="2796">
        <v>0</v>
      </c>
      <c r="F133" s="2796">
        <v>0</v>
      </c>
      <c r="G133" s="2796">
        <v>0</v>
      </c>
      <c r="H133" s="2796">
        <v>0</v>
      </c>
      <c r="I133" s="2796">
        <v>0</v>
      </c>
      <c r="J133" s="2796">
        <v>0</v>
      </c>
      <c r="K133" s="2796">
        <v>73</v>
      </c>
      <c r="L133" s="2796">
        <v>0</v>
      </c>
      <c r="M133" s="2796">
        <v>39</v>
      </c>
      <c r="N133" s="2796">
        <v>69</v>
      </c>
      <c r="O133" s="2796">
        <v>0</v>
      </c>
      <c r="P133" s="2796">
        <v>73</v>
      </c>
      <c r="Q133" s="2796">
        <v>35</v>
      </c>
      <c r="R133" s="2796">
        <v>81</v>
      </c>
      <c r="S133" s="2796">
        <v>0</v>
      </c>
      <c r="T133" s="2796">
        <v>42</v>
      </c>
      <c r="U133" s="2796">
        <v>0</v>
      </c>
      <c r="V133" s="2796">
        <v>62</v>
      </c>
      <c r="W133" s="2796">
        <v>30</v>
      </c>
      <c r="X133" s="2796">
        <v>0</v>
      </c>
      <c r="Y133" s="2796">
        <v>32</v>
      </c>
      <c r="Z133" s="2796">
        <v>36</v>
      </c>
      <c r="AA133" s="2796">
        <v>40</v>
      </c>
      <c r="AB133" s="2796">
        <v>0</v>
      </c>
      <c r="AC133" s="2796">
        <v>99</v>
      </c>
      <c r="AD133" s="2796">
        <v>43</v>
      </c>
      <c r="AE133" s="2796">
        <v>46</v>
      </c>
      <c r="AF133" s="2796">
        <v>41</v>
      </c>
      <c r="AG133" s="2796">
        <v>34</v>
      </c>
      <c r="AH133" s="2796">
        <v>0</v>
      </c>
      <c r="AI133" s="2796">
        <v>115</v>
      </c>
      <c r="AJ133" s="2790">
        <f t="shared" si="5"/>
        <v>990</v>
      </c>
      <c r="AK133" s="2790">
        <f t="shared" si="6"/>
        <v>396</v>
      </c>
      <c r="AL133" s="2814" t="s">
        <v>141</v>
      </c>
      <c r="AM133" s="2798"/>
    </row>
    <row r="134" spans="1:42" ht="18.75">
      <c r="A134" s="2807">
        <v>61</v>
      </c>
      <c r="B134" s="2812" t="s">
        <v>1713</v>
      </c>
      <c r="C134" s="2813"/>
      <c r="D134" s="2813" t="s">
        <v>452</v>
      </c>
      <c r="E134" s="2796">
        <v>62</v>
      </c>
      <c r="F134" s="2796">
        <v>71</v>
      </c>
      <c r="G134" s="2796">
        <v>50</v>
      </c>
      <c r="H134" s="2796">
        <v>0</v>
      </c>
      <c r="I134" s="2796">
        <v>68</v>
      </c>
      <c r="J134" s="2796">
        <v>61</v>
      </c>
      <c r="K134" s="2796">
        <v>0</v>
      </c>
      <c r="L134" s="2796">
        <v>44</v>
      </c>
      <c r="M134" s="2796">
        <v>58</v>
      </c>
      <c r="N134" s="2796">
        <v>58</v>
      </c>
      <c r="O134" s="2796">
        <v>35</v>
      </c>
      <c r="P134" s="2796">
        <v>37</v>
      </c>
      <c r="Q134" s="2796">
        <v>74</v>
      </c>
      <c r="R134" s="2796">
        <v>72</v>
      </c>
      <c r="S134" s="2796">
        <v>32</v>
      </c>
      <c r="T134" s="2796">
        <v>35</v>
      </c>
      <c r="U134" s="2796">
        <v>40</v>
      </c>
      <c r="V134" s="2796">
        <v>35</v>
      </c>
      <c r="W134" s="2796">
        <v>46</v>
      </c>
      <c r="X134" s="2796">
        <v>0</v>
      </c>
      <c r="Y134" s="2796">
        <v>60</v>
      </c>
      <c r="Z134" s="2796">
        <v>69</v>
      </c>
      <c r="AA134" s="2796">
        <v>0</v>
      </c>
      <c r="AB134" s="2796">
        <v>56</v>
      </c>
      <c r="AC134" s="2796">
        <v>44</v>
      </c>
      <c r="AD134" s="2796">
        <v>70</v>
      </c>
      <c r="AE134" s="2796">
        <v>38</v>
      </c>
      <c r="AF134" s="2796">
        <v>43</v>
      </c>
      <c r="AG134" s="2796">
        <v>49</v>
      </c>
      <c r="AH134" s="2796">
        <v>68</v>
      </c>
      <c r="AI134" s="2796">
        <v>36</v>
      </c>
      <c r="AJ134" s="2790">
        <f t="shared" si="5"/>
        <v>1411</v>
      </c>
      <c r="AK134" s="2790">
        <f t="shared" si="6"/>
        <v>564.4</v>
      </c>
      <c r="AL134" s="2814" t="s">
        <v>141</v>
      </c>
      <c r="AM134" s="2798"/>
    </row>
    <row r="135" spans="1:42" ht="18.75">
      <c r="A135" s="2914">
        <v>62</v>
      </c>
      <c r="B135" s="2915" t="s">
        <v>523</v>
      </c>
      <c r="C135" s="2912"/>
      <c r="D135" s="2912" t="s">
        <v>452</v>
      </c>
      <c r="E135" s="2901">
        <v>62</v>
      </c>
      <c r="F135" s="2901">
        <v>71</v>
      </c>
      <c r="G135" s="2901">
        <v>51</v>
      </c>
      <c r="H135" s="2901">
        <v>0</v>
      </c>
      <c r="I135" s="2901">
        <v>68</v>
      </c>
      <c r="J135" s="2901">
        <v>61</v>
      </c>
      <c r="K135" s="2901">
        <v>0</v>
      </c>
      <c r="L135" s="2901">
        <v>44</v>
      </c>
      <c r="M135" s="2901">
        <v>59</v>
      </c>
      <c r="N135" s="2901">
        <v>57</v>
      </c>
      <c r="O135" s="2901">
        <v>35</v>
      </c>
      <c r="P135" s="2901">
        <v>0</v>
      </c>
      <c r="Q135" s="2901">
        <v>74</v>
      </c>
      <c r="R135" s="2901">
        <v>72</v>
      </c>
      <c r="S135" s="2901">
        <v>32</v>
      </c>
      <c r="T135" s="2901">
        <v>0</v>
      </c>
      <c r="U135" s="2901">
        <v>41</v>
      </c>
      <c r="V135" s="2901">
        <v>36</v>
      </c>
      <c r="W135" s="2901">
        <v>0</v>
      </c>
      <c r="X135" s="2901">
        <v>0</v>
      </c>
      <c r="Y135" s="2901">
        <v>60</v>
      </c>
      <c r="Z135" s="2901">
        <v>69</v>
      </c>
      <c r="AA135" s="2901">
        <v>0</v>
      </c>
      <c r="AB135" s="2901">
        <v>57</v>
      </c>
      <c r="AC135" s="2901">
        <v>45</v>
      </c>
      <c r="AD135" s="2901">
        <v>69</v>
      </c>
      <c r="AE135" s="2901">
        <v>39</v>
      </c>
      <c r="AF135" s="2901">
        <v>43</v>
      </c>
      <c r="AG135" s="2901">
        <v>49</v>
      </c>
      <c r="AH135" s="2901">
        <v>68</v>
      </c>
      <c r="AI135" s="2901">
        <v>37</v>
      </c>
      <c r="AJ135" s="2902">
        <f t="shared" si="5"/>
        <v>1299</v>
      </c>
      <c r="AK135" s="2790">
        <f t="shared" si="6"/>
        <v>519.6</v>
      </c>
      <c r="AL135" s="2913" t="s">
        <v>141</v>
      </c>
      <c r="AM135" s="2908"/>
    </row>
    <row r="136" spans="1:42" ht="18.75">
      <c r="A136" s="2922" t="s">
        <v>1864</v>
      </c>
      <c r="B136" s="2923"/>
      <c r="C136" s="2923"/>
      <c r="D136" s="2924"/>
      <c r="E136" s="2903">
        <f t="shared" ref="E136:AL136" si="7">SUM(E74:E135)</f>
        <v>4413</v>
      </c>
      <c r="F136" s="2903">
        <f t="shared" si="7"/>
        <v>4654</v>
      </c>
      <c r="G136" s="2903">
        <f t="shared" si="7"/>
        <v>4547</v>
      </c>
      <c r="H136" s="2903">
        <f t="shared" si="7"/>
        <v>4792</v>
      </c>
      <c r="I136" s="2903">
        <f t="shared" si="7"/>
        <v>4354</v>
      </c>
      <c r="J136" s="2903">
        <f t="shared" si="7"/>
        <v>4682</v>
      </c>
      <c r="K136" s="2903">
        <f t="shared" si="7"/>
        <v>4520</v>
      </c>
      <c r="L136" s="2903">
        <f t="shared" si="7"/>
        <v>4797</v>
      </c>
      <c r="M136" s="2903">
        <f t="shared" si="7"/>
        <v>4175</v>
      </c>
      <c r="N136" s="2903">
        <f t="shared" si="7"/>
        <v>4420</v>
      </c>
      <c r="O136" s="2903">
        <f t="shared" si="7"/>
        <v>4259</v>
      </c>
      <c r="P136" s="2903">
        <f t="shared" si="7"/>
        <v>5255</v>
      </c>
      <c r="Q136" s="2903">
        <f t="shared" si="7"/>
        <v>4834</v>
      </c>
      <c r="R136" s="2903">
        <f t="shared" si="7"/>
        <v>5748</v>
      </c>
      <c r="S136" s="2903">
        <f t="shared" si="7"/>
        <v>3620</v>
      </c>
      <c r="T136" s="2903">
        <f t="shared" si="7"/>
        <v>4551</v>
      </c>
      <c r="U136" s="2903">
        <f t="shared" si="7"/>
        <v>2612</v>
      </c>
      <c r="V136" s="2903">
        <f t="shared" si="7"/>
        <v>4220</v>
      </c>
      <c r="W136" s="2903">
        <f t="shared" si="7"/>
        <v>4313</v>
      </c>
      <c r="X136" s="2903">
        <f t="shared" si="7"/>
        <v>4718</v>
      </c>
      <c r="Y136" s="2903">
        <f t="shared" si="7"/>
        <v>3999</v>
      </c>
      <c r="Z136" s="2903">
        <f t="shared" si="7"/>
        <v>4986</v>
      </c>
      <c r="AA136" s="2903">
        <f t="shared" si="7"/>
        <v>4341</v>
      </c>
      <c r="AB136" s="2903">
        <f t="shared" si="7"/>
        <v>4048</v>
      </c>
      <c r="AC136" s="2903">
        <f t="shared" si="7"/>
        <v>3987</v>
      </c>
      <c r="AD136" s="2903">
        <f t="shared" si="7"/>
        <v>4583</v>
      </c>
      <c r="AE136" s="2903">
        <f t="shared" si="7"/>
        <v>4483</v>
      </c>
      <c r="AF136" s="2903">
        <f t="shared" si="7"/>
        <v>4496</v>
      </c>
      <c r="AG136" s="2903">
        <f t="shared" si="7"/>
        <v>4113</v>
      </c>
      <c r="AH136" s="2903">
        <f t="shared" si="7"/>
        <v>4605</v>
      </c>
      <c r="AI136" s="2903">
        <f t="shared" si="7"/>
        <v>4981</v>
      </c>
      <c r="AJ136" s="2903">
        <f t="shared" si="7"/>
        <v>138106</v>
      </c>
      <c r="AK136" s="2903">
        <f t="shared" si="7"/>
        <v>55242.399999999994</v>
      </c>
      <c r="AL136" s="2801">
        <f t="shared" si="7"/>
        <v>0</v>
      </c>
      <c r="AM136" s="2802"/>
      <c r="AN136" s="2815">
        <f>+AJ136+AJ160</f>
        <v>183361</v>
      </c>
      <c r="AO136" s="2815" t="e">
        <f>+#REF!+#REF!</f>
        <v>#REF!</v>
      </c>
      <c r="AP136" s="2815">
        <f>+AL136+AL160</f>
        <v>0</v>
      </c>
    </row>
    <row r="137" spans="1:42" ht="18.75">
      <c r="A137" s="2816">
        <v>1</v>
      </c>
      <c r="B137" s="2817" t="s">
        <v>1511</v>
      </c>
      <c r="C137" s="2817"/>
      <c r="D137" s="2817" t="s">
        <v>452</v>
      </c>
      <c r="E137" s="2790">
        <v>66</v>
      </c>
      <c r="F137" s="2790">
        <v>70</v>
      </c>
      <c r="G137" s="2790">
        <v>80</v>
      </c>
      <c r="H137" s="2790">
        <v>110</v>
      </c>
      <c r="I137" s="2790">
        <v>60</v>
      </c>
      <c r="J137" s="2790">
        <v>65</v>
      </c>
      <c r="K137" s="2790">
        <v>108</v>
      </c>
      <c r="L137" s="2790">
        <v>93</v>
      </c>
      <c r="M137" s="2790">
        <v>55</v>
      </c>
      <c r="N137" s="2790">
        <v>52</v>
      </c>
      <c r="O137" s="2790">
        <v>57</v>
      </c>
      <c r="P137" s="2790">
        <v>84</v>
      </c>
      <c r="Q137" s="2790">
        <v>61</v>
      </c>
      <c r="R137" s="2790">
        <v>55</v>
      </c>
      <c r="S137" s="2790"/>
      <c r="T137" s="2790">
        <v>66</v>
      </c>
      <c r="U137" s="2790">
        <v>50</v>
      </c>
      <c r="V137" s="2790">
        <v>54</v>
      </c>
      <c r="W137" s="2790">
        <v>122</v>
      </c>
      <c r="X137" s="2790">
        <v>70</v>
      </c>
      <c r="Y137" s="2790">
        <v>45</v>
      </c>
      <c r="Z137" s="2790">
        <v>48</v>
      </c>
      <c r="AA137" s="2790">
        <v>81</v>
      </c>
      <c r="AB137" s="2790">
        <v>55</v>
      </c>
      <c r="AC137" s="2790">
        <v>36</v>
      </c>
      <c r="AD137" s="2790">
        <v>40</v>
      </c>
      <c r="AE137" s="2790">
        <v>68</v>
      </c>
      <c r="AF137" s="2790">
        <v>54</v>
      </c>
      <c r="AG137" s="2790">
        <v>30</v>
      </c>
      <c r="AH137" s="2790">
        <v>45</v>
      </c>
      <c r="AI137" s="2790">
        <v>58</v>
      </c>
      <c r="AJ137" s="2790">
        <f>+SUM(E137:AI137)</f>
        <v>1938</v>
      </c>
      <c r="AK137" s="2790">
        <f t="shared" si="6"/>
        <v>775.2</v>
      </c>
      <c r="AL137" s="2805" t="s">
        <v>141</v>
      </c>
      <c r="AM137" s="2818"/>
    </row>
    <row r="138" spans="1:42" ht="18.75">
      <c r="A138" s="2816">
        <v>2</v>
      </c>
      <c r="B138" s="2813" t="s">
        <v>1268</v>
      </c>
      <c r="C138" s="2813"/>
      <c r="D138" s="2813" t="s">
        <v>452</v>
      </c>
      <c r="E138" s="2796">
        <v>81</v>
      </c>
      <c r="F138" s="2796">
        <v>94</v>
      </c>
      <c r="G138" s="2796"/>
      <c r="H138" s="2796">
        <v>123</v>
      </c>
      <c r="I138" s="2796">
        <v>75</v>
      </c>
      <c r="J138" s="2796">
        <v>85</v>
      </c>
      <c r="K138" s="2796">
        <v>60</v>
      </c>
      <c r="L138" s="2796">
        <v>140</v>
      </c>
      <c r="M138" s="2796">
        <v>67</v>
      </c>
      <c r="N138" s="2796">
        <v>69</v>
      </c>
      <c r="O138" s="2796">
        <v>51</v>
      </c>
      <c r="P138" s="2796">
        <v>124</v>
      </c>
      <c r="Q138" s="2796">
        <v>58</v>
      </c>
      <c r="R138" s="2796">
        <v>68</v>
      </c>
      <c r="S138" s="2796">
        <v>74</v>
      </c>
      <c r="T138" s="2796">
        <v>112</v>
      </c>
      <c r="U138" s="2796">
        <v>46</v>
      </c>
      <c r="V138" s="2796">
        <v>45</v>
      </c>
      <c r="W138" s="2796">
        <v>68</v>
      </c>
      <c r="X138" s="2796">
        <v>120</v>
      </c>
      <c r="Y138" s="2796">
        <v>61</v>
      </c>
      <c r="Z138" s="2796">
        <v>65</v>
      </c>
      <c r="AA138" s="2796">
        <v>53</v>
      </c>
      <c r="AB138" s="2796">
        <v>103</v>
      </c>
      <c r="AC138" s="2796">
        <v>53</v>
      </c>
      <c r="AD138" s="2796">
        <v>48</v>
      </c>
      <c r="AE138" s="2796">
        <v>60</v>
      </c>
      <c r="AF138" s="2796">
        <v>80</v>
      </c>
      <c r="AG138" s="2796">
        <v>45</v>
      </c>
      <c r="AH138" s="2796">
        <v>80</v>
      </c>
      <c r="AI138" s="2796">
        <v>64</v>
      </c>
      <c r="AJ138" s="2790">
        <f t="shared" ref="AJ138:AJ159" si="8">+SUM(E138:AI138)</f>
        <v>2272</v>
      </c>
      <c r="AK138" s="2790">
        <f t="shared" si="6"/>
        <v>908.80000000000007</v>
      </c>
      <c r="AL138" s="2814" t="s">
        <v>141</v>
      </c>
      <c r="AM138" s="2798"/>
      <c r="AN138">
        <f>190.7*0.5</f>
        <v>95.35</v>
      </c>
    </row>
    <row r="139" spans="1:42" ht="18.75">
      <c r="A139" s="2816">
        <v>3</v>
      </c>
      <c r="B139" s="2813" t="s">
        <v>847</v>
      </c>
      <c r="C139" s="2813"/>
      <c r="D139" s="2813" t="s">
        <v>452</v>
      </c>
      <c r="E139" s="2796">
        <v>60</v>
      </c>
      <c r="F139" s="2796"/>
      <c r="G139" s="2796">
        <v>70</v>
      </c>
      <c r="H139" s="2796">
        <v>96</v>
      </c>
      <c r="I139" s="2796">
        <v>50</v>
      </c>
      <c r="J139" s="2796">
        <v>50</v>
      </c>
      <c r="K139" s="2796">
        <v>50</v>
      </c>
      <c r="L139" s="2796">
        <v>62</v>
      </c>
      <c r="M139" s="2796">
        <v>41</v>
      </c>
      <c r="N139" s="2796">
        <v>55</v>
      </c>
      <c r="O139" s="2796">
        <v>50</v>
      </c>
      <c r="P139" s="2796">
        <v>82</v>
      </c>
      <c r="Q139" s="2796">
        <v>64</v>
      </c>
      <c r="R139" s="2796">
        <v>55</v>
      </c>
      <c r="S139" s="2796"/>
      <c r="T139" s="2796">
        <v>56</v>
      </c>
      <c r="U139" s="2796">
        <v>40</v>
      </c>
      <c r="V139" s="2796">
        <v>60</v>
      </c>
      <c r="W139" s="2796">
        <v>50</v>
      </c>
      <c r="X139" s="2796">
        <v>57</v>
      </c>
      <c r="Y139" s="2796">
        <v>46</v>
      </c>
      <c r="Z139" s="2796">
        <v>62</v>
      </c>
      <c r="AA139" s="2796">
        <v>42</v>
      </c>
      <c r="AB139" s="2796"/>
      <c r="AC139" s="2796">
        <v>113</v>
      </c>
      <c r="AD139" s="2796"/>
      <c r="AE139" s="2796"/>
      <c r="AF139" s="2796">
        <v>59</v>
      </c>
      <c r="AG139" s="2796">
        <v>54</v>
      </c>
      <c r="AH139" s="2796">
        <v>101</v>
      </c>
      <c r="AI139" s="2796">
        <v>77</v>
      </c>
      <c r="AJ139" s="2790">
        <f t="shared" si="8"/>
        <v>1602</v>
      </c>
      <c r="AK139" s="2790">
        <f t="shared" si="6"/>
        <v>640.80000000000007</v>
      </c>
      <c r="AL139" s="2814" t="s">
        <v>141</v>
      </c>
      <c r="AM139" s="2798"/>
    </row>
    <row r="140" spans="1:42" ht="18.75">
      <c r="A140" s="2816">
        <v>4</v>
      </c>
      <c r="B140" s="2813" t="s">
        <v>1205</v>
      </c>
      <c r="C140" s="2813"/>
      <c r="D140" s="2813" t="s">
        <v>452</v>
      </c>
      <c r="E140" s="2796">
        <v>40</v>
      </c>
      <c r="F140" s="2796">
        <v>60</v>
      </c>
      <c r="G140" s="2796">
        <v>51</v>
      </c>
      <c r="H140" s="2796">
        <v>56</v>
      </c>
      <c r="I140" s="2796">
        <v>45</v>
      </c>
      <c r="J140" s="2796">
        <v>75</v>
      </c>
      <c r="K140" s="2796">
        <v>56</v>
      </c>
      <c r="L140" s="2796">
        <v>59</v>
      </c>
      <c r="M140" s="2796">
        <v>30</v>
      </c>
      <c r="N140" s="2796">
        <v>71</v>
      </c>
      <c r="O140" s="2796">
        <v>56</v>
      </c>
      <c r="P140" s="2796">
        <v>102</v>
      </c>
      <c r="Q140" s="2796">
        <v>40</v>
      </c>
      <c r="R140" s="2796">
        <v>71</v>
      </c>
      <c r="S140" s="2796">
        <v>72</v>
      </c>
      <c r="T140" s="2796">
        <v>60</v>
      </c>
      <c r="U140" s="2796">
        <v>40</v>
      </c>
      <c r="V140" s="2796">
        <v>66</v>
      </c>
      <c r="W140" s="2796">
        <v>70</v>
      </c>
      <c r="X140" s="2796">
        <v>76</v>
      </c>
      <c r="Y140" s="2796">
        <v>44</v>
      </c>
      <c r="Z140" s="2796">
        <v>58</v>
      </c>
      <c r="AA140" s="2796">
        <v>63</v>
      </c>
      <c r="AB140" s="2796">
        <v>87</v>
      </c>
      <c r="AC140" s="2796">
        <v>31</v>
      </c>
      <c r="AD140" s="2796">
        <v>91</v>
      </c>
      <c r="AE140" s="2796">
        <v>65</v>
      </c>
      <c r="AF140" s="2796">
        <v>84</v>
      </c>
      <c r="AG140" s="2796">
        <v>40</v>
      </c>
      <c r="AH140" s="2796">
        <v>100</v>
      </c>
      <c r="AI140" s="2796">
        <v>72</v>
      </c>
      <c r="AJ140" s="2790">
        <f t="shared" si="8"/>
        <v>1931</v>
      </c>
      <c r="AK140" s="2790">
        <f t="shared" ref="AK140:AK190" si="9">+AJ140*0.4</f>
        <v>772.40000000000009</v>
      </c>
      <c r="AL140" s="2814" t="s">
        <v>138</v>
      </c>
      <c r="AM140" s="2798"/>
    </row>
    <row r="141" spans="1:42" ht="18.75">
      <c r="A141" s="2816">
        <v>5</v>
      </c>
      <c r="B141" s="2813" t="s">
        <v>1206</v>
      </c>
      <c r="C141" s="2813"/>
      <c r="D141" s="2813" t="s">
        <v>452</v>
      </c>
      <c r="E141" s="2796">
        <v>52</v>
      </c>
      <c r="F141" s="2796">
        <v>114</v>
      </c>
      <c r="G141" s="2796">
        <v>90</v>
      </c>
      <c r="H141" s="2796">
        <v>124</v>
      </c>
      <c r="I141" s="2796">
        <v>55</v>
      </c>
      <c r="J141" s="2796">
        <v>115</v>
      </c>
      <c r="K141" s="2796">
        <v>82</v>
      </c>
      <c r="L141" s="2796">
        <v>114</v>
      </c>
      <c r="M141" s="2796">
        <v>50</v>
      </c>
      <c r="N141" s="2796">
        <v>107</v>
      </c>
      <c r="O141" s="2796">
        <v>80</v>
      </c>
      <c r="P141" s="2796">
        <v>56</v>
      </c>
      <c r="Q141" s="2796">
        <v>42</v>
      </c>
      <c r="R141" s="2796">
        <v>104</v>
      </c>
      <c r="S141" s="2796">
        <v>66</v>
      </c>
      <c r="T141" s="2796">
        <v>98</v>
      </c>
      <c r="U141" s="2796">
        <v>40</v>
      </c>
      <c r="V141" s="2796">
        <v>79</v>
      </c>
      <c r="W141" s="2796">
        <v>61</v>
      </c>
      <c r="X141" s="2796">
        <v>77</v>
      </c>
      <c r="Y141" s="2796">
        <v>40</v>
      </c>
      <c r="Z141" s="2796">
        <v>120</v>
      </c>
      <c r="AA141" s="2796">
        <v>71</v>
      </c>
      <c r="AB141" s="2796">
        <v>71</v>
      </c>
      <c r="AC141" s="2796">
        <v>40</v>
      </c>
      <c r="AD141" s="2796">
        <v>92</v>
      </c>
      <c r="AE141" s="2796">
        <v>65</v>
      </c>
      <c r="AF141" s="2796">
        <v>95</v>
      </c>
      <c r="AG141" s="2796">
        <v>30</v>
      </c>
      <c r="AH141" s="2796">
        <v>97</v>
      </c>
      <c r="AI141" s="2796">
        <v>59</v>
      </c>
      <c r="AJ141" s="2790">
        <f t="shared" si="8"/>
        <v>2386</v>
      </c>
      <c r="AK141" s="2790">
        <f t="shared" si="9"/>
        <v>954.40000000000009</v>
      </c>
      <c r="AL141" s="2814" t="s">
        <v>141</v>
      </c>
      <c r="AM141" s="2798"/>
      <c r="AN141">
        <f>304*0.5</f>
        <v>152</v>
      </c>
    </row>
    <row r="142" spans="1:42" ht="18.75">
      <c r="A142" s="2816">
        <v>6</v>
      </c>
      <c r="B142" s="2813" t="s">
        <v>1207</v>
      </c>
      <c r="C142" s="2813"/>
      <c r="D142" s="2813" t="s">
        <v>452</v>
      </c>
      <c r="E142" s="2796">
        <v>58</v>
      </c>
      <c r="F142" s="2796">
        <v>61</v>
      </c>
      <c r="G142" s="2796">
        <v>77</v>
      </c>
      <c r="H142" s="2796">
        <v>70</v>
      </c>
      <c r="I142" s="2796">
        <v>68</v>
      </c>
      <c r="J142" s="2796">
        <v>61</v>
      </c>
      <c r="K142" s="2796">
        <v>76</v>
      </c>
      <c r="L142" s="2796">
        <v>112</v>
      </c>
      <c r="M142" s="2796">
        <v>40</v>
      </c>
      <c r="N142" s="2796">
        <v>60</v>
      </c>
      <c r="O142" s="2796">
        <v>36</v>
      </c>
      <c r="P142" s="2796">
        <v>77</v>
      </c>
      <c r="Q142" s="2796">
        <v>78</v>
      </c>
      <c r="R142" s="2796">
        <v>61</v>
      </c>
      <c r="S142" s="2796"/>
      <c r="T142" s="2796">
        <v>79</v>
      </c>
      <c r="U142" s="2796">
        <v>48</v>
      </c>
      <c r="V142" s="2796">
        <v>51</v>
      </c>
      <c r="W142" s="2796">
        <v>104</v>
      </c>
      <c r="X142" s="2796">
        <v>105</v>
      </c>
      <c r="Y142" s="2796">
        <v>35</v>
      </c>
      <c r="Z142" s="2796">
        <v>52</v>
      </c>
      <c r="AA142" s="2796">
        <v>60</v>
      </c>
      <c r="AB142" s="2796">
        <v>91</v>
      </c>
      <c r="AC142" s="2796">
        <v>30</v>
      </c>
      <c r="AD142" s="2796">
        <v>53</v>
      </c>
      <c r="AE142" s="2796">
        <v>63</v>
      </c>
      <c r="AF142" s="2796">
        <v>103</v>
      </c>
      <c r="AG142" s="2796">
        <v>33</v>
      </c>
      <c r="AH142" s="2796">
        <v>50</v>
      </c>
      <c r="AI142" s="2796">
        <v>59</v>
      </c>
      <c r="AJ142" s="2790">
        <f t="shared" si="8"/>
        <v>1951</v>
      </c>
      <c r="AK142" s="2790">
        <f t="shared" si="9"/>
        <v>780.40000000000009</v>
      </c>
      <c r="AL142" s="2814" t="s">
        <v>141</v>
      </c>
      <c r="AM142" s="2798"/>
    </row>
    <row r="143" spans="1:42" ht="18.75">
      <c r="A143" s="2816">
        <v>7</v>
      </c>
      <c r="B143" s="2813" t="s">
        <v>567</v>
      </c>
      <c r="C143" s="2813"/>
      <c r="D143" s="2813" t="s">
        <v>452</v>
      </c>
      <c r="E143" s="2796">
        <v>57</v>
      </c>
      <c r="F143" s="2796">
        <v>74</v>
      </c>
      <c r="G143" s="2796">
        <v>73</v>
      </c>
      <c r="H143" s="2796">
        <v>115</v>
      </c>
      <c r="I143" s="2796">
        <v>124</v>
      </c>
      <c r="J143" s="2796">
        <v>70</v>
      </c>
      <c r="K143" s="2796">
        <v>70</v>
      </c>
      <c r="L143" s="2796">
        <v>87</v>
      </c>
      <c r="M143" s="2796">
        <v>105</v>
      </c>
      <c r="N143" s="2796">
        <v>52</v>
      </c>
      <c r="O143" s="2796">
        <v>99</v>
      </c>
      <c r="P143" s="2796">
        <v>60</v>
      </c>
      <c r="Q143" s="2796">
        <v>85</v>
      </c>
      <c r="R143" s="2796"/>
      <c r="S143" s="2796">
        <v>111</v>
      </c>
      <c r="T143" s="2796">
        <v>91</v>
      </c>
      <c r="U143" s="2796">
        <v>80</v>
      </c>
      <c r="V143" s="2796">
        <v>85</v>
      </c>
      <c r="W143" s="2796">
        <v>60</v>
      </c>
      <c r="X143" s="2796"/>
      <c r="Y143" s="2796"/>
      <c r="Z143" s="2796"/>
      <c r="AA143" s="2796"/>
      <c r="AB143" s="2796"/>
      <c r="AC143" s="2796">
        <v>157</v>
      </c>
      <c r="AD143" s="2796">
        <v>76</v>
      </c>
      <c r="AE143" s="2796">
        <v>42</v>
      </c>
      <c r="AF143" s="2796">
        <v>133</v>
      </c>
      <c r="AG143" s="2796">
        <v>81</v>
      </c>
      <c r="AH143" s="2796">
        <v>40</v>
      </c>
      <c r="AI143" s="2796">
        <v>44</v>
      </c>
      <c r="AJ143" s="2790">
        <f t="shared" si="8"/>
        <v>2071</v>
      </c>
      <c r="AK143" s="2790">
        <f t="shared" si="9"/>
        <v>828.40000000000009</v>
      </c>
      <c r="AL143" s="2814" t="s">
        <v>141</v>
      </c>
      <c r="AM143" s="2798"/>
    </row>
    <row r="144" spans="1:42" ht="18.75">
      <c r="A144" s="2816">
        <v>8</v>
      </c>
      <c r="B144" s="2813" t="s">
        <v>1512</v>
      </c>
      <c r="C144" s="2813"/>
      <c r="D144" s="2813" t="s">
        <v>452</v>
      </c>
      <c r="E144" s="2796">
        <v>66</v>
      </c>
      <c r="F144" s="2796">
        <v>70</v>
      </c>
      <c r="G144" s="2796">
        <v>67</v>
      </c>
      <c r="H144" s="2796">
        <v>40</v>
      </c>
      <c r="I144" s="2796">
        <v>66</v>
      </c>
      <c r="J144" s="2796">
        <v>75</v>
      </c>
      <c r="K144" s="2796"/>
      <c r="L144" s="2796">
        <v>114</v>
      </c>
      <c r="M144" s="2796">
        <v>62</v>
      </c>
      <c r="N144" s="2796">
        <v>70</v>
      </c>
      <c r="O144" s="2796">
        <v>136</v>
      </c>
      <c r="P144" s="2796">
        <v>30</v>
      </c>
      <c r="Q144" s="2796">
        <v>55</v>
      </c>
      <c r="R144" s="2796">
        <v>84</v>
      </c>
      <c r="S144" s="2796"/>
      <c r="T144" s="2796">
        <v>163</v>
      </c>
      <c r="U144" s="2796"/>
      <c r="V144" s="2796">
        <v>65</v>
      </c>
      <c r="W144" s="2796">
        <v>93</v>
      </c>
      <c r="X144" s="2796">
        <v>40</v>
      </c>
      <c r="Y144" s="2796">
        <v>70</v>
      </c>
      <c r="Z144" s="2796">
        <v>77</v>
      </c>
      <c r="AA144" s="2796"/>
      <c r="AB144" s="2796"/>
      <c r="AC144" s="2796">
        <v>44</v>
      </c>
      <c r="AD144" s="2796">
        <v>68</v>
      </c>
      <c r="AE144" s="2796">
        <v>50</v>
      </c>
      <c r="AF144" s="2796">
        <v>35</v>
      </c>
      <c r="AG144" s="2796">
        <v>36</v>
      </c>
      <c r="AH144" s="2796">
        <v>69</v>
      </c>
      <c r="AI144" s="2796">
        <v>88</v>
      </c>
      <c r="AJ144" s="2790">
        <f t="shared" si="8"/>
        <v>1833</v>
      </c>
      <c r="AK144" s="2790">
        <f t="shared" si="9"/>
        <v>733.2</v>
      </c>
      <c r="AL144" s="2814" t="s">
        <v>138</v>
      </c>
      <c r="AM144" s="2798"/>
    </row>
    <row r="145" spans="1:42" ht="18.75">
      <c r="A145" s="2816">
        <v>9</v>
      </c>
      <c r="B145" s="2813" t="s">
        <v>1210</v>
      </c>
      <c r="C145" s="2813"/>
      <c r="D145" s="2813" t="s">
        <v>452</v>
      </c>
      <c r="E145" s="2796">
        <v>71</v>
      </c>
      <c r="F145" s="2796">
        <v>72</v>
      </c>
      <c r="G145" s="2796">
        <v>90</v>
      </c>
      <c r="H145" s="2796">
        <v>70</v>
      </c>
      <c r="I145" s="2796">
        <v>60</v>
      </c>
      <c r="J145" s="2796">
        <v>75</v>
      </c>
      <c r="K145" s="2796">
        <v>75</v>
      </c>
      <c r="L145" s="2796">
        <v>67</v>
      </c>
      <c r="M145" s="2796">
        <v>55</v>
      </c>
      <c r="N145" s="2796"/>
      <c r="O145" s="2796">
        <v>117</v>
      </c>
      <c r="P145" s="2796">
        <v>83</v>
      </c>
      <c r="Q145" s="2796">
        <v>50</v>
      </c>
      <c r="R145" s="2796"/>
      <c r="S145" s="2796">
        <v>55</v>
      </c>
      <c r="T145" s="2796">
        <v>62</v>
      </c>
      <c r="U145" s="2796">
        <v>65</v>
      </c>
      <c r="V145" s="2796">
        <v>76</v>
      </c>
      <c r="W145" s="2796">
        <v>100</v>
      </c>
      <c r="X145" s="2796">
        <v>71</v>
      </c>
      <c r="Y145" s="2796">
        <v>57</v>
      </c>
      <c r="Z145" s="2796">
        <v>68</v>
      </c>
      <c r="AA145" s="2796">
        <v>65</v>
      </c>
      <c r="AB145" s="2796">
        <v>50</v>
      </c>
      <c r="AC145" s="2796">
        <v>40</v>
      </c>
      <c r="AD145" s="2796">
        <v>47</v>
      </c>
      <c r="AE145" s="2796">
        <v>40</v>
      </c>
      <c r="AF145" s="2796">
        <v>54</v>
      </c>
      <c r="AG145" s="2796">
        <v>39</v>
      </c>
      <c r="AH145" s="2796">
        <v>50</v>
      </c>
      <c r="AI145" s="2796">
        <v>40</v>
      </c>
      <c r="AJ145" s="2790">
        <f t="shared" si="8"/>
        <v>1864</v>
      </c>
      <c r="AK145" s="2790">
        <f t="shared" si="9"/>
        <v>745.6</v>
      </c>
      <c r="AL145" s="2814" t="s">
        <v>141</v>
      </c>
      <c r="AM145" s="2798"/>
    </row>
    <row r="146" spans="1:42" ht="18.75">
      <c r="A146" s="2816">
        <v>10</v>
      </c>
      <c r="B146" s="2813" t="s">
        <v>1541</v>
      </c>
      <c r="C146" s="2813"/>
      <c r="D146" s="2813" t="s">
        <v>452</v>
      </c>
      <c r="E146" s="2796">
        <v>59</v>
      </c>
      <c r="F146" s="2796">
        <v>74</v>
      </c>
      <c r="G146" s="2796">
        <v>80</v>
      </c>
      <c r="H146" s="2796">
        <v>100</v>
      </c>
      <c r="I146" s="2796">
        <v>60</v>
      </c>
      <c r="J146" s="2796">
        <v>88</v>
      </c>
      <c r="K146" s="2796">
        <v>50</v>
      </c>
      <c r="L146" s="2796">
        <v>92</v>
      </c>
      <c r="M146" s="2796">
        <v>40</v>
      </c>
      <c r="N146" s="2796"/>
      <c r="O146" s="2796">
        <v>135</v>
      </c>
      <c r="P146" s="2796">
        <v>73</v>
      </c>
      <c r="Q146" s="2796">
        <v>41</v>
      </c>
      <c r="R146" s="2796"/>
      <c r="S146" s="2796">
        <v>83</v>
      </c>
      <c r="T146" s="2796">
        <v>92</v>
      </c>
      <c r="U146" s="2796">
        <v>44</v>
      </c>
      <c r="V146" s="2796">
        <v>99</v>
      </c>
      <c r="W146" s="2796">
        <v>77</v>
      </c>
      <c r="X146" s="2796">
        <v>89</v>
      </c>
      <c r="Y146" s="2796">
        <v>40</v>
      </c>
      <c r="Z146" s="2796">
        <v>78</v>
      </c>
      <c r="AA146" s="2796">
        <v>40</v>
      </c>
      <c r="AB146" s="2796">
        <v>75</v>
      </c>
      <c r="AC146" s="2796">
        <v>30</v>
      </c>
      <c r="AD146" s="2796">
        <v>79</v>
      </c>
      <c r="AE146" s="2796">
        <v>54</v>
      </c>
      <c r="AF146" s="2796">
        <v>73</v>
      </c>
      <c r="AG146" s="2796">
        <v>40</v>
      </c>
      <c r="AH146" s="2796">
        <v>86</v>
      </c>
      <c r="AI146" s="2796">
        <v>40</v>
      </c>
      <c r="AJ146" s="2790">
        <f t="shared" si="8"/>
        <v>2011</v>
      </c>
      <c r="AK146" s="2790">
        <f t="shared" si="9"/>
        <v>804.40000000000009</v>
      </c>
      <c r="AL146" s="2814" t="s">
        <v>141</v>
      </c>
      <c r="AM146" s="2798"/>
    </row>
    <row r="147" spans="1:42" ht="18.75">
      <c r="A147" s="2816">
        <v>11</v>
      </c>
      <c r="B147" s="2813" t="s">
        <v>1513</v>
      </c>
      <c r="C147" s="2813"/>
      <c r="D147" s="2813" t="s">
        <v>452</v>
      </c>
      <c r="E147" s="2796">
        <v>70</v>
      </c>
      <c r="F147" s="2796">
        <v>95</v>
      </c>
      <c r="G147" s="2796">
        <v>81</v>
      </c>
      <c r="H147" s="2796">
        <v>114</v>
      </c>
      <c r="I147" s="2796">
        <v>70</v>
      </c>
      <c r="J147" s="2796">
        <v>85</v>
      </c>
      <c r="K147" s="2796">
        <v>62</v>
      </c>
      <c r="L147" s="2796"/>
      <c r="M147" s="2796">
        <v>128</v>
      </c>
      <c r="N147" s="2796">
        <v>75</v>
      </c>
      <c r="O147" s="2796">
        <v>61</v>
      </c>
      <c r="P147" s="2796">
        <v>83</v>
      </c>
      <c r="Q147" s="2796">
        <v>41</v>
      </c>
      <c r="R147" s="2796">
        <v>75</v>
      </c>
      <c r="S147" s="2796"/>
      <c r="T147" s="2796">
        <v>130</v>
      </c>
      <c r="U147" s="2796">
        <v>62</v>
      </c>
      <c r="V147" s="2796">
        <v>88</v>
      </c>
      <c r="W147" s="2796">
        <v>71</v>
      </c>
      <c r="X147" s="2796">
        <v>71</v>
      </c>
      <c r="Y147" s="2796">
        <v>52</v>
      </c>
      <c r="Z147" s="2796">
        <v>89</v>
      </c>
      <c r="AA147" s="2796">
        <v>51</v>
      </c>
      <c r="AB147" s="2796">
        <v>72</v>
      </c>
      <c r="AC147" s="2796">
        <v>45</v>
      </c>
      <c r="AD147" s="2796">
        <v>58</v>
      </c>
      <c r="AE147" s="2796">
        <v>55</v>
      </c>
      <c r="AF147" s="2796">
        <v>72</v>
      </c>
      <c r="AG147" s="2796">
        <v>38</v>
      </c>
      <c r="AH147" s="2796">
        <v>66</v>
      </c>
      <c r="AI147" s="2796">
        <v>57</v>
      </c>
      <c r="AJ147" s="2790">
        <f t="shared" si="8"/>
        <v>2117</v>
      </c>
      <c r="AK147" s="2790">
        <f t="shared" si="9"/>
        <v>846.80000000000007</v>
      </c>
      <c r="AL147" s="2814" t="s">
        <v>141</v>
      </c>
      <c r="AM147" s="2798"/>
    </row>
    <row r="148" spans="1:42" ht="18.75">
      <c r="A148" s="2816">
        <v>12</v>
      </c>
      <c r="B148" s="2813" t="s">
        <v>1514</v>
      </c>
      <c r="C148" s="2813"/>
      <c r="D148" s="2813" t="s">
        <v>452</v>
      </c>
      <c r="E148" s="2796">
        <v>56</v>
      </c>
      <c r="F148" s="2796">
        <v>92</v>
      </c>
      <c r="G148" s="2796">
        <v>86</v>
      </c>
      <c r="H148" s="2796">
        <v>90</v>
      </c>
      <c r="I148" s="2796">
        <v>60</v>
      </c>
      <c r="J148" s="2796">
        <v>120</v>
      </c>
      <c r="K148" s="2796">
        <v>65</v>
      </c>
      <c r="L148" s="2796">
        <v>71</v>
      </c>
      <c r="M148" s="2796">
        <v>58</v>
      </c>
      <c r="N148" s="2796">
        <v>80</v>
      </c>
      <c r="O148" s="2796">
        <v>65</v>
      </c>
      <c r="P148" s="2796">
        <v>60</v>
      </c>
      <c r="Q148" s="2796">
        <v>45</v>
      </c>
      <c r="R148" s="2796">
        <v>105</v>
      </c>
      <c r="S148" s="2796"/>
      <c r="T148" s="2796">
        <v>112</v>
      </c>
      <c r="U148" s="2796">
        <v>50</v>
      </c>
      <c r="V148" s="2796">
        <v>69</v>
      </c>
      <c r="W148" s="2796">
        <v>58</v>
      </c>
      <c r="X148" s="2796">
        <v>55</v>
      </c>
      <c r="Y148" s="2796">
        <v>50</v>
      </c>
      <c r="Z148" s="2796">
        <v>98</v>
      </c>
      <c r="AA148" s="2796">
        <v>52</v>
      </c>
      <c r="AB148" s="2796">
        <v>45</v>
      </c>
      <c r="AC148" s="2796">
        <v>44</v>
      </c>
      <c r="AD148" s="2796">
        <v>112</v>
      </c>
      <c r="AE148" s="2796"/>
      <c r="AF148" s="2796">
        <v>50</v>
      </c>
      <c r="AG148" s="2796">
        <v>40</v>
      </c>
      <c r="AH148" s="2796">
        <v>90</v>
      </c>
      <c r="AI148" s="2796">
        <v>59</v>
      </c>
      <c r="AJ148" s="2790">
        <f t="shared" si="8"/>
        <v>2037</v>
      </c>
      <c r="AK148" s="2790">
        <f t="shared" si="9"/>
        <v>814.80000000000007</v>
      </c>
      <c r="AL148" s="2814" t="s">
        <v>138</v>
      </c>
      <c r="AM148" s="2798"/>
    </row>
    <row r="149" spans="1:42" ht="18.75">
      <c r="A149" s="2816">
        <v>13</v>
      </c>
      <c r="B149" s="2813" t="s">
        <v>1303</v>
      </c>
      <c r="C149" s="2813"/>
      <c r="D149" s="2813" t="s">
        <v>452</v>
      </c>
      <c r="E149" s="2796">
        <v>72</v>
      </c>
      <c r="F149" s="2796">
        <v>100</v>
      </c>
      <c r="G149" s="2796">
        <v>60</v>
      </c>
      <c r="H149" s="2796">
        <v>64</v>
      </c>
      <c r="I149" s="2796">
        <v>75</v>
      </c>
      <c r="J149" s="2796">
        <v>90</v>
      </c>
      <c r="K149" s="2796">
        <v>65</v>
      </c>
      <c r="L149" s="2796">
        <v>70</v>
      </c>
      <c r="M149" s="2796">
        <v>68</v>
      </c>
      <c r="N149" s="2796"/>
      <c r="O149" s="2796">
        <v>56</v>
      </c>
      <c r="P149" s="2796">
        <v>62</v>
      </c>
      <c r="Q149" s="2796">
        <v>62</v>
      </c>
      <c r="R149" s="2796">
        <v>61</v>
      </c>
      <c r="S149" s="2796"/>
      <c r="T149" s="2796">
        <v>70</v>
      </c>
      <c r="U149" s="2796">
        <v>61</v>
      </c>
      <c r="V149" s="2796">
        <v>59</v>
      </c>
      <c r="W149" s="2796">
        <v>57</v>
      </c>
      <c r="X149" s="2796">
        <v>87</v>
      </c>
      <c r="Y149" s="2796"/>
      <c r="Z149" s="2796">
        <v>52</v>
      </c>
      <c r="AA149" s="2796">
        <v>51</v>
      </c>
      <c r="AB149" s="2796">
        <v>78</v>
      </c>
      <c r="AC149" s="2796">
        <v>50</v>
      </c>
      <c r="AD149" s="2796"/>
      <c r="AE149" s="2796">
        <v>57</v>
      </c>
      <c r="AF149" s="2796"/>
      <c r="AG149" s="2796"/>
      <c r="AH149" s="2796">
        <v>84</v>
      </c>
      <c r="AI149" s="2796">
        <v>83</v>
      </c>
      <c r="AJ149" s="2790">
        <f t="shared" si="8"/>
        <v>1694</v>
      </c>
      <c r="AK149" s="2790">
        <f t="shared" si="9"/>
        <v>677.6</v>
      </c>
      <c r="AL149" s="2814" t="s">
        <v>138</v>
      </c>
      <c r="AM149" s="2798"/>
    </row>
    <row r="150" spans="1:42" ht="18.75">
      <c r="A150" s="2816">
        <v>14</v>
      </c>
      <c r="B150" s="2813" t="s">
        <v>850</v>
      </c>
      <c r="C150" s="2813"/>
      <c r="D150" s="2813" t="s">
        <v>452</v>
      </c>
      <c r="E150" s="2796">
        <v>90</v>
      </c>
      <c r="F150" s="2796">
        <v>85</v>
      </c>
      <c r="G150" s="2796">
        <v>75</v>
      </c>
      <c r="H150" s="2796">
        <v>142</v>
      </c>
      <c r="I150" s="2796">
        <v>70</v>
      </c>
      <c r="J150" s="2796">
        <v>80</v>
      </c>
      <c r="K150" s="2796">
        <v>65</v>
      </c>
      <c r="L150" s="2796">
        <v>129</v>
      </c>
      <c r="M150" s="2796">
        <v>64</v>
      </c>
      <c r="N150" s="2796">
        <v>71</v>
      </c>
      <c r="O150" s="2796">
        <v>56</v>
      </c>
      <c r="P150" s="2796">
        <v>112</v>
      </c>
      <c r="Q150" s="2796">
        <v>43</v>
      </c>
      <c r="R150" s="2796">
        <v>71</v>
      </c>
      <c r="S150" s="2796"/>
      <c r="T150" s="2796">
        <v>73</v>
      </c>
      <c r="U150" s="2796">
        <v>56</v>
      </c>
      <c r="V150" s="2796">
        <v>55</v>
      </c>
      <c r="W150" s="2796">
        <v>104</v>
      </c>
      <c r="X150" s="2796">
        <v>109</v>
      </c>
      <c r="Y150" s="2796">
        <v>55</v>
      </c>
      <c r="Z150" s="2796">
        <v>61</v>
      </c>
      <c r="AA150" s="2796">
        <v>66</v>
      </c>
      <c r="AB150" s="2796">
        <v>62</v>
      </c>
      <c r="AC150" s="2796">
        <v>40</v>
      </c>
      <c r="AD150" s="2796">
        <v>46</v>
      </c>
      <c r="AE150" s="2796">
        <v>40</v>
      </c>
      <c r="AF150" s="2796">
        <v>65</v>
      </c>
      <c r="AG150" s="2796">
        <v>40</v>
      </c>
      <c r="AH150" s="2796">
        <v>51</v>
      </c>
      <c r="AI150" s="2796">
        <v>61</v>
      </c>
      <c r="AJ150" s="2790">
        <f t="shared" si="8"/>
        <v>2137</v>
      </c>
      <c r="AK150" s="2790">
        <f t="shared" si="9"/>
        <v>854.80000000000007</v>
      </c>
      <c r="AL150" s="2814" t="s">
        <v>141</v>
      </c>
      <c r="AM150" s="2798"/>
      <c r="AP150">
        <f>+COUNTIF(AL137:AL159,"A")</f>
        <v>15</v>
      </c>
    </row>
    <row r="151" spans="1:42" ht="18.75">
      <c r="A151" s="2816">
        <v>15</v>
      </c>
      <c r="B151" s="2813" t="s">
        <v>1515</v>
      </c>
      <c r="C151" s="2813"/>
      <c r="D151" s="2813" t="s">
        <v>452</v>
      </c>
      <c r="E151" s="2796">
        <v>102</v>
      </c>
      <c r="F151" s="2796">
        <v>66</v>
      </c>
      <c r="G151" s="2796"/>
      <c r="H151" s="2796">
        <v>86</v>
      </c>
      <c r="I151" s="2796">
        <v>87</v>
      </c>
      <c r="J151" s="2796">
        <v>60</v>
      </c>
      <c r="K151" s="2796">
        <v>50</v>
      </c>
      <c r="L151" s="2796">
        <v>51</v>
      </c>
      <c r="M151" s="2796">
        <v>100</v>
      </c>
      <c r="N151" s="2796">
        <v>42</v>
      </c>
      <c r="O151" s="2796">
        <v>61</v>
      </c>
      <c r="P151" s="2796">
        <v>70</v>
      </c>
      <c r="Q151" s="2796">
        <v>90</v>
      </c>
      <c r="R151" s="2796"/>
      <c r="S151" s="2796">
        <v>85</v>
      </c>
      <c r="T151" s="2796">
        <v>73</v>
      </c>
      <c r="U151" s="2796"/>
      <c r="V151" s="2796">
        <v>40</v>
      </c>
      <c r="W151" s="2796">
        <v>50</v>
      </c>
      <c r="X151" s="2796">
        <v>45</v>
      </c>
      <c r="Y151" s="2796">
        <v>84</v>
      </c>
      <c r="Z151" s="2796"/>
      <c r="AA151" s="2796">
        <v>45</v>
      </c>
      <c r="AB151" s="2796">
        <v>50</v>
      </c>
      <c r="AC151" s="2796">
        <v>50</v>
      </c>
      <c r="AD151" s="2796">
        <v>40</v>
      </c>
      <c r="AE151" s="2796">
        <v>32</v>
      </c>
      <c r="AF151" s="2796">
        <v>70</v>
      </c>
      <c r="AG151" s="2796">
        <v>88</v>
      </c>
      <c r="AH151" s="2796">
        <v>46</v>
      </c>
      <c r="AI151" s="2796">
        <v>40</v>
      </c>
      <c r="AJ151" s="2790">
        <f t="shared" si="8"/>
        <v>1703</v>
      </c>
      <c r="AK151" s="2790">
        <f t="shared" si="9"/>
        <v>681.2</v>
      </c>
      <c r="AL151" s="2814" t="s">
        <v>138</v>
      </c>
      <c r="AM151" s="2798"/>
    </row>
    <row r="152" spans="1:42" ht="18.75">
      <c r="A152" s="2816">
        <v>16</v>
      </c>
      <c r="B152" s="2813" t="s">
        <v>1516</v>
      </c>
      <c r="C152" s="2813"/>
      <c r="D152" s="2813" t="s">
        <v>452</v>
      </c>
      <c r="E152" s="2796">
        <v>69</v>
      </c>
      <c r="F152" s="2796">
        <v>51</v>
      </c>
      <c r="G152" s="2796"/>
      <c r="H152" s="2796">
        <v>75</v>
      </c>
      <c r="I152" s="2796">
        <v>73</v>
      </c>
      <c r="J152" s="2796">
        <v>50</v>
      </c>
      <c r="K152" s="2796">
        <v>50</v>
      </c>
      <c r="L152" s="2796">
        <v>50</v>
      </c>
      <c r="M152" s="2796">
        <v>78</v>
      </c>
      <c r="N152" s="2796">
        <v>40</v>
      </c>
      <c r="O152" s="2796">
        <v>56</v>
      </c>
      <c r="P152" s="2796">
        <v>86</v>
      </c>
      <c r="Q152" s="2796">
        <v>59</v>
      </c>
      <c r="R152" s="2796"/>
      <c r="S152" s="2796">
        <v>80</v>
      </c>
      <c r="T152" s="2796">
        <v>74</v>
      </c>
      <c r="U152" s="2796"/>
      <c r="V152" s="2796">
        <v>40</v>
      </c>
      <c r="W152" s="2796">
        <v>50</v>
      </c>
      <c r="X152" s="2796">
        <v>40</v>
      </c>
      <c r="Y152" s="2796">
        <v>74</v>
      </c>
      <c r="Z152" s="2796"/>
      <c r="AA152" s="2796">
        <v>41</v>
      </c>
      <c r="AB152" s="2796">
        <v>56</v>
      </c>
      <c r="AC152" s="2796">
        <v>46</v>
      </c>
      <c r="AD152" s="2796">
        <v>45</v>
      </c>
      <c r="AE152" s="2796">
        <v>52</v>
      </c>
      <c r="AF152" s="2796">
        <v>69</v>
      </c>
      <c r="AG152" s="2796">
        <v>75</v>
      </c>
      <c r="AH152" s="2796">
        <v>40</v>
      </c>
      <c r="AI152" s="2796">
        <v>40</v>
      </c>
      <c r="AJ152" s="2790">
        <f t="shared" si="8"/>
        <v>1559</v>
      </c>
      <c r="AK152" s="2790">
        <f t="shared" si="9"/>
        <v>623.6</v>
      </c>
      <c r="AL152" s="2814" t="s">
        <v>141</v>
      </c>
      <c r="AM152" s="2798"/>
    </row>
    <row r="153" spans="1:42" ht="18.75">
      <c r="A153" s="2816">
        <v>17</v>
      </c>
      <c r="B153" s="2813" t="s">
        <v>288</v>
      </c>
      <c r="C153" s="2813"/>
      <c r="D153" s="2813" t="s">
        <v>452</v>
      </c>
      <c r="E153" s="2796">
        <v>90</v>
      </c>
      <c r="F153" s="2796">
        <v>116</v>
      </c>
      <c r="G153" s="2796">
        <v>76</v>
      </c>
      <c r="H153" s="2796">
        <v>82</v>
      </c>
      <c r="I153" s="2796">
        <v>80</v>
      </c>
      <c r="J153" s="2796">
        <v>90</v>
      </c>
      <c r="K153" s="2796">
        <v>63</v>
      </c>
      <c r="L153" s="2796">
        <v>42</v>
      </c>
      <c r="M153" s="2796">
        <v>60</v>
      </c>
      <c r="N153" s="2796">
        <v>66</v>
      </c>
      <c r="O153" s="2796">
        <v>48</v>
      </c>
      <c r="P153" s="2796">
        <v>64</v>
      </c>
      <c r="Q153" s="2796">
        <v>84</v>
      </c>
      <c r="R153" s="2796">
        <v>92</v>
      </c>
      <c r="S153" s="2796"/>
      <c r="T153" s="2796">
        <v>47</v>
      </c>
      <c r="U153" s="2796"/>
      <c r="V153" s="2796">
        <v>86</v>
      </c>
      <c r="W153" s="2796">
        <v>85</v>
      </c>
      <c r="X153" s="2796">
        <v>75</v>
      </c>
      <c r="Y153" s="2796">
        <v>76</v>
      </c>
      <c r="Z153" s="2796">
        <v>91</v>
      </c>
      <c r="AA153" s="2796">
        <v>69</v>
      </c>
      <c r="AB153" s="2796">
        <v>36</v>
      </c>
      <c r="AC153" s="2796">
        <v>55</v>
      </c>
      <c r="AD153" s="2796">
        <v>58</v>
      </c>
      <c r="AE153" s="2796">
        <v>45</v>
      </c>
      <c r="AF153" s="2796">
        <v>70</v>
      </c>
      <c r="AG153" s="2796">
        <v>76</v>
      </c>
      <c r="AH153" s="2796">
        <v>53</v>
      </c>
      <c r="AI153" s="2796">
        <v>57</v>
      </c>
      <c r="AJ153" s="2790">
        <f t="shared" si="8"/>
        <v>2032</v>
      </c>
      <c r="AK153" s="2790">
        <f t="shared" si="9"/>
        <v>812.80000000000007</v>
      </c>
      <c r="AL153" s="2814" t="s">
        <v>141</v>
      </c>
      <c r="AM153" s="2798"/>
    </row>
    <row r="154" spans="1:42" ht="18.75">
      <c r="A154" s="2816">
        <v>18</v>
      </c>
      <c r="B154" s="2813" t="s">
        <v>1215</v>
      </c>
      <c r="C154" s="2813"/>
      <c r="D154" s="2813" t="s">
        <v>452</v>
      </c>
      <c r="E154" s="2796">
        <v>58</v>
      </c>
      <c r="F154" s="2796">
        <v>61</v>
      </c>
      <c r="G154" s="2796">
        <v>52</v>
      </c>
      <c r="H154" s="2796"/>
      <c r="I154" s="2796"/>
      <c r="J154" s="2796">
        <v>55</v>
      </c>
      <c r="K154" s="2796">
        <v>55</v>
      </c>
      <c r="L154" s="2796">
        <v>108</v>
      </c>
      <c r="M154" s="2796">
        <v>88</v>
      </c>
      <c r="N154" s="2796"/>
      <c r="O154" s="2796">
        <v>49</v>
      </c>
      <c r="P154" s="2796">
        <v>94</v>
      </c>
      <c r="Q154" s="2796">
        <v>62</v>
      </c>
      <c r="R154" s="2796">
        <v>62</v>
      </c>
      <c r="S154" s="2796"/>
      <c r="T154" s="2796">
        <v>163</v>
      </c>
      <c r="U154" s="2796">
        <v>68</v>
      </c>
      <c r="V154" s="2796">
        <v>74</v>
      </c>
      <c r="W154" s="2796">
        <v>40</v>
      </c>
      <c r="X154" s="2796">
        <v>74</v>
      </c>
      <c r="Y154" s="2796"/>
      <c r="Z154" s="2796">
        <v>79</v>
      </c>
      <c r="AA154" s="2796">
        <v>44</v>
      </c>
      <c r="AB154" s="2796">
        <v>110</v>
      </c>
      <c r="AC154" s="2790">
        <v>63</v>
      </c>
      <c r="AD154" s="2790">
        <v>69</v>
      </c>
      <c r="AE154" s="2790">
        <v>86</v>
      </c>
      <c r="AF154" s="2790"/>
      <c r="AG154" s="2790">
        <v>51</v>
      </c>
      <c r="AH154" s="2790">
        <v>57</v>
      </c>
      <c r="AI154" s="2790">
        <v>51</v>
      </c>
      <c r="AJ154" s="2790">
        <f t="shared" si="8"/>
        <v>1773</v>
      </c>
      <c r="AK154" s="2790">
        <f t="shared" si="9"/>
        <v>709.2</v>
      </c>
      <c r="AL154" s="2814" t="s">
        <v>138</v>
      </c>
      <c r="AM154" s="2798"/>
    </row>
    <row r="155" spans="1:42" ht="18.75">
      <c r="A155" s="2816">
        <v>19</v>
      </c>
      <c r="B155" s="2813" t="s">
        <v>1189</v>
      </c>
      <c r="C155" s="2813"/>
      <c r="D155" s="2813" t="s">
        <v>452</v>
      </c>
      <c r="E155" s="2796">
        <v>75</v>
      </c>
      <c r="F155" s="2796">
        <v>198</v>
      </c>
      <c r="G155" s="2796">
        <v>130</v>
      </c>
      <c r="H155" s="2796">
        <v>171</v>
      </c>
      <c r="I155" s="2796">
        <v>70</v>
      </c>
      <c r="J155" s="2796">
        <v>91</v>
      </c>
      <c r="K155" s="2796">
        <v>80</v>
      </c>
      <c r="L155" s="2796">
        <v>114</v>
      </c>
      <c r="M155" s="2796">
        <v>70</v>
      </c>
      <c r="N155" s="2796">
        <v>80</v>
      </c>
      <c r="O155" s="2796">
        <v>80</v>
      </c>
      <c r="P155" s="2796">
        <v>96</v>
      </c>
      <c r="Q155" s="2796">
        <v>68</v>
      </c>
      <c r="R155" s="2796">
        <v>87</v>
      </c>
      <c r="S155" s="2796"/>
      <c r="T155" s="2796">
        <v>107</v>
      </c>
      <c r="U155" s="2796">
        <v>72</v>
      </c>
      <c r="V155" s="2796">
        <v>85</v>
      </c>
      <c r="W155" s="2796">
        <v>142</v>
      </c>
      <c r="X155" s="2796">
        <v>87</v>
      </c>
      <c r="Y155" s="2796">
        <v>64</v>
      </c>
      <c r="Z155" s="2796">
        <v>78</v>
      </c>
      <c r="AA155" s="2796">
        <v>69</v>
      </c>
      <c r="AB155" s="2796">
        <v>87</v>
      </c>
      <c r="AC155" s="2796">
        <v>66</v>
      </c>
      <c r="AD155" s="2796">
        <v>70</v>
      </c>
      <c r="AE155" s="2796">
        <v>65</v>
      </c>
      <c r="AF155" s="2796">
        <v>89</v>
      </c>
      <c r="AG155" s="2796">
        <v>69</v>
      </c>
      <c r="AH155" s="2796"/>
      <c r="AI155" s="2796">
        <v>142</v>
      </c>
      <c r="AJ155" s="2790">
        <f t="shared" si="8"/>
        <v>2702</v>
      </c>
      <c r="AK155" s="2790">
        <f t="shared" si="9"/>
        <v>1080.8</v>
      </c>
      <c r="AL155" s="2814" t="s">
        <v>138</v>
      </c>
      <c r="AM155" s="2798"/>
    </row>
    <row r="156" spans="1:42" ht="18.75">
      <c r="A156" s="2816">
        <v>20</v>
      </c>
      <c r="B156" s="2813" t="s">
        <v>1542</v>
      </c>
      <c r="C156" s="2813"/>
      <c r="D156" s="2813" t="s">
        <v>452</v>
      </c>
      <c r="E156" s="2796">
        <v>90</v>
      </c>
      <c r="F156" s="2796">
        <v>54</v>
      </c>
      <c r="G156" s="2796">
        <v>62</v>
      </c>
      <c r="H156" s="2796">
        <v>50</v>
      </c>
      <c r="I156" s="2796">
        <v>65</v>
      </c>
      <c r="J156" s="2796">
        <v>65</v>
      </c>
      <c r="K156" s="2796">
        <v>62</v>
      </c>
      <c r="L156" s="2796">
        <v>59</v>
      </c>
      <c r="M156" s="2796">
        <v>80</v>
      </c>
      <c r="N156" s="2796">
        <v>64</v>
      </c>
      <c r="O156" s="2796">
        <v>63</v>
      </c>
      <c r="P156" s="2796">
        <v>50</v>
      </c>
      <c r="Q156" s="2796">
        <v>71</v>
      </c>
      <c r="R156" s="2796">
        <v>60</v>
      </c>
      <c r="S156" s="2796">
        <v>59</v>
      </c>
      <c r="T156" s="2796">
        <v>42</v>
      </c>
      <c r="U156" s="2796">
        <v>64</v>
      </c>
      <c r="V156" s="2796">
        <v>53</v>
      </c>
      <c r="W156" s="2796">
        <v>60</v>
      </c>
      <c r="X156" s="2796">
        <v>50</v>
      </c>
      <c r="Y156" s="2796">
        <v>73</v>
      </c>
      <c r="Z156" s="2796"/>
      <c r="AA156" s="2796">
        <v>66</v>
      </c>
      <c r="AB156" s="2796">
        <v>53</v>
      </c>
      <c r="AC156" s="2796">
        <v>75</v>
      </c>
      <c r="AD156" s="2796">
        <v>77</v>
      </c>
      <c r="AE156" s="2796">
        <v>61</v>
      </c>
      <c r="AF156" s="2796">
        <v>60</v>
      </c>
      <c r="AG156" s="2796">
        <v>58</v>
      </c>
      <c r="AH156" s="2796">
        <v>66</v>
      </c>
      <c r="AI156" s="2796">
        <v>74</v>
      </c>
      <c r="AJ156" s="2790">
        <f t="shared" si="8"/>
        <v>1886</v>
      </c>
      <c r="AK156" s="2790">
        <f t="shared" si="9"/>
        <v>754.40000000000009</v>
      </c>
      <c r="AL156" s="2814" t="s">
        <v>141</v>
      </c>
      <c r="AM156" s="2798"/>
    </row>
    <row r="157" spans="1:42" ht="18.75">
      <c r="A157" s="2816">
        <v>21</v>
      </c>
      <c r="B157" s="2813" t="s">
        <v>1543</v>
      </c>
      <c r="C157" s="2813"/>
      <c r="D157" s="2813" t="s">
        <v>452</v>
      </c>
      <c r="E157" s="2796">
        <v>62</v>
      </c>
      <c r="F157" s="2796"/>
      <c r="G157" s="2796"/>
      <c r="H157" s="2796">
        <v>76</v>
      </c>
      <c r="I157" s="2796">
        <v>64</v>
      </c>
      <c r="J157" s="2796">
        <v>154</v>
      </c>
      <c r="K157" s="2796">
        <v>73</v>
      </c>
      <c r="L157" s="2796">
        <v>60</v>
      </c>
      <c r="M157" s="2796">
        <v>85</v>
      </c>
      <c r="N157" s="2796"/>
      <c r="O157" s="2796">
        <v>105</v>
      </c>
      <c r="P157" s="2796">
        <v>61</v>
      </c>
      <c r="Q157" s="2796">
        <v>36</v>
      </c>
      <c r="R157" s="2796">
        <v>69</v>
      </c>
      <c r="S157" s="2796"/>
      <c r="T157" s="2796">
        <v>51</v>
      </c>
      <c r="U157" s="2796">
        <v>77</v>
      </c>
      <c r="V157" s="2796">
        <v>60</v>
      </c>
      <c r="W157" s="2796">
        <v>60</v>
      </c>
      <c r="X157" s="2796">
        <v>50</v>
      </c>
      <c r="Y157" s="2796">
        <v>50</v>
      </c>
      <c r="Z157" s="2796">
        <v>40</v>
      </c>
      <c r="AA157" s="2796">
        <v>80</v>
      </c>
      <c r="AB157" s="2796">
        <v>52</v>
      </c>
      <c r="AC157" s="2796">
        <v>76</v>
      </c>
      <c r="AD157" s="2796">
        <v>52</v>
      </c>
      <c r="AE157" s="2796">
        <v>63</v>
      </c>
      <c r="AF157" s="2796">
        <v>66</v>
      </c>
      <c r="AG157" s="2796"/>
      <c r="AH157" s="2796"/>
      <c r="AI157" s="2796">
        <v>116</v>
      </c>
      <c r="AJ157" s="2790">
        <f t="shared" si="8"/>
        <v>1738</v>
      </c>
      <c r="AK157" s="2790">
        <f t="shared" si="9"/>
        <v>695.2</v>
      </c>
      <c r="AL157" s="2814" t="s">
        <v>141</v>
      </c>
      <c r="AM157" s="2798"/>
    </row>
    <row r="158" spans="1:42" ht="18.75">
      <c r="A158" s="2816">
        <v>22</v>
      </c>
      <c r="B158" s="2813" t="s">
        <v>1253</v>
      </c>
      <c r="C158" s="2813"/>
      <c r="D158" s="2813" t="s">
        <v>452</v>
      </c>
      <c r="E158" s="2796">
        <v>56</v>
      </c>
      <c r="F158" s="2796">
        <v>70</v>
      </c>
      <c r="G158" s="2796">
        <v>71</v>
      </c>
      <c r="H158" s="2796">
        <v>50</v>
      </c>
      <c r="I158" s="2796">
        <v>64</v>
      </c>
      <c r="J158" s="2796">
        <v>60</v>
      </c>
      <c r="K158" s="2796">
        <v>77</v>
      </c>
      <c r="L158" s="2796">
        <v>53</v>
      </c>
      <c r="M158" s="2796">
        <v>54</v>
      </c>
      <c r="N158" s="2796">
        <v>105</v>
      </c>
      <c r="O158" s="2796">
        <v>76</v>
      </c>
      <c r="P158" s="2796">
        <v>64</v>
      </c>
      <c r="Q158" s="2796">
        <v>66</v>
      </c>
      <c r="R158" s="2796">
        <v>66</v>
      </c>
      <c r="S158" s="2796"/>
      <c r="T158" s="2796">
        <v>96</v>
      </c>
      <c r="U158" s="2796">
        <v>60</v>
      </c>
      <c r="V158" s="2796">
        <v>62</v>
      </c>
      <c r="W158" s="2796">
        <v>112</v>
      </c>
      <c r="X158" s="2796">
        <v>108</v>
      </c>
      <c r="Y158" s="2796">
        <v>70</v>
      </c>
      <c r="Z158" s="2796">
        <v>65</v>
      </c>
      <c r="AA158" s="2796">
        <v>65</v>
      </c>
      <c r="AB158" s="2796">
        <v>81</v>
      </c>
      <c r="AC158" s="2796">
        <v>56</v>
      </c>
      <c r="AD158" s="2796">
        <v>57</v>
      </c>
      <c r="AE158" s="2796">
        <v>50</v>
      </c>
      <c r="AF158" s="2796">
        <v>86</v>
      </c>
      <c r="AG158" s="2796">
        <v>50</v>
      </c>
      <c r="AH158" s="2796">
        <v>66</v>
      </c>
      <c r="AI158" s="2796"/>
      <c r="AJ158" s="2790">
        <f t="shared" si="8"/>
        <v>2016</v>
      </c>
      <c r="AK158" s="2790">
        <f t="shared" si="9"/>
        <v>806.40000000000009</v>
      </c>
      <c r="AL158" s="2814" t="s">
        <v>138</v>
      </c>
      <c r="AM158" s="2798"/>
    </row>
    <row r="159" spans="1:42" ht="18.75">
      <c r="A159" s="2911">
        <v>23</v>
      </c>
      <c r="B159" s="2912" t="s">
        <v>1544</v>
      </c>
      <c r="C159" s="2912"/>
      <c r="D159" s="2912" t="s">
        <v>452</v>
      </c>
      <c r="E159" s="2901">
        <v>81</v>
      </c>
      <c r="F159" s="2901">
        <v>100</v>
      </c>
      <c r="G159" s="2901">
        <v>72</v>
      </c>
      <c r="H159" s="2901">
        <v>84</v>
      </c>
      <c r="I159" s="2901">
        <v>76</v>
      </c>
      <c r="J159" s="2901">
        <v>102</v>
      </c>
      <c r="K159" s="2901">
        <v>60</v>
      </c>
      <c r="L159" s="2901">
        <v>59</v>
      </c>
      <c r="M159" s="2901">
        <v>65</v>
      </c>
      <c r="N159" s="2901">
        <v>79</v>
      </c>
      <c r="O159" s="2901">
        <v>53</v>
      </c>
      <c r="P159" s="2901">
        <v>56</v>
      </c>
      <c r="Q159" s="2901">
        <v>65</v>
      </c>
      <c r="R159" s="2901">
        <v>89</v>
      </c>
      <c r="S159" s="2901">
        <v>53</v>
      </c>
      <c r="T159" s="2901">
        <v>45</v>
      </c>
      <c r="U159" s="2901">
        <v>55</v>
      </c>
      <c r="V159" s="2901">
        <v>78</v>
      </c>
      <c r="W159" s="2901">
        <v>50</v>
      </c>
      <c r="X159" s="2901">
        <v>65</v>
      </c>
      <c r="Y159" s="2901">
        <v>65</v>
      </c>
      <c r="Z159" s="2901">
        <v>77</v>
      </c>
      <c r="AA159" s="2901">
        <v>41</v>
      </c>
      <c r="AB159" s="2901">
        <v>44</v>
      </c>
      <c r="AC159" s="2901">
        <v>40</v>
      </c>
      <c r="AD159" s="2901">
        <v>63</v>
      </c>
      <c r="AE159" s="2901">
        <v>50</v>
      </c>
      <c r="AF159" s="2901">
        <v>50</v>
      </c>
      <c r="AG159" s="2901">
        <v>58</v>
      </c>
      <c r="AH159" s="2901"/>
      <c r="AI159" s="2901">
        <v>127</v>
      </c>
      <c r="AJ159" s="2902">
        <f t="shared" si="8"/>
        <v>2002</v>
      </c>
      <c r="AK159" s="2790">
        <f t="shared" si="9"/>
        <v>800.80000000000007</v>
      </c>
      <c r="AL159" s="2913" t="s">
        <v>141</v>
      </c>
      <c r="AM159" s="2908"/>
    </row>
    <row r="160" spans="1:42" ht="18.75">
      <c r="A160" s="2922" t="s">
        <v>1865</v>
      </c>
      <c r="B160" s="2923"/>
      <c r="C160" s="2923"/>
      <c r="D160" s="2924"/>
      <c r="E160" s="2903">
        <f t="shared" ref="E160:AL160" si="10">SUBTOTAL(9,E137:E159)</f>
        <v>1581</v>
      </c>
      <c r="F160" s="2903">
        <f t="shared" si="10"/>
        <v>1777</v>
      </c>
      <c r="G160" s="2903">
        <f t="shared" si="10"/>
        <v>1443</v>
      </c>
      <c r="H160" s="2903">
        <f t="shared" si="10"/>
        <v>1988</v>
      </c>
      <c r="I160" s="2903">
        <f t="shared" si="10"/>
        <v>1517</v>
      </c>
      <c r="J160" s="2903">
        <f t="shared" si="10"/>
        <v>1861</v>
      </c>
      <c r="K160" s="2903">
        <f t="shared" si="10"/>
        <v>1454</v>
      </c>
      <c r="L160" s="2903">
        <f t="shared" si="10"/>
        <v>1806</v>
      </c>
      <c r="M160" s="2903">
        <f t="shared" si="10"/>
        <v>1543</v>
      </c>
      <c r="N160" s="2903">
        <f t="shared" si="10"/>
        <v>1238</v>
      </c>
      <c r="O160" s="2903">
        <f t="shared" si="10"/>
        <v>1646</v>
      </c>
      <c r="P160" s="2903">
        <f t="shared" si="10"/>
        <v>1729</v>
      </c>
      <c r="Q160" s="2903">
        <f t="shared" si="10"/>
        <v>1366</v>
      </c>
      <c r="R160" s="2903">
        <f t="shared" si="10"/>
        <v>1335</v>
      </c>
      <c r="S160" s="2903">
        <f t="shared" si="10"/>
        <v>738</v>
      </c>
      <c r="T160" s="2903">
        <f t="shared" si="10"/>
        <v>1962</v>
      </c>
      <c r="U160" s="2903">
        <f t="shared" si="10"/>
        <v>1078</v>
      </c>
      <c r="V160" s="2903">
        <f t="shared" si="10"/>
        <v>1529</v>
      </c>
      <c r="W160" s="2903">
        <f t="shared" si="10"/>
        <v>1744</v>
      </c>
      <c r="X160" s="2903">
        <f t="shared" si="10"/>
        <v>1621</v>
      </c>
      <c r="Y160" s="2903">
        <f t="shared" si="10"/>
        <v>1151</v>
      </c>
      <c r="Z160" s="2903">
        <f t="shared" si="10"/>
        <v>1358</v>
      </c>
      <c r="AA160" s="2903">
        <f t="shared" si="10"/>
        <v>1215</v>
      </c>
      <c r="AB160" s="2903">
        <f t="shared" si="10"/>
        <v>1358</v>
      </c>
      <c r="AC160" s="2903">
        <f t="shared" si="10"/>
        <v>1280</v>
      </c>
      <c r="AD160" s="2903">
        <f t="shared" si="10"/>
        <v>1341</v>
      </c>
      <c r="AE160" s="2903">
        <f t="shared" si="10"/>
        <v>1163</v>
      </c>
      <c r="AF160" s="2903">
        <f t="shared" si="10"/>
        <v>1517</v>
      </c>
      <c r="AG160" s="2903">
        <f t="shared" si="10"/>
        <v>1071</v>
      </c>
      <c r="AH160" s="2903">
        <f t="shared" si="10"/>
        <v>1337</v>
      </c>
      <c r="AI160" s="2903">
        <f t="shared" si="10"/>
        <v>1508</v>
      </c>
      <c r="AJ160" s="2903">
        <f t="shared" si="10"/>
        <v>45255</v>
      </c>
      <c r="AK160" s="2903">
        <f t="shared" si="10"/>
        <v>18102</v>
      </c>
      <c r="AL160" s="2819">
        <f t="shared" si="10"/>
        <v>0</v>
      </c>
      <c r="AM160" s="2820"/>
    </row>
    <row r="161" spans="1:41" ht="18.75">
      <c r="A161" s="2821">
        <v>1</v>
      </c>
      <c r="B161" s="2822" t="s">
        <v>1216</v>
      </c>
      <c r="C161" s="2823"/>
      <c r="D161" s="2823" t="s">
        <v>453</v>
      </c>
      <c r="E161" s="2790">
        <v>105</v>
      </c>
      <c r="F161" s="2790">
        <v>72</v>
      </c>
      <c r="G161" s="2790">
        <v>80</v>
      </c>
      <c r="H161" s="2790">
        <v>66</v>
      </c>
      <c r="I161" s="2790">
        <v>110</v>
      </c>
      <c r="J161" s="2790">
        <v>65</v>
      </c>
      <c r="K161" s="2790">
        <v>95</v>
      </c>
      <c r="L161" s="2790">
        <v>53</v>
      </c>
      <c r="M161" s="2790">
        <v>117</v>
      </c>
      <c r="N161" s="2790">
        <v>56</v>
      </c>
      <c r="O161" s="2790">
        <v>78</v>
      </c>
      <c r="P161" s="2790">
        <v>52</v>
      </c>
      <c r="Q161" s="2790">
        <v>92</v>
      </c>
      <c r="R161" s="2790">
        <v>70</v>
      </c>
      <c r="S161" s="2790">
        <v>0</v>
      </c>
      <c r="T161" s="2790">
        <v>127</v>
      </c>
      <c r="U161" s="2790">
        <v>101</v>
      </c>
      <c r="V161" s="2790">
        <v>53</v>
      </c>
      <c r="W161" s="2790">
        <v>73</v>
      </c>
      <c r="X161" s="2790">
        <v>48</v>
      </c>
      <c r="Y161" s="2790">
        <v>100</v>
      </c>
      <c r="Z161" s="2790">
        <v>59</v>
      </c>
      <c r="AA161" s="2790">
        <v>72</v>
      </c>
      <c r="AB161" s="2790">
        <v>60</v>
      </c>
      <c r="AC161" s="2790">
        <v>89</v>
      </c>
      <c r="AD161" s="2790">
        <v>56</v>
      </c>
      <c r="AE161" s="2790">
        <v>73</v>
      </c>
      <c r="AF161" s="2790">
        <v>46</v>
      </c>
      <c r="AG161" s="2790">
        <v>80</v>
      </c>
      <c r="AH161" s="2790">
        <v>57</v>
      </c>
      <c r="AI161" s="2790">
        <v>80</v>
      </c>
      <c r="AJ161" s="2790">
        <f t="shared" ref="AJ161:AJ172" si="11">+SUM(E161:AI161)</f>
        <v>2285</v>
      </c>
      <c r="AK161" s="2790">
        <f t="shared" si="9"/>
        <v>914</v>
      </c>
      <c r="AL161" s="2824" t="s">
        <v>141</v>
      </c>
      <c r="AM161" s="2825"/>
      <c r="AN161">
        <f>+VLOOKUP(B161,'[30]MỦ TẠP'!$B$9:$AH$37,33,0)</f>
        <v>1386</v>
      </c>
      <c r="AO161" s="2793">
        <f t="shared" ref="AO161:AO172" si="12">+AN161-AJ161</f>
        <v>-899</v>
      </c>
    </row>
    <row r="162" spans="1:41" ht="18.75">
      <c r="A162" s="1169">
        <v>2</v>
      </c>
      <c r="B162" s="2826" t="s">
        <v>351</v>
      </c>
      <c r="C162" s="2827"/>
      <c r="D162" s="2827" t="s">
        <v>453</v>
      </c>
      <c r="E162" s="2796">
        <v>185</v>
      </c>
      <c r="F162" s="2796">
        <v>108</v>
      </c>
      <c r="G162" s="2796">
        <v>54</v>
      </c>
      <c r="H162" s="2796">
        <v>43</v>
      </c>
      <c r="I162" s="2796">
        <v>114</v>
      </c>
      <c r="J162" s="2796">
        <v>84</v>
      </c>
      <c r="K162" s="2796">
        <v>48</v>
      </c>
      <c r="L162" s="2796">
        <v>41</v>
      </c>
      <c r="M162" s="2796">
        <v>115</v>
      </c>
      <c r="N162" s="2796">
        <v>87</v>
      </c>
      <c r="O162" s="2796">
        <v>53</v>
      </c>
      <c r="P162" s="2796">
        <v>36</v>
      </c>
      <c r="Q162" s="2796">
        <v>159</v>
      </c>
      <c r="R162" s="2796">
        <v>88</v>
      </c>
      <c r="S162" s="2796">
        <v>0</v>
      </c>
      <c r="T162" s="2796">
        <v>85</v>
      </c>
      <c r="U162" s="2796">
        <v>135</v>
      </c>
      <c r="V162" s="2796">
        <v>80</v>
      </c>
      <c r="W162" s="2796">
        <v>50</v>
      </c>
      <c r="X162" s="2796">
        <v>38</v>
      </c>
      <c r="Y162" s="2796">
        <v>116</v>
      </c>
      <c r="Z162" s="2796">
        <v>75</v>
      </c>
      <c r="AA162" s="2796">
        <v>44</v>
      </c>
      <c r="AB162" s="2796">
        <v>35</v>
      </c>
      <c r="AC162" s="2796">
        <v>111</v>
      </c>
      <c r="AD162" s="2796">
        <v>72</v>
      </c>
      <c r="AE162" s="2796">
        <v>40</v>
      </c>
      <c r="AF162" s="2796">
        <v>34</v>
      </c>
      <c r="AG162" s="2796">
        <v>91</v>
      </c>
      <c r="AH162" s="2796">
        <v>71</v>
      </c>
      <c r="AI162" s="2796">
        <v>45</v>
      </c>
      <c r="AJ162" s="2790">
        <f t="shared" si="11"/>
        <v>2337</v>
      </c>
      <c r="AK162" s="2790">
        <f t="shared" si="9"/>
        <v>934.80000000000007</v>
      </c>
      <c r="AL162" s="2828" t="s">
        <v>138</v>
      </c>
      <c r="AM162" s="2798"/>
      <c r="AN162">
        <f>+VLOOKUP(B162,'[30]MỦ TẠP'!$B$9:$AH$37,33,0)</f>
        <v>2831</v>
      </c>
      <c r="AO162" s="2793">
        <f t="shared" si="12"/>
        <v>494</v>
      </c>
    </row>
    <row r="163" spans="1:41" ht="18.75">
      <c r="A163" s="2821">
        <v>3</v>
      </c>
      <c r="B163" s="2826" t="s">
        <v>334</v>
      </c>
      <c r="C163" s="2827"/>
      <c r="D163" s="2827" t="s">
        <v>453</v>
      </c>
      <c r="E163" s="2796">
        <v>99</v>
      </c>
      <c r="F163" s="2796">
        <v>63</v>
      </c>
      <c r="G163" s="2796">
        <v>51</v>
      </c>
      <c r="H163" s="2796">
        <v>54</v>
      </c>
      <c r="I163" s="2796">
        <v>95</v>
      </c>
      <c r="J163" s="2796">
        <v>61</v>
      </c>
      <c r="K163" s="2796">
        <v>77</v>
      </c>
      <c r="L163" s="2796">
        <v>42</v>
      </c>
      <c r="M163" s="2796">
        <v>86</v>
      </c>
      <c r="N163" s="2796">
        <v>53</v>
      </c>
      <c r="O163" s="2796">
        <v>76</v>
      </c>
      <c r="P163" s="2796">
        <v>47</v>
      </c>
      <c r="Q163" s="2796">
        <v>92</v>
      </c>
      <c r="R163" s="2796">
        <v>62</v>
      </c>
      <c r="S163" s="2796">
        <v>0</v>
      </c>
      <c r="T163" s="2796">
        <v>94</v>
      </c>
      <c r="U163" s="2796">
        <v>83</v>
      </c>
      <c r="V163" s="2796">
        <v>48</v>
      </c>
      <c r="W163" s="2796">
        <v>50</v>
      </c>
      <c r="X163" s="2796">
        <v>36</v>
      </c>
      <c r="Y163" s="2796">
        <v>83</v>
      </c>
      <c r="Z163" s="2796">
        <v>57</v>
      </c>
      <c r="AA163" s="2796">
        <v>48</v>
      </c>
      <c r="AB163" s="2796">
        <v>32</v>
      </c>
      <c r="AC163" s="2796">
        <v>61</v>
      </c>
      <c r="AD163" s="2796">
        <v>42</v>
      </c>
      <c r="AE163" s="2796">
        <v>61</v>
      </c>
      <c r="AF163" s="2796">
        <v>30</v>
      </c>
      <c r="AG163" s="2796">
        <v>56</v>
      </c>
      <c r="AH163" s="2796">
        <v>49</v>
      </c>
      <c r="AI163" s="2796">
        <v>0</v>
      </c>
      <c r="AJ163" s="2790">
        <f t="shared" si="11"/>
        <v>1788</v>
      </c>
      <c r="AK163" s="2790">
        <f t="shared" si="9"/>
        <v>715.2</v>
      </c>
      <c r="AL163" s="2828" t="s">
        <v>138</v>
      </c>
      <c r="AM163" s="2798"/>
      <c r="AN163">
        <f>+VLOOKUP(B163,'[30]MỦ TẠP'!$B$9:$AH$37,33,0)</f>
        <v>3971</v>
      </c>
      <c r="AO163" s="2793">
        <f t="shared" si="12"/>
        <v>2183</v>
      </c>
    </row>
    <row r="164" spans="1:41" ht="18.75">
      <c r="A164" s="1169">
        <v>4</v>
      </c>
      <c r="B164" s="2826" t="s">
        <v>1218</v>
      </c>
      <c r="C164" s="2827"/>
      <c r="D164" s="2827" t="s">
        <v>453</v>
      </c>
      <c r="E164" s="2796">
        <v>76</v>
      </c>
      <c r="F164" s="2796">
        <v>76</v>
      </c>
      <c r="G164" s="2796">
        <v>0</v>
      </c>
      <c r="H164" s="2796">
        <v>114</v>
      </c>
      <c r="I164" s="2796">
        <v>80</v>
      </c>
      <c r="J164" s="2796">
        <v>90</v>
      </c>
      <c r="K164" s="2796">
        <v>50</v>
      </c>
      <c r="L164" s="2796">
        <v>61</v>
      </c>
      <c r="M164" s="2796">
        <v>84</v>
      </c>
      <c r="N164" s="2796">
        <v>88</v>
      </c>
      <c r="O164" s="2796">
        <v>49</v>
      </c>
      <c r="P164" s="2796">
        <v>57</v>
      </c>
      <c r="Q164" s="2796">
        <v>82</v>
      </c>
      <c r="R164" s="2796">
        <v>81</v>
      </c>
      <c r="S164" s="2796">
        <v>0</v>
      </c>
      <c r="T164" s="2796">
        <v>94</v>
      </c>
      <c r="U164" s="2796">
        <v>86</v>
      </c>
      <c r="V164" s="2796">
        <v>70</v>
      </c>
      <c r="W164" s="2796">
        <v>37</v>
      </c>
      <c r="X164" s="2796">
        <v>53</v>
      </c>
      <c r="Y164" s="2796">
        <v>81</v>
      </c>
      <c r="Z164" s="2796">
        <v>82</v>
      </c>
      <c r="AA164" s="2796">
        <v>42</v>
      </c>
      <c r="AB164" s="2796">
        <v>53</v>
      </c>
      <c r="AC164" s="2796">
        <v>93</v>
      </c>
      <c r="AD164" s="2796">
        <v>81</v>
      </c>
      <c r="AE164" s="2796">
        <v>36</v>
      </c>
      <c r="AF164" s="2796">
        <v>50</v>
      </c>
      <c r="AG164" s="2796">
        <v>73</v>
      </c>
      <c r="AH164" s="2796">
        <v>60</v>
      </c>
      <c r="AI164" s="2796">
        <v>50</v>
      </c>
      <c r="AJ164" s="2790">
        <f t="shared" si="11"/>
        <v>2029</v>
      </c>
      <c r="AK164" s="2790">
        <f t="shared" si="9"/>
        <v>811.6</v>
      </c>
      <c r="AL164" s="2828" t="s">
        <v>141</v>
      </c>
      <c r="AM164" s="2798"/>
      <c r="AN164">
        <f>+VLOOKUP(B164,'[30]MỦ TẠP'!$B$9:$AH$37,33,0)</f>
        <v>3934</v>
      </c>
      <c r="AO164" s="2793">
        <f t="shared" si="12"/>
        <v>1905</v>
      </c>
    </row>
    <row r="165" spans="1:41" ht="18.75">
      <c r="A165" s="2821">
        <v>5</v>
      </c>
      <c r="B165" s="2826" t="s">
        <v>1517</v>
      </c>
      <c r="C165" s="2827"/>
      <c r="D165" s="2827" t="s">
        <v>453</v>
      </c>
      <c r="E165" s="2796">
        <v>33</v>
      </c>
      <c r="F165" s="2796">
        <v>53</v>
      </c>
      <c r="G165" s="2796">
        <v>36</v>
      </c>
      <c r="H165" s="2796">
        <v>96</v>
      </c>
      <c r="I165" s="2796">
        <v>53</v>
      </c>
      <c r="J165" s="2796">
        <v>78</v>
      </c>
      <c r="K165" s="2796">
        <v>63</v>
      </c>
      <c r="L165" s="2796">
        <v>50</v>
      </c>
      <c r="M165" s="2796">
        <v>36</v>
      </c>
      <c r="N165" s="2796">
        <v>59</v>
      </c>
      <c r="O165" s="2796">
        <v>45</v>
      </c>
      <c r="P165" s="2796">
        <v>44</v>
      </c>
      <c r="Q165" s="2796">
        <v>43</v>
      </c>
      <c r="R165" s="2796">
        <v>62</v>
      </c>
      <c r="S165" s="2796">
        <v>0</v>
      </c>
      <c r="T165" s="2796">
        <v>62</v>
      </c>
      <c r="U165" s="2796">
        <v>0</v>
      </c>
      <c r="V165" s="2796">
        <v>55</v>
      </c>
      <c r="W165" s="2796">
        <v>36</v>
      </c>
      <c r="X165" s="2796">
        <v>26</v>
      </c>
      <c r="Y165" s="2796">
        <v>45</v>
      </c>
      <c r="Z165" s="2796">
        <v>35</v>
      </c>
      <c r="AA165" s="2796">
        <v>46</v>
      </c>
      <c r="AB165" s="2796">
        <v>37</v>
      </c>
      <c r="AC165" s="2796">
        <v>39</v>
      </c>
      <c r="AD165" s="2796">
        <v>63</v>
      </c>
      <c r="AE165" s="2796">
        <v>63</v>
      </c>
      <c r="AF165" s="2796">
        <v>47</v>
      </c>
      <c r="AG165" s="2796">
        <v>35</v>
      </c>
      <c r="AH165" s="2796">
        <v>50</v>
      </c>
      <c r="AI165" s="2796">
        <v>55</v>
      </c>
      <c r="AJ165" s="2790">
        <f t="shared" si="11"/>
        <v>1445</v>
      </c>
      <c r="AK165" s="2790">
        <f t="shared" si="9"/>
        <v>578</v>
      </c>
      <c r="AL165" s="2828" t="s">
        <v>138</v>
      </c>
      <c r="AM165" s="2798"/>
      <c r="AN165" t="e">
        <f>+VLOOKUP(B165,'[30]MỦ TẠP'!$B$9:$AH$37,33,0)</f>
        <v>#N/A</v>
      </c>
      <c r="AO165" s="2793" t="e">
        <f t="shared" si="12"/>
        <v>#N/A</v>
      </c>
    </row>
    <row r="166" spans="1:41" ht="18.75">
      <c r="A166" s="1169">
        <v>6</v>
      </c>
      <c r="B166" s="2826" t="s">
        <v>1217</v>
      </c>
      <c r="C166" s="2827"/>
      <c r="D166" s="2827" t="s">
        <v>453</v>
      </c>
      <c r="E166" s="2796">
        <v>94</v>
      </c>
      <c r="F166" s="2796">
        <v>65</v>
      </c>
      <c r="G166" s="2796">
        <v>39</v>
      </c>
      <c r="H166" s="2796">
        <v>54</v>
      </c>
      <c r="I166" s="2796">
        <v>97</v>
      </c>
      <c r="J166" s="2796">
        <v>63</v>
      </c>
      <c r="K166" s="2796">
        <v>36</v>
      </c>
      <c r="L166" s="2796">
        <v>53</v>
      </c>
      <c r="M166" s="2796">
        <v>101</v>
      </c>
      <c r="N166" s="2796">
        <v>60</v>
      </c>
      <c r="O166" s="2796">
        <v>32</v>
      </c>
      <c r="P166" s="2796">
        <v>44</v>
      </c>
      <c r="Q166" s="2796">
        <v>80</v>
      </c>
      <c r="R166" s="2796">
        <v>68</v>
      </c>
      <c r="S166" s="2796">
        <v>0</v>
      </c>
      <c r="T166" s="2796">
        <v>86</v>
      </c>
      <c r="U166" s="2796">
        <v>96</v>
      </c>
      <c r="V166" s="2796">
        <v>56</v>
      </c>
      <c r="W166" s="2796">
        <v>32</v>
      </c>
      <c r="X166" s="2796">
        <v>44</v>
      </c>
      <c r="Y166" s="2796">
        <v>91</v>
      </c>
      <c r="Z166" s="2796">
        <v>62</v>
      </c>
      <c r="AA166" s="2796">
        <v>31</v>
      </c>
      <c r="AB166" s="2796">
        <v>46</v>
      </c>
      <c r="AC166" s="2796">
        <v>88</v>
      </c>
      <c r="AD166" s="2796">
        <v>52</v>
      </c>
      <c r="AE166" s="2796">
        <v>34</v>
      </c>
      <c r="AF166" s="2796">
        <v>45</v>
      </c>
      <c r="AG166" s="2796">
        <v>89</v>
      </c>
      <c r="AH166" s="2796">
        <v>62</v>
      </c>
      <c r="AI166" s="2796">
        <v>35</v>
      </c>
      <c r="AJ166" s="2790">
        <f t="shared" si="11"/>
        <v>1835</v>
      </c>
      <c r="AK166" s="2790">
        <f t="shared" si="9"/>
        <v>734</v>
      </c>
      <c r="AL166" s="2828" t="s">
        <v>141</v>
      </c>
      <c r="AM166" s="2798"/>
      <c r="AN166">
        <f>+VLOOKUP(B166,'[30]MỦ TẠP'!$B$9:$AH$37,33,0)</f>
        <v>2504</v>
      </c>
      <c r="AO166" s="2793">
        <f t="shared" si="12"/>
        <v>669</v>
      </c>
    </row>
    <row r="167" spans="1:41" ht="18.75">
      <c r="A167" s="2821">
        <v>7</v>
      </c>
      <c r="B167" s="2826" t="s">
        <v>1545</v>
      </c>
      <c r="C167" s="2829"/>
      <c r="D167" s="2827" t="s">
        <v>453</v>
      </c>
      <c r="E167" s="2796">
        <v>60</v>
      </c>
      <c r="F167" s="2796">
        <v>44</v>
      </c>
      <c r="G167" s="2796">
        <v>66</v>
      </c>
      <c r="H167" s="2796">
        <v>64</v>
      </c>
      <c r="I167" s="2796">
        <v>77</v>
      </c>
      <c r="J167" s="2796">
        <v>46</v>
      </c>
      <c r="K167" s="2796">
        <v>44</v>
      </c>
      <c r="L167" s="2796">
        <v>68</v>
      </c>
      <c r="M167" s="2796">
        <v>61</v>
      </c>
      <c r="N167" s="2796">
        <v>46</v>
      </c>
      <c r="O167" s="2796">
        <v>0</v>
      </c>
      <c r="P167" s="2796">
        <v>111</v>
      </c>
      <c r="Q167" s="2796">
        <v>24</v>
      </c>
      <c r="R167" s="2796">
        <v>51</v>
      </c>
      <c r="S167" s="2796">
        <v>0</v>
      </c>
      <c r="T167" s="2796">
        <v>121</v>
      </c>
      <c r="U167" s="2796">
        <v>58</v>
      </c>
      <c r="V167" s="2796">
        <v>49</v>
      </c>
      <c r="W167" s="2796">
        <v>49</v>
      </c>
      <c r="X167" s="2796">
        <v>66</v>
      </c>
      <c r="Y167" s="2796">
        <v>61</v>
      </c>
      <c r="Z167" s="2796">
        <v>62</v>
      </c>
      <c r="AA167" s="2796">
        <v>43</v>
      </c>
      <c r="AB167" s="2796">
        <v>65</v>
      </c>
      <c r="AC167" s="2796">
        <v>60</v>
      </c>
      <c r="AD167" s="2796">
        <v>50</v>
      </c>
      <c r="AE167" s="2796">
        <v>0</v>
      </c>
      <c r="AF167" s="2796">
        <v>111</v>
      </c>
      <c r="AG167" s="2796">
        <v>0</v>
      </c>
      <c r="AH167" s="2796">
        <v>58</v>
      </c>
      <c r="AI167" s="2796">
        <v>43</v>
      </c>
      <c r="AJ167" s="2790">
        <f t="shared" si="11"/>
        <v>1658</v>
      </c>
      <c r="AK167" s="2790">
        <f t="shared" si="9"/>
        <v>663.2</v>
      </c>
      <c r="AL167" s="2828" t="s">
        <v>138</v>
      </c>
      <c r="AM167" s="2798"/>
      <c r="AN167" t="e">
        <f>+VLOOKUP(B167,'[30]MỦ TẠP'!$B$9:$AH$37,33,0)</f>
        <v>#N/A</v>
      </c>
      <c r="AO167" s="2793" t="e">
        <f t="shared" si="12"/>
        <v>#N/A</v>
      </c>
    </row>
    <row r="168" spans="1:41" ht="18.75">
      <c r="A168" s="1169">
        <v>8</v>
      </c>
      <c r="B168" s="2826" t="s">
        <v>152</v>
      </c>
      <c r="C168" s="2827"/>
      <c r="D168" s="2827" t="s">
        <v>453</v>
      </c>
      <c r="E168" s="2796">
        <v>75</v>
      </c>
      <c r="F168" s="2796">
        <v>95</v>
      </c>
      <c r="G168" s="2796">
        <v>54</v>
      </c>
      <c r="H168" s="2796">
        <v>73</v>
      </c>
      <c r="I168" s="2796">
        <v>62</v>
      </c>
      <c r="J168" s="2796">
        <v>91</v>
      </c>
      <c r="K168" s="2796">
        <v>37</v>
      </c>
      <c r="L168" s="2796">
        <v>60</v>
      </c>
      <c r="M168" s="2796">
        <v>60</v>
      </c>
      <c r="N168" s="2796">
        <v>87</v>
      </c>
      <c r="O168" s="2796">
        <v>42</v>
      </c>
      <c r="P168" s="2796">
        <v>60</v>
      </c>
      <c r="Q168" s="2796">
        <v>62</v>
      </c>
      <c r="R168" s="2796">
        <v>87</v>
      </c>
      <c r="S168" s="2796">
        <v>0</v>
      </c>
      <c r="T168" s="2796">
        <v>102</v>
      </c>
      <c r="U168" s="2796">
        <v>66</v>
      </c>
      <c r="V168" s="2796">
        <v>89</v>
      </c>
      <c r="W168" s="2796">
        <v>40</v>
      </c>
      <c r="X168" s="2796">
        <v>58</v>
      </c>
      <c r="Y168" s="2796">
        <v>60</v>
      </c>
      <c r="Z168" s="2796">
        <v>102</v>
      </c>
      <c r="AA168" s="2796">
        <v>41</v>
      </c>
      <c r="AB168" s="2796">
        <v>57</v>
      </c>
      <c r="AC168" s="2796">
        <v>48</v>
      </c>
      <c r="AD168" s="2796">
        <v>83</v>
      </c>
      <c r="AE168" s="2796">
        <v>38</v>
      </c>
      <c r="AF168" s="2796">
        <v>64</v>
      </c>
      <c r="AG168" s="2796">
        <v>51</v>
      </c>
      <c r="AH168" s="2796">
        <v>90</v>
      </c>
      <c r="AI168" s="2796">
        <v>42</v>
      </c>
      <c r="AJ168" s="2790">
        <f t="shared" si="11"/>
        <v>1976</v>
      </c>
      <c r="AK168" s="2790">
        <f t="shared" si="9"/>
        <v>790.40000000000009</v>
      </c>
      <c r="AL168" s="2828" t="s">
        <v>141</v>
      </c>
      <c r="AM168" s="2798"/>
      <c r="AN168" t="e">
        <f>+VLOOKUP(B168,'[30]MỦ TẠP'!$B$9:$AH$37,33,0)</f>
        <v>#N/A</v>
      </c>
      <c r="AO168" s="2793" t="e">
        <f t="shared" si="12"/>
        <v>#N/A</v>
      </c>
    </row>
    <row r="169" spans="1:41" ht="18.75">
      <c r="A169" s="2821">
        <v>9</v>
      </c>
      <c r="B169" s="2826" t="s">
        <v>571</v>
      </c>
      <c r="C169" s="2827"/>
      <c r="D169" s="2827" t="s">
        <v>453</v>
      </c>
      <c r="E169" s="2796">
        <v>39</v>
      </c>
      <c r="F169" s="2796">
        <v>94</v>
      </c>
      <c r="G169" s="2796">
        <v>46</v>
      </c>
      <c r="H169" s="2796">
        <v>64</v>
      </c>
      <c r="I169" s="2796">
        <v>45</v>
      </c>
      <c r="J169" s="2796">
        <v>106</v>
      </c>
      <c r="K169" s="2796">
        <v>54</v>
      </c>
      <c r="L169" s="2796">
        <v>55</v>
      </c>
      <c r="M169" s="2796">
        <v>38</v>
      </c>
      <c r="N169" s="2796">
        <v>110</v>
      </c>
      <c r="O169" s="2796">
        <v>48</v>
      </c>
      <c r="P169" s="2796">
        <v>58</v>
      </c>
      <c r="Q169" s="2796">
        <v>42</v>
      </c>
      <c r="R169" s="2796">
        <v>105</v>
      </c>
      <c r="S169" s="2796">
        <v>0</v>
      </c>
      <c r="T169" s="2796">
        <v>116</v>
      </c>
      <c r="U169" s="2796">
        <v>35</v>
      </c>
      <c r="V169" s="2796">
        <v>92</v>
      </c>
      <c r="W169" s="2796">
        <v>52</v>
      </c>
      <c r="X169" s="2796">
        <v>49</v>
      </c>
      <c r="Y169" s="2796">
        <v>27</v>
      </c>
      <c r="Z169" s="2796">
        <v>87</v>
      </c>
      <c r="AA169" s="2796">
        <v>47</v>
      </c>
      <c r="AB169" s="2796">
        <v>40</v>
      </c>
      <c r="AC169" s="2796">
        <v>33</v>
      </c>
      <c r="AD169" s="2796">
        <v>87</v>
      </c>
      <c r="AE169" s="2796">
        <v>49</v>
      </c>
      <c r="AF169" s="2796">
        <v>53</v>
      </c>
      <c r="AG169" s="2796">
        <v>32</v>
      </c>
      <c r="AH169" s="2796">
        <v>94</v>
      </c>
      <c r="AI169" s="2796">
        <v>54</v>
      </c>
      <c r="AJ169" s="2790">
        <f t="shared" si="11"/>
        <v>1851</v>
      </c>
      <c r="AK169" s="2790">
        <f t="shared" si="9"/>
        <v>740.40000000000009</v>
      </c>
      <c r="AL169" s="2828" t="s">
        <v>138</v>
      </c>
      <c r="AM169" s="2798"/>
      <c r="AN169">
        <f>+VLOOKUP(B169,'[30]MỦ TẠP'!$B$9:$AH$37,33,0)</f>
        <v>2949</v>
      </c>
      <c r="AO169" s="2793">
        <f t="shared" si="12"/>
        <v>1098</v>
      </c>
    </row>
    <row r="170" spans="1:41" ht="18.75">
      <c r="A170" s="1169">
        <v>10</v>
      </c>
      <c r="B170" s="2826" t="s">
        <v>1219</v>
      </c>
      <c r="C170" s="2827"/>
      <c r="D170" s="2827" t="s">
        <v>453</v>
      </c>
      <c r="E170" s="2796">
        <v>29</v>
      </c>
      <c r="F170" s="2796">
        <v>79</v>
      </c>
      <c r="G170" s="2796">
        <v>45</v>
      </c>
      <c r="H170" s="2796">
        <v>65</v>
      </c>
      <c r="I170" s="2796">
        <v>39</v>
      </c>
      <c r="J170" s="2796">
        <v>71</v>
      </c>
      <c r="K170" s="2796">
        <v>39</v>
      </c>
      <c r="L170" s="2796">
        <v>58</v>
      </c>
      <c r="M170" s="2796">
        <v>35</v>
      </c>
      <c r="N170" s="2796">
        <v>64</v>
      </c>
      <c r="O170" s="2796">
        <v>37</v>
      </c>
      <c r="P170" s="2796">
        <v>57</v>
      </c>
      <c r="Q170" s="2796">
        <v>31</v>
      </c>
      <c r="R170" s="2796">
        <v>73</v>
      </c>
      <c r="S170" s="2796">
        <v>0</v>
      </c>
      <c r="T170" s="2796">
        <v>88</v>
      </c>
      <c r="U170" s="2796">
        <v>36</v>
      </c>
      <c r="V170" s="2796">
        <v>54</v>
      </c>
      <c r="W170" s="2796">
        <v>35</v>
      </c>
      <c r="X170" s="2796">
        <v>54</v>
      </c>
      <c r="Y170" s="2796">
        <v>37</v>
      </c>
      <c r="Z170" s="2796">
        <v>0</v>
      </c>
      <c r="AA170" s="2796">
        <v>93</v>
      </c>
      <c r="AB170" s="2796">
        <v>51</v>
      </c>
      <c r="AC170" s="2796">
        <v>30</v>
      </c>
      <c r="AD170" s="2796">
        <v>60</v>
      </c>
      <c r="AE170" s="2796">
        <v>29</v>
      </c>
      <c r="AF170" s="2796">
        <v>52</v>
      </c>
      <c r="AG170" s="2796">
        <v>28</v>
      </c>
      <c r="AH170" s="2796">
        <v>57</v>
      </c>
      <c r="AI170" s="2796">
        <v>39</v>
      </c>
      <c r="AJ170" s="2790">
        <f t="shared" si="11"/>
        <v>1465</v>
      </c>
      <c r="AK170" s="2790">
        <f t="shared" si="9"/>
        <v>586</v>
      </c>
      <c r="AL170" s="2828" t="s">
        <v>138</v>
      </c>
      <c r="AM170" s="2798"/>
      <c r="AN170">
        <f>+VLOOKUP(B170,'[30]MỦ TẠP'!$B$9:$AH$37,33,0)</f>
        <v>2522</v>
      </c>
      <c r="AO170" s="2793">
        <f t="shared" si="12"/>
        <v>1057</v>
      </c>
    </row>
    <row r="171" spans="1:41" ht="18.75">
      <c r="A171" s="2821">
        <v>11</v>
      </c>
      <c r="B171" s="2826" t="s">
        <v>853</v>
      </c>
      <c r="C171" s="2827"/>
      <c r="D171" s="2827" t="s">
        <v>453</v>
      </c>
      <c r="E171" s="2796">
        <v>41</v>
      </c>
      <c r="F171" s="2796">
        <v>65</v>
      </c>
      <c r="G171" s="2796">
        <v>49</v>
      </c>
      <c r="H171" s="2796">
        <v>55</v>
      </c>
      <c r="I171" s="2796">
        <v>34</v>
      </c>
      <c r="J171" s="2796">
        <v>67</v>
      </c>
      <c r="K171" s="2796">
        <v>37</v>
      </c>
      <c r="L171" s="2796">
        <v>45</v>
      </c>
      <c r="M171" s="2796">
        <v>45</v>
      </c>
      <c r="N171" s="2796">
        <v>73</v>
      </c>
      <c r="O171" s="2796">
        <v>60</v>
      </c>
      <c r="P171" s="2796">
        <v>37</v>
      </c>
      <c r="Q171" s="2796">
        <v>29</v>
      </c>
      <c r="R171" s="2796">
        <v>70</v>
      </c>
      <c r="S171" s="2796">
        <v>0</v>
      </c>
      <c r="T171" s="2796">
        <v>85</v>
      </c>
      <c r="U171" s="2796">
        <v>0</v>
      </c>
      <c r="V171" s="2796">
        <v>64</v>
      </c>
      <c r="W171" s="2796">
        <v>40</v>
      </c>
      <c r="X171" s="2796">
        <v>39</v>
      </c>
      <c r="Y171" s="2796">
        <v>27</v>
      </c>
      <c r="Z171" s="2796">
        <v>51</v>
      </c>
      <c r="AA171" s="2796">
        <v>51</v>
      </c>
      <c r="AB171" s="2796">
        <v>32</v>
      </c>
      <c r="AC171" s="2796">
        <v>23</v>
      </c>
      <c r="AD171" s="2796">
        <v>46</v>
      </c>
      <c r="AE171" s="2796">
        <v>39</v>
      </c>
      <c r="AF171" s="2796">
        <v>19</v>
      </c>
      <c r="AG171" s="2796">
        <v>25</v>
      </c>
      <c r="AH171" s="2796">
        <v>45</v>
      </c>
      <c r="AI171" s="2796">
        <v>49</v>
      </c>
      <c r="AJ171" s="2790">
        <f t="shared" si="11"/>
        <v>1342</v>
      </c>
      <c r="AK171" s="2790">
        <f t="shared" si="9"/>
        <v>536.80000000000007</v>
      </c>
      <c r="AL171" s="2828" t="s">
        <v>138</v>
      </c>
      <c r="AM171" s="2798"/>
      <c r="AN171" t="e">
        <f>+VLOOKUP(B171,'[30]MỦ TẠP'!$B$9:$AH$37,33,0)</f>
        <v>#N/A</v>
      </c>
      <c r="AO171" s="2793" t="e">
        <f t="shared" si="12"/>
        <v>#N/A</v>
      </c>
    </row>
    <row r="172" spans="1:41" ht="18.75">
      <c r="A172" s="1169">
        <v>12</v>
      </c>
      <c r="B172" s="2826" t="s">
        <v>1220</v>
      </c>
      <c r="C172" s="2827"/>
      <c r="D172" s="2827" t="s">
        <v>453</v>
      </c>
      <c r="E172" s="2796">
        <v>54</v>
      </c>
      <c r="F172" s="2796">
        <v>66</v>
      </c>
      <c r="G172" s="2796">
        <v>59</v>
      </c>
      <c r="H172" s="2796">
        <v>72</v>
      </c>
      <c r="I172" s="2796">
        <v>46</v>
      </c>
      <c r="J172" s="2796">
        <v>53</v>
      </c>
      <c r="K172" s="2796">
        <v>55</v>
      </c>
      <c r="L172" s="2796">
        <v>40</v>
      </c>
      <c r="M172" s="2796">
        <v>42</v>
      </c>
      <c r="N172" s="2796">
        <v>47</v>
      </c>
      <c r="O172" s="2796">
        <v>57</v>
      </c>
      <c r="P172" s="2796">
        <v>44</v>
      </c>
      <c r="Q172" s="2796">
        <v>63</v>
      </c>
      <c r="R172" s="2796">
        <v>57</v>
      </c>
      <c r="S172" s="2796">
        <v>0</v>
      </c>
      <c r="T172" s="2796">
        <v>115</v>
      </c>
      <c r="U172" s="2796">
        <v>72</v>
      </c>
      <c r="V172" s="2796">
        <v>60</v>
      </c>
      <c r="W172" s="2796">
        <v>55</v>
      </c>
      <c r="X172" s="2796">
        <v>44</v>
      </c>
      <c r="Y172" s="2796">
        <v>34</v>
      </c>
      <c r="Z172" s="2796">
        <v>55</v>
      </c>
      <c r="AA172" s="2796">
        <v>58</v>
      </c>
      <c r="AB172" s="2796">
        <v>37</v>
      </c>
      <c r="AC172" s="2796">
        <v>52</v>
      </c>
      <c r="AD172" s="2796">
        <v>60</v>
      </c>
      <c r="AE172" s="2796">
        <v>53</v>
      </c>
      <c r="AF172" s="2796">
        <v>39</v>
      </c>
      <c r="AG172" s="2796">
        <v>40</v>
      </c>
      <c r="AH172" s="2796">
        <v>41</v>
      </c>
      <c r="AI172" s="2796">
        <v>51</v>
      </c>
      <c r="AJ172" s="2790">
        <f t="shared" si="11"/>
        <v>1621</v>
      </c>
      <c r="AK172" s="2790">
        <f t="shared" si="9"/>
        <v>648.40000000000009</v>
      </c>
      <c r="AL172" s="2828" t="s">
        <v>141</v>
      </c>
      <c r="AM172" s="2798"/>
      <c r="AN172">
        <f>+VLOOKUP(B172,'[30]MỦ TẠP'!$B$9:$AH$37,33,0)</f>
        <v>3980</v>
      </c>
      <c r="AO172" s="2793">
        <f t="shared" si="12"/>
        <v>2359</v>
      </c>
    </row>
    <row r="173" spans="1:41" ht="18.75">
      <c r="A173" s="2821">
        <v>13</v>
      </c>
      <c r="B173" s="2826" t="s">
        <v>1221</v>
      </c>
      <c r="C173" s="2827"/>
      <c r="D173" s="2827" t="s">
        <v>453</v>
      </c>
      <c r="E173" s="2796">
        <v>68</v>
      </c>
      <c r="F173" s="2796">
        <v>82</v>
      </c>
      <c r="G173" s="2796">
        <v>61</v>
      </c>
      <c r="H173" s="2796">
        <v>53</v>
      </c>
      <c r="I173" s="2796">
        <v>68</v>
      </c>
      <c r="J173" s="2796">
        <v>89</v>
      </c>
      <c r="K173" s="2796">
        <v>65</v>
      </c>
      <c r="L173" s="2796">
        <v>44</v>
      </c>
      <c r="M173" s="2796">
        <v>55</v>
      </c>
      <c r="N173" s="2796">
        <v>83</v>
      </c>
      <c r="O173" s="2796">
        <v>66</v>
      </c>
      <c r="P173" s="2796">
        <v>49</v>
      </c>
      <c r="Q173" s="2796">
        <v>63</v>
      </c>
      <c r="R173" s="2796">
        <v>92</v>
      </c>
      <c r="S173" s="2796">
        <v>0</v>
      </c>
      <c r="T173" s="2796">
        <v>104</v>
      </c>
      <c r="U173" s="2796">
        <v>62</v>
      </c>
      <c r="V173" s="2796">
        <v>119</v>
      </c>
      <c r="W173" s="2796">
        <v>46</v>
      </c>
      <c r="X173" s="2796">
        <v>44</v>
      </c>
      <c r="Y173" s="2796">
        <v>52</v>
      </c>
      <c r="Z173" s="2796">
        <v>62</v>
      </c>
      <c r="AA173" s="2796">
        <v>54</v>
      </c>
      <c r="AB173" s="2796">
        <v>35</v>
      </c>
      <c r="AC173" s="2796">
        <v>56</v>
      </c>
      <c r="AD173" s="2796">
        <v>117</v>
      </c>
      <c r="AE173" s="2796">
        <v>107</v>
      </c>
      <c r="AF173" s="2796">
        <v>0</v>
      </c>
      <c r="AG173" s="2796">
        <v>158</v>
      </c>
      <c r="AH173" s="2796">
        <v>105</v>
      </c>
      <c r="AI173" s="2796">
        <v>82</v>
      </c>
      <c r="AJ173" s="2790">
        <f t="shared" ref="AJ173:AJ189" si="13">+SUM(E173:AI173)</f>
        <v>2141</v>
      </c>
      <c r="AK173" s="2790">
        <f t="shared" si="9"/>
        <v>856.40000000000009</v>
      </c>
      <c r="AL173" s="2828" t="s">
        <v>141</v>
      </c>
      <c r="AM173" s="2798"/>
      <c r="AO173" s="2793"/>
    </row>
    <row r="174" spans="1:41" ht="18.75">
      <c r="A174" s="1169">
        <v>14</v>
      </c>
      <c r="B174" s="2826" t="s">
        <v>1222</v>
      </c>
      <c r="C174" s="2827"/>
      <c r="D174" s="2827" t="s">
        <v>453</v>
      </c>
      <c r="E174" s="2796">
        <v>60</v>
      </c>
      <c r="F174" s="2796">
        <v>87</v>
      </c>
      <c r="G174" s="2796">
        <v>85</v>
      </c>
      <c r="H174" s="2796">
        <v>74</v>
      </c>
      <c r="I174" s="2796">
        <v>63</v>
      </c>
      <c r="J174" s="2796">
        <v>95</v>
      </c>
      <c r="K174" s="2796">
        <v>52</v>
      </c>
      <c r="L174" s="2796">
        <v>83</v>
      </c>
      <c r="M174" s="2796">
        <v>74</v>
      </c>
      <c r="N174" s="2796">
        <v>87</v>
      </c>
      <c r="O174" s="2796">
        <v>73</v>
      </c>
      <c r="P174" s="2796">
        <v>87</v>
      </c>
      <c r="Q174" s="2796">
        <v>69</v>
      </c>
      <c r="R174" s="2796">
        <v>111</v>
      </c>
      <c r="S174" s="2796">
        <v>0</v>
      </c>
      <c r="T174" s="2796">
        <v>161</v>
      </c>
      <c r="U174" s="2796">
        <v>60</v>
      </c>
      <c r="V174" s="2796">
        <v>101</v>
      </c>
      <c r="W174" s="2796">
        <v>79</v>
      </c>
      <c r="X174" s="2796">
        <v>74</v>
      </c>
      <c r="Y174" s="2796">
        <v>55</v>
      </c>
      <c r="Z174" s="2796">
        <v>0</v>
      </c>
      <c r="AA174" s="2796">
        <v>117</v>
      </c>
      <c r="AB174" s="2796">
        <v>101</v>
      </c>
      <c r="AC174" s="2796">
        <v>37</v>
      </c>
      <c r="AD174" s="2796">
        <v>89</v>
      </c>
      <c r="AE174" s="2796">
        <v>48</v>
      </c>
      <c r="AF174" s="2796">
        <v>103</v>
      </c>
      <c r="AG174" s="2796">
        <v>57</v>
      </c>
      <c r="AH174" s="2796">
        <v>118</v>
      </c>
      <c r="AI174" s="2796">
        <v>0</v>
      </c>
      <c r="AJ174" s="2790">
        <f t="shared" si="13"/>
        <v>2300</v>
      </c>
      <c r="AK174" s="2790">
        <f t="shared" si="9"/>
        <v>920</v>
      </c>
      <c r="AL174" s="2828" t="s">
        <v>141</v>
      </c>
      <c r="AM174" s="2798"/>
      <c r="AO174" s="2793"/>
    </row>
    <row r="175" spans="1:41" ht="18.75">
      <c r="A175" s="2821">
        <v>15</v>
      </c>
      <c r="B175" s="2826" t="s">
        <v>1223</v>
      </c>
      <c r="C175" s="2827"/>
      <c r="D175" s="2827" t="s">
        <v>453</v>
      </c>
      <c r="E175" s="2796">
        <v>74</v>
      </c>
      <c r="F175" s="2796">
        <v>61</v>
      </c>
      <c r="G175" s="2796">
        <v>60</v>
      </c>
      <c r="H175" s="2796">
        <v>76</v>
      </c>
      <c r="I175" s="2796">
        <v>65</v>
      </c>
      <c r="J175" s="2796">
        <v>55</v>
      </c>
      <c r="K175" s="2796">
        <v>50</v>
      </c>
      <c r="L175" s="2796">
        <v>68</v>
      </c>
      <c r="M175" s="2796">
        <v>58</v>
      </c>
      <c r="N175" s="2796">
        <v>57</v>
      </c>
      <c r="O175" s="2796">
        <v>48</v>
      </c>
      <c r="P175" s="2796">
        <v>71</v>
      </c>
      <c r="Q175" s="2796">
        <v>60</v>
      </c>
      <c r="R175" s="2796">
        <v>50</v>
      </c>
      <c r="S175" s="2796">
        <v>0</v>
      </c>
      <c r="T175" s="2796">
        <v>114</v>
      </c>
      <c r="U175" s="2796">
        <v>58</v>
      </c>
      <c r="V175" s="2796">
        <v>48</v>
      </c>
      <c r="W175" s="2796">
        <v>47</v>
      </c>
      <c r="X175" s="2796">
        <v>67</v>
      </c>
      <c r="Y175" s="2796">
        <v>58</v>
      </c>
      <c r="Z175" s="2796">
        <v>55</v>
      </c>
      <c r="AA175" s="2796">
        <v>46</v>
      </c>
      <c r="AB175" s="2796">
        <v>65</v>
      </c>
      <c r="AC175" s="2796">
        <v>50</v>
      </c>
      <c r="AD175" s="2796">
        <v>47</v>
      </c>
      <c r="AE175" s="2796">
        <v>40</v>
      </c>
      <c r="AF175" s="2796">
        <v>73</v>
      </c>
      <c r="AG175" s="2796">
        <v>53</v>
      </c>
      <c r="AH175" s="2796">
        <v>62</v>
      </c>
      <c r="AI175" s="2796">
        <v>45</v>
      </c>
      <c r="AJ175" s="2790">
        <f t="shared" si="13"/>
        <v>1781</v>
      </c>
      <c r="AK175" s="2790">
        <f t="shared" si="9"/>
        <v>712.40000000000009</v>
      </c>
      <c r="AL175" s="2828" t="s">
        <v>141</v>
      </c>
      <c r="AM175" s="2798"/>
      <c r="AO175" s="2793"/>
    </row>
    <row r="176" spans="1:41" ht="18.75">
      <c r="A176" s="1169">
        <v>16</v>
      </c>
      <c r="B176" s="2826" t="s">
        <v>1224</v>
      </c>
      <c r="C176" s="2827"/>
      <c r="D176" s="2827" t="s">
        <v>453</v>
      </c>
      <c r="E176" s="2796">
        <v>97</v>
      </c>
      <c r="F176" s="2796">
        <v>72</v>
      </c>
      <c r="G176" s="2796">
        <v>64</v>
      </c>
      <c r="H176" s="2796">
        <v>93</v>
      </c>
      <c r="I176" s="2796">
        <v>80</v>
      </c>
      <c r="J176" s="2796">
        <v>86</v>
      </c>
      <c r="K176" s="2796">
        <v>63</v>
      </c>
      <c r="L176" s="2796">
        <v>90</v>
      </c>
      <c r="M176" s="2796">
        <v>72</v>
      </c>
      <c r="N176" s="2796">
        <v>70</v>
      </c>
      <c r="O176" s="2796">
        <v>58</v>
      </c>
      <c r="P176" s="2796">
        <v>80</v>
      </c>
      <c r="Q176" s="2796">
        <v>64</v>
      </c>
      <c r="R176" s="2796">
        <v>74</v>
      </c>
      <c r="S176" s="2796">
        <v>0</v>
      </c>
      <c r="T176" s="2796">
        <v>134</v>
      </c>
      <c r="U176" s="2796">
        <v>69</v>
      </c>
      <c r="V176" s="2796">
        <v>56</v>
      </c>
      <c r="W176" s="2796">
        <v>62</v>
      </c>
      <c r="X176" s="2796">
        <v>66</v>
      </c>
      <c r="Y176" s="2796">
        <v>64</v>
      </c>
      <c r="Z176" s="2796">
        <v>60</v>
      </c>
      <c r="AA176" s="2796">
        <v>43</v>
      </c>
      <c r="AB176" s="2796">
        <v>63</v>
      </c>
      <c r="AC176" s="2796">
        <v>52</v>
      </c>
      <c r="AD176" s="2796">
        <v>56</v>
      </c>
      <c r="AE176" s="2796">
        <v>47</v>
      </c>
      <c r="AF176" s="2796">
        <v>78</v>
      </c>
      <c r="AG176" s="2796">
        <v>58</v>
      </c>
      <c r="AH176" s="2796">
        <v>58</v>
      </c>
      <c r="AI176" s="2796">
        <v>64</v>
      </c>
      <c r="AJ176" s="2790">
        <f t="shared" si="13"/>
        <v>2093</v>
      </c>
      <c r="AK176" s="2790">
        <f t="shared" si="9"/>
        <v>837.2</v>
      </c>
      <c r="AL176" s="2828" t="s">
        <v>141</v>
      </c>
      <c r="AM176" s="2798"/>
      <c r="AO176" s="2793"/>
    </row>
    <row r="177" spans="1:43" ht="18.75">
      <c r="A177" s="2821">
        <v>17</v>
      </c>
      <c r="B177" s="2826" t="s">
        <v>1546</v>
      </c>
      <c r="C177" s="2827"/>
      <c r="D177" s="2827" t="s">
        <v>453</v>
      </c>
      <c r="E177" s="2796">
        <v>59</v>
      </c>
      <c r="F177" s="2796">
        <v>32</v>
      </c>
      <c r="G177" s="2796">
        <v>52</v>
      </c>
      <c r="H177" s="2796">
        <v>68</v>
      </c>
      <c r="I177" s="2796">
        <v>75</v>
      </c>
      <c r="J177" s="2796">
        <v>64</v>
      </c>
      <c r="K177" s="2796">
        <v>49</v>
      </c>
      <c r="L177" s="2796">
        <v>76</v>
      </c>
      <c r="M177" s="2796">
        <v>72</v>
      </c>
      <c r="N177" s="2796">
        <v>63</v>
      </c>
      <c r="O177" s="2796">
        <v>53</v>
      </c>
      <c r="P177" s="2796">
        <v>88</v>
      </c>
      <c r="Q177" s="2796">
        <v>67</v>
      </c>
      <c r="R177" s="2796">
        <v>63</v>
      </c>
      <c r="S177" s="2796">
        <v>0</v>
      </c>
      <c r="T177" s="2796">
        <v>126</v>
      </c>
      <c r="U177" s="2796">
        <v>0</v>
      </c>
      <c r="V177" s="2796">
        <v>61</v>
      </c>
      <c r="W177" s="2796">
        <v>95</v>
      </c>
      <c r="X177" s="2796">
        <v>78</v>
      </c>
      <c r="Y177" s="2796">
        <v>65</v>
      </c>
      <c r="Z177" s="2796">
        <v>67</v>
      </c>
      <c r="AA177" s="2796">
        <v>44</v>
      </c>
      <c r="AB177" s="2796">
        <v>60</v>
      </c>
      <c r="AC177" s="2796">
        <v>57</v>
      </c>
      <c r="AD177" s="2796">
        <v>60</v>
      </c>
      <c r="AE177" s="2796">
        <v>41</v>
      </c>
      <c r="AF177" s="2796">
        <v>80</v>
      </c>
      <c r="AG177" s="2796">
        <v>0</v>
      </c>
      <c r="AH177" s="2796">
        <v>118</v>
      </c>
      <c r="AI177" s="2796">
        <v>42</v>
      </c>
      <c r="AJ177" s="2790">
        <f t="shared" si="13"/>
        <v>1875</v>
      </c>
      <c r="AK177" s="2790">
        <f t="shared" si="9"/>
        <v>750</v>
      </c>
      <c r="AL177" s="2828" t="s">
        <v>138</v>
      </c>
      <c r="AM177" s="2798"/>
      <c r="AO177" s="2793"/>
    </row>
    <row r="178" spans="1:43" ht="18.75">
      <c r="A178" s="1169">
        <v>18</v>
      </c>
      <c r="B178" s="2826" t="s">
        <v>1226</v>
      </c>
      <c r="C178" s="2827"/>
      <c r="D178" s="2827" t="s">
        <v>453</v>
      </c>
      <c r="E178" s="2796">
        <v>54</v>
      </c>
      <c r="F178" s="2796">
        <v>44</v>
      </c>
      <c r="G178" s="2796">
        <v>72</v>
      </c>
      <c r="H178" s="2796">
        <v>73</v>
      </c>
      <c r="I178" s="2796">
        <v>48</v>
      </c>
      <c r="J178" s="2796">
        <v>85</v>
      </c>
      <c r="K178" s="2796">
        <v>66</v>
      </c>
      <c r="L178" s="2796">
        <v>0</v>
      </c>
      <c r="M178" s="2796">
        <v>114</v>
      </c>
      <c r="N178" s="2796">
        <v>60</v>
      </c>
      <c r="O178" s="2796">
        <v>0</v>
      </c>
      <c r="P178" s="2796">
        <v>119</v>
      </c>
      <c r="Q178" s="2796">
        <v>41</v>
      </c>
      <c r="R178" s="2796">
        <v>72</v>
      </c>
      <c r="S178" s="2796">
        <v>0</v>
      </c>
      <c r="T178" s="2796">
        <v>110</v>
      </c>
      <c r="U178" s="2796">
        <v>40</v>
      </c>
      <c r="V178" s="2796">
        <v>0</v>
      </c>
      <c r="W178" s="2796">
        <v>118</v>
      </c>
      <c r="X178" s="2796">
        <v>47</v>
      </c>
      <c r="Y178" s="2796">
        <v>47</v>
      </c>
      <c r="Z178" s="2796">
        <v>46</v>
      </c>
      <c r="AA178" s="2796">
        <v>75</v>
      </c>
      <c r="AB178" s="2796">
        <v>66</v>
      </c>
      <c r="AC178" s="2790">
        <v>61</v>
      </c>
      <c r="AD178" s="2790">
        <v>0</v>
      </c>
      <c r="AE178" s="2790">
        <v>147</v>
      </c>
      <c r="AF178" s="2790">
        <v>46</v>
      </c>
      <c r="AG178" s="2790">
        <v>47</v>
      </c>
      <c r="AH178" s="2790">
        <v>66</v>
      </c>
      <c r="AI178" s="2790">
        <v>65</v>
      </c>
      <c r="AJ178" s="2790">
        <f t="shared" si="13"/>
        <v>1829</v>
      </c>
      <c r="AK178" s="2790">
        <f t="shared" si="9"/>
        <v>731.6</v>
      </c>
      <c r="AL178" s="2828" t="s">
        <v>138</v>
      </c>
      <c r="AM178" s="2798"/>
      <c r="AO178" s="2793"/>
    </row>
    <row r="179" spans="1:43" ht="18.75">
      <c r="A179" s="2821">
        <v>19</v>
      </c>
      <c r="B179" s="2826" t="s">
        <v>861</v>
      </c>
      <c r="C179" s="2827"/>
      <c r="D179" s="2827" t="s">
        <v>453</v>
      </c>
      <c r="E179" s="2796">
        <v>55</v>
      </c>
      <c r="F179" s="2796">
        <v>67</v>
      </c>
      <c r="G179" s="2796">
        <v>58</v>
      </c>
      <c r="H179" s="2796">
        <v>53</v>
      </c>
      <c r="I179" s="2796">
        <v>40</v>
      </c>
      <c r="J179" s="2796">
        <v>68</v>
      </c>
      <c r="K179" s="2796">
        <v>58</v>
      </c>
      <c r="L179" s="2796">
        <v>46</v>
      </c>
      <c r="M179" s="2796">
        <v>51</v>
      </c>
      <c r="N179" s="2796">
        <v>69</v>
      </c>
      <c r="O179" s="2796">
        <v>50</v>
      </c>
      <c r="P179" s="2796">
        <v>43</v>
      </c>
      <c r="Q179" s="2796">
        <v>38</v>
      </c>
      <c r="R179" s="2796">
        <v>52</v>
      </c>
      <c r="S179" s="2796">
        <v>0</v>
      </c>
      <c r="T179" s="2796">
        <v>86</v>
      </c>
      <c r="U179" s="2796">
        <v>39</v>
      </c>
      <c r="V179" s="2796">
        <v>64</v>
      </c>
      <c r="W179" s="2796">
        <v>48</v>
      </c>
      <c r="X179" s="2796">
        <v>39</v>
      </c>
      <c r="Y179" s="2796">
        <v>42</v>
      </c>
      <c r="Z179" s="2796">
        <v>58</v>
      </c>
      <c r="AA179" s="2796">
        <v>49</v>
      </c>
      <c r="AB179" s="2796">
        <v>41</v>
      </c>
      <c r="AC179" s="2796">
        <v>43</v>
      </c>
      <c r="AD179" s="2796">
        <v>55</v>
      </c>
      <c r="AE179" s="2796">
        <v>40</v>
      </c>
      <c r="AF179" s="2796">
        <v>33</v>
      </c>
      <c r="AG179" s="2796">
        <v>43</v>
      </c>
      <c r="AH179" s="2796">
        <v>52</v>
      </c>
      <c r="AI179" s="2796">
        <v>47</v>
      </c>
      <c r="AJ179" s="2790">
        <f t="shared" si="13"/>
        <v>1527</v>
      </c>
      <c r="AK179" s="2790">
        <f t="shared" si="9"/>
        <v>610.80000000000007</v>
      </c>
      <c r="AL179" s="2828" t="s">
        <v>141</v>
      </c>
      <c r="AM179" s="2798"/>
      <c r="AO179" s="2793"/>
    </row>
    <row r="180" spans="1:43" ht="18.75">
      <c r="A180" s="1169">
        <v>20</v>
      </c>
      <c r="B180" s="2826" t="s">
        <v>486</v>
      </c>
      <c r="C180" s="2827"/>
      <c r="D180" s="2827" t="s">
        <v>453</v>
      </c>
      <c r="E180" s="2796">
        <v>71</v>
      </c>
      <c r="F180" s="2796">
        <v>95</v>
      </c>
      <c r="G180" s="2796">
        <v>96</v>
      </c>
      <c r="H180" s="2796">
        <v>74</v>
      </c>
      <c r="I180" s="2796">
        <v>73</v>
      </c>
      <c r="J180" s="2796">
        <v>80</v>
      </c>
      <c r="K180" s="2796">
        <v>96</v>
      </c>
      <c r="L180" s="2796">
        <v>59</v>
      </c>
      <c r="M180" s="2796">
        <v>66</v>
      </c>
      <c r="N180" s="2796">
        <v>82</v>
      </c>
      <c r="O180" s="2796">
        <v>97</v>
      </c>
      <c r="P180" s="2796">
        <v>53</v>
      </c>
      <c r="Q180" s="2796">
        <v>57</v>
      </c>
      <c r="R180" s="2796">
        <v>72</v>
      </c>
      <c r="S180" s="2796">
        <v>0</v>
      </c>
      <c r="T180" s="2796">
        <v>137</v>
      </c>
      <c r="U180" s="2796">
        <v>62</v>
      </c>
      <c r="V180" s="2796">
        <v>65</v>
      </c>
      <c r="W180" s="2796">
        <v>112</v>
      </c>
      <c r="X180" s="2796">
        <v>50</v>
      </c>
      <c r="Y180" s="2796">
        <v>59</v>
      </c>
      <c r="Z180" s="2796">
        <v>67</v>
      </c>
      <c r="AA180" s="2796">
        <v>101</v>
      </c>
      <c r="AB180" s="2796">
        <v>44</v>
      </c>
      <c r="AC180" s="2796">
        <v>59</v>
      </c>
      <c r="AD180" s="2796">
        <v>55</v>
      </c>
      <c r="AE180" s="2796">
        <v>79</v>
      </c>
      <c r="AF180" s="2796">
        <v>51</v>
      </c>
      <c r="AG180" s="2796">
        <v>47</v>
      </c>
      <c r="AH180" s="2796">
        <v>51</v>
      </c>
      <c r="AI180" s="2796">
        <v>84</v>
      </c>
      <c r="AJ180" s="2790">
        <f t="shared" si="13"/>
        <v>2194</v>
      </c>
      <c r="AK180" s="2790">
        <f t="shared" si="9"/>
        <v>877.6</v>
      </c>
      <c r="AL180" s="2828" t="s">
        <v>141</v>
      </c>
      <c r="AM180" s="2798"/>
      <c r="AO180" s="2793"/>
    </row>
    <row r="181" spans="1:43" ht="18.75">
      <c r="A181" s="2821">
        <v>21</v>
      </c>
      <c r="B181" s="2826" t="s">
        <v>836</v>
      </c>
      <c r="C181" s="2827"/>
      <c r="D181" s="2827" t="s">
        <v>453</v>
      </c>
      <c r="E181" s="2796">
        <v>54</v>
      </c>
      <c r="F181" s="2796">
        <v>55</v>
      </c>
      <c r="G181" s="2796">
        <v>59</v>
      </c>
      <c r="H181" s="2796">
        <v>0</v>
      </c>
      <c r="I181" s="2796">
        <v>151</v>
      </c>
      <c r="J181" s="2796">
        <v>54</v>
      </c>
      <c r="K181" s="2796">
        <v>49</v>
      </c>
      <c r="L181" s="2796">
        <v>79</v>
      </c>
      <c r="M181" s="2796">
        <v>60</v>
      </c>
      <c r="N181" s="2796">
        <v>60</v>
      </c>
      <c r="O181" s="2796">
        <v>76</v>
      </c>
      <c r="P181" s="2796">
        <v>90</v>
      </c>
      <c r="Q181" s="2796">
        <v>43</v>
      </c>
      <c r="R181" s="2796">
        <v>47</v>
      </c>
      <c r="S181" s="2796">
        <v>0</v>
      </c>
      <c r="T181" s="2796">
        <v>144</v>
      </c>
      <c r="U181" s="2796">
        <v>58</v>
      </c>
      <c r="V181" s="2796">
        <v>58</v>
      </c>
      <c r="W181" s="2796">
        <v>68</v>
      </c>
      <c r="X181" s="2796">
        <v>113</v>
      </c>
      <c r="Y181" s="2796">
        <v>44</v>
      </c>
      <c r="Z181" s="2796">
        <v>0</v>
      </c>
      <c r="AA181" s="2796">
        <v>125</v>
      </c>
      <c r="AB181" s="2796">
        <v>121</v>
      </c>
      <c r="AC181" s="2796">
        <v>47</v>
      </c>
      <c r="AD181" s="2796">
        <v>62</v>
      </c>
      <c r="AE181" s="2796">
        <v>65</v>
      </c>
      <c r="AF181" s="2796">
        <v>88</v>
      </c>
      <c r="AG181" s="2796">
        <v>49</v>
      </c>
      <c r="AH181" s="2796">
        <v>55</v>
      </c>
      <c r="AI181" s="2796">
        <v>73</v>
      </c>
      <c r="AJ181" s="2790">
        <f t="shared" si="13"/>
        <v>2047</v>
      </c>
      <c r="AK181" s="2790">
        <f t="shared" si="9"/>
        <v>818.80000000000007</v>
      </c>
      <c r="AL181" s="2828" t="s">
        <v>141</v>
      </c>
      <c r="AM181" s="2798"/>
      <c r="AO181" s="2793"/>
    </row>
    <row r="182" spans="1:43" ht="18.75">
      <c r="A182" s="1169">
        <v>22</v>
      </c>
      <c r="B182" s="2826" t="s">
        <v>1227</v>
      </c>
      <c r="C182" s="2827"/>
      <c r="D182" s="2827" t="s">
        <v>453</v>
      </c>
      <c r="E182" s="2796">
        <v>29</v>
      </c>
      <c r="F182" s="2796">
        <v>49</v>
      </c>
      <c r="G182" s="2796">
        <v>38</v>
      </c>
      <c r="H182" s="2796">
        <v>64</v>
      </c>
      <c r="I182" s="2796">
        <v>37</v>
      </c>
      <c r="J182" s="2796">
        <v>57</v>
      </c>
      <c r="K182" s="2796">
        <v>63</v>
      </c>
      <c r="L182" s="2796">
        <v>74</v>
      </c>
      <c r="M182" s="2796">
        <v>0</v>
      </c>
      <c r="N182" s="2796">
        <v>100</v>
      </c>
      <c r="O182" s="2796">
        <v>48</v>
      </c>
      <c r="P182" s="2796">
        <v>67</v>
      </c>
      <c r="Q182" s="2796">
        <v>0</v>
      </c>
      <c r="R182" s="2796">
        <v>111</v>
      </c>
      <c r="S182" s="2796">
        <v>0</v>
      </c>
      <c r="T182" s="2796">
        <v>119</v>
      </c>
      <c r="U182" s="2796">
        <v>0</v>
      </c>
      <c r="V182" s="2796">
        <v>57</v>
      </c>
      <c r="W182" s="2796">
        <v>58</v>
      </c>
      <c r="X182" s="2796">
        <v>120</v>
      </c>
      <c r="Y182" s="2796">
        <v>102</v>
      </c>
      <c r="Z182" s="2796">
        <v>0</v>
      </c>
      <c r="AA182" s="2796">
        <v>130</v>
      </c>
      <c r="AB182" s="2796">
        <v>59</v>
      </c>
      <c r="AC182" s="2796">
        <v>60</v>
      </c>
      <c r="AD182" s="2796">
        <v>0</v>
      </c>
      <c r="AE182" s="2796">
        <v>147</v>
      </c>
      <c r="AF182" s="2796">
        <v>0</v>
      </c>
      <c r="AG182" s="2796">
        <v>59</v>
      </c>
      <c r="AH182" s="2796">
        <v>70</v>
      </c>
      <c r="AI182" s="2796">
        <v>0</v>
      </c>
      <c r="AJ182" s="2790">
        <f t="shared" si="13"/>
        <v>1718</v>
      </c>
      <c r="AK182" s="2790">
        <f t="shared" si="9"/>
        <v>687.2</v>
      </c>
      <c r="AL182" s="2828" t="s">
        <v>138</v>
      </c>
      <c r="AM182" s="2798"/>
      <c r="AO182" s="2793"/>
      <c r="AQ182">
        <f>+COUNTIF(AL161:AL190,"A")</f>
        <v>18</v>
      </c>
    </row>
    <row r="183" spans="1:43" ht="18.75">
      <c r="A183" s="2821">
        <v>23</v>
      </c>
      <c r="B183" s="2826" t="s">
        <v>1228</v>
      </c>
      <c r="C183" s="2827"/>
      <c r="D183" s="2827" t="s">
        <v>453</v>
      </c>
      <c r="E183" s="2796">
        <v>102</v>
      </c>
      <c r="F183" s="2796">
        <v>54</v>
      </c>
      <c r="G183" s="2796">
        <v>55</v>
      </c>
      <c r="H183" s="2796">
        <v>44</v>
      </c>
      <c r="I183" s="2796">
        <v>99</v>
      </c>
      <c r="J183" s="2796">
        <v>43</v>
      </c>
      <c r="K183" s="2796">
        <v>59</v>
      </c>
      <c r="L183" s="2796">
        <v>56</v>
      </c>
      <c r="M183" s="2796">
        <v>102</v>
      </c>
      <c r="N183" s="2796">
        <v>47</v>
      </c>
      <c r="O183" s="2796">
        <v>62</v>
      </c>
      <c r="P183" s="2796">
        <v>55</v>
      </c>
      <c r="Q183" s="2796">
        <v>98</v>
      </c>
      <c r="R183" s="2796">
        <v>45</v>
      </c>
      <c r="S183" s="2796">
        <v>0</v>
      </c>
      <c r="T183" s="2796">
        <v>122</v>
      </c>
      <c r="U183" s="2796">
        <v>96</v>
      </c>
      <c r="V183" s="2796">
        <v>49</v>
      </c>
      <c r="W183" s="2796">
        <v>69</v>
      </c>
      <c r="X183" s="2796">
        <v>55</v>
      </c>
      <c r="Y183" s="2796">
        <v>82</v>
      </c>
      <c r="Z183" s="2796">
        <v>0</v>
      </c>
      <c r="AA183" s="2796">
        <v>0</v>
      </c>
      <c r="AB183" s="2796">
        <v>42</v>
      </c>
      <c r="AC183" s="2796">
        <v>32</v>
      </c>
      <c r="AD183" s="2796">
        <v>77</v>
      </c>
      <c r="AE183" s="2796">
        <v>56</v>
      </c>
      <c r="AF183" s="2796">
        <v>50</v>
      </c>
      <c r="AG183" s="2796">
        <v>100</v>
      </c>
      <c r="AH183" s="2796">
        <v>35</v>
      </c>
      <c r="AI183" s="2796">
        <v>57</v>
      </c>
      <c r="AJ183" s="2790">
        <f t="shared" si="13"/>
        <v>1843</v>
      </c>
      <c r="AK183" s="2790">
        <f t="shared" si="9"/>
        <v>737.2</v>
      </c>
      <c r="AL183" s="2828" t="s">
        <v>141</v>
      </c>
      <c r="AM183" s="2798"/>
      <c r="AO183" s="2793"/>
    </row>
    <row r="184" spans="1:43" ht="18.75">
      <c r="A184" s="1169">
        <v>24</v>
      </c>
      <c r="B184" s="2826" t="s">
        <v>1229</v>
      </c>
      <c r="C184" s="2827"/>
      <c r="D184" s="2827" t="s">
        <v>453</v>
      </c>
      <c r="E184" s="2790">
        <v>0</v>
      </c>
      <c r="F184" s="2790">
        <v>0</v>
      </c>
      <c r="G184" s="2790">
        <v>0</v>
      </c>
      <c r="H184" s="2790">
        <v>90</v>
      </c>
      <c r="I184" s="2790">
        <v>88</v>
      </c>
      <c r="J184" s="2790">
        <v>0</v>
      </c>
      <c r="K184" s="2790">
        <v>110</v>
      </c>
      <c r="L184" s="2790">
        <v>82</v>
      </c>
      <c r="M184" s="2790">
        <v>83</v>
      </c>
      <c r="N184" s="2790">
        <v>57</v>
      </c>
      <c r="O184" s="2790">
        <v>71</v>
      </c>
      <c r="P184" s="2790">
        <v>89</v>
      </c>
      <c r="Q184" s="2790">
        <v>80</v>
      </c>
      <c r="R184" s="2790">
        <v>53</v>
      </c>
      <c r="S184" s="2790">
        <v>0</v>
      </c>
      <c r="T184" s="2790">
        <v>143</v>
      </c>
      <c r="U184" s="2790">
        <v>84</v>
      </c>
      <c r="V184" s="2790">
        <v>65</v>
      </c>
      <c r="W184" s="2790">
        <v>0</v>
      </c>
      <c r="X184" s="2790">
        <v>62</v>
      </c>
      <c r="Y184" s="2790">
        <v>90</v>
      </c>
      <c r="Z184" s="2790">
        <v>51</v>
      </c>
      <c r="AA184" s="2790">
        <v>0</v>
      </c>
      <c r="AB184" s="2790">
        <v>129</v>
      </c>
      <c r="AC184" s="2790">
        <v>82</v>
      </c>
      <c r="AD184" s="2790">
        <v>62</v>
      </c>
      <c r="AE184" s="2790">
        <v>66</v>
      </c>
      <c r="AF184" s="2790">
        <v>74</v>
      </c>
      <c r="AG184" s="2790">
        <v>0</v>
      </c>
      <c r="AH184" s="2790">
        <v>0</v>
      </c>
      <c r="AI184" s="2790">
        <v>60</v>
      </c>
      <c r="AJ184" s="2790">
        <f t="shared" si="13"/>
        <v>1771</v>
      </c>
      <c r="AK184" s="2790">
        <f t="shared" si="9"/>
        <v>708.40000000000009</v>
      </c>
      <c r="AL184" s="2828" t="s">
        <v>141</v>
      </c>
      <c r="AM184" s="2798"/>
      <c r="AO184" s="2793"/>
    </row>
    <row r="185" spans="1:43" ht="18.75">
      <c r="A185" s="2821">
        <v>25</v>
      </c>
      <c r="B185" s="2826" t="s">
        <v>1518</v>
      </c>
      <c r="C185" s="2827"/>
      <c r="D185" s="2827" t="s">
        <v>453</v>
      </c>
      <c r="E185" s="2796">
        <v>57</v>
      </c>
      <c r="F185" s="2796">
        <v>43</v>
      </c>
      <c r="G185" s="2796">
        <v>40</v>
      </c>
      <c r="H185" s="2796">
        <v>38</v>
      </c>
      <c r="I185" s="2796">
        <v>62</v>
      </c>
      <c r="J185" s="2796">
        <v>67</v>
      </c>
      <c r="K185" s="2796">
        <v>90</v>
      </c>
      <c r="L185" s="2796">
        <v>71</v>
      </c>
      <c r="M185" s="2796">
        <v>52</v>
      </c>
      <c r="N185" s="2796">
        <v>56</v>
      </c>
      <c r="O185" s="2796">
        <v>90</v>
      </c>
      <c r="P185" s="2796">
        <v>66</v>
      </c>
      <c r="Q185" s="2796">
        <v>51</v>
      </c>
      <c r="R185" s="2796">
        <v>67</v>
      </c>
      <c r="S185" s="2796">
        <v>0</v>
      </c>
      <c r="T185" s="2796">
        <v>0</v>
      </c>
      <c r="U185" s="2796">
        <v>0</v>
      </c>
      <c r="V185" s="2796">
        <v>0</v>
      </c>
      <c r="W185" s="2796">
        <v>82</v>
      </c>
      <c r="X185" s="2796">
        <v>84</v>
      </c>
      <c r="Y185" s="2796">
        <v>56</v>
      </c>
      <c r="Z185" s="2796">
        <v>0</v>
      </c>
      <c r="AA185" s="2796">
        <v>192</v>
      </c>
      <c r="AB185" s="2796">
        <v>59</v>
      </c>
      <c r="AC185" s="2796">
        <v>67</v>
      </c>
      <c r="AD185" s="2796">
        <v>73</v>
      </c>
      <c r="AE185" s="2796">
        <v>62</v>
      </c>
      <c r="AF185" s="2796">
        <v>63</v>
      </c>
      <c r="AG185" s="2796">
        <v>53</v>
      </c>
      <c r="AH185" s="2796">
        <v>73</v>
      </c>
      <c r="AI185" s="2796">
        <v>103</v>
      </c>
      <c r="AJ185" s="2790">
        <f t="shared" si="13"/>
        <v>1817</v>
      </c>
      <c r="AK185" s="2790">
        <f t="shared" si="9"/>
        <v>726.80000000000007</v>
      </c>
      <c r="AL185" s="2828" t="s">
        <v>138</v>
      </c>
      <c r="AM185" s="2798"/>
      <c r="AO185" s="2793"/>
    </row>
    <row r="186" spans="1:43" ht="18.75">
      <c r="A186" s="1169">
        <v>26</v>
      </c>
      <c r="B186" s="2826" t="s">
        <v>1519</v>
      </c>
      <c r="C186" s="2827"/>
      <c r="D186" s="2827" t="s">
        <v>453</v>
      </c>
      <c r="E186" s="2796">
        <v>69</v>
      </c>
      <c r="F186" s="2796">
        <v>88</v>
      </c>
      <c r="G186" s="2796">
        <v>88</v>
      </c>
      <c r="H186" s="2796">
        <v>88</v>
      </c>
      <c r="I186" s="2796">
        <v>90</v>
      </c>
      <c r="J186" s="2796">
        <v>87</v>
      </c>
      <c r="K186" s="2796">
        <v>93</v>
      </c>
      <c r="L186" s="2796">
        <v>97</v>
      </c>
      <c r="M186" s="2796">
        <v>97</v>
      </c>
      <c r="N186" s="2796">
        <v>90</v>
      </c>
      <c r="O186" s="2796">
        <v>117</v>
      </c>
      <c r="P186" s="2796">
        <v>156</v>
      </c>
      <c r="Q186" s="2796">
        <v>116</v>
      </c>
      <c r="R186" s="2796">
        <v>114</v>
      </c>
      <c r="S186" s="2796">
        <v>0</v>
      </c>
      <c r="T186" s="2796">
        <v>308</v>
      </c>
      <c r="U186" s="2796">
        <v>0</v>
      </c>
      <c r="V186" s="2796">
        <v>0</v>
      </c>
      <c r="W186" s="2796">
        <v>116</v>
      </c>
      <c r="X186" s="2796">
        <v>112</v>
      </c>
      <c r="Y186" s="2796">
        <v>133</v>
      </c>
      <c r="Z186" s="2796">
        <v>0</v>
      </c>
      <c r="AA186" s="2796">
        <v>142</v>
      </c>
      <c r="AB186" s="2796">
        <v>97</v>
      </c>
      <c r="AC186" s="2796">
        <v>123</v>
      </c>
      <c r="AD186" s="2796">
        <v>77</v>
      </c>
      <c r="AE186" s="2796">
        <v>205</v>
      </c>
      <c r="AF186" s="2796">
        <v>196</v>
      </c>
      <c r="AG186" s="2796">
        <v>170</v>
      </c>
      <c r="AH186" s="2796">
        <v>134</v>
      </c>
      <c r="AI186" s="2796">
        <v>44</v>
      </c>
      <c r="AJ186" s="2790">
        <f t="shared" si="13"/>
        <v>3247</v>
      </c>
      <c r="AK186" s="2790">
        <f t="shared" si="9"/>
        <v>1298.8000000000002</v>
      </c>
      <c r="AL186" s="2828" t="s">
        <v>141</v>
      </c>
      <c r="AM186" s="2798"/>
      <c r="AN186" t="e">
        <f>+VLOOKUP(B186,'[30]MỦ TẠP'!$B$9:$AH$37,33,0)</f>
        <v>#N/A</v>
      </c>
      <c r="AO186" s="2793" t="e">
        <f>+AN186-AJ186</f>
        <v>#N/A</v>
      </c>
    </row>
    <row r="187" spans="1:43" ht="18.75">
      <c r="A187" s="2821">
        <v>27</v>
      </c>
      <c r="B187" s="2826" t="s">
        <v>1520</v>
      </c>
      <c r="C187" s="2827"/>
      <c r="D187" s="2827" t="s">
        <v>453</v>
      </c>
      <c r="E187" s="2796">
        <v>57</v>
      </c>
      <c r="F187" s="2796">
        <v>43</v>
      </c>
      <c r="G187" s="2796">
        <v>27</v>
      </c>
      <c r="H187" s="2796">
        <v>53</v>
      </c>
      <c r="I187" s="2796">
        <v>71</v>
      </c>
      <c r="J187" s="2796">
        <v>93</v>
      </c>
      <c r="K187" s="2796">
        <v>76</v>
      </c>
      <c r="L187" s="2796">
        <v>138</v>
      </c>
      <c r="M187" s="2796">
        <v>60</v>
      </c>
      <c r="N187" s="2796">
        <v>39</v>
      </c>
      <c r="O187" s="2796">
        <v>61</v>
      </c>
      <c r="P187" s="2796">
        <v>104</v>
      </c>
      <c r="Q187" s="2796">
        <v>70</v>
      </c>
      <c r="R187" s="2796">
        <v>130</v>
      </c>
      <c r="S187" s="2796">
        <v>0</v>
      </c>
      <c r="T187" s="2796">
        <v>216</v>
      </c>
      <c r="U187" s="2796">
        <v>69</v>
      </c>
      <c r="V187" s="2796">
        <v>0</v>
      </c>
      <c r="W187" s="2796">
        <v>100</v>
      </c>
      <c r="X187" s="2796">
        <v>137</v>
      </c>
      <c r="Y187" s="2796">
        <v>70</v>
      </c>
      <c r="Z187" s="2796">
        <v>0</v>
      </c>
      <c r="AA187" s="2796">
        <v>80</v>
      </c>
      <c r="AB187" s="2796">
        <v>97</v>
      </c>
      <c r="AC187" s="2796">
        <v>76</v>
      </c>
      <c r="AD187" s="2796">
        <v>0</v>
      </c>
      <c r="AE187" s="2796">
        <v>165</v>
      </c>
      <c r="AF187" s="2796">
        <v>128</v>
      </c>
      <c r="AG187" s="2796">
        <v>69</v>
      </c>
      <c r="AH187" s="2796">
        <v>173</v>
      </c>
      <c r="AI187" s="2796">
        <v>104</v>
      </c>
      <c r="AJ187" s="2790">
        <f t="shared" si="13"/>
        <v>2506</v>
      </c>
      <c r="AK187" s="2790">
        <f t="shared" si="9"/>
        <v>1002.4000000000001</v>
      </c>
      <c r="AL187" s="2828" t="s">
        <v>138</v>
      </c>
      <c r="AM187" s="2798"/>
      <c r="AN187" t="e">
        <f>+VLOOKUP(B187,'[30]MỦ TẠP'!$B$9:$AH$37,33,0)</f>
        <v>#N/A</v>
      </c>
      <c r="AO187" s="2793" t="e">
        <f>+AN187-AJ187</f>
        <v>#N/A</v>
      </c>
    </row>
    <row r="188" spans="1:43" ht="18.75">
      <c r="A188" s="1169">
        <v>28</v>
      </c>
      <c r="B188" s="2826" t="s">
        <v>1521</v>
      </c>
      <c r="C188" s="2827"/>
      <c r="D188" s="2827" t="s">
        <v>453</v>
      </c>
      <c r="E188" s="2796">
        <v>90</v>
      </c>
      <c r="F188" s="2796">
        <v>75</v>
      </c>
      <c r="G188" s="2796">
        <v>69</v>
      </c>
      <c r="H188" s="2796">
        <v>113</v>
      </c>
      <c r="I188" s="2796">
        <v>102</v>
      </c>
      <c r="J188" s="2796">
        <v>64</v>
      </c>
      <c r="K188" s="2796">
        <v>66</v>
      </c>
      <c r="L188" s="2796">
        <v>113</v>
      </c>
      <c r="M188" s="2796">
        <v>44</v>
      </c>
      <c r="N188" s="2796">
        <v>40</v>
      </c>
      <c r="O188" s="2796">
        <v>80</v>
      </c>
      <c r="P188" s="2796">
        <v>112</v>
      </c>
      <c r="Q188" s="2796">
        <v>83</v>
      </c>
      <c r="R188" s="2796">
        <v>69</v>
      </c>
      <c r="S188" s="2796">
        <v>0</v>
      </c>
      <c r="T188" s="2796">
        <v>177</v>
      </c>
      <c r="U188" s="2796">
        <v>82</v>
      </c>
      <c r="V188" s="2796">
        <v>0</v>
      </c>
      <c r="W188" s="2796">
        <v>67</v>
      </c>
      <c r="X188" s="2796">
        <v>111</v>
      </c>
      <c r="Y188" s="2796">
        <v>56</v>
      </c>
      <c r="Z188" s="2796">
        <v>0</v>
      </c>
      <c r="AA188" s="2796">
        <v>70</v>
      </c>
      <c r="AB188" s="2796">
        <v>103</v>
      </c>
      <c r="AC188" s="2796">
        <v>90</v>
      </c>
      <c r="AD188" s="2796">
        <v>69</v>
      </c>
      <c r="AE188" s="2796">
        <v>143</v>
      </c>
      <c r="AF188" s="2796">
        <v>113</v>
      </c>
      <c r="AG188" s="2796">
        <v>93</v>
      </c>
      <c r="AH188" s="2796">
        <v>81</v>
      </c>
      <c r="AI188" s="2796">
        <v>90</v>
      </c>
      <c r="AJ188" s="2790">
        <f t="shared" si="13"/>
        <v>2465</v>
      </c>
      <c r="AK188" s="2790">
        <f t="shared" si="9"/>
        <v>986</v>
      </c>
      <c r="AL188" s="2828" t="s">
        <v>141</v>
      </c>
      <c r="AM188" s="2798"/>
      <c r="AN188" t="e">
        <f>+VLOOKUP(B188,'[30]MỦ TẠP'!$B$9:$AH$37,33,0)</f>
        <v>#N/A</v>
      </c>
      <c r="AO188" s="2793" t="e">
        <f>+AN188-AJ188</f>
        <v>#N/A</v>
      </c>
    </row>
    <row r="189" spans="1:43" ht="18.75">
      <c r="A189" s="2821">
        <v>29</v>
      </c>
      <c r="B189" s="2826" t="s">
        <v>1522</v>
      </c>
      <c r="C189" s="2827"/>
      <c r="D189" s="2827" t="s">
        <v>453</v>
      </c>
      <c r="E189" s="2796">
        <v>175</v>
      </c>
      <c r="F189" s="2796">
        <v>65</v>
      </c>
      <c r="G189" s="2796">
        <v>116</v>
      </c>
      <c r="H189" s="2796">
        <v>139</v>
      </c>
      <c r="I189" s="2796">
        <v>194</v>
      </c>
      <c r="J189" s="2796">
        <v>62</v>
      </c>
      <c r="K189" s="2796">
        <v>116</v>
      </c>
      <c r="L189" s="2796">
        <v>131</v>
      </c>
      <c r="M189" s="2796">
        <v>71</v>
      </c>
      <c r="N189" s="2796">
        <v>90</v>
      </c>
      <c r="O189" s="2796">
        <v>119</v>
      </c>
      <c r="P189" s="2796">
        <v>128</v>
      </c>
      <c r="Q189" s="2796">
        <v>178</v>
      </c>
      <c r="R189" s="2796">
        <v>60</v>
      </c>
      <c r="S189" s="2796">
        <v>0</v>
      </c>
      <c r="T189" s="2796">
        <v>213</v>
      </c>
      <c r="U189" s="2796">
        <v>154</v>
      </c>
      <c r="V189" s="2796">
        <v>0</v>
      </c>
      <c r="W189" s="2796">
        <v>98</v>
      </c>
      <c r="X189" s="2796">
        <v>122</v>
      </c>
      <c r="Y189" s="2796">
        <v>183</v>
      </c>
      <c r="Z189" s="2796">
        <v>0</v>
      </c>
      <c r="AA189" s="2796">
        <v>53</v>
      </c>
      <c r="AB189" s="2796">
        <v>66</v>
      </c>
      <c r="AC189" s="2796">
        <v>197</v>
      </c>
      <c r="AD189" s="2796">
        <v>60</v>
      </c>
      <c r="AE189" s="2796">
        <v>141</v>
      </c>
      <c r="AF189" s="2796">
        <v>127</v>
      </c>
      <c r="AG189" s="2796">
        <v>203</v>
      </c>
      <c r="AH189" s="2796">
        <v>67</v>
      </c>
      <c r="AI189" s="2796">
        <v>108</v>
      </c>
      <c r="AJ189" s="2790">
        <f t="shared" si="13"/>
        <v>3436</v>
      </c>
      <c r="AK189" s="2790">
        <f t="shared" si="9"/>
        <v>1374.4</v>
      </c>
      <c r="AL189" s="2828" t="s">
        <v>141</v>
      </c>
      <c r="AM189" s="2798"/>
      <c r="AN189" t="e">
        <f>+VLOOKUP(B189,'[30]MỦ TẠP'!$B$9:$AH$37,33,0)</f>
        <v>#N/A</v>
      </c>
      <c r="AO189" s="2793" t="e">
        <f>+AN189-AJ189</f>
        <v>#N/A</v>
      </c>
    </row>
    <row r="190" spans="1:43" ht="18.75">
      <c r="A190" s="2904">
        <v>30</v>
      </c>
      <c r="B190" s="2905" t="s">
        <v>1230</v>
      </c>
      <c r="C190" s="2906"/>
      <c r="D190" s="2906" t="s">
        <v>453</v>
      </c>
      <c r="E190" s="2901">
        <v>21</v>
      </c>
      <c r="F190" s="2901">
        <v>45</v>
      </c>
      <c r="G190" s="2901">
        <v>80</v>
      </c>
      <c r="H190" s="2901">
        <v>73</v>
      </c>
      <c r="I190" s="2901">
        <v>29</v>
      </c>
      <c r="J190" s="2901">
        <v>55</v>
      </c>
      <c r="K190" s="2901">
        <v>75</v>
      </c>
      <c r="L190" s="2901">
        <v>70</v>
      </c>
      <c r="M190" s="2901">
        <v>27</v>
      </c>
      <c r="N190" s="2901">
        <v>54</v>
      </c>
      <c r="O190" s="2901">
        <v>78</v>
      </c>
      <c r="P190" s="2901">
        <v>66</v>
      </c>
      <c r="Q190" s="2901">
        <v>100</v>
      </c>
      <c r="R190" s="2901">
        <v>61</v>
      </c>
      <c r="S190" s="2901">
        <v>0</v>
      </c>
      <c r="T190" s="2901">
        <v>83</v>
      </c>
      <c r="U190" s="2901">
        <v>29</v>
      </c>
      <c r="V190" s="2901">
        <v>0</v>
      </c>
      <c r="W190" s="2901">
        <v>86</v>
      </c>
      <c r="X190" s="2901">
        <v>79</v>
      </c>
      <c r="Y190" s="2901">
        <v>46</v>
      </c>
      <c r="Z190" s="2901">
        <v>0</v>
      </c>
      <c r="AA190" s="2901">
        <v>101</v>
      </c>
      <c r="AB190" s="2901">
        <v>63</v>
      </c>
      <c r="AC190" s="2901">
        <v>0</v>
      </c>
      <c r="AD190" s="2901">
        <v>72</v>
      </c>
      <c r="AE190" s="2901">
        <v>131</v>
      </c>
      <c r="AF190" s="2901">
        <v>125</v>
      </c>
      <c r="AG190" s="2901">
        <v>51</v>
      </c>
      <c r="AH190" s="2901">
        <v>72</v>
      </c>
      <c r="AI190" s="2901">
        <v>89</v>
      </c>
      <c r="AJ190" s="2902">
        <f>+SUM(E190:AI190)</f>
        <v>1861</v>
      </c>
      <c r="AK190" s="2790">
        <f t="shared" si="9"/>
        <v>744.40000000000009</v>
      </c>
      <c r="AL190" s="2907" t="s">
        <v>141</v>
      </c>
      <c r="AM190" s="2908"/>
      <c r="AN190">
        <f>+VLOOKUP(B190,'[30]MỦ TẠP'!$B$9:$AH$37,33,0)</f>
        <v>0</v>
      </c>
      <c r="AO190" s="2793">
        <f>+AN190-AJ190</f>
        <v>-1861</v>
      </c>
    </row>
    <row r="191" spans="1:43" ht="18.75">
      <c r="A191" s="4790" t="s">
        <v>453</v>
      </c>
      <c r="B191" s="4790"/>
      <c r="C191" s="4790"/>
      <c r="D191" s="4790"/>
      <c r="E191" s="2909">
        <f t="shared" ref="E191:AL191" si="14">SUBTOTAL(9,E161:E190)</f>
        <v>2082</v>
      </c>
      <c r="F191" s="2909">
        <f t="shared" si="14"/>
        <v>1937</v>
      </c>
      <c r="G191" s="2909">
        <f t="shared" si="14"/>
        <v>1699</v>
      </c>
      <c r="H191" s="2909">
        <f t="shared" si="14"/>
        <v>2086</v>
      </c>
      <c r="I191" s="2909">
        <f t="shared" si="14"/>
        <v>2287</v>
      </c>
      <c r="J191" s="2909">
        <f t="shared" si="14"/>
        <v>2079</v>
      </c>
      <c r="K191" s="2909">
        <f t="shared" si="14"/>
        <v>1931</v>
      </c>
      <c r="L191" s="2909">
        <f t="shared" si="14"/>
        <v>2003</v>
      </c>
      <c r="M191" s="2909">
        <f t="shared" si="14"/>
        <v>1978</v>
      </c>
      <c r="N191" s="2909">
        <f t="shared" si="14"/>
        <v>2034</v>
      </c>
      <c r="O191" s="2909">
        <f t="shared" si="14"/>
        <v>1824</v>
      </c>
      <c r="P191" s="2909">
        <f t="shared" si="14"/>
        <v>2170</v>
      </c>
      <c r="Q191" s="2909">
        <f t="shared" si="14"/>
        <v>2077</v>
      </c>
      <c r="R191" s="2909">
        <f t="shared" si="14"/>
        <v>2217</v>
      </c>
      <c r="S191" s="2909">
        <f t="shared" si="14"/>
        <v>0</v>
      </c>
      <c r="T191" s="2909">
        <f t="shared" si="14"/>
        <v>3672</v>
      </c>
      <c r="U191" s="2909">
        <f t="shared" si="14"/>
        <v>1730</v>
      </c>
      <c r="V191" s="2909">
        <f t="shared" si="14"/>
        <v>1513</v>
      </c>
      <c r="W191" s="2909">
        <f t="shared" si="14"/>
        <v>1900</v>
      </c>
      <c r="X191" s="2909">
        <f t="shared" si="14"/>
        <v>2015</v>
      </c>
      <c r="Y191" s="2909">
        <f t="shared" si="14"/>
        <v>2066</v>
      </c>
      <c r="Z191" s="2909">
        <f t="shared" si="14"/>
        <v>1193</v>
      </c>
      <c r="AA191" s="2909">
        <f t="shared" si="14"/>
        <v>2038</v>
      </c>
      <c r="AB191" s="2909">
        <f t="shared" si="14"/>
        <v>1856</v>
      </c>
      <c r="AC191" s="2909">
        <f t="shared" si="14"/>
        <v>1916</v>
      </c>
      <c r="AD191" s="2909">
        <f t="shared" si="14"/>
        <v>1783</v>
      </c>
      <c r="AE191" s="2909">
        <f t="shared" si="14"/>
        <v>2245</v>
      </c>
      <c r="AF191" s="2909">
        <f t="shared" si="14"/>
        <v>2018</v>
      </c>
      <c r="AG191" s="2909">
        <f t="shared" si="14"/>
        <v>1910</v>
      </c>
      <c r="AH191" s="2909">
        <f t="shared" si="14"/>
        <v>2124</v>
      </c>
      <c r="AI191" s="2909">
        <f t="shared" si="14"/>
        <v>1700</v>
      </c>
      <c r="AJ191" s="2909">
        <f t="shared" si="14"/>
        <v>60083</v>
      </c>
      <c r="AK191" s="2909">
        <f t="shared" si="14"/>
        <v>24033.200000000004</v>
      </c>
      <c r="AL191" s="2909">
        <f t="shared" si="14"/>
        <v>0</v>
      </c>
      <c r="AM191" s="2910"/>
      <c r="AQ191" s="2900">
        <f>129669+5698</f>
        <v>135367</v>
      </c>
    </row>
    <row r="192" spans="1:43" ht="18.75">
      <c r="A192" s="4797" t="s">
        <v>61</v>
      </c>
      <c r="B192" s="4797"/>
      <c r="C192" s="4797"/>
      <c r="D192" s="4797"/>
      <c r="E192" s="2909">
        <f t="shared" ref="E192:AK192" si="15">+E45+E73+E136+E160+E191</f>
        <v>9947</v>
      </c>
      <c r="F192" s="2909">
        <f t="shared" si="15"/>
        <v>10069</v>
      </c>
      <c r="G192" s="2909">
        <f t="shared" si="15"/>
        <v>9661</v>
      </c>
      <c r="H192" s="2909">
        <f t="shared" si="15"/>
        <v>11960</v>
      </c>
      <c r="I192" s="2909">
        <f t="shared" si="15"/>
        <v>10739</v>
      </c>
      <c r="J192" s="2909">
        <f t="shared" si="15"/>
        <v>10451</v>
      </c>
      <c r="K192" s="2909">
        <f t="shared" si="15"/>
        <v>9984</v>
      </c>
      <c r="L192" s="2909">
        <f t="shared" si="15"/>
        <v>12323</v>
      </c>
      <c r="M192" s="2909">
        <f t="shared" si="15"/>
        <v>9979</v>
      </c>
      <c r="N192" s="2909">
        <f t="shared" si="15"/>
        <v>9916</v>
      </c>
      <c r="O192" s="2909">
        <f t="shared" si="15"/>
        <v>9696</v>
      </c>
      <c r="P192" s="2909">
        <f t="shared" si="15"/>
        <v>12030</v>
      </c>
      <c r="Q192" s="2909">
        <f t="shared" si="15"/>
        <v>10664</v>
      </c>
      <c r="R192" s="2909">
        <f t="shared" si="15"/>
        <v>12012</v>
      </c>
      <c r="S192" s="2909">
        <f t="shared" si="15"/>
        <v>6199</v>
      </c>
      <c r="T192" s="2909">
        <f t="shared" si="15"/>
        <v>14640</v>
      </c>
      <c r="U192" s="2909">
        <f t="shared" si="15"/>
        <v>7178</v>
      </c>
      <c r="V192" s="2909">
        <f t="shared" si="15"/>
        <v>8705</v>
      </c>
      <c r="W192" s="2909">
        <f t="shared" si="15"/>
        <v>9941</v>
      </c>
      <c r="X192" s="2909">
        <f t="shared" si="15"/>
        <v>10610</v>
      </c>
      <c r="Y192" s="2909">
        <f t="shared" si="15"/>
        <v>9370</v>
      </c>
      <c r="Z192" s="2909">
        <f t="shared" si="15"/>
        <v>9411</v>
      </c>
      <c r="AA192" s="2909">
        <f t="shared" si="15"/>
        <v>8841</v>
      </c>
      <c r="AB192" s="2909">
        <f t="shared" si="15"/>
        <v>10050</v>
      </c>
      <c r="AC192" s="2909">
        <f t="shared" si="15"/>
        <v>9801</v>
      </c>
      <c r="AD192" s="2909">
        <f t="shared" si="15"/>
        <v>10419</v>
      </c>
      <c r="AE192" s="2909">
        <f t="shared" si="15"/>
        <v>11392</v>
      </c>
      <c r="AF192" s="2909">
        <f t="shared" si="15"/>
        <v>11819</v>
      </c>
      <c r="AG192" s="2909">
        <f>+AG45+AG73+AG136+AG160+AG191</f>
        <v>10784</v>
      </c>
      <c r="AH192" s="2909">
        <f t="shared" si="15"/>
        <v>10772</v>
      </c>
      <c r="AI192" s="2909">
        <f>+AI45+AI73+AI136+AI160+AI191</f>
        <v>11287</v>
      </c>
      <c r="AJ192" s="2909">
        <f>+AJ45+AJ73+AJ136+AJ160+AJ191</f>
        <v>320650</v>
      </c>
      <c r="AK192" s="2909">
        <f t="shared" si="15"/>
        <v>128260</v>
      </c>
      <c r="AL192" s="2909"/>
      <c r="AM192" s="2910"/>
    </row>
    <row r="193" spans="1:39" ht="15.75">
      <c r="A193" s="2830"/>
      <c r="B193" s="2830"/>
      <c r="C193" s="2830"/>
      <c r="D193" s="2830"/>
      <c r="E193" s="2831"/>
      <c r="F193" s="2831"/>
      <c r="G193" s="2831"/>
      <c r="H193" s="2831"/>
      <c r="I193" s="2831"/>
      <c r="J193" s="2831"/>
      <c r="K193" s="2831"/>
      <c r="L193" s="2831"/>
      <c r="M193" s="2831"/>
      <c r="N193" s="2831"/>
      <c r="O193" s="2831"/>
      <c r="P193" s="2831"/>
      <c r="Q193" s="2831"/>
      <c r="R193" s="2831"/>
      <c r="S193" s="2831"/>
      <c r="T193" s="2831"/>
      <c r="U193" s="2831"/>
      <c r="V193" s="2831"/>
      <c r="W193" s="2831"/>
      <c r="X193" s="2831"/>
      <c r="Y193" s="2831"/>
      <c r="Z193" s="2831"/>
      <c r="AA193" s="2831"/>
      <c r="AB193" s="2831"/>
      <c r="AC193" s="2893"/>
      <c r="AD193" s="2831"/>
      <c r="AE193" s="2831"/>
      <c r="AF193" s="2831"/>
      <c r="AG193" s="2831"/>
      <c r="AH193" s="2831"/>
      <c r="AI193" s="2831"/>
      <c r="AJ193" s="2894"/>
      <c r="AK193" s="2895"/>
      <c r="AL193" s="2895"/>
      <c r="AM193" s="2896"/>
    </row>
    <row r="194" spans="1:39" ht="15.75">
      <c r="A194" s="2830"/>
      <c r="B194" s="2830"/>
      <c r="C194" s="2830"/>
      <c r="D194" s="4799" t="s">
        <v>0</v>
      </c>
      <c r="E194" s="4800"/>
      <c r="F194" s="4801"/>
      <c r="G194" s="4802" t="s">
        <v>1866</v>
      </c>
      <c r="H194" s="4803"/>
      <c r="I194" s="4803"/>
      <c r="J194" s="4803"/>
      <c r="K194" s="4803"/>
      <c r="L194" s="4803"/>
      <c r="M194" s="4804"/>
      <c r="N194" s="4802" t="s">
        <v>1867</v>
      </c>
      <c r="O194" s="4803"/>
      <c r="P194" s="4803"/>
      <c r="Q194" s="4803"/>
      <c r="R194" s="4803"/>
      <c r="S194" s="4803"/>
      <c r="T194" s="4803"/>
      <c r="U194" s="4804"/>
      <c r="V194" s="4802" t="s">
        <v>1868</v>
      </c>
      <c r="W194" s="4803"/>
      <c r="X194" s="4803"/>
      <c r="Y194" s="4803"/>
      <c r="Z194" s="4803"/>
      <c r="AA194" s="4803"/>
      <c r="AB194" s="4804"/>
      <c r="AC194" s="4805" t="s">
        <v>1869</v>
      </c>
      <c r="AD194" s="4806"/>
      <c r="AE194" s="4806"/>
      <c r="AF194" s="4806"/>
      <c r="AG194" s="4806"/>
      <c r="AH194" s="4806"/>
      <c r="AI194" s="4807"/>
      <c r="AJ194" s="4793" t="s">
        <v>1311</v>
      </c>
      <c r="AK194" s="4794"/>
      <c r="AL194" s="4794"/>
      <c r="AM194" s="4795"/>
    </row>
    <row r="195" spans="1:39" ht="15.75">
      <c r="A195" s="2830"/>
      <c r="B195" s="2830"/>
      <c r="C195" s="2830"/>
      <c r="D195" s="4799" t="s">
        <v>140</v>
      </c>
      <c r="E195" s="4800"/>
      <c r="F195" s="4801"/>
      <c r="G195" s="4798" t="s">
        <v>1870</v>
      </c>
      <c r="H195" s="4798"/>
      <c r="I195" s="4798"/>
      <c r="J195" s="4798"/>
      <c r="K195" s="4798"/>
      <c r="L195" s="4798"/>
      <c r="M195" s="4798"/>
      <c r="N195" s="4798"/>
      <c r="O195" s="4798"/>
      <c r="P195" s="4798"/>
      <c r="Q195" s="4798"/>
      <c r="R195" s="4798"/>
      <c r="S195" s="4798"/>
      <c r="T195" s="4798"/>
      <c r="U195" s="4798"/>
      <c r="V195" s="4798">
        <f>+SUM(V196:AB199)</f>
        <v>319302</v>
      </c>
      <c r="W195" s="4798"/>
      <c r="X195" s="4798"/>
      <c r="Y195" s="4798"/>
      <c r="Z195" s="4798"/>
      <c r="AA195" s="4798"/>
      <c r="AB195" s="4798"/>
      <c r="AC195" s="4798">
        <f ca="1">+SUM(AC196:AI199)</f>
        <v>127720.8</v>
      </c>
      <c r="AD195" s="4798"/>
      <c r="AE195" s="4798"/>
      <c r="AF195" s="4798"/>
      <c r="AG195" s="4798"/>
      <c r="AH195" s="4798"/>
      <c r="AI195" s="4798"/>
      <c r="AJ195" s="4808"/>
      <c r="AK195" s="4808"/>
      <c r="AL195" s="4808"/>
      <c r="AM195" s="4808"/>
    </row>
    <row r="196" spans="1:39" ht="15.75">
      <c r="A196" s="2830"/>
      <c r="B196" s="2830"/>
      <c r="C196" s="2830"/>
      <c r="D196" s="4809">
        <v>1</v>
      </c>
      <c r="E196" s="4810"/>
      <c r="F196" s="4811"/>
      <c r="G196" s="4812">
        <f>+COUNTIF(AL11:$AL$190,"A")</f>
        <v>128</v>
      </c>
      <c r="H196" s="4813"/>
      <c r="I196" s="4813"/>
      <c r="J196" s="4813"/>
      <c r="K196" s="4813"/>
      <c r="L196" s="4813"/>
      <c r="M196" s="4814"/>
      <c r="N196" s="4815" t="s">
        <v>141</v>
      </c>
      <c r="O196" s="4816"/>
      <c r="P196" s="4816"/>
      <c r="Q196" s="4816"/>
      <c r="R196" s="4816"/>
      <c r="S196" s="4816"/>
      <c r="T196" s="4816"/>
      <c r="U196" s="4817"/>
      <c r="V196" s="4815">
        <f>+SUMIF($AL$11:$AL$190,N196,$AJ$11:$AJ$190)</f>
        <v>251601</v>
      </c>
      <c r="W196" s="4816"/>
      <c r="X196" s="4816"/>
      <c r="Y196" s="4816"/>
      <c r="Z196" s="4816"/>
      <c r="AA196" s="4816"/>
      <c r="AB196" s="4817"/>
      <c r="AC196" s="4818">
        <f>+SUMIF($AL$11:$AL$190,N196,AK11:$AK$190)</f>
        <v>100640.4</v>
      </c>
      <c r="AD196" s="4819"/>
      <c r="AE196" s="4819"/>
      <c r="AF196" s="4819"/>
      <c r="AG196" s="4819"/>
      <c r="AH196" s="4819"/>
      <c r="AI196" s="4820"/>
      <c r="AJ196" s="4793"/>
      <c r="AK196" s="4794"/>
      <c r="AL196" s="4794"/>
      <c r="AM196" s="4795"/>
    </row>
    <row r="197" spans="1:39" ht="15.75">
      <c r="A197" s="2830"/>
      <c r="B197" s="2830"/>
      <c r="C197" s="2830"/>
      <c r="D197" s="4809">
        <v>2</v>
      </c>
      <c r="E197" s="4810"/>
      <c r="F197" s="4811"/>
      <c r="G197" s="4812">
        <f>+COUNTIF(AL12:$AL$190,"B")</f>
        <v>44</v>
      </c>
      <c r="H197" s="4813"/>
      <c r="I197" s="4813"/>
      <c r="J197" s="4813"/>
      <c r="K197" s="4813"/>
      <c r="L197" s="4813"/>
      <c r="M197" s="4814"/>
      <c r="N197" s="4815" t="s">
        <v>138</v>
      </c>
      <c r="O197" s="4816"/>
      <c r="P197" s="4816"/>
      <c r="Q197" s="4816"/>
      <c r="R197" s="4816"/>
      <c r="S197" s="4816"/>
      <c r="T197" s="4816"/>
      <c r="U197" s="4817"/>
      <c r="V197" s="4815">
        <f>+SUMIF($AL$11:$AL$190,N197,$AJ$11:$AJ$190)</f>
        <v>67701</v>
      </c>
      <c r="W197" s="4816"/>
      <c r="X197" s="4816"/>
      <c r="Y197" s="4816"/>
      <c r="Z197" s="4816"/>
      <c r="AA197" s="4816"/>
      <c r="AB197" s="4817"/>
      <c r="AC197" s="4818">
        <f>+SUMIF($AL$11:$AL$190,N197,AK11:$AK$190)</f>
        <v>27080.400000000005</v>
      </c>
      <c r="AD197" s="4819"/>
      <c r="AE197" s="4819"/>
      <c r="AF197" s="4819"/>
      <c r="AG197" s="4819"/>
      <c r="AH197" s="4819"/>
      <c r="AI197" s="4820"/>
      <c r="AJ197" s="4793"/>
      <c r="AK197" s="4794"/>
      <c r="AL197" s="4794"/>
      <c r="AM197" s="4795"/>
    </row>
    <row r="198" spans="1:39" ht="15.75">
      <c r="A198" s="2830"/>
      <c r="B198" s="2830"/>
      <c r="C198" s="2830"/>
      <c r="D198" s="4809">
        <v>3</v>
      </c>
      <c r="E198" s="4810"/>
      <c r="F198" s="4811"/>
      <c r="G198" s="4812">
        <v>0</v>
      </c>
      <c r="H198" s="4813"/>
      <c r="I198" s="4813"/>
      <c r="J198" s="4813"/>
      <c r="K198" s="4813"/>
      <c r="L198" s="4813"/>
      <c r="M198" s="4814"/>
      <c r="N198" s="4815" t="s">
        <v>168</v>
      </c>
      <c r="O198" s="4816"/>
      <c r="P198" s="4816"/>
      <c r="Q198" s="4816"/>
      <c r="R198" s="4816"/>
      <c r="S198" s="4816"/>
      <c r="T198" s="4816"/>
      <c r="U198" s="4817"/>
      <c r="V198" s="4815">
        <v>0</v>
      </c>
      <c r="W198" s="4816"/>
      <c r="X198" s="4816"/>
      <c r="Y198" s="4816"/>
      <c r="Z198" s="4816"/>
      <c r="AA198" s="4816"/>
      <c r="AB198" s="4817"/>
      <c r="AC198" s="4805">
        <v>0</v>
      </c>
      <c r="AD198" s="4806"/>
      <c r="AE198" s="4806"/>
      <c r="AF198" s="4806"/>
      <c r="AG198" s="4806"/>
      <c r="AH198" s="4806"/>
      <c r="AI198" s="4807"/>
      <c r="AJ198" s="4793"/>
      <c r="AK198" s="4794"/>
      <c r="AL198" s="4794"/>
      <c r="AM198" s="4795"/>
    </row>
    <row r="199" spans="1:39" ht="15.75">
      <c r="A199" s="2830"/>
      <c r="B199" s="2830"/>
      <c r="C199" s="2830"/>
      <c r="D199" s="4809">
        <v>4</v>
      </c>
      <c r="E199" s="4810"/>
      <c r="F199" s="4811"/>
      <c r="G199" s="4802">
        <f>+COUNTIF(AL14:$AL$190,"D")</f>
        <v>0</v>
      </c>
      <c r="H199" s="4803"/>
      <c r="I199" s="4803"/>
      <c r="J199" s="4803"/>
      <c r="K199" s="4803"/>
      <c r="L199" s="4803"/>
      <c r="M199" s="4804"/>
      <c r="N199" s="4815" t="s">
        <v>224</v>
      </c>
      <c r="O199" s="4816"/>
      <c r="P199" s="4816"/>
      <c r="Q199" s="4816"/>
      <c r="R199" s="4816"/>
      <c r="S199" s="4816"/>
      <c r="T199" s="4816"/>
      <c r="U199" s="4817"/>
      <c r="V199" s="4802">
        <f>+SUMIF($AL$11:$AL$190,N199,$AJ$11:$AJ$190)</f>
        <v>0</v>
      </c>
      <c r="W199" s="4803"/>
      <c r="X199" s="4803"/>
      <c r="Y199" s="4803"/>
      <c r="Z199" s="4803"/>
      <c r="AA199" s="4803"/>
      <c r="AB199" s="4804"/>
      <c r="AC199" s="4805">
        <f ca="1">+SUMIF($AL$11:$AL$190,N199,AK14:$AK$190)</f>
        <v>0</v>
      </c>
      <c r="AD199" s="4806"/>
      <c r="AE199" s="4806"/>
      <c r="AF199" s="4806"/>
      <c r="AG199" s="4806"/>
      <c r="AH199" s="4806"/>
      <c r="AI199" s="4807"/>
      <c r="AJ199" s="4793"/>
      <c r="AK199" s="4794"/>
      <c r="AL199" s="4794"/>
      <c r="AM199" s="4795"/>
    </row>
    <row r="200" spans="1:39" ht="15.75">
      <c r="A200" s="2830"/>
      <c r="B200" s="2830"/>
      <c r="C200" s="2830"/>
      <c r="D200" s="4821" t="s">
        <v>143</v>
      </c>
      <c r="E200" s="4821"/>
      <c r="F200" s="4821"/>
      <c r="G200" s="4822" t="s">
        <v>1871</v>
      </c>
      <c r="H200" s="4822"/>
      <c r="I200" s="4822"/>
      <c r="J200" s="4822"/>
      <c r="K200" s="4822"/>
      <c r="L200" s="4822"/>
      <c r="M200" s="4822"/>
      <c r="N200" s="4822"/>
      <c r="O200" s="4822"/>
      <c r="P200" s="4822"/>
      <c r="Q200" s="4822"/>
      <c r="R200" s="4822"/>
      <c r="S200" s="4822"/>
      <c r="T200" s="4822"/>
      <c r="U200" s="4822"/>
      <c r="V200" s="4822">
        <f>+V202</f>
        <v>1348</v>
      </c>
      <c r="W200" s="4822"/>
      <c r="X200" s="4822"/>
      <c r="Y200" s="4822"/>
      <c r="Z200" s="4822"/>
      <c r="AA200" s="4822"/>
      <c r="AB200" s="4822"/>
      <c r="AC200" s="4822">
        <f>+AC202</f>
        <v>539.20000000000005</v>
      </c>
      <c r="AD200" s="4822"/>
      <c r="AE200" s="4822"/>
      <c r="AF200" s="4822"/>
      <c r="AG200" s="4822"/>
      <c r="AH200" s="4822"/>
      <c r="AI200" s="4822"/>
      <c r="AJ200" s="4823"/>
      <c r="AK200" s="4823"/>
      <c r="AL200" s="4823"/>
      <c r="AM200" s="4823"/>
    </row>
    <row r="201" spans="1:39" ht="15.75">
      <c r="A201" s="2830"/>
      <c r="B201" s="2830"/>
      <c r="C201" s="2830"/>
      <c r="D201" s="4809">
        <v>1</v>
      </c>
      <c r="E201" s="4810"/>
      <c r="F201" s="4811"/>
      <c r="G201" s="4802"/>
      <c r="H201" s="4803"/>
      <c r="I201" s="4803"/>
      <c r="J201" s="4803"/>
      <c r="K201" s="4803"/>
      <c r="L201" s="4803"/>
      <c r="M201" s="4804"/>
      <c r="N201" s="4815" t="s">
        <v>138</v>
      </c>
      <c r="O201" s="4816"/>
      <c r="P201" s="4816"/>
      <c r="Q201" s="4816"/>
      <c r="R201" s="4816"/>
      <c r="S201" s="4816"/>
      <c r="T201" s="4816"/>
      <c r="U201" s="4817"/>
      <c r="V201" s="4802"/>
      <c r="W201" s="4803"/>
      <c r="X201" s="4803"/>
      <c r="Y201" s="4803"/>
      <c r="Z201" s="4803"/>
      <c r="AA201" s="4803"/>
      <c r="AB201" s="4804"/>
      <c r="AC201" s="4805"/>
      <c r="AD201" s="4806"/>
      <c r="AE201" s="4806"/>
      <c r="AF201" s="4806"/>
      <c r="AG201" s="4806"/>
      <c r="AH201" s="4806"/>
      <c r="AI201" s="4807"/>
      <c r="AJ201" s="4793"/>
      <c r="AK201" s="4794"/>
      <c r="AL201" s="4794"/>
      <c r="AM201" s="4795"/>
    </row>
    <row r="202" spans="1:39" ht="15.75">
      <c r="A202" s="2830"/>
      <c r="B202" s="2830"/>
      <c r="C202" s="2830"/>
      <c r="D202" s="4809">
        <v>2</v>
      </c>
      <c r="E202" s="4810"/>
      <c r="F202" s="4811"/>
      <c r="G202" s="4812">
        <v>4</v>
      </c>
      <c r="H202" s="4813"/>
      <c r="I202" s="4813"/>
      <c r="J202" s="4813"/>
      <c r="K202" s="4813"/>
      <c r="L202" s="4813"/>
      <c r="M202" s="4814"/>
      <c r="N202" s="4815" t="s">
        <v>168</v>
      </c>
      <c r="O202" s="4816"/>
      <c r="P202" s="4816"/>
      <c r="Q202" s="4816"/>
      <c r="R202" s="4816"/>
      <c r="S202" s="4816"/>
      <c r="T202" s="4816"/>
      <c r="U202" s="4817"/>
      <c r="V202" s="4815">
        <v>1348</v>
      </c>
      <c r="W202" s="4816"/>
      <c r="X202" s="4816"/>
      <c r="Y202" s="4816"/>
      <c r="Z202" s="4816"/>
      <c r="AA202" s="4816"/>
      <c r="AB202" s="4817"/>
      <c r="AC202" s="4818">
        <f>+SUMIF(AL11:AL190,N202,AK11:AK190)</f>
        <v>539.20000000000005</v>
      </c>
      <c r="AD202" s="4819"/>
      <c r="AE202" s="4819"/>
      <c r="AF202" s="4819"/>
      <c r="AG202" s="4819"/>
      <c r="AH202" s="4819"/>
      <c r="AI202" s="4820"/>
      <c r="AJ202" s="4793"/>
      <c r="AK202" s="4794"/>
      <c r="AL202" s="4794"/>
      <c r="AM202" s="4795"/>
    </row>
    <row r="203" spans="1:39" ht="15.75">
      <c r="A203" s="2830"/>
      <c r="B203" s="2830"/>
      <c r="C203" s="2830"/>
      <c r="D203" s="4799" t="s">
        <v>434</v>
      </c>
      <c r="E203" s="4800"/>
      <c r="F203" s="4801"/>
      <c r="G203" s="4824">
        <f>+G202+G197+G196</f>
        <v>176</v>
      </c>
      <c r="H203" s="4825"/>
      <c r="I203" s="4825"/>
      <c r="J203" s="4825"/>
      <c r="K203" s="4825"/>
      <c r="L203" s="4825"/>
      <c r="M203" s="4826"/>
      <c r="N203" s="4802"/>
      <c r="O203" s="4803"/>
      <c r="P203" s="4803"/>
      <c r="Q203" s="4803"/>
      <c r="R203" s="4803"/>
      <c r="S203" s="4803"/>
      <c r="T203" s="4803"/>
      <c r="U203" s="4804"/>
      <c r="V203" s="4802">
        <f>+V200+V195</f>
        <v>320650</v>
      </c>
      <c r="W203" s="4803"/>
      <c r="X203" s="4803"/>
      <c r="Y203" s="4803"/>
      <c r="Z203" s="4803"/>
      <c r="AA203" s="4803"/>
      <c r="AB203" s="4804"/>
      <c r="AC203" s="4805">
        <f ca="1">+AC200+AC195</f>
        <v>128260</v>
      </c>
      <c r="AD203" s="4806"/>
      <c r="AE203" s="4806"/>
      <c r="AF203" s="4806"/>
      <c r="AG203" s="4806"/>
      <c r="AH203" s="4806"/>
      <c r="AI203" s="4807"/>
      <c r="AJ203" s="4793"/>
      <c r="AK203" s="4794"/>
      <c r="AL203" s="4794"/>
      <c r="AM203" s="4795"/>
    </row>
    <row r="204" spans="1:39" s="2778" customFormat="1" ht="15.75">
      <c r="A204" s="2832"/>
      <c r="B204" s="2832"/>
      <c r="C204" s="2832"/>
      <c r="D204" s="2832"/>
      <c r="E204" s="2833"/>
      <c r="F204" s="2833"/>
      <c r="G204" s="2833"/>
      <c r="H204" s="2833"/>
      <c r="I204" s="2833"/>
      <c r="J204" s="2833"/>
      <c r="K204" s="2833"/>
      <c r="L204" s="2833"/>
      <c r="M204" s="2833"/>
      <c r="N204" s="2833"/>
      <c r="O204" s="2833"/>
      <c r="P204" s="2833"/>
      <c r="Q204" s="2833"/>
      <c r="R204" s="2833"/>
      <c r="S204" s="2833"/>
      <c r="T204" s="2833"/>
      <c r="U204" s="2833"/>
      <c r="V204" s="2833"/>
      <c r="W204" s="2833"/>
      <c r="X204" s="2833"/>
      <c r="Y204" s="2833"/>
      <c r="Z204" s="2833"/>
      <c r="AA204" s="2833"/>
      <c r="AB204" s="2833"/>
      <c r="AC204" s="4827" t="s">
        <v>1872</v>
      </c>
      <c r="AD204" s="4827"/>
      <c r="AE204" s="4827"/>
      <c r="AF204" s="4827"/>
      <c r="AG204" s="4827"/>
      <c r="AH204" s="4827"/>
      <c r="AI204" s="4827"/>
      <c r="AJ204" s="4827"/>
      <c r="AK204" s="4827"/>
      <c r="AL204" s="4827"/>
      <c r="AM204" s="4827"/>
    </row>
    <row r="205" spans="1:39" ht="18.75">
      <c r="A205" s="4828" t="s">
        <v>84</v>
      </c>
      <c r="B205" s="4828"/>
      <c r="C205" s="4828"/>
      <c r="D205" s="4828"/>
      <c r="E205" s="4828"/>
      <c r="F205" s="2834"/>
      <c r="G205" s="4829" t="s">
        <v>1873</v>
      </c>
      <c r="H205" s="4829"/>
      <c r="I205" s="4829"/>
      <c r="J205" s="4829"/>
      <c r="K205" s="4829"/>
      <c r="L205" s="4829"/>
      <c r="M205" s="4829"/>
      <c r="N205" s="4829"/>
      <c r="O205" s="2835"/>
      <c r="P205" s="4829" t="s">
        <v>20</v>
      </c>
      <c r="Q205" s="4829"/>
      <c r="R205" s="4829"/>
      <c r="S205" s="4829"/>
      <c r="T205" s="4829"/>
      <c r="U205" s="4829"/>
      <c r="V205" s="4829"/>
      <c r="W205" s="4829"/>
      <c r="X205" s="4829" t="s">
        <v>1874</v>
      </c>
      <c r="Y205" s="4829"/>
      <c r="Z205" s="4829"/>
      <c r="AA205" s="4829"/>
      <c r="AB205" s="4829"/>
      <c r="AC205" s="4829"/>
      <c r="AD205" s="4829"/>
      <c r="AE205" s="4830" t="s">
        <v>1875</v>
      </c>
      <c r="AF205" s="4830"/>
      <c r="AG205" s="4830"/>
      <c r="AH205" s="4830"/>
      <c r="AI205" s="4830"/>
      <c r="AJ205" s="4829" t="s">
        <v>1876</v>
      </c>
      <c r="AK205" s="4829"/>
      <c r="AL205" s="4829"/>
      <c r="AM205" s="4829"/>
    </row>
    <row r="206" spans="1:39" ht="18.75">
      <c r="A206" s="2784"/>
      <c r="B206" s="2778"/>
      <c r="C206" s="2778"/>
      <c r="D206" s="2778"/>
      <c r="E206" s="2778"/>
      <c r="F206" s="2778"/>
      <c r="G206" s="2836"/>
      <c r="H206" s="2836"/>
      <c r="I206" s="2836"/>
      <c r="J206" s="2836"/>
      <c r="K206" s="2836"/>
      <c r="L206" s="2836"/>
      <c r="M206" s="2836"/>
      <c r="N206" s="2836"/>
      <c r="O206" s="2836"/>
      <c r="P206" s="2836"/>
      <c r="Q206" s="2836"/>
      <c r="R206" s="2836"/>
      <c r="S206" s="2836"/>
      <c r="T206" s="2836"/>
      <c r="U206" s="2836"/>
      <c r="V206" s="2836"/>
      <c r="W206" s="2836"/>
      <c r="X206" s="2836"/>
      <c r="Y206" s="2836"/>
      <c r="Z206" s="2836"/>
      <c r="AA206" s="2836"/>
      <c r="AB206" s="2836"/>
      <c r="AC206" s="2837"/>
      <c r="AD206" s="2836"/>
      <c r="AE206" s="2836"/>
      <c r="AF206" s="2836"/>
      <c r="AG206" s="2836"/>
      <c r="AH206" s="2836"/>
      <c r="AI206" s="2836"/>
      <c r="AJ206" s="2836"/>
      <c r="AK206" s="2838"/>
      <c r="AL206" s="2839"/>
      <c r="AM206" s="2778"/>
    </row>
    <row r="207" spans="1:39" ht="18.75">
      <c r="A207" s="2784"/>
      <c r="B207" s="2778"/>
      <c r="C207" s="2778"/>
      <c r="D207" s="2778"/>
      <c r="E207" s="2778"/>
      <c r="F207" s="2778"/>
      <c r="G207" s="2836"/>
      <c r="H207" s="2836"/>
      <c r="I207" s="2836"/>
      <c r="J207" s="2836"/>
      <c r="K207" s="2836"/>
      <c r="L207" s="2836"/>
      <c r="M207" s="2836"/>
      <c r="N207" s="2836"/>
      <c r="O207" s="2836"/>
      <c r="P207" s="2836"/>
      <c r="Q207" s="2836"/>
      <c r="R207" s="2836"/>
      <c r="S207" s="2836"/>
      <c r="T207" s="2836"/>
      <c r="U207" s="2836"/>
      <c r="V207" s="2836"/>
      <c r="W207" s="2836"/>
      <c r="X207" s="2836"/>
      <c r="Y207" s="2836"/>
      <c r="Z207" s="2836"/>
      <c r="AA207" s="2836"/>
      <c r="AB207" s="2836"/>
      <c r="AC207" s="2837"/>
      <c r="AD207" s="2836"/>
      <c r="AE207" s="2836"/>
      <c r="AF207" s="2836"/>
      <c r="AG207" s="2836"/>
      <c r="AH207" s="2836"/>
      <c r="AI207" s="2836"/>
      <c r="AJ207" s="2836"/>
      <c r="AK207" s="2838"/>
      <c r="AL207" s="2839"/>
      <c r="AM207" s="2778"/>
    </row>
    <row r="208" spans="1:39" ht="18.75">
      <c r="A208" s="2784"/>
      <c r="B208" s="2778"/>
      <c r="C208" s="2778"/>
      <c r="D208" s="2778"/>
      <c r="E208" s="2778"/>
      <c r="F208" s="2778"/>
      <c r="G208" s="2836"/>
      <c r="H208" s="2836"/>
      <c r="I208" s="2836"/>
      <c r="J208" s="2836"/>
      <c r="K208" s="2836"/>
      <c r="L208" s="2836"/>
      <c r="M208" s="2836"/>
      <c r="N208" s="2836"/>
      <c r="O208" s="2836"/>
      <c r="P208" s="2836"/>
      <c r="Q208" s="2836"/>
      <c r="R208" s="2836"/>
      <c r="S208" s="2836"/>
      <c r="T208" s="2836"/>
      <c r="U208" s="2836"/>
      <c r="V208" s="2836"/>
      <c r="W208" s="2836"/>
      <c r="X208" s="2836"/>
      <c r="Y208" s="2836"/>
      <c r="Z208" s="2836"/>
      <c r="AA208" s="2836"/>
      <c r="AB208" s="2836"/>
      <c r="AC208" s="2837"/>
      <c r="AD208" s="2836"/>
      <c r="AE208" s="2836"/>
      <c r="AF208" s="2836"/>
      <c r="AG208" s="2836"/>
      <c r="AH208" s="2836"/>
      <c r="AI208" s="2836"/>
      <c r="AJ208" s="2840"/>
      <c r="AK208" s="2838"/>
      <c r="AL208" s="2841"/>
      <c r="AM208" s="2778"/>
    </row>
    <row r="209" spans="1:39" ht="18.75">
      <c r="A209" s="2784"/>
      <c r="B209" s="2778"/>
      <c r="C209" s="2778"/>
      <c r="D209" s="2778"/>
      <c r="E209" s="2778"/>
      <c r="F209" s="2778"/>
      <c r="G209" s="2836"/>
      <c r="H209" s="2836"/>
      <c r="I209" s="2836"/>
      <c r="J209" s="2836"/>
      <c r="K209" s="2836"/>
      <c r="L209" s="2836"/>
      <c r="M209" s="2836"/>
      <c r="N209" s="2836"/>
      <c r="O209" s="2836"/>
      <c r="P209" s="2836"/>
      <c r="Q209" s="2836"/>
      <c r="R209" s="2836"/>
      <c r="S209" s="2836"/>
      <c r="T209" s="2836"/>
      <c r="U209" s="2836"/>
      <c r="V209" s="2836"/>
      <c r="W209" s="2836"/>
      <c r="X209" s="2836"/>
      <c r="Y209" s="2836"/>
      <c r="Z209" s="2836"/>
      <c r="AA209" s="2836"/>
      <c r="AB209" s="2836"/>
      <c r="AC209" s="2837"/>
      <c r="AD209" s="2836"/>
      <c r="AE209" s="2836"/>
      <c r="AF209" s="2836"/>
      <c r="AG209" s="2836"/>
      <c r="AH209" s="2836"/>
      <c r="AI209" s="2836"/>
      <c r="AJ209" s="2836"/>
      <c r="AK209" s="2838"/>
      <c r="AL209" s="2842"/>
      <c r="AM209" s="2778"/>
    </row>
    <row r="210" spans="1:39" ht="18.75">
      <c r="A210" s="2784"/>
      <c r="B210" s="2778"/>
      <c r="C210" s="2778"/>
      <c r="D210" s="2778"/>
      <c r="E210" s="2778"/>
      <c r="F210" s="2778"/>
      <c r="G210" s="2836"/>
      <c r="H210" s="2836"/>
      <c r="I210" s="2836"/>
      <c r="J210" s="2836"/>
      <c r="K210" s="2836"/>
      <c r="L210" s="2836"/>
      <c r="M210" s="2836"/>
      <c r="N210" s="2836"/>
      <c r="O210" s="2836"/>
      <c r="P210" s="2836"/>
      <c r="Q210" s="2836"/>
      <c r="R210" s="2836"/>
      <c r="S210" s="2836"/>
      <c r="T210" s="2836"/>
      <c r="U210" s="2836"/>
      <c r="V210" s="2836"/>
      <c r="W210" s="2836"/>
      <c r="X210" s="2836"/>
      <c r="Y210" s="2836"/>
      <c r="Z210" s="2836"/>
      <c r="AA210" s="2836"/>
      <c r="AB210" s="2836"/>
      <c r="AC210" s="2837"/>
      <c r="AD210" s="2836"/>
      <c r="AE210" s="2836"/>
      <c r="AF210" s="2836"/>
      <c r="AG210" s="2836"/>
      <c r="AH210" s="2836"/>
      <c r="AI210" s="2836"/>
      <c r="AJ210" s="2843"/>
      <c r="AK210" s="2838"/>
      <c r="AL210" s="2839"/>
      <c r="AM210" s="2778"/>
    </row>
    <row r="211" spans="1:39" ht="18.75">
      <c r="A211" s="2784"/>
      <c r="B211" s="2778"/>
      <c r="C211" s="2778"/>
      <c r="D211" s="2778"/>
      <c r="E211" s="2778"/>
      <c r="F211" s="2778"/>
      <c r="G211" s="2836"/>
      <c r="H211" s="2836"/>
      <c r="I211" s="2836"/>
      <c r="J211" s="2836"/>
      <c r="K211" s="2836"/>
      <c r="L211" s="2836"/>
      <c r="M211" s="2836"/>
      <c r="N211" s="2836"/>
      <c r="O211" s="2836"/>
      <c r="P211" s="2836"/>
      <c r="Q211" s="2836"/>
      <c r="R211" s="2836"/>
      <c r="S211" s="2836"/>
      <c r="T211" s="2836"/>
      <c r="U211" s="2836"/>
      <c r="V211" s="2836"/>
      <c r="W211" s="2836"/>
      <c r="X211" s="2836"/>
      <c r="Y211" s="2836"/>
      <c r="Z211" s="2836"/>
      <c r="AA211" s="2836"/>
      <c r="AB211" s="2836"/>
      <c r="AC211" s="2837"/>
      <c r="AD211" s="2836"/>
      <c r="AE211" s="2836"/>
      <c r="AF211" s="2836"/>
      <c r="AG211" s="2836"/>
      <c r="AH211" s="2836"/>
      <c r="AI211" s="2836"/>
      <c r="AJ211" s="2844"/>
      <c r="AK211" s="2838"/>
      <c r="AL211" s="2845"/>
      <c r="AM211" s="2778"/>
    </row>
    <row r="212" spans="1:39" ht="18.75">
      <c r="A212" s="2784"/>
      <c r="B212" s="2778"/>
      <c r="C212" s="2778"/>
      <c r="D212" s="2778"/>
      <c r="E212" s="2778"/>
      <c r="F212" s="2778"/>
      <c r="G212" s="2836"/>
      <c r="H212" s="2836"/>
      <c r="I212" s="2836"/>
      <c r="J212" s="2836"/>
      <c r="K212" s="2836"/>
      <c r="L212" s="2836"/>
      <c r="M212" s="2836"/>
      <c r="N212" s="2836"/>
      <c r="O212" s="2836"/>
      <c r="P212" s="2836"/>
      <c r="Q212" s="2836"/>
      <c r="R212" s="2836"/>
      <c r="S212" s="2836"/>
      <c r="T212" s="2836"/>
      <c r="U212" s="2836"/>
      <c r="V212" s="2836"/>
      <c r="W212" s="2836"/>
      <c r="X212" s="2836"/>
      <c r="Y212" s="2836"/>
      <c r="Z212" s="2836"/>
      <c r="AA212" s="2836"/>
      <c r="AB212" s="2836"/>
      <c r="AC212" s="2837"/>
      <c r="AD212" s="2836"/>
      <c r="AE212" s="2836"/>
      <c r="AF212" s="2836"/>
      <c r="AG212" s="2836"/>
      <c r="AH212" s="2836"/>
      <c r="AI212" s="2836"/>
      <c r="AJ212" s="2836"/>
      <c r="AK212" s="2838"/>
      <c r="AL212" s="2839"/>
      <c r="AM212" s="2778"/>
    </row>
    <row r="213" spans="1:39" ht="18.75" hidden="1">
      <c r="A213" s="2784"/>
      <c r="B213" s="2778"/>
      <c r="C213" s="2778"/>
      <c r="D213" s="2778"/>
      <c r="E213" s="2778"/>
      <c r="F213" s="2778"/>
      <c r="G213" s="2836"/>
      <c r="H213" s="4829" t="s">
        <v>1372</v>
      </c>
      <c r="I213" s="4829"/>
      <c r="J213" s="4829"/>
      <c r="K213" s="4829"/>
      <c r="L213" s="4829"/>
      <c r="M213" s="4829"/>
      <c r="N213" s="2835"/>
      <c r="O213" s="2835"/>
      <c r="P213" s="4829" t="s">
        <v>1877</v>
      </c>
      <c r="Q213" s="4829"/>
      <c r="R213" s="4829"/>
      <c r="S213" s="4829"/>
      <c r="T213" s="4829"/>
      <c r="U213" s="4829"/>
      <c r="V213" s="4829"/>
      <c r="W213" s="4829" t="s">
        <v>1864</v>
      </c>
      <c r="X213" s="4829"/>
      <c r="Y213" s="4829"/>
      <c r="Z213" s="4829"/>
      <c r="AA213" s="4829"/>
      <c r="AB213" s="4829"/>
      <c r="AC213" s="4829"/>
      <c r="AD213" s="4829"/>
      <c r="AE213" s="4829"/>
      <c r="AF213" s="4829" t="s">
        <v>1878</v>
      </c>
      <c r="AG213" s="4829"/>
      <c r="AH213" s="4829"/>
      <c r="AI213" s="4829"/>
      <c r="AJ213" s="4829" t="s">
        <v>1879</v>
      </c>
      <c r="AK213" s="4829"/>
      <c r="AL213" s="4829"/>
      <c r="AM213" s="4829"/>
    </row>
    <row r="214" spans="1:39" ht="15.75">
      <c r="A214" s="2784"/>
      <c r="B214" s="2778"/>
      <c r="C214" s="2778"/>
      <c r="D214" s="2778"/>
      <c r="E214" s="2778"/>
      <c r="F214" s="2778"/>
      <c r="G214" s="2778"/>
      <c r="H214" s="2778"/>
      <c r="I214" s="2778"/>
      <c r="J214" s="2778"/>
      <c r="K214" s="2778"/>
      <c r="L214" s="2778"/>
      <c r="M214" s="2778"/>
      <c r="N214" s="2778"/>
      <c r="O214" s="2778"/>
      <c r="P214" s="2778"/>
      <c r="Q214" s="2778"/>
      <c r="R214" s="2778"/>
      <c r="S214" s="2778"/>
      <c r="T214" s="2778"/>
      <c r="U214" s="2778"/>
      <c r="V214" s="2778"/>
      <c r="W214" s="2778"/>
      <c r="X214" s="2778"/>
      <c r="Y214" s="2778"/>
      <c r="Z214" s="2778"/>
      <c r="AA214" s="2778"/>
      <c r="AB214" s="2778"/>
      <c r="AC214" s="2783"/>
      <c r="AD214" s="2778"/>
      <c r="AE214" s="2778"/>
      <c r="AF214" s="2778"/>
      <c r="AG214" s="2778"/>
      <c r="AH214" s="2778"/>
      <c r="AI214" s="2778"/>
      <c r="AJ214" s="2778"/>
      <c r="AK214" s="2784"/>
      <c r="AL214" s="2777"/>
      <c r="AM214" s="2778"/>
    </row>
  </sheetData>
  <mergeCells count="89">
    <mergeCell ref="H213:M213"/>
    <mergeCell ref="P213:V213"/>
    <mergeCell ref="W213:AE213"/>
    <mergeCell ref="AF213:AI213"/>
    <mergeCell ref="AJ213:AM213"/>
    <mergeCell ref="AC204:AM204"/>
    <mergeCell ref="A205:E205"/>
    <mergeCell ref="G205:N205"/>
    <mergeCell ref="P205:W205"/>
    <mergeCell ref="X205:AD205"/>
    <mergeCell ref="AE205:AI205"/>
    <mergeCell ref="AJ205:AM205"/>
    <mergeCell ref="AJ203:AM203"/>
    <mergeCell ref="D202:F202"/>
    <mergeCell ref="G202:M202"/>
    <mergeCell ref="N202:U202"/>
    <mergeCell ref="V202:AB202"/>
    <mergeCell ref="AC202:AI202"/>
    <mergeCell ref="AJ202:AM202"/>
    <mergeCell ref="D203:F203"/>
    <mergeCell ref="G203:M203"/>
    <mergeCell ref="N203:U203"/>
    <mergeCell ref="V203:AB203"/>
    <mergeCell ref="AC203:AI203"/>
    <mergeCell ref="AJ201:AM201"/>
    <mergeCell ref="D200:F200"/>
    <mergeCell ref="G200:M200"/>
    <mergeCell ref="N200:U200"/>
    <mergeCell ref="V200:AB200"/>
    <mergeCell ref="AC200:AI200"/>
    <mergeCell ref="AJ200:AM200"/>
    <mergeCell ref="D201:F201"/>
    <mergeCell ref="G201:M201"/>
    <mergeCell ref="N201:U201"/>
    <mergeCell ref="V201:AB201"/>
    <mergeCell ref="AC201:AI201"/>
    <mergeCell ref="AJ199:AM199"/>
    <mergeCell ref="D198:F198"/>
    <mergeCell ref="G198:M198"/>
    <mergeCell ref="N198:U198"/>
    <mergeCell ref="V198:AB198"/>
    <mergeCell ref="AC198:AI198"/>
    <mergeCell ref="AJ198:AM198"/>
    <mergeCell ref="D199:F199"/>
    <mergeCell ref="G199:M199"/>
    <mergeCell ref="N199:U199"/>
    <mergeCell ref="V199:AB199"/>
    <mergeCell ref="AC199:AI199"/>
    <mergeCell ref="AJ195:AM195"/>
    <mergeCell ref="N194:U194"/>
    <mergeCell ref="AJ197:AM197"/>
    <mergeCell ref="D196:F196"/>
    <mergeCell ref="G196:M196"/>
    <mergeCell ref="N196:U196"/>
    <mergeCell ref="V196:AB196"/>
    <mergeCell ref="AC196:AI196"/>
    <mergeCell ref="AJ196:AM196"/>
    <mergeCell ref="D197:F197"/>
    <mergeCell ref="G197:M197"/>
    <mergeCell ref="N197:U197"/>
    <mergeCell ref="V197:AB197"/>
    <mergeCell ref="AC197:AI197"/>
    <mergeCell ref="D195:F195"/>
    <mergeCell ref="G195:M195"/>
    <mergeCell ref="N195:U195"/>
    <mergeCell ref="V195:AB195"/>
    <mergeCell ref="AC195:AI195"/>
    <mergeCell ref="A191:D191"/>
    <mergeCell ref="A192:D192"/>
    <mergeCell ref="D194:F194"/>
    <mergeCell ref="G194:M194"/>
    <mergeCell ref="V194:AB194"/>
    <mergeCell ref="AC194:AI194"/>
    <mergeCell ref="AJ194:AM194"/>
    <mergeCell ref="AL9:AL10"/>
    <mergeCell ref="AM9:AM10"/>
    <mergeCell ref="E9:AI9"/>
    <mergeCell ref="AJ9:AJ10"/>
    <mergeCell ref="A9:A10"/>
    <mergeCell ref="B9:B10"/>
    <mergeCell ref="C9:C10"/>
    <mergeCell ref="D9:D10"/>
    <mergeCell ref="A7:AK7"/>
    <mergeCell ref="AK9:AK10"/>
    <mergeCell ref="A1:AM1"/>
    <mergeCell ref="A2:AM2"/>
    <mergeCell ref="A3:AM3"/>
    <mergeCell ref="A4:G4"/>
    <mergeCell ref="A5:G5"/>
  </mergeCells>
  <pageMargins left="0.19685039370078741" right="0.19685039370078741" top="0.39370078740157483" bottom="0.47244094488188981" header="0.31496062992125984" footer="0.31496062992125984"/>
  <pageSetup paperSize="9" scale="63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214"/>
  <sheetViews>
    <sheetView workbookViewId="0">
      <pane ySplit="10" topLeftCell="A191" activePane="bottomLeft" state="frozen"/>
      <selection activeCell="AA27" sqref="AA27"/>
      <selection pane="bottomLeft" activeCell="AN199" sqref="AN199"/>
    </sheetView>
  </sheetViews>
  <sheetFormatPr defaultRowHeight="12.75"/>
  <cols>
    <col min="1" max="1" width="3.7109375" customWidth="1"/>
    <col min="2" max="2" width="19.85546875" customWidth="1"/>
    <col min="3" max="3" width="7.85546875" hidden="1" customWidth="1"/>
    <col min="4" max="4" width="7.42578125" customWidth="1"/>
    <col min="5" max="35" width="5.140625" customWidth="1"/>
    <col min="36" max="36" width="7.7109375" customWidth="1"/>
    <col min="37" max="37" width="7.28515625" customWidth="1"/>
    <col min="38" max="38" width="8" customWidth="1"/>
    <col min="39" max="39" width="9.85546875" customWidth="1"/>
    <col min="40" max="40" width="11.140625" bestFit="1" customWidth="1"/>
    <col min="42" max="42" width="11.140625" bestFit="1" customWidth="1"/>
    <col min="43" max="43" width="11.28515625" bestFit="1" customWidth="1"/>
    <col min="44" max="44" width="11.140625" bestFit="1" customWidth="1"/>
  </cols>
  <sheetData>
    <row r="1" spans="1:41" ht="15.75">
      <c r="A1" s="4124" t="s">
        <v>23</v>
      </c>
      <c r="B1" s="4124"/>
      <c r="C1" s="4124"/>
      <c r="D1" s="4124"/>
      <c r="E1" s="4124"/>
      <c r="F1" s="4124"/>
      <c r="G1" s="4124"/>
      <c r="H1" s="4124"/>
      <c r="I1" s="4124"/>
      <c r="J1" s="4124"/>
      <c r="K1" s="4124"/>
      <c r="L1" s="4124"/>
      <c r="M1" s="4124"/>
      <c r="N1" s="4124"/>
      <c r="O1" s="4124"/>
      <c r="P1" s="4124"/>
      <c r="Q1" s="4124"/>
      <c r="R1" s="4124"/>
      <c r="S1" s="4124"/>
      <c r="T1" s="4124"/>
      <c r="U1" s="4124"/>
      <c r="V1" s="4124"/>
      <c r="W1" s="4124"/>
      <c r="X1" s="4124"/>
      <c r="Y1" s="4124"/>
      <c r="Z1" s="4124"/>
      <c r="AA1" s="4124"/>
      <c r="AB1" s="4124"/>
      <c r="AC1" s="4124"/>
      <c r="AD1" s="4124"/>
      <c r="AE1" s="4124"/>
      <c r="AF1" s="4124"/>
      <c r="AG1" s="4124"/>
      <c r="AH1" s="4124"/>
      <c r="AI1" s="4124"/>
      <c r="AJ1" s="4124"/>
      <c r="AK1" s="4124"/>
      <c r="AL1" s="4124"/>
      <c r="AM1" s="4124"/>
    </row>
    <row r="2" spans="1:41" ht="15.75">
      <c r="A2" s="4124" t="s">
        <v>45</v>
      </c>
      <c r="B2" s="4124"/>
      <c r="C2" s="4124"/>
      <c r="D2" s="4124"/>
      <c r="E2" s="4124"/>
      <c r="F2" s="4124"/>
      <c r="G2" s="4124"/>
      <c r="H2" s="4124"/>
      <c r="I2" s="4124"/>
      <c r="J2" s="4124"/>
      <c r="K2" s="4124"/>
      <c r="L2" s="4124"/>
      <c r="M2" s="4124"/>
      <c r="N2" s="4124"/>
      <c r="O2" s="4124"/>
      <c r="P2" s="4124"/>
      <c r="Q2" s="4124"/>
      <c r="R2" s="4124"/>
      <c r="S2" s="4124"/>
      <c r="T2" s="4124"/>
      <c r="U2" s="4124"/>
      <c r="V2" s="4124"/>
      <c r="W2" s="4124"/>
      <c r="X2" s="4124"/>
      <c r="Y2" s="4124"/>
      <c r="Z2" s="4124"/>
      <c r="AA2" s="4124"/>
      <c r="AB2" s="4124"/>
      <c r="AC2" s="4124"/>
      <c r="AD2" s="4124"/>
      <c r="AE2" s="4124"/>
      <c r="AF2" s="4124"/>
      <c r="AG2" s="4124"/>
      <c r="AH2" s="4124"/>
      <c r="AI2" s="4124"/>
      <c r="AJ2" s="4124"/>
      <c r="AK2" s="4124"/>
      <c r="AL2" s="4124"/>
      <c r="AM2" s="4124"/>
    </row>
    <row r="3" spans="1:41" ht="15.75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  <c r="R3" s="3900"/>
      <c r="S3" s="3900"/>
      <c r="T3" s="3900"/>
      <c r="U3" s="3900"/>
      <c r="V3" s="3900"/>
      <c r="W3" s="3900"/>
      <c r="X3" s="3900"/>
      <c r="Y3" s="3900"/>
      <c r="Z3" s="3900"/>
      <c r="AA3" s="3900"/>
      <c r="AB3" s="3900"/>
      <c r="AC3" s="3900"/>
      <c r="AD3" s="3900"/>
      <c r="AE3" s="3900"/>
      <c r="AF3" s="3900"/>
      <c r="AG3" s="3900"/>
      <c r="AH3" s="3900"/>
      <c r="AI3" s="3900"/>
      <c r="AJ3" s="3900"/>
      <c r="AK3" s="3900"/>
      <c r="AL3" s="3900"/>
      <c r="AM3" s="3900"/>
    </row>
    <row r="4" spans="1:41" ht="15.75">
      <c r="A4" s="4788" t="s">
        <v>1855</v>
      </c>
      <c r="B4" s="4788"/>
      <c r="C4" s="4788"/>
      <c r="D4" s="4788"/>
      <c r="E4" s="4788"/>
      <c r="F4" s="4788"/>
      <c r="G4" s="4788"/>
      <c r="H4" s="2775"/>
      <c r="I4" s="2775"/>
      <c r="J4" s="2775"/>
      <c r="K4" s="2775"/>
      <c r="L4" s="2775"/>
      <c r="M4" s="2775"/>
      <c r="N4" s="2775"/>
      <c r="O4" s="2775"/>
      <c r="P4" s="2775"/>
      <c r="Q4" s="2775"/>
      <c r="R4" s="2775"/>
      <c r="S4" s="2775"/>
      <c r="T4" s="2775"/>
      <c r="U4" s="2775"/>
      <c r="V4" s="2775"/>
      <c r="W4" s="2775"/>
      <c r="X4" s="2775"/>
      <c r="Y4" s="2898"/>
      <c r="Z4" s="2898"/>
      <c r="AA4" s="2898"/>
      <c r="AB4" s="2898"/>
      <c r="AC4" s="2898"/>
      <c r="AD4" s="2898"/>
      <c r="AE4" s="2898"/>
      <c r="AF4" s="2898"/>
      <c r="AG4" s="2898"/>
      <c r="AH4" s="2898"/>
      <c r="AI4" s="2898"/>
      <c r="AJ4" s="2898"/>
      <c r="AK4" s="2898"/>
      <c r="AL4" s="2777"/>
      <c r="AM4" s="2778"/>
    </row>
    <row r="5" spans="1:41" ht="15.75">
      <c r="A5" s="4789" t="s">
        <v>90</v>
      </c>
      <c r="B5" s="4789"/>
      <c r="C5" s="4789"/>
      <c r="D5" s="4789"/>
      <c r="E5" s="4789"/>
      <c r="F5" s="4789"/>
      <c r="G5" s="4789"/>
      <c r="H5" s="2775"/>
      <c r="I5" s="2775"/>
      <c r="J5" s="2775"/>
      <c r="K5" s="2775"/>
      <c r="L5" s="2775"/>
      <c r="M5" s="2775"/>
      <c r="N5" s="2775"/>
      <c r="O5" s="2775"/>
      <c r="P5" s="2775"/>
      <c r="Q5" s="2775"/>
      <c r="R5" s="2775"/>
      <c r="S5" s="2775"/>
      <c r="T5" s="2775"/>
      <c r="U5" s="2775"/>
      <c r="V5" s="2775"/>
      <c r="W5" s="2775"/>
      <c r="X5" s="2775"/>
      <c r="Y5" s="2898"/>
      <c r="Z5" s="2898"/>
      <c r="AA5" s="2898"/>
      <c r="AB5" s="2898"/>
      <c r="AC5" s="2898"/>
      <c r="AD5" s="2898"/>
      <c r="AE5" s="2898"/>
      <c r="AF5" s="2898"/>
      <c r="AG5" s="2898"/>
      <c r="AH5" s="2898"/>
      <c r="AI5" s="2898"/>
      <c r="AJ5" s="2898"/>
      <c r="AK5" s="2898"/>
      <c r="AL5" s="2777"/>
      <c r="AM5" s="2778"/>
    </row>
    <row r="6" spans="1:41" ht="15.75">
      <c r="A6" s="2779"/>
      <c r="B6" s="2775"/>
      <c r="C6" s="2775"/>
      <c r="D6" s="2775"/>
      <c r="E6" s="2775"/>
      <c r="F6" s="2775"/>
      <c r="G6" s="2775"/>
      <c r="H6" s="2775"/>
      <c r="I6" s="2775"/>
      <c r="J6" s="2780"/>
      <c r="K6" s="2775"/>
      <c r="L6" s="2775"/>
      <c r="M6" s="2775"/>
      <c r="N6" s="2775"/>
      <c r="O6" s="2775"/>
      <c r="P6" s="2775"/>
      <c r="Q6" s="2780"/>
      <c r="R6" s="2775"/>
      <c r="S6" s="2775"/>
      <c r="T6" s="2775"/>
      <c r="U6" s="2775"/>
      <c r="V6" s="2775"/>
      <c r="W6" s="2775"/>
      <c r="X6" s="2780"/>
      <c r="Y6" s="2775"/>
      <c r="Z6" s="2775"/>
      <c r="AA6" s="2775"/>
      <c r="AB6" s="2775"/>
      <c r="AC6" s="2780"/>
      <c r="AD6" s="2775"/>
      <c r="AE6" s="2780"/>
      <c r="AF6" s="2775"/>
      <c r="AG6" s="2775"/>
      <c r="AH6" s="2775"/>
      <c r="AI6" s="2775"/>
      <c r="AJ6" s="2775"/>
      <c r="AK6" s="2899"/>
      <c r="AL6" s="2777"/>
      <c r="AM6" s="2778"/>
    </row>
    <row r="7" spans="1:41" ht="22.5">
      <c r="A7" s="4792" t="s">
        <v>1856</v>
      </c>
      <c r="B7" s="4792"/>
      <c r="C7" s="4792"/>
      <c r="D7" s="4792"/>
      <c r="E7" s="4792"/>
      <c r="F7" s="4792"/>
      <c r="G7" s="4792"/>
      <c r="H7" s="4792"/>
      <c r="I7" s="4792"/>
      <c r="J7" s="4792"/>
      <c r="K7" s="4792"/>
      <c r="L7" s="4792"/>
      <c r="M7" s="4792"/>
      <c r="N7" s="4792"/>
      <c r="O7" s="4792"/>
      <c r="P7" s="4792"/>
      <c r="Q7" s="4792"/>
      <c r="R7" s="4792"/>
      <c r="S7" s="4792"/>
      <c r="T7" s="4792"/>
      <c r="U7" s="4792"/>
      <c r="V7" s="4792"/>
      <c r="W7" s="4792"/>
      <c r="X7" s="4792"/>
      <c r="Y7" s="4792"/>
      <c r="Z7" s="4792"/>
      <c r="AA7" s="4792"/>
      <c r="AB7" s="4792"/>
      <c r="AC7" s="4792"/>
      <c r="AD7" s="4792"/>
      <c r="AE7" s="4792"/>
      <c r="AF7" s="4792"/>
      <c r="AG7" s="4792"/>
      <c r="AH7" s="4792"/>
      <c r="AI7" s="4792"/>
      <c r="AJ7" s="4792"/>
      <c r="AK7" s="4792"/>
      <c r="AL7" s="2777"/>
      <c r="AM7" s="2778"/>
    </row>
    <row r="8" spans="1:41" ht="15.75">
      <c r="A8" s="2782"/>
      <c r="B8" s="2778"/>
      <c r="C8" s="2778"/>
      <c r="D8" s="2778"/>
      <c r="E8" s="2778"/>
      <c r="F8" s="2778"/>
      <c r="G8" s="2778"/>
      <c r="H8" s="2778"/>
      <c r="I8" s="2778"/>
      <c r="J8" s="2778"/>
      <c r="K8" s="2778"/>
      <c r="L8" s="2778"/>
      <c r="M8" s="2778"/>
      <c r="N8" s="2778"/>
      <c r="O8" s="2778"/>
      <c r="P8" s="2778"/>
      <c r="Q8" s="2778"/>
      <c r="R8" s="2778"/>
      <c r="S8" s="2778"/>
      <c r="T8" s="2778"/>
      <c r="U8" s="2778"/>
      <c r="V8" s="2778"/>
      <c r="W8" s="2778"/>
      <c r="X8" s="2778"/>
      <c r="Y8" s="2778"/>
      <c r="Z8" s="2778"/>
      <c r="AA8" s="2778"/>
      <c r="AB8" s="2778"/>
      <c r="AC8" s="2783"/>
      <c r="AD8" s="2778"/>
      <c r="AE8" s="2778"/>
      <c r="AF8" s="2778"/>
      <c r="AG8" s="2778"/>
      <c r="AH8" s="2778"/>
      <c r="AI8" s="2778"/>
      <c r="AJ8" s="2778"/>
      <c r="AK8" s="2784"/>
      <c r="AL8" s="2777"/>
      <c r="AM8" s="2778"/>
    </row>
    <row r="9" spans="1:41" ht="15.75">
      <c r="A9" s="4790" t="s">
        <v>932</v>
      </c>
      <c r="B9" s="4790" t="s">
        <v>1</v>
      </c>
      <c r="C9" s="4790" t="s">
        <v>163</v>
      </c>
      <c r="D9" s="4791" t="s">
        <v>3</v>
      </c>
      <c r="E9" s="4790" t="s">
        <v>1857</v>
      </c>
      <c r="F9" s="4790"/>
      <c r="G9" s="4790"/>
      <c r="H9" s="4790"/>
      <c r="I9" s="4790"/>
      <c r="J9" s="4790"/>
      <c r="K9" s="4790"/>
      <c r="L9" s="4790"/>
      <c r="M9" s="4790"/>
      <c r="N9" s="4790"/>
      <c r="O9" s="4790"/>
      <c r="P9" s="4790"/>
      <c r="Q9" s="4790"/>
      <c r="R9" s="4790"/>
      <c r="S9" s="4790"/>
      <c r="T9" s="4790"/>
      <c r="U9" s="4790"/>
      <c r="V9" s="4790"/>
      <c r="W9" s="4790"/>
      <c r="X9" s="4790"/>
      <c r="Y9" s="4790"/>
      <c r="Z9" s="4790"/>
      <c r="AA9" s="4790"/>
      <c r="AB9" s="4790"/>
      <c r="AC9" s="4790"/>
      <c r="AD9" s="4790"/>
      <c r="AE9" s="4790"/>
      <c r="AF9" s="4790"/>
      <c r="AG9" s="4790"/>
      <c r="AH9" s="4790"/>
      <c r="AI9" s="4790"/>
      <c r="AJ9" s="4791" t="s">
        <v>1858</v>
      </c>
      <c r="AK9" s="4791" t="s">
        <v>1859</v>
      </c>
      <c r="AL9" s="4796" t="s">
        <v>1860</v>
      </c>
      <c r="AM9" s="4796" t="s">
        <v>1861</v>
      </c>
    </row>
    <row r="10" spans="1:41" ht="15.75">
      <c r="A10" s="4790"/>
      <c r="B10" s="4790"/>
      <c r="C10" s="4790"/>
      <c r="D10" s="4790"/>
      <c r="E10" s="2897">
        <v>1</v>
      </c>
      <c r="F10" s="2897">
        <v>2</v>
      </c>
      <c r="G10" s="2897">
        <v>3</v>
      </c>
      <c r="H10" s="2786">
        <v>4</v>
      </c>
      <c r="I10" s="2897">
        <v>5</v>
      </c>
      <c r="J10" s="2897">
        <v>6</v>
      </c>
      <c r="K10" s="2897">
        <v>7</v>
      </c>
      <c r="L10" s="2897">
        <v>8</v>
      </c>
      <c r="M10" s="2897">
        <v>9</v>
      </c>
      <c r="N10" s="2897">
        <v>10</v>
      </c>
      <c r="O10" s="2786">
        <v>11</v>
      </c>
      <c r="P10" s="2897">
        <v>12</v>
      </c>
      <c r="Q10" s="2897">
        <v>13</v>
      </c>
      <c r="R10" s="2897">
        <v>14</v>
      </c>
      <c r="S10" s="2897">
        <v>15</v>
      </c>
      <c r="T10" s="2897">
        <v>16</v>
      </c>
      <c r="U10" s="2897">
        <v>17</v>
      </c>
      <c r="V10" s="2786">
        <v>18</v>
      </c>
      <c r="W10" s="2897">
        <v>19</v>
      </c>
      <c r="X10" s="2897">
        <v>20</v>
      </c>
      <c r="Y10" s="2897">
        <v>21</v>
      </c>
      <c r="Z10" s="2897">
        <v>22</v>
      </c>
      <c r="AA10" s="2897">
        <v>23</v>
      </c>
      <c r="AB10" s="2897">
        <v>24</v>
      </c>
      <c r="AC10" s="2786">
        <v>25</v>
      </c>
      <c r="AD10" s="2897">
        <v>26</v>
      </c>
      <c r="AE10" s="2897">
        <v>27</v>
      </c>
      <c r="AF10" s="2897">
        <v>28</v>
      </c>
      <c r="AG10" s="2897">
        <v>29</v>
      </c>
      <c r="AH10" s="2897">
        <v>30</v>
      </c>
      <c r="AI10" s="2897">
        <v>31</v>
      </c>
      <c r="AJ10" s="4791"/>
      <c r="AK10" s="4791"/>
      <c r="AL10" s="4797"/>
      <c r="AM10" s="4797"/>
    </row>
    <row r="11" spans="1:41" ht="18.75">
      <c r="A11" s="2787">
        <v>1</v>
      </c>
      <c r="B11" s="2788" t="s">
        <v>1551</v>
      </c>
      <c r="C11" s="2789"/>
      <c r="D11" s="2789" t="s">
        <v>451</v>
      </c>
      <c r="E11" s="2790">
        <v>0</v>
      </c>
      <c r="F11" s="2790">
        <v>0</v>
      </c>
      <c r="G11" s="2790">
        <v>0</v>
      </c>
      <c r="H11" s="2790">
        <v>0</v>
      </c>
      <c r="I11" s="2790">
        <v>0</v>
      </c>
      <c r="J11" s="2790">
        <v>149</v>
      </c>
      <c r="K11" s="2790">
        <v>86</v>
      </c>
      <c r="L11" s="2790">
        <v>95</v>
      </c>
      <c r="M11" s="2790">
        <v>40</v>
      </c>
      <c r="N11" s="2790">
        <v>60</v>
      </c>
      <c r="O11" s="2790">
        <v>67</v>
      </c>
      <c r="P11" s="2790">
        <v>93</v>
      </c>
      <c r="Q11" s="2790">
        <v>54</v>
      </c>
      <c r="R11" s="2790">
        <v>60</v>
      </c>
      <c r="S11" s="2790">
        <v>55</v>
      </c>
      <c r="T11" s="2790">
        <v>96</v>
      </c>
      <c r="U11" s="2790">
        <v>0</v>
      </c>
      <c r="V11" s="2790">
        <v>0</v>
      </c>
      <c r="W11" s="2790">
        <v>33</v>
      </c>
      <c r="X11" s="2790">
        <v>58</v>
      </c>
      <c r="Y11" s="2790">
        <v>55</v>
      </c>
      <c r="Z11" s="2790">
        <v>83</v>
      </c>
      <c r="AA11" s="2790">
        <v>0</v>
      </c>
      <c r="AB11" s="2790">
        <v>0</v>
      </c>
      <c r="AC11" s="2790">
        <v>60</v>
      </c>
      <c r="AD11" s="2790">
        <v>50</v>
      </c>
      <c r="AE11" s="2790">
        <v>81</v>
      </c>
      <c r="AF11" s="2790">
        <v>70</v>
      </c>
      <c r="AG11" s="2790">
        <v>110</v>
      </c>
      <c r="AH11" s="2790">
        <v>51</v>
      </c>
      <c r="AI11" s="2790">
        <v>0</v>
      </c>
      <c r="AJ11" s="2790">
        <f t="shared" ref="AJ11:AJ72" si="0">+SUM(E11:AI11)</f>
        <v>1506</v>
      </c>
      <c r="AK11" s="2790" t="e">
        <f>VLOOKUP(B11,'Mủ CN (TT)'!C12:AK208,36,0)+VLOOKUP(B11,'Mủ CN (tam ung)'!C12:AL169,36,0)</f>
        <v>#N/A</v>
      </c>
      <c r="AL11" s="2791" t="s">
        <v>141</v>
      </c>
      <c r="AM11" s="2792"/>
      <c r="AN11" t="e">
        <f>+VLOOKUP(B11,'[28]BẢNG CHẤM CÔNG + Lương KT'!$B$9:$AQ$41,42,0)</f>
        <v>#N/A</v>
      </c>
      <c r="AO11" s="2793" t="e">
        <f>+AN11-AL11</f>
        <v>#N/A</v>
      </c>
    </row>
    <row r="12" spans="1:41" ht="18.75">
      <c r="A12" s="933">
        <v>2</v>
      </c>
      <c r="B12" s="2794" t="s">
        <v>1670</v>
      </c>
      <c r="C12" s="2795"/>
      <c r="D12" s="2795" t="s">
        <v>451</v>
      </c>
      <c r="E12" s="2796">
        <v>0</v>
      </c>
      <c r="F12" s="2796">
        <v>0</v>
      </c>
      <c r="G12" s="2796">
        <v>0</v>
      </c>
      <c r="H12" s="2796">
        <v>0</v>
      </c>
      <c r="I12" s="2796">
        <v>87</v>
      </c>
      <c r="J12" s="2796">
        <v>43</v>
      </c>
      <c r="K12" s="2796">
        <v>30</v>
      </c>
      <c r="L12" s="2796">
        <v>110</v>
      </c>
      <c r="M12" s="2796">
        <v>54</v>
      </c>
      <c r="N12" s="2796">
        <v>56</v>
      </c>
      <c r="O12" s="2796">
        <v>34</v>
      </c>
      <c r="P12" s="2796">
        <v>72</v>
      </c>
      <c r="Q12" s="2796">
        <v>47</v>
      </c>
      <c r="R12" s="2796">
        <v>47</v>
      </c>
      <c r="S12" s="2796">
        <v>40</v>
      </c>
      <c r="T12" s="2796">
        <v>82</v>
      </c>
      <c r="U12" s="2796">
        <v>47</v>
      </c>
      <c r="V12" s="2796">
        <v>53</v>
      </c>
      <c r="W12" s="2796">
        <v>22</v>
      </c>
      <c r="X12" s="2796">
        <v>60</v>
      </c>
      <c r="Y12" s="2796">
        <v>63</v>
      </c>
      <c r="Z12" s="2796">
        <v>34</v>
      </c>
      <c r="AA12" s="2796">
        <v>34</v>
      </c>
      <c r="AB12" s="2796">
        <v>42</v>
      </c>
      <c r="AC12" s="2796">
        <v>57</v>
      </c>
      <c r="AD12" s="2796">
        <v>43</v>
      </c>
      <c r="AE12" s="2796">
        <v>53</v>
      </c>
      <c r="AF12" s="2796">
        <v>54</v>
      </c>
      <c r="AG12" s="2796">
        <v>33</v>
      </c>
      <c r="AH12" s="2796">
        <v>54</v>
      </c>
      <c r="AI12" s="2796">
        <v>49</v>
      </c>
      <c r="AJ12" s="2790">
        <f t="shared" si="0"/>
        <v>1400</v>
      </c>
      <c r="AK12" s="2790" t="e">
        <f>VLOOKUP(B12,'Mủ CN (TT)'!C13:AK208,36,0)+VLOOKUP(B12,'Mủ CN (tam ung)'!C13:AL169,36,0)</f>
        <v>#N/A</v>
      </c>
      <c r="AL12" s="2797" t="s">
        <v>138</v>
      </c>
      <c r="AM12" s="2798"/>
      <c r="AN12" t="e">
        <f>+VLOOKUP(B12,'[28]BẢNG CHẤM CÔNG + Lương KT'!$B$9:$AQ$41,42,0)</f>
        <v>#N/A</v>
      </c>
      <c r="AO12" s="2793" t="e">
        <f>+AN12-AL12</f>
        <v>#N/A</v>
      </c>
    </row>
    <row r="13" spans="1:41" ht="18.75">
      <c r="A13" s="933">
        <v>3</v>
      </c>
      <c r="B13" s="2794" t="s">
        <v>490</v>
      </c>
      <c r="C13" s="2795"/>
      <c r="D13" s="2795" t="s">
        <v>451</v>
      </c>
      <c r="E13" s="2796">
        <v>0</v>
      </c>
      <c r="F13" s="2796">
        <v>0</v>
      </c>
      <c r="G13" s="2796">
        <v>0</v>
      </c>
      <c r="H13" s="2796">
        <v>0</v>
      </c>
      <c r="I13" s="2796">
        <v>0</v>
      </c>
      <c r="J13" s="2796">
        <v>0</v>
      </c>
      <c r="K13" s="2796">
        <v>0</v>
      </c>
      <c r="L13" s="2796">
        <v>0</v>
      </c>
      <c r="M13" s="2796">
        <v>0</v>
      </c>
      <c r="N13" s="2796">
        <v>33</v>
      </c>
      <c r="O13" s="2796">
        <v>58</v>
      </c>
      <c r="P13" s="2796">
        <v>40</v>
      </c>
      <c r="Q13" s="2796">
        <v>44</v>
      </c>
      <c r="R13" s="2796">
        <v>33</v>
      </c>
      <c r="S13" s="2796">
        <v>73</v>
      </c>
      <c r="T13" s="2796">
        <v>30</v>
      </c>
      <c r="U13" s="2796">
        <v>0</v>
      </c>
      <c r="V13" s="2796">
        <v>0</v>
      </c>
      <c r="W13" s="2796">
        <v>0</v>
      </c>
      <c r="X13" s="2796">
        <v>0</v>
      </c>
      <c r="Y13" s="2796">
        <v>47</v>
      </c>
      <c r="Z13" s="2796">
        <v>57</v>
      </c>
      <c r="AA13" s="2796">
        <v>0</v>
      </c>
      <c r="AB13" s="2796">
        <v>39</v>
      </c>
      <c r="AC13" s="2796">
        <v>54</v>
      </c>
      <c r="AD13" s="2796">
        <v>25</v>
      </c>
      <c r="AE13" s="2796">
        <v>35</v>
      </c>
      <c r="AF13" s="2796">
        <v>42</v>
      </c>
      <c r="AG13" s="2796">
        <v>0</v>
      </c>
      <c r="AH13" s="2796">
        <v>0</v>
      </c>
      <c r="AI13" s="2796">
        <v>52</v>
      </c>
      <c r="AJ13" s="2790">
        <f t="shared" si="0"/>
        <v>662</v>
      </c>
      <c r="AK13" s="2790" t="e">
        <f>VLOOKUP(B13,'Mủ CN (TT)'!C14:AK209,36,0)+VLOOKUP(B13,'Mủ CN (tam ung)'!C14:AL170,36,0)</f>
        <v>#N/A</v>
      </c>
      <c r="AL13" s="2797" t="s">
        <v>138</v>
      </c>
      <c r="AM13" s="2798"/>
      <c r="AN13">
        <f>+VLOOKUP(B13,'[28]BẢNG CHẤM CÔNG + Lương KT'!$B$9:$AQ$41,42,0)</f>
        <v>28.8</v>
      </c>
      <c r="AO13" s="2793" t="e">
        <f>+AN13-AL13</f>
        <v>#VALUE!</v>
      </c>
    </row>
    <row r="14" spans="1:41" ht="18.75">
      <c r="A14" s="933">
        <v>4</v>
      </c>
      <c r="B14" s="2794" t="s">
        <v>1552</v>
      </c>
      <c r="C14" s="2795"/>
      <c r="D14" s="2795" t="s">
        <v>451</v>
      </c>
      <c r="E14" s="2796">
        <v>0</v>
      </c>
      <c r="F14" s="2796">
        <v>34</v>
      </c>
      <c r="G14" s="2796">
        <v>30</v>
      </c>
      <c r="H14" s="2796">
        <v>0</v>
      </c>
      <c r="I14" s="2796">
        <v>86</v>
      </c>
      <c r="J14" s="2796">
        <v>33</v>
      </c>
      <c r="K14" s="2796">
        <v>0</v>
      </c>
      <c r="L14" s="2796">
        <v>93</v>
      </c>
      <c r="M14" s="2796">
        <v>0</v>
      </c>
      <c r="N14" s="2796">
        <v>0</v>
      </c>
      <c r="O14" s="2796">
        <v>0</v>
      </c>
      <c r="P14" s="2796">
        <v>46</v>
      </c>
      <c r="Q14" s="2796">
        <v>40</v>
      </c>
      <c r="R14" s="2796">
        <v>63</v>
      </c>
      <c r="S14" s="2796">
        <v>0</v>
      </c>
      <c r="T14" s="2796">
        <v>45</v>
      </c>
      <c r="U14" s="2796">
        <v>0</v>
      </c>
      <c r="V14" s="2796">
        <v>24</v>
      </c>
      <c r="W14" s="2796">
        <v>64</v>
      </c>
      <c r="X14" s="2796">
        <v>28</v>
      </c>
      <c r="Y14" s="2796">
        <v>72</v>
      </c>
      <c r="Z14" s="2796">
        <v>34</v>
      </c>
      <c r="AA14" s="2796">
        <v>0</v>
      </c>
      <c r="AB14" s="2796">
        <v>22</v>
      </c>
      <c r="AC14" s="2796">
        <v>0</v>
      </c>
      <c r="AD14" s="2796">
        <v>37</v>
      </c>
      <c r="AE14" s="2796">
        <v>99</v>
      </c>
      <c r="AF14" s="2796">
        <v>32</v>
      </c>
      <c r="AG14" s="2796">
        <v>80</v>
      </c>
      <c r="AH14" s="2796">
        <v>0</v>
      </c>
      <c r="AI14" s="2796">
        <v>48</v>
      </c>
      <c r="AJ14" s="2790">
        <f t="shared" si="0"/>
        <v>1010</v>
      </c>
      <c r="AK14" s="2790" t="e">
        <f>VLOOKUP(B14,'Mủ CN (TT)'!C15:AK210,36,0)+VLOOKUP(B14,'Mủ CN (tam ung)'!C15:AL171,36,0)</f>
        <v>#N/A</v>
      </c>
      <c r="AL14" s="2797" t="s">
        <v>141</v>
      </c>
      <c r="AM14" s="2798"/>
      <c r="AO14" s="2793"/>
    </row>
    <row r="15" spans="1:41" ht="18.75">
      <c r="A15" s="933">
        <v>5</v>
      </c>
      <c r="B15" s="2794" t="s">
        <v>1671</v>
      </c>
      <c r="C15" s="2795"/>
      <c r="D15" s="2795" t="s">
        <v>451</v>
      </c>
      <c r="E15" s="2796">
        <v>0</v>
      </c>
      <c r="F15" s="2796">
        <v>0</v>
      </c>
      <c r="G15" s="2796">
        <v>0</v>
      </c>
      <c r="H15" s="2796">
        <v>0</v>
      </c>
      <c r="I15" s="2796">
        <v>50</v>
      </c>
      <c r="J15" s="2796">
        <v>51</v>
      </c>
      <c r="K15" s="2796">
        <v>22</v>
      </c>
      <c r="L15" s="2796">
        <v>80</v>
      </c>
      <c r="M15" s="2796">
        <v>0</v>
      </c>
      <c r="N15" s="2796">
        <v>0</v>
      </c>
      <c r="O15" s="2796">
        <v>0</v>
      </c>
      <c r="P15" s="2796">
        <v>50</v>
      </c>
      <c r="Q15" s="2796">
        <v>23</v>
      </c>
      <c r="R15" s="2796">
        <v>63</v>
      </c>
      <c r="S15" s="2796">
        <v>26</v>
      </c>
      <c r="T15" s="2796">
        <v>87</v>
      </c>
      <c r="U15" s="2796">
        <v>20</v>
      </c>
      <c r="V15" s="2796">
        <v>24</v>
      </c>
      <c r="W15" s="2796">
        <v>0</v>
      </c>
      <c r="X15" s="2796">
        <v>85</v>
      </c>
      <c r="Y15" s="2796">
        <v>23</v>
      </c>
      <c r="Z15" s="2796">
        <v>46</v>
      </c>
      <c r="AA15" s="2796">
        <v>0</v>
      </c>
      <c r="AB15" s="2796">
        <v>0</v>
      </c>
      <c r="AC15" s="2796">
        <v>60</v>
      </c>
      <c r="AD15" s="2796">
        <v>50</v>
      </c>
      <c r="AE15" s="2796">
        <v>94</v>
      </c>
      <c r="AF15" s="2796">
        <v>50</v>
      </c>
      <c r="AG15" s="2796">
        <v>0</v>
      </c>
      <c r="AH15" s="2796">
        <v>63</v>
      </c>
      <c r="AI15" s="2796">
        <v>64</v>
      </c>
      <c r="AJ15" s="2790">
        <f t="shared" si="0"/>
        <v>1031</v>
      </c>
      <c r="AK15" s="2790" t="e">
        <f>VLOOKUP(B15,'Mủ CN (TT)'!C16:AK211,36,0)+VLOOKUP(B15,'Mủ CN (tam ung)'!C16:AL172,36,0)</f>
        <v>#N/A</v>
      </c>
      <c r="AL15" s="2797" t="s">
        <v>141</v>
      </c>
      <c r="AM15" s="2798"/>
      <c r="AO15" s="2793"/>
    </row>
    <row r="16" spans="1:41" ht="18.75">
      <c r="A16" s="933">
        <v>6</v>
      </c>
      <c r="B16" s="2794" t="s">
        <v>1261</v>
      </c>
      <c r="C16" s="2795"/>
      <c r="D16" s="2795" t="s">
        <v>451</v>
      </c>
      <c r="E16" s="2796">
        <v>28</v>
      </c>
      <c r="F16" s="2796">
        <v>39</v>
      </c>
      <c r="G16" s="2796">
        <v>32</v>
      </c>
      <c r="H16" s="2796">
        <v>32</v>
      </c>
      <c r="I16" s="2796">
        <v>22</v>
      </c>
      <c r="J16" s="2796">
        <v>32</v>
      </c>
      <c r="K16" s="2796">
        <v>25</v>
      </c>
      <c r="L16" s="2796">
        <v>20</v>
      </c>
      <c r="M16" s="2796">
        <v>38</v>
      </c>
      <c r="N16" s="2796">
        <v>32</v>
      </c>
      <c r="O16" s="2796">
        <v>61</v>
      </c>
      <c r="P16" s="2796">
        <v>109</v>
      </c>
      <c r="Q16" s="2796">
        <v>31</v>
      </c>
      <c r="R16" s="2796">
        <v>51</v>
      </c>
      <c r="S16" s="2796">
        <v>58</v>
      </c>
      <c r="T16" s="2796">
        <v>80</v>
      </c>
      <c r="U16" s="2796">
        <v>75</v>
      </c>
      <c r="V16" s="2796">
        <v>0</v>
      </c>
      <c r="W16" s="2796">
        <v>39</v>
      </c>
      <c r="X16" s="2796">
        <v>0</v>
      </c>
      <c r="Y16" s="2796">
        <v>35</v>
      </c>
      <c r="Z16" s="2796">
        <v>70</v>
      </c>
      <c r="AA16" s="2796">
        <v>48</v>
      </c>
      <c r="AB16" s="2796">
        <v>38</v>
      </c>
      <c r="AC16" s="2796">
        <v>64</v>
      </c>
      <c r="AD16" s="2796">
        <v>50</v>
      </c>
      <c r="AE16" s="2796">
        <v>50</v>
      </c>
      <c r="AF16" s="2796">
        <v>49</v>
      </c>
      <c r="AG16" s="2796">
        <v>56</v>
      </c>
      <c r="AH16" s="2796">
        <v>46</v>
      </c>
      <c r="AI16" s="2796">
        <v>50</v>
      </c>
      <c r="AJ16" s="2790">
        <f t="shared" si="0"/>
        <v>1360</v>
      </c>
      <c r="AK16" s="2790" t="e">
        <f>VLOOKUP(B16,'Mủ CN (TT)'!C17:AK212,36,0)+VLOOKUP(B16,'Mủ CN (tam ung)'!C17:AL173,36,0)</f>
        <v>#N/A</v>
      </c>
      <c r="AL16" s="2797" t="s">
        <v>141</v>
      </c>
      <c r="AM16" s="2798"/>
      <c r="AO16" s="2793"/>
    </row>
    <row r="17" spans="1:41" ht="18.75">
      <c r="A17" s="933">
        <v>7</v>
      </c>
      <c r="B17" s="2794" t="s">
        <v>1672</v>
      </c>
      <c r="C17" s="2795"/>
      <c r="D17" s="2795" t="s">
        <v>451</v>
      </c>
      <c r="E17" s="2796">
        <v>42</v>
      </c>
      <c r="F17" s="2796">
        <v>53</v>
      </c>
      <c r="G17" s="2796">
        <v>50</v>
      </c>
      <c r="H17" s="2796">
        <v>106</v>
      </c>
      <c r="I17" s="2796">
        <v>36</v>
      </c>
      <c r="J17" s="2796">
        <v>56</v>
      </c>
      <c r="K17" s="2796">
        <v>47</v>
      </c>
      <c r="L17" s="2796">
        <v>64</v>
      </c>
      <c r="M17" s="2796">
        <v>44</v>
      </c>
      <c r="N17" s="2796">
        <v>26</v>
      </c>
      <c r="O17" s="2796">
        <v>55</v>
      </c>
      <c r="P17" s="2796">
        <v>97</v>
      </c>
      <c r="Q17" s="2796">
        <v>42</v>
      </c>
      <c r="R17" s="2796">
        <v>60</v>
      </c>
      <c r="S17" s="2796">
        <v>57</v>
      </c>
      <c r="T17" s="2796">
        <v>91</v>
      </c>
      <c r="U17" s="2796">
        <v>0</v>
      </c>
      <c r="V17" s="2796">
        <v>0</v>
      </c>
      <c r="W17" s="2796">
        <v>47</v>
      </c>
      <c r="X17" s="2796">
        <v>103</v>
      </c>
      <c r="Y17" s="2796">
        <v>32</v>
      </c>
      <c r="Z17" s="2796">
        <v>54</v>
      </c>
      <c r="AA17" s="2796">
        <v>0</v>
      </c>
      <c r="AB17" s="2796">
        <v>118</v>
      </c>
      <c r="AC17" s="2796">
        <v>52</v>
      </c>
      <c r="AD17" s="2796">
        <v>70</v>
      </c>
      <c r="AE17" s="2796">
        <v>62</v>
      </c>
      <c r="AF17" s="2796">
        <v>99</v>
      </c>
      <c r="AG17" s="2796">
        <v>46</v>
      </c>
      <c r="AH17" s="2796">
        <v>67</v>
      </c>
      <c r="AI17" s="2796">
        <v>100</v>
      </c>
      <c r="AJ17" s="2790">
        <f t="shared" si="0"/>
        <v>1776</v>
      </c>
      <c r="AK17" s="2790" t="e">
        <f>VLOOKUP(B17,'Mủ CN (TT)'!C18:AK213,36,0)+VLOOKUP(B17,'Mủ CN (tam ung)'!C18:AL174,36,0)</f>
        <v>#N/A</v>
      </c>
      <c r="AL17" s="2797" t="s">
        <v>141</v>
      </c>
      <c r="AM17" s="2798"/>
      <c r="AN17">
        <f>+'[29]Báo cáo đội'!$H$43</f>
        <v>212.2</v>
      </c>
      <c r="AO17" s="2793" t="e">
        <f>+AN17-#REF!</f>
        <v>#REF!</v>
      </c>
    </row>
    <row r="18" spans="1:41" ht="18.75">
      <c r="A18" s="933">
        <v>8</v>
      </c>
      <c r="B18" s="2794" t="s">
        <v>1553</v>
      </c>
      <c r="C18" s="2795"/>
      <c r="D18" s="2795" t="s">
        <v>451</v>
      </c>
      <c r="E18" s="2796">
        <v>30</v>
      </c>
      <c r="F18" s="2796">
        <v>31</v>
      </c>
      <c r="G18" s="2796">
        <v>49</v>
      </c>
      <c r="H18" s="2796">
        <v>51</v>
      </c>
      <c r="I18" s="2796">
        <v>27</v>
      </c>
      <c r="J18" s="2796">
        <v>24</v>
      </c>
      <c r="K18" s="2796">
        <v>0</v>
      </c>
      <c r="L18" s="2796">
        <v>58</v>
      </c>
      <c r="M18" s="2796">
        <v>25</v>
      </c>
      <c r="N18" s="2796">
        <v>25</v>
      </c>
      <c r="O18" s="2796">
        <v>53</v>
      </c>
      <c r="P18" s="2796">
        <v>58</v>
      </c>
      <c r="Q18" s="2796">
        <v>23</v>
      </c>
      <c r="R18" s="2796">
        <v>25</v>
      </c>
      <c r="S18" s="2796">
        <v>43</v>
      </c>
      <c r="T18" s="2796">
        <v>65</v>
      </c>
      <c r="U18" s="2796">
        <v>33</v>
      </c>
      <c r="V18" s="2796">
        <v>26</v>
      </c>
      <c r="W18" s="2796">
        <v>21</v>
      </c>
      <c r="X18" s="2796">
        <v>68</v>
      </c>
      <c r="Y18" s="2796">
        <v>0</v>
      </c>
      <c r="Z18" s="2796">
        <v>0</v>
      </c>
      <c r="AA18" s="2796">
        <v>41</v>
      </c>
      <c r="AB18" s="2796">
        <v>49</v>
      </c>
      <c r="AC18" s="2796">
        <v>36</v>
      </c>
      <c r="AD18" s="2796">
        <v>24</v>
      </c>
      <c r="AE18" s="2796">
        <v>50</v>
      </c>
      <c r="AF18" s="2796">
        <v>68</v>
      </c>
      <c r="AG18" s="2796">
        <v>0</v>
      </c>
      <c r="AH18" s="2796">
        <v>0</v>
      </c>
      <c r="AI18" s="2796">
        <v>57</v>
      </c>
      <c r="AJ18" s="2790">
        <f t="shared" si="0"/>
        <v>1060</v>
      </c>
      <c r="AK18" s="2790" t="e">
        <f>VLOOKUP(B18,'Mủ CN (TT)'!C19:AK214,36,0)+VLOOKUP(B18,'Mủ CN (tam ung)'!C19:AL175,36,0)</f>
        <v>#N/A</v>
      </c>
      <c r="AL18" s="2797" t="s">
        <v>141</v>
      </c>
      <c r="AM18" s="2798"/>
      <c r="AO18" s="2793"/>
    </row>
    <row r="19" spans="1:41" ht="18.75">
      <c r="A19" s="933">
        <v>9</v>
      </c>
      <c r="B19" s="2794" t="s">
        <v>1673</v>
      </c>
      <c r="C19" s="2795"/>
      <c r="D19" s="2795" t="s">
        <v>451</v>
      </c>
      <c r="E19" s="2796">
        <v>0</v>
      </c>
      <c r="F19" s="2796">
        <v>0</v>
      </c>
      <c r="G19" s="2796">
        <v>0</v>
      </c>
      <c r="H19" s="2796">
        <v>0</v>
      </c>
      <c r="I19" s="2796">
        <v>90</v>
      </c>
      <c r="J19" s="2796">
        <v>0</v>
      </c>
      <c r="K19" s="2796">
        <v>128</v>
      </c>
      <c r="L19" s="2796">
        <v>0</v>
      </c>
      <c r="M19" s="2796">
        <v>115</v>
      </c>
      <c r="N19" s="2796">
        <v>86</v>
      </c>
      <c r="O19" s="2796">
        <v>43</v>
      </c>
      <c r="P19" s="2796">
        <v>53</v>
      </c>
      <c r="Q19" s="2796">
        <v>52</v>
      </c>
      <c r="R19" s="2796">
        <v>0</v>
      </c>
      <c r="S19" s="2796">
        <v>0</v>
      </c>
      <c r="T19" s="2796">
        <v>0</v>
      </c>
      <c r="U19" s="2796">
        <v>22</v>
      </c>
      <c r="V19" s="2796">
        <v>24</v>
      </c>
      <c r="W19" s="2796">
        <v>63</v>
      </c>
      <c r="X19" s="2796">
        <v>105</v>
      </c>
      <c r="Y19" s="2796">
        <v>0</v>
      </c>
      <c r="Z19" s="2796">
        <v>0</v>
      </c>
      <c r="AA19" s="2796">
        <v>0</v>
      </c>
      <c r="AB19" s="2796">
        <v>0</v>
      </c>
      <c r="AC19" s="2796">
        <v>29</v>
      </c>
      <c r="AD19" s="2796">
        <v>39</v>
      </c>
      <c r="AE19" s="2796">
        <v>121</v>
      </c>
      <c r="AF19" s="2796">
        <v>73</v>
      </c>
      <c r="AG19" s="2796">
        <v>14</v>
      </c>
      <c r="AH19" s="2796">
        <v>0</v>
      </c>
      <c r="AI19" s="2796">
        <v>0</v>
      </c>
      <c r="AJ19" s="2790">
        <f t="shared" si="0"/>
        <v>1057</v>
      </c>
      <c r="AK19" s="2790" t="e">
        <f>VLOOKUP(B19,'Mủ CN (TT)'!C20:AK215,36,0)+VLOOKUP(B19,'Mủ CN (tam ung)'!C20:AL176,36,0)</f>
        <v>#N/A</v>
      </c>
      <c r="AL19" s="2797" t="s">
        <v>138</v>
      </c>
      <c r="AM19" s="2798"/>
      <c r="AO19" s="2793"/>
    </row>
    <row r="20" spans="1:41" ht="18.75">
      <c r="A20" s="933">
        <v>10</v>
      </c>
      <c r="B20" s="2794" t="s">
        <v>1525</v>
      </c>
      <c r="C20" s="2795"/>
      <c r="D20" s="2795" t="s">
        <v>451</v>
      </c>
      <c r="E20" s="2796">
        <v>67</v>
      </c>
      <c r="F20" s="2796">
        <v>0</v>
      </c>
      <c r="G20" s="2796">
        <v>47</v>
      </c>
      <c r="H20" s="2796">
        <v>0</v>
      </c>
      <c r="I20" s="2796">
        <v>24</v>
      </c>
      <c r="J20" s="2796">
        <v>30</v>
      </c>
      <c r="K20" s="2796">
        <v>0</v>
      </c>
      <c r="L20" s="2796">
        <v>105</v>
      </c>
      <c r="M20" s="2796">
        <v>34</v>
      </c>
      <c r="N20" s="2796">
        <v>0</v>
      </c>
      <c r="O20" s="2796">
        <v>49</v>
      </c>
      <c r="P20" s="2796">
        <v>40</v>
      </c>
      <c r="Q20" s="2796">
        <v>52</v>
      </c>
      <c r="R20" s="2796">
        <v>49</v>
      </c>
      <c r="S20" s="2796">
        <v>0</v>
      </c>
      <c r="T20" s="2796">
        <v>94</v>
      </c>
      <c r="U20" s="2796">
        <v>27</v>
      </c>
      <c r="V20" s="2796">
        <v>0</v>
      </c>
      <c r="W20" s="2796">
        <v>55</v>
      </c>
      <c r="X20" s="2796">
        <v>0</v>
      </c>
      <c r="Y20" s="2796">
        <v>0</v>
      </c>
      <c r="Z20" s="2796">
        <v>38</v>
      </c>
      <c r="AA20" s="2796">
        <v>41</v>
      </c>
      <c r="AB20" s="2796">
        <v>63</v>
      </c>
      <c r="AC20" s="2796">
        <v>43</v>
      </c>
      <c r="AD20" s="2796">
        <v>48</v>
      </c>
      <c r="AE20" s="2796">
        <v>63</v>
      </c>
      <c r="AF20" s="2796">
        <v>40</v>
      </c>
      <c r="AG20" s="2796">
        <v>43</v>
      </c>
      <c r="AH20" s="2796">
        <v>45</v>
      </c>
      <c r="AI20" s="2796">
        <v>69</v>
      </c>
      <c r="AJ20" s="2790">
        <f t="shared" si="0"/>
        <v>1166</v>
      </c>
      <c r="AK20" s="2790" t="e">
        <f>VLOOKUP(B20,'Mủ CN (TT)'!C21:AK216,36,0)+VLOOKUP(B20,'Mủ CN (tam ung)'!C20:AL177,36,0)</f>
        <v>#REF!</v>
      </c>
      <c r="AL20" s="2797" t="s">
        <v>141</v>
      </c>
      <c r="AM20" s="2798"/>
      <c r="AO20" s="2793"/>
    </row>
    <row r="21" spans="1:41" ht="18.75">
      <c r="A21" s="933">
        <v>11</v>
      </c>
      <c r="B21" s="2794" t="s">
        <v>1554</v>
      </c>
      <c r="C21" s="2795"/>
      <c r="D21" s="2795" t="s">
        <v>451</v>
      </c>
      <c r="E21" s="2796">
        <v>40</v>
      </c>
      <c r="F21" s="2796">
        <v>0</v>
      </c>
      <c r="G21" s="2796">
        <v>45</v>
      </c>
      <c r="H21" s="2796">
        <v>0</v>
      </c>
      <c r="I21" s="2796">
        <v>37</v>
      </c>
      <c r="J21" s="2796">
        <v>57</v>
      </c>
      <c r="K21" s="2796">
        <v>59</v>
      </c>
      <c r="L21" s="2796">
        <v>54</v>
      </c>
      <c r="M21" s="2796">
        <v>0</v>
      </c>
      <c r="N21" s="2796">
        <v>0</v>
      </c>
      <c r="O21" s="2796">
        <v>45</v>
      </c>
      <c r="P21" s="2796">
        <v>20</v>
      </c>
      <c r="Q21" s="2796">
        <v>32</v>
      </c>
      <c r="R21" s="2796">
        <v>100</v>
      </c>
      <c r="S21" s="2796">
        <v>40</v>
      </c>
      <c r="T21" s="2796">
        <v>46</v>
      </c>
      <c r="U21" s="2796">
        <v>52</v>
      </c>
      <c r="V21" s="2796">
        <v>42</v>
      </c>
      <c r="W21" s="2796">
        <v>49</v>
      </c>
      <c r="X21" s="2796">
        <v>49</v>
      </c>
      <c r="Y21" s="2796">
        <v>41</v>
      </c>
      <c r="Z21" s="2796">
        <v>60</v>
      </c>
      <c r="AA21" s="2796">
        <v>41</v>
      </c>
      <c r="AB21" s="2796">
        <v>51</v>
      </c>
      <c r="AC21" s="2796">
        <v>52</v>
      </c>
      <c r="AD21" s="2796">
        <v>61</v>
      </c>
      <c r="AE21" s="2796">
        <v>58</v>
      </c>
      <c r="AF21" s="2796">
        <v>60</v>
      </c>
      <c r="AG21" s="2796">
        <v>50</v>
      </c>
      <c r="AH21" s="2796">
        <v>0</v>
      </c>
      <c r="AI21" s="2796">
        <v>55</v>
      </c>
      <c r="AJ21" s="2790">
        <f t="shared" si="0"/>
        <v>1296</v>
      </c>
      <c r="AK21" s="2790" t="e">
        <f>VLOOKUP(B21,'Mủ CN (TT)'!C22:AK216,36,0)+VLOOKUP(B21,'Mủ CN (tam ung)'!C21:AL178,36,0)</f>
        <v>#N/A</v>
      </c>
      <c r="AL21" s="2797" t="s">
        <v>141</v>
      </c>
      <c r="AM21" s="2798"/>
      <c r="AO21" s="2793"/>
    </row>
    <row r="22" spans="1:41" ht="18.75">
      <c r="A22" s="933">
        <v>12</v>
      </c>
      <c r="B22" s="2794" t="s">
        <v>1674</v>
      </c>
      <c r="C22" s="2795"/>
      <c r="D22" s="2795" t="s">
        <v>451</v>
      </c>
      <c r="E22" s="2796">
        <v>0</v>
      </c>
      <c r="F22" s="2796">
        <v>39</v>
      </c>
      <c r="G22" s="2796">
        <v>62</v>
      </c>
      <c r="H22" s="2796">
        <v>115</v>
      </c>
      <c r="I22" s="2796">
        <v>43</v>
      </c>
      <c r="J22" s="2796">
        <v>24</v>
      </c>
      <c r="K22" s="2796">
        <v>0</v>
      </c>
      <c r="L22" s="2796">
        <v>36</v>
      </c>
      <c r="M22" s="2796">
        <v>17</v>
      </c>
      <c r="N22" s="2796">
        <v>41</v>
      </c>
      <c r="O22" s="2796">
        <v>0</v>
      </c>
      <c r="P22" s="2796">
        <v>42</v>
      </c>
      <c r="Q22" s="2796">
        <v>32</v>
      </c>
      <c r="R22" s="2796">
        <v>31</v>
      </c>
      <c r="S22" s="2796">
        <v>71</v>
      </c>
      <c r="T22" s="2796">
        <v>44</v>
      </c>
      <c r="U22" s="2796">
        <v>0</v>
      </c>
      <c r="V22" s="2796">
        <v>30</v>
      </c>
      <c r="W22" s="2796">
        <v>26</v>
      </c>
      <c r="X22" s="2796">
        <v>41</v>
      </c>
      <c r="Y22" s="2796">
        <v>62</v>
      </c>
      <c r="Z22" s="2796">
        <v>23</v>
      </c>
      <c r="AA22" s="2796">
        <v>0</v>
      </c>
      <c r="AB22" s="2796">
        <v>0</v>
      </c>
      <c r="AC22" s="2796">
        <v>57</v>
      </c>
      <c r="AD22" s="2796">
        <v>45</v>
      </c>
      <c r="AE22" s="2796">
        <v>51</v>
      </c>
      <c r="AF22" s="2796">
        <v>40</v>
      </c>
      <c r="AG22" s="2796">
        <v>30</v>
      </c>
      <c r="AH22" s="2796">
        <v>47</v>
      </c>
      <c r="AI22" s="2796">
        <v>38</v>
      </c>
      <c r="AJ22" s="2790">
        <f t="shared" si="0"/>
        <v>1087</v>
      </c>
      <c r="AK22" s="2790" t="e">
        <f>VLOOKUP(B22,'Mủ CN (TT)'!C23:AK217,36,0)+VLOOKUP(B22,'Mủ CN (tam ung)'!C22:AL179,36,0)</f>
        <v>#N/A</v>
      </c>
      <c r="AL22" s="2797" t="s">
        <v>141</v>
      </c>
      <c r="AM22" s="2798"/>
      <c r="AO22" s="2793"/>
    </row>
    <row r="23" spans="1:41" ht="18.75">
      <c r="A23" s="933">
        <v>13</v>
      </c>
      <c r="B23" s="2794" t="s">
        <v>1555</v>
      </c>
      <c r="C23" s="2795"/>
      <c r="D23" s="2795" t="s">
        <v>451</v>
      </c>
      <c r="E23" s="2796">
        <v>88</v>
      </c>
      <c r="F23" s="2796">
        <v>36</v>
      </c>
      <c r="G23" s="2796">
        <v>73</v>
      </c>
      <c r="H23" s="2796">
        <v>48</v>
      </c>
      <c r="I23" s="2796">
        <v>72</v>
      </c>
      <c r="J23" s="2796">
        <v>29</v>
      </c>
      <c r="K23" s="2796">
        <v>0</v>
      </c>
      <c r="L23" s="2796">
        <v>142</v>
      </c>
      <c r="M23" s="2796">
        <v>73</v>
      </c>
      <c r="N23" s="2796">
        <v>0</v>
      </c>
      <c r="O23" s="2796">
        <v>76</v>
      </c>
      <c r="P23" s="2796">
        <v>82</v>
      </c>
      <c r="Q23" s="2796">
        <v>74</v>
      </c>
      <c r="R23" s="2796">
        <v>64</v>
      </c>
      <c r="S23" s="2796">
        <v>73</v>
      </c>
      <c r="T23" s="2796">
        <v>91</v>
      </c>
      <c r="U23" s="2796">
        <v>46</v>
      </c>
      <c r="V23" s="2796">
        <v>38</v>
      </c>
      <c r="W23" s="2796">
        <v>0</v>
      </c>
      <c r="X23" s="2796">
        <v>78</v>
      </c>
      <c r="Y23" s="2796">
        <v>80</v>
      </c>
      <c r="Z23" s="2796">
        <v>0</v>
      </c>
      <c r="AA23" s="2796">
        <v>69</v>
      </c>
      <c r="AB23" s="2796">
        <v>70</v>
      </c>
      <c r="AC23" s="2796">
        <v>59</v>
      </c>
      <c r="AD23" s="2796">
        <v>0</v>
      </c>
      <c r="AE23" s="2796">
        <v>86</v>
      </c>
      <c r="AF23" s="2796">
        <v>88</v>
      </c>
      <c r="AG23" s="2796">
        <v>30</v>
      </c>
      <c r="AH23" s="2796">
        <v>86</v>
      </c>
      <c r="AI23" s="2796">
        <v>77</v>
      </c>
      <c r="AJ23" s="2790">
        <f t="shared" si="0"/>
        <v>1828</v>
      </c>
      <c r="AK23" s="2790" t="e">
        <f>VLOOKUP(B23,'Mủ CN (TT)'!C24:AK217,36,0)+VLOOKUP(B23,'Mủ CN (tam ung)'!C23:AL180,36,0)</f>
        <v>#N/A</v>
      </c>
      <c r="AL23" s="2797" t="s">
        <v>141</v>
      </c>
      <c r="AM23" s="2798"/>
      <c r="AO23" s="2793"/>
    </row>
    <row r="24" spans="1:41" ht="18.75">
      <c r="A24" s="933">
        <v>14</v>
      </c>
      <c r="B24" s="2794" t="s">
        <v>552</v>
      </c>
      <c r="C24" s="2795"/>
      <c r="D24" s="2795" t="s">
        <v>451</v>
      </c>
      <c r="E24" s="2796">
        <v>73</v>
      </c>
      <c r="F24" s="2796">
        <v>65</v>
      </c>
      <c r="G24" s="2796">
        <v>92</v>
      </c>
      <c r="H24" s="2796">
        <v>117</v>
      </c>
      <c r="I24" s="2796">
        <v>69</v>
      </c>
      <c r="J24" s="2796">
        <v>64</v>
      </c>
      <c r="K24" s="2796">
        <v>65</v>
      </c>
      <c r="L24" s="2796">
        <v>97</v>
      </c>
      <c r="M24" s="2796">
        <v>58</v>
      </c>
      <c r="N24" s="2796">
        <v>56</v>
      </c>
      <c r="O24" s="2796">
        <v>85</v>
      </c>
      <c r="P24" s="2796">
        <v>92</v>
      </c>
      <c r="Q24" s="2796">
        <v>66</v>
      </c>
      <c r="R24" s="2796">
        <v>58</v>
      </c>
      <c r="S24" s="2796">
        <v>0</v>
      </c>
      <c r="T24" s="2796">
        <v>181</v>
      </c>
      <c r="U24" s="2796">
        <v>54</v>
      </c>
      <c r="V24" s="2796">
        <v>0</v>
      </c>
      <c r="W24" s="2796">
        <v>0</v>
      </c>
      <c r="X24" s="2796">
        <v>89</v>
      </c>
      <c r="Y24" s="2796">
        <v>55</v>
      </c>
      <c r="Z24" s="2796">
        <v>60</v>
      </c>
      <c r="AA24" s="2796">
        <v>59</v>
      </c>
      <c r="AB24" s="2796">
        <v>73</v>
      </c>
      <c r="AC24" s="2796">
        <v>56</v>
      </c>
      <c r="AD24" s="2796">
        <v>54</v>
      </c>
      <c r="AE24" s="2796">
        <v>86</v>
      </c>
      <c r="AF24" s="2796">
        <v>88</v>
      </c>
      <c r="AG24" s="2796">
        <v>0</v>
      </c>
      <c r="AH24" s="2796">
        <v>63</v>
      </c>
      <c r="AI24" s="2796">
        <v>31</v>
      </c>
      <c r="AJ24" s="2790">
        <f t="shared" si="0"/>
        <v>2006</v>
      </c>
      <c r="AK24" s="2790" t="e">
        <f>VLOOKUP(B24,'Mủ CN (TT)'!C25:AK218,36,0)+VLOOKUP(B24,'Mủ CN (tam ung)'!C24:AL181,36,0)</f>
        <v>#N/A</v>
      </c>
      <c r="AL24" s="2797" t="s">
        <v>141</v>
      </c>
      <c r="AM24" s="2798"/>
      <c r="AO24" s="2793"/>
    </row>
    <row r="25" spans="1:41" ht="18.75">
      <c r="A25" s="933">
        <v>15</v>
      </c>
      <c r="B25" s="2794" t="s">
        <v>1675</v>
      </c>
      <c r="C25" s="2795"/>
      <c r="D25" s="2795" t="s">
        <v>451</v>
      </c>
      <c r="E25" s="2796">
        <v>46</v>
      </c>
      <c r="F25" s="2796">
        <v>53</v>
      </c>
      <c r="G25" s="2796">
        <v>72</v>
      </c>
      <c r="H25" s="2796">
        <v>80</v>
      </c>
      <c r="I25" s="2796">
        <v>42</v>
      </c>
      <c r="J25" s="2796">
        <v>38</v>
      </c>
      <c r="K25" s="2796">
        <v>43</v>
      </c>
      <c r="L25" s="2796">
        <v>55</v>
      </c>
      <c r="M25" s="2796">
        <v>51</v>
      </c>
      <c r="N25" s="2796">
        <v>40</v>
      </c>
      <c r="O25" s="2796">
        <v>82</v>
      </c>
      <c r="P25" s="2796">
        <v>0</v>
      </c>
      <c r="Q25" s="2796">
        <v>117</v>
      </c>
      <c r="R25" s="2796">
        <v>54</v>
      </c>
      <c r="S25" s="2796">
        <v>85</v>
      </c>
      <c r="T25" s="2796">
        <v>75</v>
      </c>
      <c r="U25" s="2796">
        <v>0</v>
      </c>
      <c r="V25" s="2796">
        <v>0</v>
      </c>
      <c r="W25" s="2796">
        <v>0</v>
      </c>
      <c r="X25" s="2796">
        <v>0</v>
      </c>
      <c r="Y25" s="2796">
        <v>0</v>
      </c>
      <c r="Z25" s="2796">
        <v>0</v>
      </c>
      <c r="AA25" s="2796">
        <v>0</v>
      </c>
      <c r="AB25" s="2796">
        <v>0</v>
      </c>
      <c r="AC25" s="2796">
        <v>0</v>
      </c>
      <c r="AD25" s="2796">
        <v>0</v>
      </c>
      <c r="AE25" s="2796">
        <v>0</v>
      </c>
      <c r="AF25" s="2796">
        <v>0</v>
      </c>
      <c r="AG25" s="2796">
        <v>0</v>
      </c>
      <c r="AH25" s="2796">
        <v>0</v>
      </c>
      <c r="AI25" s="2796">
        <v>0</v>
      </c>
      <c r="AJ25" s="2790">
        <f t="shared" si="0"/>
        <v>933</v>
      </c>
      <c r="AK25" s="2790" t="e">
        <f>VLOOKUP(B25,'Mủ CN (TT)'!C26:AK219,36,0)+VLOOKUP(B25,'Mủ CN (tam ung)'!C25:AL182,36,0)</f>
        <v>#N/A</v>
      </c>
      <c r="AL25" s="2797" t="s">
        <v>138</v>
      </c>
      <c r="AM25" s="2798"/>
      <c r="AO25" s="2793"/>
    </row>
    <row r="26" spans="1:41" ht="18.75">
      <c r="A26" s="933">
        <v>16</v>
      </c>
      <c r="B26" s="2794" t="s">
        <v>1526</v>
      </c>
      <c r="C26" s="2795"/>
      <c r="D26" s="2795" t="s">
        <v>451</v>
      </c>
      <c r="E26" s="2796">
        <v>0</v>
      </c>
      <c r="F26" s="2796">
        <v>48</v>
      </c>
      <c r="G26" s="2796">
        <v>69</v>
      </c>
      <c r="H26" s="2796">
        <v>70</v>
      </c>
      <c r="I26" s="2796">
        <v>0</v>
      </c>
      <c r="J26" s="2796">
        <v>60</v>
      </c>
      <c r="K26" s="2796">
        <v>69</v>
      </c>
      <c r="L26" s="2796">
        <v>56</v>
      </c>
      <c r="M26" s="2796">
        <v>74</v>
      </c>
      <c r="N26" s="2796">
        <v>22</v>
      </c>
      <c r="O26" s="2796">
        <v>0</v>
      </c>
      <c r="P26" s="2796">
        <v>41</v>
      </c>
      <c r="Q26" s="2796">
        <v>44</v>
      </c>
      <c r="R26" s="2796">
        <v>47</v>
      </c>
      <c r="S26" s="2796">
        <v>0</v>
      </c>
      <c r="T26" s="2796">
        <v>112</v>
      </c>
      <c r="U26" s="2796">
        <v>47</v>
      </c>
      <c r="V26" s="2796">
        <v>0</v>
      </c>
      <c r="W26" s="2796">
        <v>56</v>
      </c>
      <c r="X26" s="2796">
        <v>100</v>
      </c>
      <c r="Y26" s="2796">
        <v>0</v>
      </c>
      <c r="Z26" s="2796">
        <v>55</v>
      </c>
      <c r="AA26" s="2796">
        <v>0</v>
      </c>
      <c r="AB26" s="2796">
        <v>0</v>
      </c>
      <c r="AC26" s="2796">
        <v>50</v>
      </c>
      <c r="AD26" s="2796">
        <v>68</v>
      </c>
      <c r="AE26" s="2796">
        <v>120</v>
      </c>
      <c r="AF26" s="2796">
        <v>60</v>
      </c>
      <c r="AG26" s="2796">
        <v>51</v>
      </c>
      <c r="AH26" s="2796">
        <v>0</v>
      </c>
      <c r="AI26" s="2796">
        <v>79</v>
      </c>
      <c r="AJ26" s="2790">
        <f t="shared" si="0"/>
        <v>1398</v>
      </c>
      <c r="AK26" s="2790" t="e">
        <f>VLOOKUP(B26,'Mủ CN (TT)'!C27:AK220,36,0)+VLOOKUP(B26,'Mủ CN (tam ung)'!C25:AL183,36,0)</f>
        <v>#N/A</v>
      </c>
      <c r="AL26" s="2797" t="s">
        <v>141</v>
      </c>
      <c r="AM26" s="2798"/>
      <c r="AO26" s="2793"/>
    </row>
    <row r="27" spans="1:41" ht="18.75">
      <c r="A27" s="933">
        <v>17</v>
      </c>
      <c r="B27" s="2794" t="s">
        <v>1236</v>
      </c>
      <c r="C27" s="2795"/>
      <c r="D27" s="2795" t="s">
        <v>451</v>
      </c>
      <c r="E27" s="2796">
        <v>76</v>
      </c>
      <c r="F27" s="2796">
        <v>35</v>
      </c>
      <c r="G27" s="2796">
        <v>112</v>
      </c>
      <c r="H27" s="2796">
        <v>123</v>
      </c>
      <c r="I27" s="2796">
        <v>67</v>
      </c>
      <c r="J27" s="2796">
        <v>43</v>
      </c>
      <c r="K27" s="2796">
        <v>0</v>
      </c>
      <c r="L27" s="2796">
        <v>80</v>
      </c>
      <c r="M27" s="2796">
        <v>52</v>
      </c>
      <c r="N27" s="2796">
        <v>32</v>
      </c>
      <c r="O27" s="2796">
        <v>125</v>
      </c>
      <c r="P27" s="2796">
        <v>86</v>
      </c>
      <c r="Q27" s="2796">
        <v>66</v>
      </c>
      <c r="R27" s="2796">
        <v>36</v>
      </c>
      <c r="S27" s="2796">
        <v>0</v>
      </c>
      <c r="T27" s="2796">
        <v>174</v>
      </c>
      <c r="U27" s="2796">
        <v>0</v>
      </c>
      <c r="V27" s="2796">
        <v>0</v>
      </c>
      <c r="W27" s="2796">
        <v>0</v>
      </c>
      <c r="X27" s="2796">
        <v>0</v>
      </c>
      <c r="Y27" s="2796">
        <v>114</v>
      </c>
      <c r="Z27" s="2796">
        <v>28</v>
      </c>
      <c r="AA27" s="2796">
        <v>83</v>
      </c>
      <c r="AB27" s="2796">
        <v>108</v>
      </c>
      <c r="AC27" s="2796">
        <v>68</v>
      </c>
      <c r="AD27" s="2796">
        <v>72</v>
      </c>
      <c r="AE27" s="2796">
        <v>35</v>
      </c>
      <c r="AF27" s="2796">
        <v>74</v>
      </c>
      <c r="AG27" s="2796">
        <v>88</v>
      </c>
      <c r="AH27" s="2796">
        <v>0</v>
      </c>
      <c r="AI27" s="2796">
        <v>80</v>
      </c>
      <c r="AJ27" s="2790">
        <f t="shared" si="0"/>
        <v>1857</v>
      </c>
      <c r="AK27" s="2790" t="e">
        <f>VLOOKUP(B27,'Mủ CN (TT)'!C28:AK221,36,0)+VLOOKUP(B27,'Mủ CN (tam ung)'!C26:AL184,36,0)</f>
        <v>#REF!</v>
      </c>
      <c r="AL27" s="2797" t="s">
        <v>141</v>
      </c>
      <c r="AM27" s="2798"/>
      <c r="AO27" s="2793"/>
    </row>
    <row r="28" spans="1:41" ht="18.75">
      <c r="A28" s="933">
        <v>18</v>
      </c>
      <c r="B28" s="2794" t="s">
        <v>1676</v>
      </c>
      <c r="C28" s="2795"/>
      <c r="D28" s="2795" t="s">
        <v>451</v>
      </c>
      <c r="E28" s="2796">
        <v>42</v>
      </c>
      <c r="F28" s="2796">
        <v>61</v>
      </c>
      <c r="G28" s="2796">
        <v>0</v>
      </c>
      <c r="H28" s="2796">
        <v>0</v>
      </c>
      <c r="I28" s="2796">
        <v>48</v>
      </c>
      <c r="J28" s="2796">
        <v>27</v>
      </c>
      <c r="K28" s="2796">
        <v>30</v>
      </c>
      <c r="L28" s="2796">
        <v>85</v>
      </c>
      <c r="M28" s="2796">
        <v>32</v>
      </c>
      <c r="N28" s="2796">
        <v>0</v>
      </c>
      <c r="O28" s="2796">
        <v>48</v>
      </c>
      <c r="P28" s="2796">
        <v>0</v>
      </c>
      <c r="Q28" s="2796">
        <v>44</v>
      </c>
      <c r="R28" s="2796">
        <v>57</v>
      </c>
      <c r="S28" s="2796">
        <v>0</v>
      </c>
      <c r="T28" s="2796">
        <v>145</v>
      </c>
      <c r="U28" s="2796">
        <v>35</v>
      </c>
      <c r="V28" s="2796">
        <v>0</v>
      </c>
      <c r="W28" s="2796">
        <v>0</v>
      </c>
      <c r="X28" s="2796">
        <v>0</v>
      </c>
      <c r="Y28" s="2796">
        <v>138</v>
      </c>
      <c r="Z28" s="2796">
        <v>36</v>
      </c>
      <c r="AA28" s="2796">
        <v>47</v>
      </c>
      <c r="AB28" s="2796">
        <v>0</v>
      </c>
      <c r="AC28" s="2790">
        <v>35</v>
      </c>
      <c r="AD28" s="2790">
        <v>31</v>
      </c>
      <c r="AE28" s="2790">
        <v>37</v>
      </c>
      <c r="AF28" s="2790">
        <v>60</v>
      </c>
      <c r="AG28" s="2790">
        <v>95</v>
      </c>
      <c r="AH28" s="2790">
        <v>38</v>
      </c>
      <c r="AI28" s="2790">
        <v>39</v>
      </c>
      <c r="AJ28" s="2790">
        <f t="shared" si="0"/>
        <v>1210</v>
      </c>
      <c r="AK28" s="2790" t="e">
        <f>VLOOKUP(B28,'Mủ CN (TT)'!C29:AK222,36,0)+VLOOKUP(B28,'Mủ CN (tam ung)'!C27:AL185,36,0)</f>
        <v>#N/A</v>
      </c>
      <c r="AL28" s="2797" t="s">
        <v>141</v>
      </c>
      <c r="AM28" s="2798"/>
      <c r="AO28" s="2793"/>
    </row>
    <row r="29" spans="1:41" ht="18.75">
      <c r="A29" s="933">
        <v>19</v>
      </c>
      <c r="B29" s="2794" t="s">
        <v>1556</v>
      </c>
      <c r="C29" s="2795"/>
      <c r="D29" s="2795" t="s">
        <v>451</v>
      </c>
      <c r="E29" s="2796"/>
      <c r="F29" s="2796"/>
      <c r="G29" s="2796">
        <v>0</v>
      </c>
      <c r="H29" s="2796">
        <v>0</v>
      </c>
      <c r="I29" s="2796">
        <v>37</v>
      </c>
      <c r="J29" s="2796">
        <v>0</v>
      </c>
      <c r="K29" s="2796">
        <v>28</v>
      </c>
      <c r="L29" s="2796">
        <v>0</v>
      </c>
      <c r="M29" s="2796">
        <v>0</v>
      </c>
      <c r="N29" s="2796">
        <v>89</v>
      </c>
      <c r="O29" s="2796">
        <v>45</v>
      </c>
      <c r="P29" s="2796">
        <v>69</v>
      </c>
      <c r="Q29" s="2796">
        <v>61</v>
      </c>
      <c r="R29" s="2796">
        <v>26</v>
      </c>
      <c r="S29" s="2796">
        <v>0</v>
      </c>
      <c r="T29" s="2796">
        <v>0</v>
      </c>
      <c r="U29" s="2796">
        <v>33</v>
      </c>
      <c r="V29" s="2796">
        <v>0</v>
      </c>
      <c r="W29" s="2796">
        <v>0</v>
      </c>
      <c r="X29" s="2796">
        <v>169</v>
      </c>
      <c r="Y29" s="2796">
        <v>0</v>
      </c>
      <c r="Z29" s="2796">
        <v>0</v>
      </c>
      <c r="AA29" s="2796">
        <v>0</v>
      </c>
      <c r="AB29" s="2796">
        <v>60</v>
      </c>
      <c r="AC29" s="2796">
        <v>54</v>
      </c>
      <c r="AD29" s="2796">
        <v>0</v>
      </c>
      <c r="AE29" s="2796">
        <v>57</v>
      </c>
      <c r="AF29" s="2796">
        <v>0</v>
      </c>
      <c r="AG29" s="2796">
        <v>32</v>
      </c>
      <c r="AH29" s="2796">
        <v>0</v>
      </c>
      <c r="AI29" s="2796">
        <v>0</v>
      </c>
      <c r="AJ29" s="2790">
        <f t="shared" si="0"/>
        <v>760</v>
      </c>
      <c r="AK29" s="2790" t="e">
        <f>VLOOKUP(B29,'Mủ CN (TT)'!C30:AK223,36,0)+VLOOKUP(B29,'Mủ CN (tam ung)'!C28:AL186,36,0)</f>
        <v>#N/A</v>
      </c>
      <c r="AL29" s="2797" t="s">
        <v>138</v>
      </c>
      <c r="AM29" s="2798"/>
      <c r="AO29" s="2793"/>
    </row>
    <row r="30" spans="1:41" ht="18.75">
      <c r="A30" s="933">
        <v>20</v>
      </c>
      <c r="B30" s="2794" t="s">
        <v>1557</v>
      </c>
      <c r="C30" s="2795"/>
      <c r="D30" s="2795" t="s">
        <v>451</v>
      </c>
      <c r="E30" s="2796">
        <v>42</v>
      </c>
      <c r="F30" s="2796">
        <v>42</v>
      </c>
      <c r="G30" s="2796">
        <v>0</v>
      </c>
      <c r="H30" s="2796">
        <v>0</v>
      </c>
      <c r="I30" s="2796">
        <v>78</v>
      </c>
      <c r="J30" s="2796">
        <v>57</v>
      </c>
      <c r="K30" s="2796">
        <v>59</v>
      </c>
      <c r="L30" s="2796">
        <v>240</v>
      </c>
      <c r="M30" s="2796">
        <v>40</v>
      </c>
      <c r="N30" s="2796">
        <v>60</v>
      </c>
      <c r="O30" s="2796">
        <v>40</v>
      </c>
      <c r="P30" s="2796">
        <v>139</v>
      </c>
      <c r="Q30" s="2796">
        <v>65</v>
      </c>
      <c r="R30" s="2796">
        <v>51</v>
      </c>
      <c r="S30" s="2796">
        <v>40</v>
      </c>
      <c r="T30" s="2796">
        <v>120</v>
      </c>
      <c r="U30" s="2796">
        <v>48</v>
      </c>
      <c r="V30" s="2796">
        <v>49</v>
      </c>
      <c r="W30" s="2796">
        <v>22</v>
      </c>
      <c r="X30" s="2796">
        <v>64</v>
      </c>
      <c r="Y30" s="2796">
        <v>42</v>
      </c>
      <c r="Z30" s="2796">
        <v>34</v>
      </c>
      <c r="AA30" s="2796">
        <v>40</v>
      </c>
      <c r="AB30" s="2796">
        <v>65</v>
      </c>
      <c r="AC30" s="2796">
        <v>50</v>
      </c>
      <c r="AD30" s="2796">
        <v>60</v>
      </c>
      <c r="AE30" s="2796">
        <v>53</v>
      </c>
      <c r="AF30" s="2796">
        <v>91</v>
      </c>
      <c r="AG30" s="2796">
        <v>60</v>
      </c>
      <c r="AH30" s="2796">
        <v>50</v>
      </c>
      <c r="AI30" s="2796">
        <v>77</v>
      </c>
      <c r="AJ30" s="2790">
        <f t="shared" si="0"/>
        <v>1878</v>
      </c>
      <c r="AK30" s="2790" t="e">
        <f>VLOOKUP(B30,'Mủ CN (TT)'!C31:AK224,36,0)+VLOOKUP(B30,'Mủ CN (tam ung)'!C28:AL187,36,0)</f>
        <v>#N/A</v>
      </c>
      <c r="AL30" s="2797" t="s">
        <v>141</v>
      </c>
      <c r="AM30" s="2798"/>
      <c r="AO30" s="2793"/>
    </row>
    <row r="31" spans="1:41" ht="18.75">
      <c r="A31" s="933">
        <v>21</v>
      </c>
      <c r="B31" s="2794" t="s">
        <v>1677</v>
      </c>
      <c r="C31" s="2795"/>
      <c r="D31" s="2795" t="s">
        <v>451</v>
      </c>
      <c r="E31" s="2796">
        <v>76</v>
      </c>
      <c r="F31" s="2796">
        <v>72</v>
      </c>
      <c r="G31" s="2796">
        <v>82</v>
      </c>
      <c r="H31" s="2796">
        <v>83</v>
      </c>
      <c r="I31" s="2796">
        <v>52</v>
      </c>
      <c r="J31" s="2796">
        <v>50</v>
      </c>
      <c r="K31" s="2796">
        <v>43</v>
      </c>
      <c r="L31" s="2796">
        <v>55</v>
      </c>
      <c r="M31" s="2796">
        <v>51</v>
      </c>
      <c r="N31" s="2796">
        <v>38</v>
      </c>
      <c r="O31" s="2796">
        <v>78</v>
      </c>
      <c r="P31" s="2796">
        <v>61</v>
      </c>
      <c r="Q31" s="2796">
        <v>97</v>
      </c>
      <c r="R31" s="2796">
        <v>68</v>
      </c>
      <c r="S31" s="2796">
        <v>84</v>
      </c>
      <c r="T31" s="2796">
        <v>75</v>
      </c>
      <c r="U31" s="2796">
        <v>0</v>
      </c>
      <c r="V31" s="2796">
        <v>0</v>
      </c>
      <c r="W31" s="2796">
        <v>0</v>
      </c>
      <c r="X31" s="2796">
        <v>0</v>
      </c>
      <c r="Y31" s="2796">
        <v>0</v>
      </c>
      <c r="Z31" s="2796">
        <v>0</v>
      </c>
      <c r="AA31" s="2796">
        <v>0</v>
      </c>
      <c r="AB31" s="2796">
        <v>0</v>
      </c>
      <c r="AC31" s="2796">
        <v>0</v>
      </c>
      <c r="AD31" s="2796">
        <v>0</v>
      </c>
      <c r="AE31" s="2796">
        <v>0</v>
      </c>
      <c r="AF31" s="2796">
        <v>0</v>
      </c>
      <c r="AG31" s="2796">
        <v>0</v>
      </c>
      <c r="AH31" s="2796">
        <v>0</v>
      </c>
      <c r="AI31" s="2796">
        <v>0</v>
      </c>
      <c r="AJ31" s="2790">
        <f t="shared" si="0"/>
        <v>1065</v>
      </c>
      <c r="AK31" s="2790" t="e">
        <f>VLOOKUP(B31,'Mủ CN (TT)'!C32:AK225,36,0)+VLOOKUP(B31,'Mủ CN (tam ung)'!C29:AL188,36,0)</f>
        <v>#N/A</v>
      </c>
      <c r="AL31" s="2797" t="s">
        <v>138</v>
      </c>
      <c r="AM31" s="2798"/>
      <c r="AO31" s="2793"/>
    </row>
    <row r="32" spans="1:41" ht="18.75">
      <c r="A32" s="933">
        <v>22</v>
      </c>
      <c r="B32" s="2794" t="s">
        <v>1558</v>
      </c>
      <c r="C32" s="2795"/>
      <c r="D32" s="2795" t="s">
        <v>451</v>
      </c>
      <c r="E32" s="2796">
        <v>38</v>
      </c>
      <c r="F32" s="2796">
        <v>82</v>
      </c>
      <c r="G32" s="2796">
        <v>79</v>
      </c>
      <c r="H32" s="2796">
        <v>86</v>
      </c>
      <c r="I32" s="2796">
        <v>50</v>
      </c>
      <c r="J32" s="2796">
        <v>76</v>
      </c>
      <c r="K32" s="2796">
        <v>45</v>
      </c>
      <c r="L32" s="2796">
        <v>70</v>
      </c>
      <c r="M32" s="2796">
        <v>44</v>
      </c>
      <c r="N32" s="2796">
        <v>50</v>
      </c>
      <c r="O32" s="2796">
        <v>80</v>
      </c>
      <c r="P32" s="2796">
        <v>53</v>
      </c>
      <c r="Q32" s="2796">
        <v>30</v>
      </c>
      <c r="R32" s="2796">
        <v>92</v>
      </c>
      <c r="S32" s="2796">
        <v>65</v>
      </c>
      <c r="T32" s="2796">
        <v>57</v>
      </c>
      <c r="U32" s="2796">
        <v>35</v>
      </c>
      <c r="V32" s="2796">
        <v>98</v>
      </c>
      <c r="W32" s="2796">
        <v>30</v>
      </c>
      <c r="X32" s="2796">
        <v>60</v>
      </c>
      <c r="Y32" s="2796">
        <v>38</v>
      </c>
      <c r="Z32" s="2796">
        <v>64</v>
      </c>
      <c r="AA32" s="2796">
        <v>0</v>
      </c>
      <c r="AB32" s="2796">
        <v>35</v>
      </c>
      <c r="AC32" s="2796">
        <v>29</v>
      </c>
      <c r="AD32" s="2796">
        <v>80</v>
      </c>
      <c r="AE32" s="2796">
        <v>114</v>
      </c>
      <c r="AF32" s="2796">
        <v>57</v>
      </c>
      <c r="AG32" s="2796">
        <v>47</v>
      </c>
      <c r="AH32" s="2796">
        <v>103</v>
      </c>
      <c r="AI32" s="2796">
        <v>62</v>
      </c>
      <c r="AJ32" s="2790">
        <f t="shared" si="0"/>
        <v>1849</v>
      </c>
      <c r="AK32" s="2790" t="e">
        <f>VLOOKUP(B32,'Mủ CN (TT)'!C33:AK226,36,0)+VLOOKUP(B32,'Mủ CN (tam ung)'!C29:AL189,36,0)</f>
        <v>#N/A</v>
      </c>
      <c r="AL32" s="2797" t="s">
        <v>141</v>
      </c>
      <c r="AM32" s="2798"/>
      <c r="AO32" s="2793"/>
    </row>
    <row r="33" spans="1:44" ht="21.75" customHeight="1">
      <c r="A33" s="933">
        <v>23</v>
      </c>
      <c r="B33" s="2794" t="s">
        <v>1524</v>
      </c>
      <c r="C33" s="2795"/>
      <c r="D33" s="2795" t="s">
        <v>451</v>
      </c>
      <c r="E33" s="2796">
        <v>0</v>
      </c>
      <c r="F33" s="2796">
        <v>77</v>
      </c>
      <c r="G33" s="2796">
        <v>58</v>
      </c>
      <c r="H33" s="2796">
        <v>0</v>
      </c>
      <c r="I33" s="2796">
        <v>49</v>
      </c>
      <c r="J33" s="2796">
        <v>68</v>
      </c>
      <c r="K33" s="2796">
        <v>88</v>
      </c>
      <c r="L33" s="2796">
        <v>40</v>
      </c>
      <c r="M33" s="2796">
        <v>63</v>
      </c>
      <c r="N33" s="2796">
        <v>0</v>
      </c>
      <c r="O33" s="2796">
        <v>65</v>
      </c>
      <c r="P33" s="2796">
        <v>0</v>
      </c>
      <c r="Q33" s="2796">
        <v>27</v>
      </c>
      <c r="R33" s="2796">
        <v>87</v>
      </c>
      <c r="S33" s="2796">
        <v>0</v>
      </c>
      <c r="T33" s="2796">
        <v>85</v>
      </c>
      <c r="U33" s="2796">
        <v>56</v>
      </c>
      <c r="V33" s="2796">
        <v>64</v>
      </c>
      <c r="W33" s="2796">
        <v>0</v>
      </c>
      <c r="X33" s="2796">
        <v>0</v>
      </c>
      <c r="Y33" s="2796">
        <v>56</v>
      </c>
      <c r="Z33" s="2796">
        <v>50</v>
      </c>
      <c r="AA33" s="2796">
        <v>45</v>
      </c>
      <c r="AB33" s="2796">
        <v>0</v>
      </c>
      <c r="AC33" s="2796">
        <v>16</v>
      </c>
      <c r="AD33" s="2796">
        <v>55</v>
      </c>
      <c r="AE33" s="2796">
        <v>50</v>
      </c>
      <c r="AF33" s="2796">
        <v>92</v>
      </c>
      <c r="AG33" s="2796">
        <v>24</v>
      </c>
      <c r="AH33" s="2796">
        <v>64</v>
      </c>
      <c r="AI33" s="2796">
        <v>50</v>
      </c>
      <c r="AJ33" s="2790">
        <f t="shared" si="0"/>
        <v>1329</v>
      </c>
      <c r="AK33" s="2790" t="e">
        <f>VLOOKUP(B33,'Mủ CN (TT)'!C34:AK227,36,0)+VLOOKUP(B33,'Mủ CN (tam ung)'!C30:AL190,36,0)</f>
        <v>#N/A</v>
      </c>
      <c r="AL33" s="2797" t="s">
        <v>141</v>
      </c>
      <c r="AM33" s="2798"/>
      <c r="AO33" s="2793"/>
    </row>
    <row r="34" spans="1:44" ht="21.75" customHeight="1">
      <c r="A34" s="933">
        <v>24</v>
      </c>
      <c r="B34" s="2794" t="s">
        <v>289</v>
      </c>
      <c r="C34" s="2795"/>
      <c r="D34" s="2795" t="s">
        <v>451</v>
      </c>
      <c r="E34" s="2796">
        <v>0</v>
      </c>
      <c r="F34" s="2796">
        <v>0</v>
      </c>
      <c r="G34" s="2796">
        <v>0</v>
      </c>
      <c r="H34" s="2796">
        <v>0</v>
      </c>
      <c r="I34" s="2796">
        <v>0</v>
      </c>
      <c r="J34" s="2796">
        <v>0</v>
      </c>
      <c r="K34" s="2796">
        <v>35</v>
      </c>
      <c r="L34" s="2796">
        <v>159</v>
      </c>
      <c r="M34" s="2796">
        <v>66</v>
      </c>
      <c r="N34" s="2796">
        <v>36</v>
      </c>
      <c r="O34" s="2796">
        <v>23</v>
      </c>
      <c r="P34" s="2796">
        <v>56</v>
      </c>
      <c r="Q34" s="2796">
        <v>0</v>
      </c>
      <c r="R34" s="2796">
        <v>30</v>
      </c>
      <c r="S34" s="2796">
        <v>0</v>
      </c>
      <c r="T34" s="2796">
        <v>0</v>
      </c>
      <c r="U34" s="2796">
        <v>0</v>
      </c>
      <c r="V34" s="2796">
        <v>0</v>
      </c>
      <c r="W34" s="2796">
        <v>0</v>
      </c>
      <c r="X34" s="2796">
        <v>0</v>
      </c>
      <c r="Y34" s="2796">
        <v>41</v>
      </c>
      <c r="Z34" s="2796">
        <v>0</v>
      </c>
      <c r="AA34" s="2796">
        <v>42</v>
      </c>
      <c r="AB34" s="2796">
        <v>0</v>
      </c>
      <c r="AC34" s="2796">
        <v>0</v>
      </c>
      <c r="AD34" s="2796">
        <v>0</v>
      </c>
      <c r="AE34" s="2796">
        <v>0</v>
      </c>
      <c r="AF34" s="2796">
        <v>65</v>
      </c>
      <c r="AG34" s="2796">
        <v>30</v>
      </c>
      <c r="AH34" s="2796">
        <v>40</v>
      </c>
      <c r="AI34" s="2796">
        <v>100</v>
      </c>
      <c r="AJ34" s="2790">
        <f t="shared" si="0"/>
        <v>723</v>
      </c>
      <c r="AK34" s="2790" t="e">
        <f>VLOOKUP(B34,'Mủ CN (TT)'!C35:AK228,36,0)+VLOOKUP(B34,'Mủ CN (tam ung)'!C31:AL191,36,0)</f>
        <v>#N/A</v>
      </c>
      <c r="AL34" s="2797" t="s">
        <v>138</v>
      </c>
      <c r="AM34" s="2798"/>
      <c r="AO34" s="2793"/>
    </row>
    <row r="35" spans="1:44" ht="21.75" customHeight="1">
      <c r="A35" s="933">
        <v>25</v>
      </c>
      <c r="B35" s="2794" t="s">
        <v>1678</v>
      </c>
      <c r="C35" s="2795"/>
      <c r="D35" s="2795" t="s">
        <v>451</v>
      </c>
      <c r="E35" s="2796">
        <v>0</v>
      </c>
      <c r="F35" s="2796">
        <v>0</v>
      </c>
      <c r="G35" s="2796">
        <v>141</v>
      </c>
      <c r="H35" s="2796">
        <v>182</v>
      </c>
      <c r="I35" s="2796">
        <v>0</v>
      </c>
      <c r="J35" s="2796">
        <v>49</v>
      </c>
      <c r="K35" s="2796">
        <v>0</v>
      </c>
      <c r="L35" s="2796">
        <v>93</v>
      </c>
      <c r="M35" s="2796">
        <v>0</v>
      </c>
      <c r="N35" s="2796">
        <v>18</v>
      </c>
      <c r="O35" s="2796">
        <v>0</v>
      </c>
      <c r="P35" s="2796">
        <v>102</v>
      </c>
      <c r="Q35" s="2796">
        <v>148</v>
      </c>
      <c r="R35" s="2796">
        <v>0</v>
      </c>
      <c r="S35" s="2796">
        <v>152</v>
      </c>
      <c r="T35" s="2796">
        <v>171</v>
      </c>
      <c r="U35" s="2796">
        <v>0</v>
      </c>
      <c r="V35" s="2796">
        <v>82</v>
      </c>
      <c r="W35" s="2796">
        <v>59</v>
      </c>
      <c r="X35" s="2796">
        <v>122</v>
      </c>
      <c r="Y35" s="2796">
        <v>104</v>
      </c>
      <c r="Z35" s="2796">
        <v>0</v>
      </c>
      <c r="AA35" s="2796">
        <v>0</v>
      </c>
      <c r="AB35" s="2796">
        <v>0</v>
      </c>
      <c r="AC35" s="2796">
        <v>0</v>
      </c>
      <c r="AD35" s="2796">
        <v>43</v>
      </c>
      <c r="AE35" s="2796">
        <v>75</v>
      </c>
      <c r="AF35" s="2796">
        <v>201</v>
      </c>
      <c r="AG35" s="2796">
        <v>133</v>
      </c>
      <c r="AH35" s="2796">
        <v>48</v>
      </c>
      <c r="AI35" s="2796">
        <v>78</v>
      </c>
      <c r="AJ35" s="2790">
        <f t="shared" si="0"/>
        <v>2001</v>
      </c>
      <c r="AK35" s="2790" t="e">
        <f>VLOOKUP(B35,'Mủ CN (TT)'!C36:AK229,36,0)+VLOOKUP(B35,'Mủ CN (tam ung)'!C32:AL192,36,0)</f>
        <v>#N/A</v>
      </c>
      <c r="AL35" s="2797" t="s">
        <v>141</v>
      </c>
      <c r="AM35" s="2798"/>
      <c r="AO35" s="2793"/>
    </row>
    <row r="36" spans="1:44" ht="21.75" customHeight="1">
      <c r="A36" s="933">
        <v>26</v>
      </c>
      <c r="B36" s="2794" t="s">
        <v>1528</v>
      </c>
      <c r="C36" s="2799"/>
      <c r="D36" s="2795" t="s">
        <v>451</v>
      </c>
      <c r="E36" s="2796">
        <v>56</v>
      </c>
      <c r="F36" s="2796">
        <v>22</v>
      </c>
      <c r="G36" s="2796">
        <v>40</v>
      </c>
      <c r="H36" s="2796">
        <v>0</v>
      </c>
      <c r="I36" s="2796">
        <v>22</v>
      </c>
      <c r="J36" s="2796">
        <v>21</v>
      </c>
      <c r="K36" s="2796">
        <v>54</v>
      </c>
      <c r="L36" s="2796">
        <v>157</v>
      </c>
      <c r="M36" s="2796">
        <v>25</v>
      </c>
      <c r="N36" s="2796">
        <v>18</v>
      </c>
      <c r="O36" s="2796">
        <v>50</v>
      </c>
      <c r="P36" s="2796">
        <v>85</v>
      </c>
      <c r="Q36" s="2796">
        <v>31</v>
      </c>
      <c r="R36" s="2796">
        <v>33</v>
      </c>
      <c r="S36" s="2796">
        <v>0</v>
      </c>
      <c r="T36" s="2796">
        <v>168</v>
      </c>
      <c r="U36" s="2796">
        <v>0</v>
      </c>
      <c r="V36" s="2796">
        <v>0</v>
      </c>
      <c r="W36" s="2796">
        <v>0</v>
      </c>
      <c r="X36" s="2796">
        <v>0</v>
      </c>
      <c r="Y36" s="2796">
        <v>23</v>
      </c>
      <c r="Z36" s="2796">
        <v>143</v>
      </c>
      <c r="AA36" s="2796">
        <v>29</v>
      </c>
      <c r="AB36" s="2796">
        <v>26</v>
      </c>
      <c r="AC36" s="2796">
        <v>68</v>
      </c>
      <c r="AD36" s="2796">
        <v>27</v>
      </c>
      <c r="AE36" s="2796">
        <v>90</v>
      </c>
      <c r="AF36" s="2796">
        <v>82</v>
      </c>
      <c r="AG36" s="2796">
        <v>67</v>
      </c>
      <c r="AH36" s="2796">
        <v>0</v>
      </c>
      <c r="AI36" s="2796">
        <v>110</v>
      </c>
      <c r="AJ36" s="2790">
        <f t="shared" si="0"/>
        <v>1447</v>
      </c>
      <c r="AK36" s="2790" t="e">
        <f>VLOOKUP(B36,'Mủ CN (TT)'!C37:AK230,36,0)+VLOOKUP(B36,'Mủ CN (tam ung)'!C33:AL193,36,0)</f>
        <v>#N/A</v>
      </c>
      <c r="AL36" s="2797" t="s">
        <v>141</v>
      </c>
      <c r="AM36" s="2798"/>
      <c r="AO36" s="2793"/>
    </row>
    <row r="37" spans="1:44" ht="21.75" customHeight="1">
      <c r="A37" s="933">
        <v>27</v>
      </c>
      <c r="B37" s="2794" t="s">
        <v>1679</v>
      </c>
      <c r="C37" s="2795"/>
      <c r="D37" s="2795" t="s">
        <v>451</v>
      </c>
      <c r="E37" s="2796">
        <v>0</v>
      </c>
      <c r="F37" s="2796">
        <v>16</v>
      </c>
      <c r="G37" s="2796">
        <v>50</v>
      </c>
      <c r="H37" s="2796">
        <v>122</v>
      </c>
      <c r="I37" s="2796">
        <v>73</v>
      </c>
      <c r="J37" s="2796">
        <v>0</v>
      </c>
      <c r="K37" s="2796">
        <v>42</v>
      </c>
      <c r="L37" s="2796">
        <v>46</v>
      </c>
      <c r="M37" s="2796">
        <v>24</v>
      </c>
      <c r="N37" s="2796">
        <v>25</v>
      </c>
      <c r="O37" s="2796">
        <v>37</v>
      </c>
      <c r="P37" s="2796">
        <v>45</v>
      </c>
      <c r="Q37" s="2796">
        <v>27</v>
      </c>
      <c r="R37" s="2796">
        <v>32</v>
      </c>
      <c r="S37" s="2796">
        <v>55</v>
      </c>
      <c r="T37" s="2796">
        <v>98</v>
      </c>
      <c r="U37" s="2796">
        <v>0</v>
      </c>
      <c r="V37" s="2796">
        <v>0</v>
      </c>
      <c r="W37" s="2796">
        <v>0</v>
      </c>
      <c r="X37" s="2796">
        <v>0</v>
      </c>
      <c r="Y37" s="2796">
        <v>63</v>
      </c>
      <c r="Z37" s="2796">
        <v>47</v>
      </c>
      <c r="AA37" s="2796">
        <v>42</v>
      </c>
      <c r="AB37" s="2796">
        <v>65</v>
      </c>
      <c r="AC37" s="2796">
        <v>54</v>
      </c>
      <c r="AD37" s="2796">
        <v>37</v>
      </c>
      <c r="AE37" s="2796">
        <v>59</v>
      </c>
      <c r="AF37" s="2796">
        <v>90</v>
      </c>
      <c r="AG37" s="2796">
        <v>55</v>
      </c>
      <c r="AH37" s="2796">
        <v>28</v>
      </c>
      <c r="AI37" s="2796">
        <v>63</v>
      </c>
      <c r="AJ37" s="2790">
        <f t="shared" si="0"/>
        <v>1295</v>
      </c>
      <c r="AK37" s="2790" t="e">
        <f>VLOOKUP(B37,'Mủ CN (TT)'!C38:AK231,36,0)+VLOOKUP(B37,'Mủ CN (tam ung)'!C34:AL194,36,0)</f>
        <v>#N/A</v>
      </c>
      <c r="AL37" s="2797" t="s">
        <v>141</v>
      </c>
      <c r="AM37" s="2798"/>
      <c r="AO37" s="2793"/>
      <c r="AP37">
        <f>+COUNTIF(AL11:AL44,"A")</f>
        <v>26</v>
      </c>
    </row>
    <row r="38" spans="1:44" ht="21.75" customHeight="1">
      <c r="A38" s="933">
        <v>28</v>
      </c>
      <c r="B38" s="2794" t="s">
        <v>1529</v>
      </c>
      <c r="C38" s="2795"/>
      <c r="D38" s="2795" t="s">
        <v>451</v>
      </c>
      <c r="E38" s="2796">
        <v>47</v>
      </c>
      <c r="F38" s="2796">
        <v>32</v>
      </c>
      <c r="G38" s="2796">
        <v>62</v>
      </c>
      <c r="H38" s="2796">
        <v>0</v>
      </c>
      <c r="I38" s="2796">
        <v>68</v>
      </c>
      <c r="J38" s="2796">
        <v>21</v>
      </c>
      <c r="K38" s="2796">
        <v>108</v>
      </c>
      <c r="L38" s="2796">
        <v>66</v>
      </c>
      <c r="M38" s="2796">
        <v>66</v>
      </c>
      <c r="N38" s="2796">
        <v>0</v>
      </c>
      <c r="O38" s="2796">
        <v>73</v>
      </c>
      <c r="P38" s="2796">
        <v>0</v>
      </c>
      <c r="Q38" s="2796">
        <v>47</v>
      </c>
      <c r="R38" s="2796">
        <v>40</v>
      </c>
      <c r="S38" s="2796">
        <v>0</v>
      </c>
      <c r="T38" s="2796">
        <v>93</v>
      </c>
      <c r="U38" s="2796">
        <v>63</v>
      </c>
      <c r="V38" s="2796">
        <v>0</v>
      </c>
      <c r="W38" s="2796">
        <v>0</v>
      </c>
      <c r="X38" s="2796">
        <v>0</v>
      </c>
      <c r="Y38" s="2796">
        <v>105</v>
      </c>
      <c r="Z38" s="2796">
        <v>10</v>
      </c>
      <c r="AA38" s="2796">
        <v>48</v>
      </c>
      <c r="AB38" s="2796">
        <v>0</v>
      </c>
      <c r="AC38" s="2796">
        <v>21</v>
      </c>
      <c r="AD38" s="2796">
        <v>25</v>
      </c>
      <c r="AE38" s="2796">
        <v>62</v>
      </c>
      <c r="AF38" s="2796">
        <v>88</v>
      </c>
      <c r="AG38" s="2796">
        <v>53</v>
      </c>
      <c r="AH38" s="2796">
        <v>41</v>
      </c>
      <c r="AI38" s="2796">
        <v>62</v>
      </c>
      <c r="AJ38" s="2790">
        <f t="shared" si="0"/>
        <v>1301</v>
      </c>
      <c r="AK38" s="2790" t="e">
        <f>VLOOKUP(B38,'Mủ CN (TT)'!C39:AK232,36,0)+VLOOKUP(B38,'Mủ CN (tam ung)'!C35:AL195,36,0)</f>
        <v>#N/A</v>
      </c>
      <c r="AL38" s="2797" t="s">
        <v>141</v>
      </c>
      <c r="AM38" s="2798"/>
      <c r="AO38" s="2793"/>
    </row>
    <row r="39" spans="1:44" ht="21.75" customHeight="1">
      <c r="A39" s="933">
        <v>29</v>
      </c>
      <c r="B39" s="2794" t="s">
        <v>1487</v>
      </c>
      <c r="C39" s="2799"/>
      <c r="D39" s="2795" t="s">
        <v>451</v>
      </c>
      <c r="E39" s="2796">
        <v>68</v>
      </c>
      <c r="F39" s="2796">
        <v>25</v>
      </c>
      <c r="G39" s="2796">
        <v>76</v>
      </c>
      <c r="H39" s="2796">
        <v>129</v>
      </c>
      <c r="I39" s="2796">
        <v>27</v>
      </c>
      <c r="J39" s="2796">
        <v>25</v>
      </c>
      <c r="K39" s="2796">
        <v>0</v>
      </c>
      <c r="L39" s="2796">
        <v>70</v>
      </c>
      <c r="M39" s="2796">
        <v>32</v>
      </c>
      <c r="N39" s="2796">
        <v>20</v>
      </c>
      <c r="O39" s="2796">
        <v>63</v>
      </c>
      <c r="P39" s="2796">
        <v>76</v>
      </c>
      <c r="Q39" s="2796">
        <v>0</v>
      </c>
      <c r="R39" s="2796">
        <v>30</v>
      </c>
      <c r="S39" s="2796">
        <v>55</v>
      </c>
      <c r="T39" s="2796">
        <v>0</v>
      </c>
      <c r="U39" s="2796">
        <v>0</v>
      </c>
      <c r="V39" s="2796">
        <v>31</v>
      </c>
      <c r="W39" s="2796">
        <v>0</v>
      </c>
      <c r="X39" s="2796">
        <v>52</v>
      </c>
      <c r="Y39" s="2796">
        <v>38</v>
      </c>
      <c r="Z39" s="2796">
        <v>27</v>
      </c>
      <c r="AA39" s="2796">
        <v>51</v>
      </c>
      <c r="AB39" s="2796">
        <v>0</v>
      </c>
      <c r="AC39" s="2796">
        <v>0</v>
      </c>
      <c r="AD39" s="2796">
        <v>28</v>
      </c>
      <c r="AE39" s="2796">
        <v>62</v>
      </c>
      <c r="AF39" s="2796">
        <v>77</v>
      </c>
      <c r="AG39" s="2796">
        <v>55</v>
      </c>
      <c r="AH39" s="2796">
        <v>0</v>
      </c>
      <c r="AI39" s="2796">
        <v>55</v>
      </c>
      <c r="AJ39" s="2790">
        <f t="shared" si="0"/>
        <v>1172</v>
      </c>
      <c r="AK39" s="2790" t="e">
        <f>VLOOKUP(B39,'Mủ CN (TT)'!C40:AK233,36,0)+VLOOKUP(B39,'Mủ CN (tam ung)'!C36:AL196,36,0)</f>
        <v>#N/A</v>
      </c>
      <c r="AL39" s="2797" t="s">
        <v>141</v>
      </c>
      <c r="AM39" s="2798"/>
      <c r="AO39" s="2793"/>
    </row>
    <row r="40" spans="1:44" ht="21.75" customHeight="1">
      <c r="A40" s="933">
        <v>30</v>
      </c>
      <c r="B40" s="2794" t="s">
        <v>1559</v>
      </c>
      <c r="C40" s="2795"/>
      <c r="D40" s="2795" t="s">
        <v>451</v>
      </c>
      <c r="E40" s="2796">
        <v>30</v>
      </c>
      <c r="F40" s="2796">
        <v>28</v>
      </c>
      <c r="G40" s="2796">
        <v>60</v>
      </c>
      <c r="H40" s="2796">
        <v>202</v>
      </c>
      <c r="I40" s="2796">
        <v>29</v>
      </c>
      <c r="J40" s="2796">
        <v>40</v>
      </c>
      <c r="K40" s="2796">
        <v>30</v>
      </c>
      <c r="L40" s="2796">
        <v>62</v>
      </c>
      <c r="M40" s="2796">
        <v>20</v>
      </c>
      <c r="N40" s="2796">
        <v>0</v>
      </c>
      <c r="O40" s="2796">
        <v>94</v>
      </c>
      <c r="P40" s="2796">
        <v>54</v>
      </c>
      <c r="Q40" s="2796">
        <v>77</v>
      </c>
      <c r="R40" s="2796">
        <v>35</v>
      </c>
      <c r="S40" s="2796">
        <v>0</v>
      </c>
      <c r="T40" s="2796">
        <v>137</v>
      </c>
      <c r="U40" s="2796">
        <v>0</v>
      </c>
      <c r="V40" s="2796">
        <v>29</v>
      </c>
      <c r="W40" s="2796">
        <v>0</v>
      </c>
      <c r="X40" s="2796">
        <v>79</v>
      </c>
      <c r="Y40" s="2796">
        <v>37</v>
      </c>
      <c r="Z40" s="2796">
        <v>0</v>
      </c>
      <c r="AA40" s="2796">
        <v>0</v>
      </c>
      <c r="AB40" s="2796">
        <v>100</v>
      </c>
      <c r="AC40" s="2796">
        <v>30</v>
      </c>
      <c r="AD40" s="2796">
        <v>0</v>
      </c>
      <c r="AE40" s="2796">
        <v>84</v>
      </c>
      <c r="AF40" s="2796">
        <v>36</v>
      </c>
      <c r="AG40" s="2796">
        <v>0</v>
      </c>
      <c r="AH40" s="2796">
        <v>45</v>
      </c>
      <c r="AI40" s="2796">
        <v>50</v>
      </c>
      <c r="AJ40" s="2790">
        <f t="shared" si="0"/>
        <v>1388</v>
      </c>
      <c r="AK40" s="2790" t="e">
        <f>VLOOKUP(B40,'Mủ CN (TT)'!C41:AK234,36,0)+VLOOKUP(B40,'Mủ CN (tam ung)'!C37:AL197,36,0)</f>
        <v>#N/A</v>
      </c>
      <c r="AL40" s="2797" t="s">
        <v>141</v>
      </c>
      <c r="AM40" s="2798"/>
      <c r="AO40" s="2793"/>
    </row>
    <row r="41" spans="1:44" ht="21.75" customHeight="1">
      <c r="A41" s="933">
        <v>31</v>
      </c>
      <c r="B41" s="2794" t="s">
        <v>1238</v>
      </c>
      <c r="C41" s="2795"/>
      <c r="D41" s="2795" t="s">
        <v>451</v>
      </c>
      <c r="E41" s="2796">
        <v>56</v>
      </c>
      <c r="F41" s="2796">
        <v>39</v>
      </c>
      <c r="G41" s="2796">
        <v>62</v>
      </c>
      <c r="H41" s="2796">
        <v>102</v>
      </c>
      <c r="I41" s="2796">
        <v>55</v>
      </c>
      <c r="J41" s="2796">
        <v>27</v>
      </c>
      <c r="K41" s="2796">
        <v>30</v>
      </c>
      <c r="L41" s="2796">
        <v>35</v>
      </c>
      <c r="M41" s="2796">
        <v>40</v>
      </c>
      <c r="N41" s="2796">
        <v>30</v>
      </c>
      <c r="O41" s="2796">
        <v>57</v>
      </c>
      <c r="P41" s="2796">
        <v>135</v>
      </c>
      <c r="Q41" s="2796">
        <v>45</v>
      </c>
      <c r="R41" s="2796">
        <v>43</v>
      </c>
      <c r="S41" s="2796">
        <v>72</v>
      </c>
      <c r="T41" s="2796">
        <v>104</v>
      </c>
      <c r="U41" s="2796">
        <v>0</v>
      </c>
      <c r="V41" s="2796">
        <v>45</v>
      </c>
      <c r="W41" s="2796">
        <v>0</v>
      </c>
      <c r="X41" s="2796">
        <v>84</v>
      </c>
      <c r="Y41" s="2796">
        <v>56</v>
      </c>
      <c r="Z41" s="2796">
        <v>35</v>
      </c>
      <c r="AA41" s="2796">
        <v>0</v>
      </c>
      <c r="AB41" s="2796">
        <v>60</v>
      </c>
      <c r="AC41" s="2796">
        <v>72</v>
      </c>
      <c r="AD41" s="2796">
        <v>39</v>
      </c>
      <c r="AE41" s="2796">
        <v>65</v>
      </c>
      <c r="AF41" s="2796">
        <v>59</v>
      </c>
      <c r="AG41" s="2796">
        <v>46</v>
      </c>
      <c r="AH41" s="2796">
        <v>44</v>
      </c>
      <c r="AI41" s="2796">
        <v>67</v>
      </c>
      <c r="AJ41" s="2790">
        <f t="shared" si="0"/>
        <v>1604</v>
      </c>
      <c r="AK41" s="2790" t="e">
        <f>VLOOKUP(B41,'Mủ CN (TT)'!C42:AK235,36,0)+VLOOKUP(B41,'Mủ CN (tam ung)'!C38:AL198,36,0)</f>
        <v>#N/A</v>
      </c>
      <c r="AL41" s="2800" t="s">
        <v>141</v>
      </c>
      <c r="AM41" s="2798"/>
      <c r="AO41" s="2793"/>
    </row>
    <row r="42" spans="1:44" ht="21.75" customHeight="1">
      <c r="A42" s="933">
        <v>32</v>
      </c>
      <c r="B42" s="2794" t="s">
        <v>1488</v>
      </c>
      <c r="C42" s="2795"/>
      <c r="D42" s="2795" t="s">
        <v>451</v>
      </c>
      <c r="E42" s="2796">
        <v>61</v>
      </c>
      <c r="F42" s="2796">
        <v>39</v>
      </c>
      <c r="G42" s="2796">
        <v>87</v>
      </c>
      <c r="H42" s="2796">
        <v>180</v>
      </c>
      <c r="I42" s="2796">
        <v>59</v>
      </c>
      <c r="J42" s="2796">
        <v>49</v>
      </c>
      <c r="K42" s="2796">
        <v>76</v>
      </c>
      <c r="L42" s="2796">
        <v>87</v>
      </c>
      <c r="M42" s="2796">
        <v>41</v>
      </c>
      <c r="N42" s="2796">
        <v>38</v>
      </c>
      <c r="O42" s="2796">
        <v>83</v>
      </c>
      <c r="P42" s="2796">
        <v>87</v>
      </c>
      <c r="Q42" s="2796">
        <v>51</v>
      </c>
      <c r="R42" s="2796">
        <v>35</v>
      </c>
      <c r="S42" s="2796">
        <v>78</v>
      </c>
      <c r="T42" s="2796">
        <v>84</v>
      </c>
      <c r="U42" s="2796">
        <v>46</v>
      </c>
      <c r="V42" s="2796">
        <v>0</v>
      </c>
      <c r="W42" s="2796">
        <v>73</v>
      </c>
      <c r="X42" s="2796">
        <v>67</v>
      </c>
      <c r="Y42" s="2796">
        <v>48</v>
      </c>
      <c r="Z42" s="2796">
        <v>59</v>
      </c>
      <c r="AA42" s="2796">
        <v>0</v>
      </c>
      <c r="AB42" s="2796">
        <v>99</v>
      </c>
      <c r="AC42" s="2796">
        <v>0</v>
      </c>
      <c r="AD42" s="2796">
        <v>76</v>
      </c>
      <c r="AE42" s="2796">
        <v>80</v>
      </c>
      <c r="AF42" s="2796">
        <v>70</v>
      </c>
      <c r="AG42" s="2796">
        <v>41</v>
      </c>
      <c r="AH42" s="2796">
        <v>31</v>
      </c>
      <c r="AI42" s="2796">
        <v>52</v>
      </c>
      <c r="AJ42" s="2790">
        <f t="shared" si="0"/>
        <v>1877</v>
      </c>
      <c r="AK42" s="2790" t="e">
        <f>VLOOKUP(B42,'Mủ CN (TT)'!C43:AK236,36,0)+VLOOKUP(B42,'Mủ CN (tam ung)'!C39:AL199,36,0)</f>
        <v>#N/A</v>
      </c>
      <c r="AL42" s="2797" t="s">
        <v>141</v>
      </c>
      <c r="AM42" s="2798"/>
      <c r="AO42" s="2793"/>
    </row>
    <row r="43" spans="1:44" ht="21.75" customHeight="1">
      <c r="A43" s="933">
        <v>33</v>
      </c>
      <c r="B43" s="2794" t="s">
        <v>1680</v>
      </c>
      <c r="C43" s="2795"/>
      <c r="D43" s="2795" t="s">
        <v>451</v>
      </c>
      <c r="E43" s="2796">
        <v>42</v>
      </c>
      <c r="F43" s="2796">
        <v>86</v>
      </c>
      <c r="G43" s="2796">
        <v>80</v>
      </c>
      <c r="H43" s="2796">
        <v>52</v>
      </c>
      <c r="I43" s="2796">
        <v>0</v>
      </c>
      <c r="J43" s="2796">
        <v>41</v>
      </c>
      <c r="K43" s="2796">
        <v>36</v>
      </c>
      <c r="L43" s="2796">
        <v>144</v>
      </c>
      <c r="M43" s="2796">
        <v>53</v>
      </c>
      <c r="N43" s="2796">
        <v>42</v>
      </c>
      <c r="O43" s="2796">
        <v>80</v>
      </c>
      <c r="P43" s="2796">
        <v>0</v>
      </c>
      <c r="Q43" s="2796">
        <v>40</v>
      </c>
      <c r="R43" s="2796">
        <v>0</v>
      </c>
      <c r="S43" s="2796">
        <v>80</v>
      </c>
      <c r="T43" s="2796">
        <v>143</v>
      </c>
      <c r="U43" s="2796">
        <v>50</v>
      </c>
      <c r="V43" s="2796">
        <v>50</v>
      </c>
      <c r="W43" s="2796">
        <v>71</v>
      </c>
      <c r="X43" s="2796">
        <v>34</v>
      </c>
      <c r="Y43" s="2796">
        <v>0</v>
      </c>
      <c r="Z43" s="2796">
        <v>53</v>
      </c>
      <c r="AA43" s="2796">
        <v>41</v>
      </c>
      <c r="AB43" s="2796">
        <v>71</v>
      </c>
      <c r="AC43" s="2796">
        <v>90</v>
      </c>
      <c r="AD43" s="2796">
        <v>65</v>
      </c>
      <c r="AE43" s="2796">
        <v>76</v>
      </c>
      <c r="AF43" s="2796">
        <v>0</v>
      </c>
      <c r="AG43" s="2796">
        <v>58</v>
      </c>
      <c r="AH43" s="2796">
        <v>63</v>
      </c>
      <c r="AI43" s="2796">
        <v>100</v>
      </c>
      <c r="AJ43" s="2790">
        <f t="shared" si="0"/>
        <v>1741</v>
      </c>
      <c r="AK43" s="2790" t="e">
        <f>VLOOKUP(B43,'Mủ CN (TT)'!C44:AK237,36,0)+VLOOKUP(B43,'Mủ CN (tam ung)'!C40:AL200,36,0)</f>
        <v>#N/A</v>
      </c>
      <c r="AL43" s="2797" t="s">
        <v>141</v>
      </c>
      <c r="AM43" s="2798"/>
      <c r="AO43" s="2793"/>
    </row>
    <row r="44" spans="1:44" ht="21.75" customHeight="1">
      <c r="A44" s="2918">
        <v>34</v>
      </c>
      <c r="B44" s="2919" t="s">
        <v>1681</v>
      </c>
      <c r="C44" s="2920"/>
      <c r="D44" s="2920" t="s">
        <v>451</v>
      </c>
      <c r="E44" s="2901">
        <v>0</v>
      </c>
      <c r="F44" s="2901">
        <v>0</v>
      </c>
      <c r="G44" s="2901">
        <v>92</v>
      </c>
      <c r="H44" s="2901">
        <v>0</v>
      </c>
      <c r="I44" s="2901">
        <v>0</v>
      </c>
      <c r="J44" s="2901">
        <v>0</v>
      </c>
      <c r="K44" s="2901">
        <v>0</v>
      </c>
      <c r="L44" s="2901">
        <v>0</v>
      </c>
      <c r="M44" s="2901">
        <v>0</v>
      </c>
      <c r="N44" s="2901">
        <v>0</v>
      </c>
      <c r="O44" s="2901">
        <v>0</v>
      </c>
      <c r="P44" s="2901">
        <v>0</v>
      </c>
      <c r="Q44" s="2901">
        <v>0</v>
      </c>
      <c r="R44" s="2901">
        <v>0</v>
      </c>
      <c r="S44" s="2901">
        <v>0</v>
      </c>
      <c r="T44" s="2901">
        <v>59</v>
      </c>
      <c r="U44" s="2901">
        <v>0</v>
      </c>
      <c r="V44" s="2901">
        <v>0</v>
      </c>
      <c r="W44" s="2901">
        <v>53</v>
      </c>
      <c r="X44" s="2901">
        <v>0</v>
      </c>
      <c r="Y44" s="2901">
        <v>45</v>
      </c>
      <c r="Z44" s="2901">
        <v>48</v>
      </c>
      <c r="AA44" s="2901">
        <v>52</v>
      </c>
      <c r="AB44" s="2901">
        <v>151</v>
      </c>
      <c r="AC44" s="2901">
        <v>113</v>
      </c>
      <c r="AD44" s="2901">
        <v>105</v>
      </c>
      <c r="AE44" s="2901">
        <v>123</v>
      </c>
      <c r="AF44" s="2901">
        <v>0</v>
      </c>
      <c r="AG44" s="2901">
        <v>128</v>
      </c>
      <c r="AH44" s="2901">
        <v>0</v>
      </c>
      <c r="AI44" s="2901">
        <v>0</v>
      </c>
      <c r="AJ44" s="2902">
        <f t="shared" si="0"/>
        <v>969</v>
      </c>
      <c r="AK44" s="2790" t="e">
        <f>VLOOKUP(B44,'Mủ CN (TT)'!C45:AK238,36,0)+VLOOKUP(B44,'Mủ CN (tam ung)'!C41:AL201,36,0)</f>
        <v>#N/A</v>
      </c>
      <c r="AL44" s="2921" t="s">
        <v>168</v>
      </c>
      <c r="AM44" s="2798"/>
      <c r="AO44" s="2793"/>
    </row>
    <row r="45" spans="1:44" ht="21.75" customHeight="1">
      <c r="A45" s="2922" t="s">
        <v>1862</v>
      </c>
      <c r="B45" s="2923"/>
      <c r="C45" s="2923"/>
      <c r="D45" s="2924"/>
      <c r="E45" s="2909">
        <f t="shared" ref="E45:AL45" si="1">SUM(E11:E44)</f>
        <v>1048</v>
      </c>
      <c r="F45" s="2909">
        <f t="shared" si="1"/>
        <v>1054</v>
      </c>
      <c r="G45" s="2909">
        <f t="shared" si="1"/>
        <v>1702</v>
      </c>
      <c r="H45" s="2909">
        <f t="shared" si="1"/>
        <v>1880</v>
      </c>
      <c r="I45" s="2909">
        <f t="shared" si="1"/>
        <v>1399</v>
      </c>
      <c r="J45" s="2909">
        <f t="shared" si="1"/>
        <v>1284</v>
      </c>
      <c r="K45" s="2909">
        <f t="shared" si="1"/>
        <v>1278</v>
      </c>
      <c r="L45" s="2909">
        <f t="shared" si="1"/>
        <v>2554</v>
      </c>
      <c r="M45" s="2909">
        <f t="shared" si="1"/>
        <v>1272</v>
      </c>
      <c r="N45" s="2909">
        <f t="shared" si="1"/>
        <v>973</v>
      </c>
      <c r="O45" s="2909">
        <f t="shared" si="1"/>
        <v>1749</v>
      </c>
      <c r="P45" s="2909">
        <f t="shared" si="1"/>
        <v>1983</v>
      </c>
      <c r="Q45" s="2909">
        <f t="shared" si="1"/>
        <v>1629</v>
      </c>
      <c r="R45" s="2909">
        <f t="shared" si="1"/>
        <v>1500</v>
      </c>
      <c r="S45" s="2909">
        <f t="shared" si="1"/>
        <v>1302</v>
      </c>
      <c r="T45" s="2909">
        <f t="shared" si="1"/>
        <v>2932</v>
      </c>
      <c r="U45" s="2909">
        <f t="shared" si="1"/>
        <v>789</v>
      </c>
      <c r="V45" s="2909">
        <f t="shared" si="1"/>
        <v>709</v>
      </c>
      <c r="W45" s="2909">
        <f t="shared" si="1"/>
        <v>783</v>
      </c>
      <c r="X45" s="2909">
        <f t="shared" si="1"/>
        <v>1595</v>
      </c>
      <c r="Y45" s="2909">
        <f t="shared" si="1"/>
        <v>1513</v>
      </c>
      <c r="Z45" s="2909">
        <f t="shared" si="1"/>
        <v>1248</v>
      </c>
      <c r="AA45" s="2909">
        <f t="shared" si="1"/>
        <v>853</v>
      </c>
      <c r="AB45" s="2909">
        <f t="shared" si="1"/>
        <v>1405</v>
      </c>
      <c r="AC45" s="2909">
        <f t="shared" si="1"/>
        <v>1429</v>
      </c>
      <c r="AD45" s="2909">
        <f t="shared" si="1"/>
        <v>1407</v>
      </c>
      <c r="AE45" s="2909">
        <f t="shared" si="1"/>
        <v>2231</v>
      </c>
      <c r="AF45" s="2909">
        <f t="shared" si="1"/>
        <v>2055</v>
      </c>
      <c r="AG45" s="2909">
        <f t="shared" si="1"/>
        <v>1555</v>
      </c>
      <c r="AH45" s="2909">
        <f t="shared" si="1"/>
        <v>1117</v>
      </c>
      <c r="AI45" s="2909">
        <f t="shared" si="1"/>
        <v>1814</v>
      </c>
      <c r="AJ45" s="2909">
        <f>SUM(AJ11:AJ44)</f>
        <v>46042</v>
      </c>
      <c r="AK45" s="2909" t="e">
        <f t="shared" si="1"/>
        <v>#N/A</v>
      </c>
      <c r="AL45" s="2801">
        <f t="shared" si="1"/>
        <v>0</v>
      </c>
      <c r="AM45" s="2802"/>
      <c r="AN45" s="2793">
        <f>+AJ45+AJ73</f>
        <v>77288</v>
      </c>
      <c r="AO45" s="2793" t="e">
        <f>+#REF!+#REF!</f>
        <v>#REF!</v>
      </c>
      <c r="AP45" s="2793" t="e">
        <f>+AK45+AK73</f>
        <v>#N/A</v>
      </c>
      <c r="AQ45" s="2793" t="e">
        <f>+#REF!+#REF!</f>
        <v>#REF!</v>
      </c>
      <c r="AR45" s="2803">
        <f>+AL45+AL73</f>
        <v>0</v>
      </c>
    </row>
    <row r="46" spans="1:44" ht="21.75" customHeight="1">
      <c r="A46" s="2787">
        <v>1</v>
      </c>
      <c r="B46" s="2804" t="s">
        <v>1081</v>
      </c>
      <c r="C46" s="2804"/>
      <c r="D46" s="2804" t="s">
        <v>451</v>
      </c>
      <c r="E46" s="2790">
        <v>75</v>
      </c>
      <c r="F46" s="2790">
        <v>35</v>
      </c>
      <c r="G46" s="2790">
        <v>0</v>
      </c>
      <c r="H46" s="2790">
        <v>0</v>
      </c>
      <c r="I46" s="2790">
        <v>72</v>
      </c>
      <c r="J46" s="2790">
        <v>50</v>
      </c>
      <c r="K46" s="2790">
        <v>55</v>
      </c>
      <c r="L46" s="2790">
        <v>100</v>
      </c>
      <c r="M46" s="2790">
        <v>40</v>
      </c>
      <c r="N46" s="2790">
        <v>44</v>
      </c>
      <c r="O46" s="2790">
        <v>0</v>
      </c>
      <c r="P46" s="2790">
        <v>45</v>
      </c>
      <c r="Q46" s="2790">
        <v>56</v>
      </c>
      <c r="R46" s="2790">
        <v>60</v>
      </c>
      <c r="S46" s="2790">
        <v>0</v>
      </c>
      <c r="T46" s="2790">
        <v>41</v>
      </c>
      <c r="U46" s="2790">
        <v>58</v>
      </c>
      <c r="V46" s="2790">
        <v>66</v>
      </c>
      <c r="W46" s="2790">
        <v>115</v>
      </c>
      <c r="X46" s="2790">
        <v>0</v>
      </c>
      <c r="Y46" s="2790">
        <v>0</v>
      </c>
      <c r="Z46" s="2790">
        <v>0</v>
      </c>
      <c r="AA46" s="2790">
        <v>58</v>
      </c>
      <c r="AB46" s="2790">
        <v>58</v>
      </c>
      <c r="AC46" s="2790">
        <v>34</v>
      </c>
      <c r="AD46" s="2790">
        <v>73</v>
      </c>
      <c r="AE46" s="2790">
        <v>71</v>
      </c>
      <c r="AF46" s="2790">
        <v>45</v>
      </c>
      <c r="AG46" s="2790">
        <v>57</v>
      </c>
      <c r="AH46" s="2790">
        <v>46</v>
      </c>
      <c r="AI46" s="2790">
        <v>51</v>
      </c>
      <c r="AJ46" s="2790">
        <f t="shared" si="0"/>
        <v>1405</v>
      </c>
      <c r="AK46" s="2790" t="e">
        <f>VLOOKUP(B46,'Mủ CN (TT)'!C47:AK240,36,0)+VLOOKUP(B46,'Mủ CN (tam ung)'!C42:AL203,36,0)</f>
        <v>#N/A</v>
      </c>
      <c r="AL46" s="2805" t="s">
        <v>141</v>
      </c>
      <c r="AM46" s="2806"/>
      <c r="AN46">
        <f>191*0.5</f>
        <v>95.5</v>
      </c>
    </row>
    <row r="47" spans="1:44" ht="21.75" customHeight="1">
      <c r="A47" s="933">
        <v>2</v>
      </c>
      <c r="B47" s="2795" t="s">
        <v>1682</v>
      </c>
      <c r="C47" s="2795"/>
      <c r="D47" s="2795" t="s">
        <v>451</v>
      </c>
      <c r="E47" s="2796">
        <v>0</v>
      </c>
      <c r="F47" s="2796">
        <v>0</v>
      </c>
      <c r="G47" s="2796">
        <v>0</v>
      </c>
      <c r="H47" s="2796">
        <v>106</v>
      </c>
      <c r="I47" s="2796">
        <v>54</v>
      </c>
      <c r="J47" s="2796">
        <v>65</v>
      </c>
      <c r="K47" s="2796">
        <v>61</v>
      </c>
      <c r="L47" s="2796">
        <v>42</v>
      </c>
      <c r="M47" s="2796">
        <v>30</v>
      </c>
      <c r="N47" s="2796">
        <v>0</v>
      </c>
      <c r="O47" s="2796">
        <v>0</v>
      </c>
      <c r="P47" s="2796">
        <v>0</v>
      </c>
      <c r="Q47" s="2796">
        <v>40</v>
      </c>
      <c r="R47" s="2796">
        <v>0</v>
      </c>
      <c r="S47" s="2796">
        <v>0</v>
      </c>
      <c r="T47" s="2796">
        <v>0</v>
      </c>
      <c r="U47" s="2796">
        <v>68</v>
      </c>
      <c r="V47" s="2796">
        <v>91</v>
      </c>
      <c r="W47" s="2796">
        <v>60</v>
      </c>
      <c r="X47" s="2796">
        <v>0</v>
      </c>
      <c r="Y47" s="2796">
        <v>0</v>
      </c>
      <c r="Z47" s="2796">
        <v>41</v>
      </c>
      <c r="AA47" s="2796">
        <v>49</v>
      </c>
      <c r="AB47" s="2796">
        <v>48</v>
      </c>
      <c r="AC47" s="2796">
        <v>0</v>
      </c>
      <c r="AD47" s="2796">
        <v>64</v>
      </c>
      <c r="AE47" s="2796">
        <v>37</v>
      </c>
      <c r="AF47" s="2796">
        <v>86</v>
      </c>
      <c r="AG47" s="2796">
        <v>83</v>
      </c>
      <c r="AH47" s="2796">
        <v>76</v>
      </c>
      <c r="AI47" s="2796">
        <v>34</v>
      </c>
      <c r="AJ47" s="2790">
        <f t="shared" si="0"/>
        <v>1135</v>
      </c>
      <c r="AK47" s="2790" t="e">
        <f>VLOOKUP(B47,'Mủ CN (TT)'!C48:AK241,36,0)+VLOOKUP(B47,'Mủ CN (tam ung)'!C43:AL204,36,0)</f>
        <v>#N/A</v>
      </c>
      <c r="AL47" s="2797" t="s">
        <v>141</v>
      </c>
      <c r="AM47" s="2798"/>
    </row>
    <row r="48" spans="1:44" ht="21.75" customHeight="1">
      <c r="A48" s="2787">
        <v>3</v>
      </c>
      <c r="B48" s="2795" t="s">
        <v>1530</v>
      </c>
      <c r="C48" s="2795"/>
      <c r="D48" s="2804" t="s">
        <v>451</v>
      </c>
      <c r="E48" s="2796">
        <v>75</v>
      </c>
      <c r="F48" s="2796">
        <v>35</v>
      </c>
      <c r="G48" s="2796">
        <v>0</v>
      </c>
      <c r="H48" s="2796">
        <v>0</v>
      </c>
      <c r="I48" s="2796">
        <v>72</v>
      </c>
      <c r="J48" s="2796">
        <v>50</v>
      </c>
      <c r="K48" s="2796">
        <v>55</v>
      </c>
      <c r="L48" s="2796">
        <v>91</v>
      </c>
      <c r="M48" s="2796">
        <v>40</v>
      </c>
      <c r="N48" s="2796">
        <v>43</v>
      </c>
      <c r="O48" s="2796">
        <v>0</v>
      </c>
      <c r="P48" s="2796">
        <v>45</v>
      </c>
      <c r="Q48" s="2796">
        <v>0</v>
      </c>
      <c r="R48" s="2796">
        <v>60</v>
      </c>
      <c r="S48" s="2796">
        <v>0</v>
      </c>
      <c r="T48" s="2796">
        <v>41</v>
      </c>
      <c r="U48" s="2796">
        <v>68</v>
      </c>
      <c r="V48" s="2796">
        <v>66</v>
      </c>
      <c r="W48" s="2796">
        <v>116</v>
      </c>
      <c r="X48" s="2796">
        <v>0</v>
      </c>
      <c r="Y48" s="2796">
        <v>0</v>
      </c>
      <c r="Z48" s="2796">
        <v>0</v>
      </c>
      <c r="AA48" s="2796">
        <v>0</v>
      </c>
      <c r="AB48" s="2796">
        <v>58</v>
      </c>
      <c r="AC48" s="2796">
        <v>38</v>
      </c>
      <c r="AD48" s="2796">
        <v>72</v>
      </c>
      <c r="AE48" s="2796">
        <v>71</v>
      </c>
      <c r="AF48" s="2796">
        <v>43</v>
      </c>
      <c r="AG48" s="2796">
        <v>57</v>
      </c>
      <c r="AH48" s="2796">
        <v>45</v>
      </c>
      <c r="AI48" s="2796">
        <v>51</v>
      </c>
      <c r="AJ48" s="2790">
        <f t="shared" si="0"/>
        <v>1292</v>
      </c>
      <c r="AK48" s="2790" t="e">
        <f>VLOOKUP(B48,'Mủ CN (TT)'!C49:AK242,36,0)+VLOOKUP(B48,'Mủ CN (tam ung)'!C44:AL205,36,0)</f>
        <v>#N/A</v>
      </c>
      <c r="AL48" s="2797" t="s">
        <v>141</v>
      </c>
      <c r="AM48" s="2798"/>
    </row>
    <row r="49" spans="1:39" ht="18.75">
      <c r="A49" s="933">
        <v>4</v>
      </c>
      <c r="B49" s="2795" t="s">
        <v>1243</v>
      </c>
      <c r="C49" s="2795"/>
      <c r="D49" s="2795" t="s">
        <v>451</v>
      </c>
      <c r="E49" s="2796">
        <v>53</v>
      </c>
      <c r="F49" s="2796">
        <v>0</v>
      </c>
      <c r="G49" s="2796">
        <v>0</v>
      </c>
      <c r="H49" s="2796">
        <v>0</v>
      </c>
      <c r="I49" s="2796">
        <v>0</v>
      </c>
      <c r="J49" s="2796">
        <v>65</v>
      </c>
      <c r="K49" s="2796">
        <v>0</v>
      </c>
      <c r="L49" s="2796">
        <v>86</v>
      </c>
      <c r="M49" s="2796">
        <v>37</v>
      </c>
      <c r="N49" s="2796">
        <v>0</v>
      </c>
      <c r="O49" s="2796">
        <v>0</v>
      </c>
      <c r="P49" s="2796">
        <v>0</v>
      </c>
      <c r="Q49" s="2796">
        <v>0</v>
      </c>
      <c r="R49" s="2796">
        <v>0</v>
      </c>
      <c r="S49" s="2796">
        <v>0</v>
      </c>
      <c r="T49" s="2796">
        <v>0</v>
      </c>
      <c r="U49" s="2796">
        <v>0</v>
      </c>
      <c r="V49" s="2796">
        <v>84</v>
      </c>
      <c r="W49" s="2796">
        <v>60</v>
      </c>
      <c r="X49" s="2796">
        <v>0</v>
      </c>
      <c r="Y49" s="2796">
        <v>0</v>
      </c>
      <c r="Z49" s="2796">
        <v>0</v>
      </c>
      <c r="AA49" s="2796">
        <v>0</v>
      </c>
      <c r="AB49" s="2796">
        <v>0</v>
      </c>
      <c r="AC49" s="2796">
        <v>58</v>
      </c>
      <c r="AD49" s="2796">
        <v>0</v>
      </c>
      <c r="AE49" s="2796">
        <v>0</v>
      </c>
      <c r="AF49" s="2796">
        <v>78</v>
      </c>
      <c r="AG49" s="2796">
        <v>0</v>
      </c>
      <c r="AH49" s="2796">
        <v>30</v>
      </c>
      <c r="AI49" s="2796">
        <v>35</v>
      </c>
      <c r="AJ49" s="2790">
        <f t="shared" si="0"/>
        <v>586</v>
      </c>
      <c r="AK49" s="2790" t="e">
        <f>VLOOKUP(B49,'Mủ CN (TT)'!C50:AK243,36,0)+VLOOKUP(B49,'Mủ CN (tam ung)'!C45:AL206,36,0)</f>
        <v>#N/A</v>
      </c>
      <c r="AL49" s="2797" t="s">
        <v>141</v>
      </c>
      <c r="AM49" s="2798"/>
    </row>
    <row r="50" spans="1:39" ht="18.75">
      <c r="A50" s="2787">
        <v>5</v>
      </c>
      <c r="B50" s="2795" t="s">
        <v>1342</v>
      </c>
      <c r="C50" s="2795"/>
      <c r="D50" s="2804" t="s">
        <v>451</v>
      </c>
      <c r="E50" s="2796">
        <v>0</v>
      </c>
      <c r="F50" s="2796">
        <v>0</v>
      </c>
      <c r="G50" s="2796">
        <v>0</v>
      </c>
      <c r="H50" s="2796">
        <v>0</v>
      </c>
      <c r="I50" s="2796">
        <v>214</v>
      </c>
      <c r="J50" s="2796">
        <v>157</v>
      </c>
      <c r="K50" s="2796">
        <v>172</v>
      </c>
      <c r="L50" s="2796">
        <v>0</v>
      </c>
      <c r="M50" s="2796">
        <v>0</v>
      </c>
      <c r="N50" s="2796">
        <v>238</v>
      </c>
      <c r="O50" s="2796">
        <v>0</v>
      </c>
      <c r="P50" s="2796">
        <v>0</v>
      </c>
      <c r="Q50" s="2796">
        <v>0</v>
      </c>
      <c r="R50" s="2796">
        <v>184</v>
      </c>
      <c r="S50" s="2796">
        <v>0</v>
      </c>
      <c r="T50" s="2796">
        <v>242</v>
      </c>
      <c r="U50" s="2796">
        <v>0</v>
      </c>
      <c r="V50" s="2796">
        <v>0</v>
      </c>
      <c r="W50" s="2796">
        <v>0</v>
      </c>
      <c r="X50" s="2796">
        <v>182</v>
      </c>
      <c r="Y50" s="2796">
        <v>0</v>
      </c>
      <c r="Z50" s="2796">
        <v>0</v>
      </c>
      <c r="AA50" s="2796">
        <v>0</v>
      </c>
      <c r="AB50" s="2796">
        <v>0</v>
      </c>
      <c r="AC50" s="2796">
        <v>0</v>
      </c>
      <c r="AD50" s="2796">
        <v>256</v>
      </c>
      <c r="AE50" s="2796">
        <v>141</v>
      </c>
      <c r="AF50" s="2796">
        <v>0</v>
      </c>
      <c r="AG50" s="2796">
        <v>190</v>
      </c>
      <c r="AH50" s="2796">
        <v>0</v>
      </c>
      <c r="AI50" s="2796">
        <v>0</v>
      </c>
      <c r="AJ50" s="2790">
        <f t="shared" si="0"/>
        <v>1976</v>
      </c>
      <c r="AK50" s="2790" t="e">
        <f>VLOOKUP(B50,'Mủ CN (TT)'!C51:AK244,36,0)+VLOOKUP(B50,'Mủ CN (tam ung)'!C46:AL207,36,0)</f>
        <v>#N/A</v>
      </c>
      <c r="AL50" s="2797" t="s">
        <v>141</v>
      </c>
      <c r="AM50" s="2798"/>
    </row>
    <row r="51" spans="1:39" ht="18.75">
      <c r="A51" s="933">
        <v>6</v>
      </c>
      <c r="B51" s="2795" t="s">
        <v>1179</v>
      </c>
      <c r="C51" s="2795"/>
      <c r="D51" s="2795" t="s">
        <v>451</v>
      </c>
      <c r="E51" s="2796">
        <v>133</v>
      </c>
      <c r="F51" s="2796">
        <v>44</v>
      </c>
      <c r="G51" s="2796">
        <v>0</v>
      </c>
      <c r="H51" s="2796">
        <v>185</v>
      </c>
      <c r="I51" s="2796">
        <v>30</v>
      </c>
      <c r="J51" s="2796">
        <v>0</v>
      </c>
      <c r="K51" s="2796">
        <v>68</v>
      </c>
      <c r="L51" s="2796">
        <v>104</v>
      </c>
      <c r="M51" s="2796">
        <v>71</v>
      </c>
      <c r="N51" s="2796">
        <v>0</v>
      </c>
      <c r="O51" s="2796">
        <v>0</v>
      </c>
      <c r="P51" s="2796">
        <v>108</v>
      </c>
      <c r="Q51" s="2796">
        <v>0</v>
      </c>
      <c r="R51" s="2796">
        <v>57</v>
      </c>
      <c r="S51" s="2796">
        <v>0</v>
      </c>
      <c r="T51" s="2796">
        <v>93</v>
      </c>
      <c r="U51" s="2796">
        <v>143</v>
      </c>
      <c r="V51" s="2796">
        <v>53</v>
      </c>
      <c r="W51" s="2796">
        <v>127</v>
      </c>
      <c r="X51" s="2796">
        <v>0</v>
      </c>
      <c r="Y51" s="2796">
        <v>101</v>
      </c>
      <c r="Z51" s="2796">
        <v>0</v>
      </c>
      <c r="AA51" s="2796">
        <v>0</v>
      </c>
      <c r="AB51" s="2796">
        <v>146</v>
      </c>
      <c r="AC51" s="2796">
        <v>101</v>
      </c>
      <c r="AD51" s="2796">
        <v>0</v>
      </c>
      <c r="AE51" s="2796">
        <v>100</v>
      </c>
      <c r="AF51" s="2796">
        <v>106</v>
      </c>
      <c r="AG51" s="2796">
        <v>117</v>
      </c>
      <c r="AH51" s="2796">
        <v>154</v>
      </c>
      <c r="AI51" s="2796">
        <v>167</v>
      </c>
      <c r="AJ51" s="2790">
        <f t="shared" si="0"/>
        <v>2208</v>
      </c>
      <c r="AK51" s="2790" t="e">
        <f>VLOOKUP(B51,'Mủ CN (TT)'!C52:AK245,36,0)+VLOOKUP(B51,'Mủ CN (tam ung)'!C46:AL208,36,0)</f>
        <v>#N/A</v>
      </c>
      <c r="AL51" s="2797" t="s">
        <v>141</v>
      </c>
      <c r="AM51" s="2798"/>
    </row>
    <row r="52" spans="1:39" ht="18.75">
      <c r="A52" s="2787">
        <v>7</v>
      </c>
      <c r="B52" s="2795" t="s">
        <v>1560</v>
      </c>
      <c r="C52" s="2795"/>
      <c r="D52" s="2804" t="s">
        <v>451</v>
      </c>
      <c r="E52" s="2796">
        <v>135</v>
      </c>
      <c r="F52" s="2796">
        <v>213</v>
      </c>
      <c r="G52" s="2796">
        <v>95</v>
      </c>
      <c r="H52" s="2796">
        <v>157</v>
      </c>
      <c r="I52" s="2796">
        <v>169</v>
      </c>
      <c r="J52" s="2796">
        <v>0</v>
      </c>
      <c r="K52" s="2796">
        <v>65</v>
      </c>
      <c r="L52" s="2796">
        <v>100</v>
      </c>
      <c r="M52" s="2796">
        <v>175</v>
      </c>
      <c r="N52" s="2796">
        <v>227</v>
      </c>
      <c r="O52" s="2796">
        <v>83</v>
      </c>
      <c r="P52" s="2796">
        <v>200</v>
      </c>
      <c r="Q52" s="2796">
        <v>266</v>
      </c>
      <c r="R52" s="2796">
        <v>254</v>
      </c>
      <c r="S52" s="2796">
        <v>100</v>
      </c>
      <c r="T52" s="2796">
        <v>102</v>
      </c>
      <c r="U52" s="2796">
        <v>100</v>
      </c>
      <c r="V52" s="2796">
        <v>104</v>
      </c>
      <c r="W52" s="2796">
        <v>23</v>
      </c>
      <c r="X52" s="2796">
        <v>0</v>
      </c>
      <c r="Y52" s="2796">
        <v>100</v>
      </c>
      <c r="Z52" s="2796">
        <v>91</v>
      </c>
      <c r="AA52" s="2796">
        <v>39</v>
      </c>
      <c r="AB52" s="2796">
        <v>140</v>
      </c>
      <c r="AC52" s="2796">
        <v>108</v>
      </c>
      <c r="AD52" s="2796">
        <v>113</v>
      </c>
      <c r="AE52" s="2796">
        <v>93</v>
      </c>
      <c r="AF52" s="2796">
        <v>95</v>
      </c>
      <c r="AG52" s="2796">
        <v>158</v>
      </c>
      <c r="AH52" s="2796">
        <v>211</v>
      </c>
      <c r="AI52" s="2796">
        <v>108</v>
      </c>
      <c r="AJ52" s="2790">
        <f t="shared" si="0"/>
        <v>3824</v>
      </c>
      <c r="AK52" s="2790" t="e">
        <f>VLOOKUP(B52,'Mủ CN (TT)'!C53:AK246,36,0)+VLOOKUP(B52,'Mủ CN (tam ung)'!C47:AL209,36,0)</f>
        <v>#N/A</v>
      </c>
      <c r="AL52" s="2797" t="s">
        <v>141</v>
      </c>
      <c r="AM52" s="2798"/>
    </row>
    <row r="53" spans="1:39" ht="18.75">
      <c r="A53" s="933">
        <v>8</v>
      </c>
      <c r="B53" s="2795" t="s">
        <v>1561</v>
      </c>
      <c r="C53" s="2795"/>
      <c r="D53" s="2795" t="s">
        <v>451</v>
      </c>
      <c r="E53" s="2796">
        <v>135</v>
      </c>
      <c r="F53" s="2796">
        <v>213</v>
      </c>
      <c r="G53" s="2796">
        <v>95</v>
      </c>
      <c r="H53" s="2796">
        <v>157</v>
      </c>
      <c r="I53" s="2796">
        <v>169</v>
      </c>
      <c r="J53" s="2796">
        <v>0</v>
      </c>
      <c r="K53" s="2796">
        <v>65</v>
      </c>
      <c r="L53" s="2796">
        <v>95</v>
      </c>
      <c r="M53" s="2796">
        <v>175</v>
      </c>
      <c r="N53" s="2796">
        <v>227</v>
      </c>
      <c r="O53" s="2796">
        <v>83</v>
      </c>
      <c r="P53" s="2796">
        <v>163</v>
      </c>
      <c r="Q53" s="2796">
        <v>150</v>
      </c>
      <c r="R53" s="2796">
        <v>254</v>
      </c>
      <c r="S53" s="2796">
        <v>92</v>
      </c>
      <c r="T53" s="2796">
        <v>102</v>
      </c>
      <c r="U53" s="2796">
        <v>94</v>
      </c>
      <c r="V53" s="2796">
        <v>104</v>
      </c>
      <c r="W53" s="2796">
        <v>0</v>
      </c>
      <c r="X53" s="2796">
        <v>0</v>
      </c>
      <c r="Y53" s="2796">
        <v>94</v>
      </c>
      <c r="Z53" s="2796">
        <v>91</v>
      </c>
      <c r="AA53" s="2796">
        <v>0</v>
      </c>
      <c r="AB53" s="2796">
        <v>145</v>
      </c>
      <c r="AC53" s="2796">
        <v>108</v>
      </c>
      <c r="AD53" s="2796">
        <v>113</v>
      </c>
      <c r="AE53" s="2796">
        <v>0</v>
      </c>
      <c r="AF53" s="2796">
        <v>95</v>
      </c>
      <c r="AG53" s="2796">
        <v>158</v>
      </c>
      <c r="AH53" s="2796">
        <v>211</v>
      </c>
      <c r="AI53" s="2796">
        <v>108</v>
      </c>
      <c r="AJ53" s="2790">
        <f t="shared" si="0"/>
        <v>3496</v>
      </c>
      <c r="AK53" s="2790" t="e">
        <f>VLOOKUP(B53,'Mủ CN (TT)'!C54:AK247,36,0)+VLOOKUP(B53,'Mủ CN (tam ung)'!C48:AL210,36,0)</f>
        <v>#N/A</v>
      </c>
      <c r="AL53" s="2797" t="s">
        <v>141</v>
      </c>
      <c r="AM53" s="2798"/>
    </row>
    <row r="54" spans="1:39" ht="18.75">
      <c r="A54" s="2787">
        <v>9</v>
      </c>
      <c r="B54" s="2795" t="s">
        <v>1683</v>
      </c>
      <c r="C54" s="2795"/>
      <c r="D54" s="2804" t="s">
        <v>451</v>
      </c>
      <c r="E54" s="2796">
        <v>0</v>
      </c>
      <c r="F54" s="2796">
        <v>0</v>
      </c>
      <c r="G54" s="2796">
        <v>0</v>
      </c>
      <c r="H54" s="2796">
        <v>71</v>
      </c>
      <c r="I54" s="2796">
        <v>90</v>
      </c>
      <c r="J54" s="2796">
        <v>0</v>
      </c>
      <c r="K54" s="2796">
        <v>0</v>
      </c>
      <c r="L54" s="2796">
        <v>123</v>
      </c>
      <c r="M54" s="2796">
        <v>59</v>
      </c>
      <c r="N54" s="2796">
        <v>0</v>
      </c>
      <c r="O54" s="2796">
        <v>0</v>
      </c>
      <c r="P54" s="2796">
        <v>80</v>
      </c>
      <c r="Q54" s="2796">
        <v>0</v>
      </c>
      <c r="R54" s="2796">
        <v>37</v>
      </c>
      <c r="S54" s="2796">
        <v>52</v>
      </c>
      <c r="T54" s="2796">
        <v>133</v>
      </c>
      <c r="U54" s="2796">
        <v>90</v>
      </c>
      <c r="V54" s="2796">
        <v>0</v>
      </c>
      <c r="W54" s="2796">
        <v>0</v>
      </c>
      <c r="X54" s="2796">
        <v>86</v>
      </c>
      <c r="Y54" s="2796">
        <v>112</v>
      </c>
      <c r="Z54" s="2796">
        <v>0</v>
      </c>
      <c r="AA54" s="2796">
        <v>0</v>
      </c>
      <c r="AB54" s="2796">
        <v>155</v>
      </c>
      <c r="AC54" s="2796">
        <v>69</v>
      </c>
      <c r="AD54" s="2796">
        <v>0</v>
      </c>
      <c r="AE54" s="2796">
        <v>0</v>
      </c>
      <c r="AF54" s="2796">
        <v>225</v>
      </c>
      <c r="AG54" s="2796">
        <v>113</v>
      </c>
      <c r="AH54" s="2796">
        <v>122</v>
      </c>
      <c r="AI54" s="2796">
        <v>75</v>
      </c>
      <c r="AJ54" s="2790">
        <f t="shared" si="0"/>
        <v>1692</v>
      </c>
      <c r="AK54" s="2790" t="e">
        <f>VLOOKUP(B54,'Mủ CN (TT)'!C55:AK248,36,0)+VLOOKUP(B54,'Mủ CN (tam ung)'!C49:AL211,36,0)</f>
        <v>#N/A</v>
      </c>
      <c r="AL54" s="2797" t="s">
        <v>138</v>
      </c>
      <c r="AM54" s="2798"/>
    </row>
    <row r="55" spans="1:39" ht="18.75">
      <c r="A55" s="933">
        <v>10</v>
      </c>
      <c r="B55" s="2795" t="s">
        <v>1307</v>
      </c>
      <c r="C55" s="2795"/>
      <c r="D55" s="2795" t="s">
        <v>451</v>
      </c>
      <c r="E55" s="2796">
        <v>45</v>
      </c>
      <c r="F55" s="2796">
        <v>68</v>
      </c>
      <c r="G55" s="2796">
        <v>80</v>
      </c>
      <c r="H55" s="2796">
        <v>0</v>
      </c>
      <c r="I55" s="2796">
        <v>72</v>
      </c>
      <c r="J55" s="2796">
        <v>58</v>
      </c>
      <c r="K55" s="2796">
        <v>95</v>
      </c>
      <c r="L55" s="2796">
        <v>0</v>
      </c>
      <c r="M55" s="2796">
        <v>73</v>
      </c>
      <c r="N55" s="2796">
        <v>56</v>
      </c>
      <c r="O55" s="2796">
        <v>52</v>
      </c>
      <c r="P55" s="2796">
        <v>47</v>
      </c>
      <c r="Q55" s="2796">
        <v>30</v>
      </c>
      <c r="R55" s="2796">
        <v>97</v>
      </c>
      <c r="S55" s="2796">
        <v>51</v>
      </c>
      <c r="T55" s="2796">
        <v>59</v>
      </c>
      <c r="U55" s="2796">
        <v>0</v>
      </c>
      <c r="V55" s="2796">
        <v>56</v>
      </c>
      <c r="W55" s="2796">
        <v>47</v>
      </c>
      <c r="X55" s="2796">
        <v>60</v>
      </c>
      <c r="Y55" s="2796">
        <v>0</v>
      </c>
      <c r="Z55" s="2796">
        <v>70</v>
      </c>
      <c r="AA55" s="2796">
        <v>70</v>
      </c>
      <c r="AB55" s="2796">
        <v>0</v>
      </c>
      <c r="AC55" s="2796">
        <v>108</v>
      </c>
      <c r="AD55" s="2796">
        <v>0</v>
      </c>
      <c r="AE55" s="2796">
        <v>100</v>
      </c>
      <c r="AF55" s="2796">
        <v>54</v>
      </c>
      <c r="AG55" s="2796">
        <v>159</v>
      </c>
      <c r="AH55" s="2796">
        <v>211</v>
      </c>
      <c r="AI55" s="2796">
        <v>109</v>
      </c>
      <c r="AJ55" s="2790">
        <f t="shared" si="0"/>
        <v>1927</v>
      </c>
      <c r="AK55" s="2790" t="e">
        <f>VLOOKUP(B55,'Mủ CN (TT)'!C56:AK249,36,0)+VLOOKUP(B55,'Mủ CN (tam ung)'!C50:AL212,36,0)</f>
        <v>#N/A</v>
      </c>
      <c r="AL55" s="2797" t="s">
        <v>141</v>
      </c>
      <c r="AM55" s="2798"/>
    </row>
    <row r="56" spans="1:39" ht="18.75">
      <c r="A56" s="2787">
        <v>11</v>
      </c>
      <c r="B56" s="2795" t="s">
        <v>1177</v>
      </c>
      <c r="C56" s="2795"/>
      <c r="D56" s="2804" t="s">
        <v>451</v>
      </c>
      <c r="E56" s="2796">
        <v>0</v>
      </c>
      <c r="F56" s="2796">
        <v>0</v>
      </c>
      <c r="G56" s="2796">
        <v>0</v>
      </c>
      <c r="H56" s="2796">
        <v>68</v>
      </c>
      <c r="I56" s="2796">
        <v>0</v>
      </c>
      <c r="J56" s="2796">
        <v>0</v>
      </c>
      <c r="K56" s="2796">
        <v>0</v>
      </c>
      <c r="L56" s="2796">
        <v>0</v>
      </c>
      <c r="M56" s="2796">
        <v>0</v>
      </c>
      <c r="N56" s="2796">
        <v>32</v>
      </c>
      <c r="O56" s="2796">
        <v>0</v>
      </c>
      <c r="P56" s="2796">
        <v>0</v>
      </c>
      <c r="Q56" s="2796">
        <v>0</v>
      </c>
      <c r="R56" s="2796">
        <v>0</v>
      </c>
      <c r="S56" s="2796">
        <v>0</v>
      </c>
      <c r="T56" s="2796">
        <v>97</v>
      </c>
      <c r="U56" s="2796">
        <v>0</v>
      </c>
      <c r="V56" s="2796">
        <v>0</v>
      </c>
      <c r="W56" s="2796">
        <v>109</v>
      </c>
      <c r="X56" s="2796">
        <v>0</v>
      </c>
      <c r="Y56" s="2796">
        <v>0</v>
      </c>
      <c r="Z56" s="2796">
        <v>0</v>
      </c>
      <c r="AA56" s="2796">
        <v>114</v>
      </c>
      <c r="AB56" s="2796">
        <v>0</v>
      </c>
      <c r="AC56" s="2796">
        <v>0</v>
      </c>
      <c r="AD56" s="2796">
        <v>114</v>
      </c>
      <c r="AE56" s="2796">
        <v>104</v>
      </c>
      <c r="AF56" s="2796">
        <v>0</v>
      </c>
      <c r="AG56" s="2796">
        <v>0</v>
      </c>
      <c r="AH56" s="2796">
        <v>49</v>
      </c>
      <c r="AI56" s="2796">
        <v>42</v>
      </c>
      <c r="AJ56" s="2790">
        <f t="shared" si="0"/>
        <v>729</v>
      </c>
      <c r="AK56" s="2790" t="e">
        <f>VLOOKUP(B56,'Mủ CN (TT)'!C57:AK250,36,0)+VLOOKUP(B56,'Mủ CN (tam ung)'!C51:AL213,36,0)</f>
        <v>#N/A</v>
      </c>
      <c r="AL56" s="2797" t="s">
        <v>138</v>
      </c>
      <c r="AM56" s="2798"/>
    </row>
    <row r="57" spans="1:39" ht="18.75">
      <c r="A57" s="933">
        <v>12</v>
      </c>
      <c r="B57" s="2795" t="s">
        <v>1272</v>
      </c>
      <c r="C57" s="2795"/>
      <c r="D57" s="2795" t="s">
        <v>451</v>
      </c>
      <c r="E57" s="2796">
        <v>0</v>
      </c>
      <c r="F57" s="2796">
        <v>0</v>
      </c>
      <c r="G57" s="2796">
        <v>0</v>
      </c>
      <c r="H57" s="2796">
        <v>0</v>
      </c>
      <c r="I57" s="2796">
        <v>0</v>
      </c>
      <c r="J57" s="2796">
        <v>0</v>
      </c>
      <c r="K57" s="2796">
        <v>0</v>
      </c>
      <c r="L57" s="2796">
        <v>0</v>
      </c>
      <c r="M57" s="2796">
        <v>0</v>
      </c>
      <c r="N57" s="2796">
        <v>0</v>
      </c>
      <c r="O57" s="2796">
        <v>0</v>
      </c>
      <c r="P57" s="2796">
        <v>0</v>
      </c>
      <c r="Q57" s="2796">
        <v>119</v>
      </c>
      <c r="R57" s="2796">
        <v>0</v>
      </c>
      <c r="S57" s="2796">
        <v>55</v>
      </c>
      <c r="T57" s="2796">
        <v>90</v>
      </c>
      <c r="U57" s="2796">
        <v>0</v>
      </c>
      <c r="V57" s="2796">
        <v>0</v>
      </c>
      <c r="W57" s="2796">
        <v>0</v>
      </c>
      <c r="X57" s="2796">
        <v>0</v>
      </c>
      <c r="Y57" s="2796">
        <v>0</v>
      </c>
      <c r="Z57" s="2796">
        <v>114</v>
      </c>
      <c r="AA57" s="2796">
        <v>0</v>
      </c>
      <c r="AB57" s="2796">
        <v>0</v>
      </c>
      <c r="AC57" s="2796">
        <v>0</v>
      </c>
      <c r="AD57" s="2796">
        <v>0</v>
      </c>
      <c r="AE57" s="2796">
        <v>0</v>
      </c>
      <c r="AF57" s="2796">
        <v>174</v>
      </c>
      <c r="AG57" s="2796">
        <v>154</v>
      </c>
      <c r="AH57" s="2796">
        <v>0</v>
      </c>
      <c r="AI57" s="2796">
        <v>299</v>
      </c>
      <c r="AJ57" s="2790">
        <f t="shared" si="0"/>
        <v>1005</v>
      </c>
      <c r="AK57" s="2790" t="e">
        <f>VLOOKUP(B57,'Mủ CN (TT)'!C58:AK251,36,0)+VLOOKUP(B57,'Mủ CN (tam ung)'!C52:AL214,36,0)</f>
        <v>#N/A</v>
      </c>
      <c r="AL57" s="2797" t="s">
        <v>138</v>
      </c>
      <c r="AM57" s="2798"/>
    </row>
    <row r="58" spans="1:39" ht="18.75">
      <c r="A58" s="2787">
        <v>13</v>
      </c>
      <c r="B58" s="2795" t="s">
        <v>1562</v>
      </c>
      <c r="C58" s="2795"/>
      <c r="D58" s="2804" t="s">
        <v>451</v>
      </c>
      <c r="E58" s="2796">
        <v>0</v>
      </c>
      <c r="F58" s="2796">
        <v>0</v>
      </c>
      <c r="G58" s="2796">
        <v>0</v>
      </c>
      <c r="H58" s="2796">
        <v>65</v>
      </c>
      <c r="I58" s="2796">
        <v>0</v>
      </c>
      <c r="J58" s="2796">
        <v>0</v>
      </c>
      <c r="K58" s="2796">
        <v>0</v>
      </c>
      <c r="L58" s="2796">
        <v>0</v>
      </c>
      <c r="M58" s="2796">
        <v>0</v>
      </c>
      <c r="N58" s="2796">
        <v>0</v>
      </c>
      <c r="O58" s="2796">
        <v>0</v>
      </c>
      <c r="P58" s="2796">
        <v>0</v>
      </c>
      <c r="Q58" s="2796">
        <v>0</v>
      </c>
      <c r="R58" s="2796">
        <v>0</v>
      </c>
      <c r="S58" s="2796">
        <v>58</v>
      </c>
      <c r="T58" s="2796">
        <v>107</v>
      </c>
      <c r="U58" s="2796">
        <v>0</v>
      </c>
      <c r="V58" s="2796">
        <v>65</v>
      </c>
      <c r="W58" s="2796">
        <v>0</v>
      </c>
      <c r="X58" s="2796">
        <v>54</v>
      </c>
      <c r="Y58" s="2796">
        <v>56</v>
      </c>
      <c r="Z58" s="2796">
        <v>0</v>
      </c>
      <c r="AA58" s="2796">
        <v>0</v>
      </c>
      <c r="AB58" s="2796">
        <v>0</v>
      </c>
      <c r="AC58" s="2796">
        <v>0</v>
      </c>
      <c r="AD58" s="2796">
        <v>35</v>
      </c>
      <c r="AE58" s="2796">
        <v>0</v>
      </c>
      <c r="AF58" s="2796">
        <v>0</v>
      </c>
      <c r="AG58" s="2796">
        <v>0</v>
      </c>
      <c r="AH58" s="2796">
        <v>0</v>
      </c>
      <c r="AI58" s="2796">
        <v>0</v>
      </c>
      <c r="AJ58" s="2790">
        <f t="shared" si="0"/>
        <v>440</v>
      </c>
      <c r="AK58" s="2790" t="e">
        <f>VLOOKUP(B58,'Mủ CN (TT)'!C59:AK252,36,0)+VLOOKUP(B58,'Mủ CN (tam ung)'!C53:AL215,36,0)</f>
        <v>#N/A</v>
      </c>
      <c r="AL58" s="2797" t="s">
        <v>138</v>
      </c>
      <c r="AM58" s="2798"/>
    </row>
    <row r="59" spans="1:39" ht="18.75">
      <c r="A59" s="933">
        <v>14</v>
      </c>
      <c r="B59" s="2795" t="s">
        <v>1563</v>
      </c>
      <c r="C59" s="2795"/>
      <c r="D59" s="2795" t="s">
        <v>451</v>
      </c>
      <c r="E59" s="2796">
        <v>0</v>
      </c>
      <c r="F59" s="2796">
        <v>0</v>
      </c>
      <c r="G59" s="2796">
        <v>0</v>
      </c>
      <c r="H59" s="2796">
        <v>62</v>
      </c>
      <c r="I59" s="2796">
        <v>0</v>
      </c>
      <c r="J59" s="2796">
        <v>0</v>
      </c>
      <c r="K59" s="2796">
        <v>37</v>
      </c>
      <c r="L59" s="2796">
        <v>28</v>
      </c>
      <c r="M59" s="2796">
        <v>41</v>
      </c>
      <c r="N59" s="2796">
        <v>0</v>
      </c>
      <c r="O59" s="2796">
        <v>0</v>
      </c>
      <c r="P59" s="2796">
        <v>0</v>
      </c>
      <c r="Q59" s="2796">
        <v>0</v>
      </c>
      <c r="R59" s="2796">
        <v>0</v>
      </c>
      <c r="S59" s="2796">
        <v>0</v>
      </c>
      <c r="T59" s="2796">
        <v>0</v>
      </c>
      <c r="U59" s="2796">
        <v>0</v>
      </c>
      <c r="V59" s="2796">
        <v>0</v>
      </c>
      <c r="W59" s="2796">
        <v>40</v>
      </c>
      <c r="X59" s="2796">
        <v>0</v>
      </c>
      <c r="Y59" s="2796">
        <v>0</v>
      </c>
      <c r="Z59" s="2796">
        <v>32</v>
      </c>
      <c r="AA59" s="2796">
        <v>0</v>
      </c>
      <c r="AB59" s="2796">
        <v>55</v>
      </c>
      <c r="AC59" s="2796">
        <v>78</v>
      </c>
      <c r="AD59" s="2796">
        <v>45</v>
      </c>
      <c r="AE59" s="2796">
        <v>69</v>
      </c>
      <c r="AF59" s="2796">
        <v>43</v>
      </c>
      <c r="AG59" s="2796">
        <v>98</v>
      </c>
      <c r="AH59" s="2796">
        <v>78</v>
      </c>
      <c r="AI59" s="2796">
        <v>56</v>
      </c>
      <c r="AJ59" s="2790">
        <f t="shared" si="0"/>
        <v>762</v>
      </c>
      <c r="AK59" s="2790" t="e">
        <f>VLOOKUP(B59,'Mủ CN (TT)'!C60:AK253,36,0)+VLOOKUP(B59,'Mủ CN (tam ung)'!C53:AL216,36,0)</f>
        <v>#N/A</v>
      </c>
      <c r="AL59" s="2797" t="s">
        <v>138</v>
      </c>
      <c r="AM59" s="2798"/>
    </row>
    <row r="60" spans="1:39" ht="18.75">
      <c r="A60" s="2787">
        <v>15</v>
      </c>
      <c r="B60" s="2795" t="s">
        <v>1684</v>
      </c>
      <c r="C60" s="2795"/>
      <c r="D60" s="2804" t="s">
        <v>451</v>
      </c>
      <c r="E60" s="2796">
        <v>0</v>
      </c>
      <c r="F60" s="2796">
        <v>0</v>
      </c>
      <c r="G60" s="2796">
        <v>0</v>
      </c>
      <c r="H60" s="2796">
        <v>0</v>
      </c>
      <c r="I60" s="2796">
        <v>0</v>
      </c>
      <c r="J60" s="2796">
        <v>0</v>
      </c>
      <c r="K60" s="2796">
        <v>0</v>
      </c>
      <c r="L60" s="2796">
        <v>0</v>
      </c>
      <c r="M60" s="2796">
        <v>0</v>
      </c>
      <c r="N60" s="2796">
        <v>0</v>
      </c>
      <c r="O60" s="2796">
        <v>0</v>
      </c>
      <c r="P60" s="2796">
        <v>0</v>
      </c>
      <c r="Q60" s="2796">
        <v>0</v>
      </c>
      <c r="R60" s="2796">
        <v>0</v>
      </c>
      <c r="S60" s="2796">
        <v>0</v>
      </c>
      <c r="T60" s="2796">
        <v>0</v>
      </c>
      <c r="U60" s="2796">
        <v>0</v>
      </c>
      <c r="V60" s="2796">
        <v>0</v>
      </c>
      <c r="W60" s="2796">
        <v>0</v>
      </c>
      <c r="X60" s="2796">
        <v>0</v>
      </c>
      <c r="Y60" s="2796">
        <v>0</v>
      </c>
      <c r="Z60" s="2796">
        <v>0</v>
      </c>
      <c r="AA60" s="2796">
        <v>0</v>
      </c>
      <c r="AB60" s="2796">
        <v>0</v>
      </c>
      <c r="AC60" s="2796">
        <v>0</v>
      </c>
      <c r="AD60" s="2796">
        <v>0</v>
      </c>
      <c r="AE60" s="2796">
        <v>0</v>
      </c>
      <c r="AF60" s="2796">
        <v>150</v>
      </c>
      <c r="AG60" s="2796">
        <v>203</v>
      </c>
      <c r="AH60" s="2796">
        <v>0</v>
      </c>
      <c r="AI60" s="2796">
        <v>0</v>
      </c>
      <c r="AJ60" s="2790">
        <f t="shared" si="0"/>
        <v>353</v>
      </c>
      <c r="AK60" s="2790" t="e">
        <f>VLOOKUP(B60,'Mủ CN (TT)'!C61:AK254,36,0)+VLOOKUP(B60,'Mủ CN (tam ung)'!C54:AL217,36,0)</f>
        <v>#N/A</v>
      </c>
      <c r="AL60" s="2797" t="s">
        <v>138</v>
      </c>
      <c r="AM60" s="2798"/>
    </row>
    <row r="61" spans="1:39" ht="18.75">
      <c r="A61" s="933">
        <v>16</v>
      </c>
      <c r="B61" s="2795" t="s">
        <v>1564</v>
      </c>
      <c r="C61" s="2795"/>
      <c r="D61" s="2795" t="s">
        <v>451</v>
      </c>
      <c r="E61" s="2796">
        <v>0</v>
      </c>
      <c r="F61" s="2796">
        <v>0</v>
      </c>
      <c r="G61" s="2796">
        <v>0</v>
      </c>
      <c r="H61" s="2796">
        <v>55</v>
      </c>
      <c r="I61" s="2796">
        <v>46</v>
      </c>
      <c r="J61" s="2796">
        <v>0</v>
      </c>
      <c r="K61" s="2796">
        <v>37</v>
      </c>
      <c r="L61" s="2796">
        <v>49</v>
      </c>
      <c r="M61" s="2796">
        <v>23</v>
      </c>
      <c r="N61" s="2796">
        <v>70</v>
      </c>
      <c r="O61" s="2796">
        <v>0</v>
      </c>
      <c r="P61" s="2796">
        <v>28</v>
      </c>
      <c r="Q61" s="2796">
        <v>29</v>
      </c>
      <c r="R61" s="2796">
        <v>92</v>
      </c>
      <c r="S61" s="2796">
        <v>0</v>
      </c>
      <c r="T61" s="2796">
        <v>0</v>
      </c>
      <c r="U61" s="2796">
        <v>26</v>
      </c>
      <c r="V61" s="2796">
        <v>0</v>
      </c>
      <c r="W61" s="2796">
        <v>97</v>
      </c>
      <c r="X61" s="2796">
        <v>70</v>
      </c>
      <c r="Y61" s="2796">
        <v>80</v>
      </c>
      <c r="Z61" s="2796">
        <v>134</v>
      </c>
      <c r="AA61" s="2796">
        <v>39</v>
      </c>
      <c r="AB61" s="2796">
        <v>143</v>
      </c>
      <c r="AC61" s="2796">
        <v>125</v>
      </c>
      <c r="AD61" s="2796">
        <v>125</v>
      </c>
      <c r="AE61" s="2796">
        <v>42</v>
      </c>
      <c r="AF61" s="2796">
        <v>116</v>
      </c>
      <c r="AG61" s="2796">
        <v>78</v>
      </c>
      <c r="AH61" s="2796">
        <v>125</v>
      </c>
      <c r="AI61" s="2796">
        <v>81</v>
      </c>
      <c r="AJ61" s="2790">
        <f t="shared" si="0"/>
        <v>1710</v>
      </c>
      <c r="AK61" s="2790" t="e">
        <f>VLOOKUP(B61,'Mủ CN (TT)'!C62:AK255,36,0)+VLOOKUP(B61,'Mủ CN (tam ung)'!C54:AL218,36,0)</f>
        <v>#N/A</v>
      </c>
      <c r="AL61" s="2797" t="s">
        <v>138</v>
      </c>
      <c r="AM61" s="2798"/>
    </row>
    <row r="62" spans="1:39" ht="18.75">
      <c r="A62" s="2787">
        <v>17</v>
      </c>
      <c r="B62" s="2795" t="s">
        <v>1685</v>
      </c>
      <c r="C62" s="2795"/>
      <c r="D62" s="2804" t="s">
        <v>451</v>
      </c>
      <c r="E62" s="2796">
        <v>0</v>
      </c>
      <c r="F62" s="2796">
        <v>0</v>
      </c>
      <c r="G62" s="2796">
        <v>0</v>
      </c>
      <c r="H62" s="2796">
        <v>0</v>
      </c>
      <c r="I62" s="2796">
        <v>0</v>
      </c>
      <c r="J62" s="2796">
        <v>75</v>
      </c>
      <c r="K62" s="2796">
        <v>0</v>
      </c>
      <c r="L62" s="2796">
        <v>0</v>
      </c>
      <c r="M62" s="2796">
        <v>0</v>
      </c>
      <c r="N62" s="2796">
        <v>49</v>
      </c>
      <c r="O62" s="2796">
        <v>0</v>
      </c>
      <c r="P62" s="2796">
        <v>0</v>
      </c>
      <c r="Q62" s="2796">
        <v>0</v>
      </c>
      <c r="R62" s="2796">
        <v>0</v>
      </c>
      <c r="S62" s="2796">
        <v>46</v>
      </c>
      <c r="T62" s="2796">
        <v>27</v>
      </c>
      <c r="U62" s="2796">
        <v>0</v>
      </c>
      <c r="V62" s="2796">
        <v>24</v>
      </c>
      <c r="W62" s="2796">
        <v>50</v>
      </c>
      <c r="X62" s="2796">
        <v>0</v>
      </c>
      <c r="Y62" s="2796">
        <v>0</v>
      </c>
      <c r="Z62" s="2796">
        <v>0</v>
      </c>
      <c r="AA62" s="2796">
        <v>0</v>
      </c>
      <c r="AB62" s="2796">
        <v>35</v>
      </c>
      <c r="AC62" s="2796">
        <v>0</v>
      </c>
      <c r="AD62" s="2796">
        <v>0</v>
      </c>
      <c r="AE62" s="2796">
        <v>0</v>
      </c>
      <c r="AF62" s="2796">
        <v>0</v>
      </c>
      <c r="AG62" s="2796">
        <v>0</v>
      </c>
      <c r="AH62" s="2796">
        <v>0</v>
      </c>
      <c r="AI62" s="2796">
        <v>0</v>
      </c>
      <c r="AJ62" s="2790">
        <f t="shared" si="0"/>
        <v>306</v>
      </c>
      <c r="AK62" s="2790" t="e">
        <f>VLOOKUP(B62,'Mủ CN (TT)'!C63:AK256,36,0)+VLOOKUP(B62,'Mủ CN (tam ung)'!C55:AL219,36,0)</f>
        <v>#N/A</v>
      </c>
      <c r="AL62" s="2797" t="s">
        <v>138</v>
      </c>
      <c r="AM62" s="2798"/>
    </row>
    <row r="63" spans="1:39" ht="18.75">
      <c r="A63" s="933">
        <v>18</v>
      </c>
      <c r="B63" s="2795" t="s">
        <v>1566</v>
      </c>
      <c r="C63" s="2795"/>
      <c r="D63" s="2795" t="s">
        <v>451</v>
      </c>
      <c r="E63" s="2796">
        <v>97</v>
      </c>
      <c r="F63" s="2796">
        <v>39</v>
      </c>
      <c r="G63" s="2796">
        <v>0</v>
      </c>
      <c r="H63" s="2796">
        <v>90</v>
      </c>
      <c r="I63" s="2796">
        <v>72</v>
      </c>
      <c r="J63" s="2796">
        <v>0</v>
      </c>
      <c r="K63" s="2796">
        <v>38</v>
      </c>
      <c r="L63" s="2796">
        <v>37</v>
      </c>
      <c r="M63" s="2796">
        <v>69</v>
      </c>
      <c r="N63" s="2796">
        <v>43</v>
      </c>
      <c r="O63" s="2796">
        <v>0</v>
      </c>
      <c r="P63" s="2796">
        <v>33</v>
      </c>
      <c r="Q63" s="2796">
        <v>0</v>
      </c>
      <c r="R63" s="2796">
        <v>45</v>
      </c>
      <c r="S63" s="2796">
        <v>0</v>
      </c>
      <c r="T63" s="2796">
        <v>0</v>
      </c>
      <c r="U63" s="2796">
        <v>145</v>
      </c>
      <c r="V63" s="2796">
        <v>0</v>
      </c>
      <c r="W63" s="2796">
        <v>27</v>
      </c>
      <c r="X63" s="2796">
        <v>68</v>
      </c>
      <c r="Y63" s="2796">
        <v>64</v>
      </c>
      <c r="Z63" s="2796">
        <v>53</v>
      </c>
      <c r="AA63" s="2796">
        <v>59</v>
      </c>
      <c r="AB63" s="2796">
        <v>128</v>
      </c>
      <c r="AC63" s="2790">
        <v>56</v>
      </c>
      <c r="AD63" s="2790">
        <v>63</v>
      </c>
      <c r="AE63" s="2790">
        <v>40</v>
      </c>
      <c r="AF63" s="2790">
        <v>109</v>
      </c>
      <c r="AG63" s="2790">
        <v>73</v>
      </c>
      <c r="AH63" s="2790">
        <v>65</v>
      </c>
      <c r="AI63" s="2790">
        <v>0</v>
      </c>
      <c r="AJ63" s="2790">
        <f t="shared" si="0"/>
        <v>1513</v>
      </c>
      <c r="AK63" s="2790" t="e">
        <f>VLOOKUP(B63,'Mủ CN (TT)'!C64:AK257,36,0)+VLOOKUP(B63,'Mủ CN (tam ung)'!C55:AL220,36,0)</f>
        <v>#N/A</v>
      </c>
      <c r="AL63" s="2797" t="s">
        <v>141</v>
      </c>
      <c r="AM63" s="2798"/>
    </row>
    <row r="64" spans="1:39" ht="18.75">
      <c r="A64" s="2787">
        <v>19</v>
      </c>
      <c r="B64" s="2795" t="s">
        <v>1686</v>
      </c>
      <c r="C64" s="2795"/>
      <c r="D64" s="2804" t="s">
        <v>451</v>
      </c>
      <c r="E64" s="2796">
        <v>0</v>
      </c>
      <c r="F64" s="2796">
        <v>0</v>
      </c>
      <c r="G64" s="2796">
        <v>0</v>
      </c>
      <c r="H64" s="2796">
        <v>58</v>
      </c>
      <c r="I64" s="2796">
        <v>49</v>
      </c>
      <c r="J64" s="2796">
        <v>25</v>
      </c>
      <c r="K64" s="2796">
        <v>53</v>
      </c>
      <c r="L64" s="2796">
        <v>101</v>
      </c>
      <c r="M64" s="2796">
        <v>43</v>
      </c>
      <c r="N64" s="2796">
        <v>0</v>
      </c>
      <c r="O64" s="2796">
        <v>0</v>
      </c>
      <c r="P64" s="2796">
        <v>144</v>
      </c>
      <c r="Q64" s="2796">
        <v>68</v>
      </c>
      <c r="R64" s="2796">
        <v>0</v>
      </c>
      <c r="S64" s="2796">
        <v>0</v>
      </c>
      <c r="T64" s="2796">
        <v>82</v>
      </c>
      <c r="U64" s="2796">
        <v>88</v>
      </c>
      <c r="V64" s="2796">
        <v>0</v>
      </c>
      <c r="W64" s="2796">
        <v>75</v>
      </c>
      <c r="X64" s="2796">
        <v>0</v>
      </c>
      <c r="Y64" s="2796">
        <v>0</v>
      </c>
      <c r="Z64" s="2796">
        <v>0</v>
      </c>
      <c r="AA64" s="2796">
        <v>49</v>
      </c>
      <c r="AB64" s="2796">
        <v>84</v>
      </c>
      <c r="AC64" s="2796">
        <v>105</v>
      </c>
      <c r="AD64" s="2796">
        <v>28</v>
      </c>
      <c r="AE64" s="2796">
        <v>50</v>
      </c>
      <c r="AF64" s="2796">
        <v>0</v>
      </c>
      <c r="AG64" s="2796">
        <v>217</v>
      </c>
      <c r="AH64" s="2796">
        <v>116</v>
      </c>
      <c r="AI64" s="2796">
        <v>68</v>
      </c>
      <c r="AJ64" s="2790">
        <f t="shared" si="0"/>
        <v>1503</v>
      </c>
      <c r="AK64" s="2790" t="e">
        <f>VLOOKUP(B64,'Mủ CN (TT)'!C73:AK258,36,0)+VLOOKUP(B64,'Mủ CN (tam ung)'!C56:AL221,36,0)</f>
        <v>#N/A</v>
      </c>
      <c r="AL64" s="2797" t="s">
        <v>141</v>
      </c>
      <c r="AM64" s="2798"/>
    </row>
    <row r="65" spans="1:41" ht="18.75">
      <c r="A65" s="933">
        <v>20</v>
      </c>
      <c r="B65" s="2795" t="s">
        <v>1565</v>
      </c>
      <c r="C65" s="2795"/>
      <c r="D65" s="2795" t="s">
        <v>451</v>
      </c>
      <c r="E65" s="2796">
        <v>0</v>
      </c>
      <c r="F65" s="2796">
        <v>0</v>
      </c>
      <c r="G65" s="2796">
        <v>0</v>
      </c>
      <c r="H65" s="2796">
        <v>0</v>
      </c>
      <c r="I65" s="2796">
        <v>34</v>
      </c>
      <c r="J65" s="2796">
        <v>0</v>
      </c>
      <c r="K65" s="2796">
        <v>0</v>
      </c>
      <c r="L65" s="2796">
        <v>119</v>
      </c>
      <c r="M65" s="2796">
        <v>30</v>
      </c>
      <c r="N65" s="2796">
        <v>120</v>
      </c>
      <c r="O65" s="2796">
        <v>0</v>
      </c>
      <c r="P65" s="2796">
        <v>0</v>
      </c>
      <c r="Q65" s="2796">
        <v>0</v>
      </c>
      <c r="R65" s="2796">
        <v>72</v>
      </c>
      <c r="S65" s="2796">
        <v>0</v>
      </c>
      <c r="T65" s="2796">
        <v>91</v>
      </c>
      <c r="U65" s="2796">
        <v>89</v>
      </c>
      <c r="V65" s="2796">
        <v>0</v>
      </c>
      <c r="W65" s="2796">
        <v>0</v>
      </c>
      <c r="X65" s="2796">
        <v>0</v>
      </c>
      <c r="Y65" s="2796">
        <v>0</v>
      </c>
      <c r="Z65" s="2796">
        <v>0</v>
      </c>
      <c r="AA65" s="2796">
        <v>0</v>
      </c>
      <c r="AB65" s="2796">
        <v>61</v>
      </c>
      <c r="AC65" s="2796">
        <v>0</v>
      </c>
      <c r="AD65" s="2796">
        <v>145</v>
      </c>
      <c r="AE65" s="2796">
        <v>40</v>
      </c>
      <c r="AF65" s="2796">
        <v>38</v>
      </c>
      <c r="AG65" s="2796">
        <v>75</v>
      </c>
      <c r="AH65" s="2796">
        <v>0</v>
      </c>
      <c r="AI65" s="2796">
        <v>0</v>
      </c>
      <c r="AJ65" s="2790">
        <f t="shared" si="0"/>
        <v>914</v>
      </c>
      <c r="AK65" s="2790" t="e">
        <f>VLOOKUP(B65,'Mủ CN (TT)'!C74:AK259,36,0)+VLOOKUP(B65,'Mủ CN (tam ung)'!C57:AL222,36,0)</f>
        <v>#N/A</v>
      </c>
      <c r="AL65" s="2797" t="s">
        <v>141</v>
      </c>
      <c r="AM65" s="2798"/>
      <c r="AO65">
        <f>+COUNTIF(AL46:AL72,"A")</f>
        <v>16</v>
      </c>
    </row>
    <row r="66" spans="1:41" ht="18.75">
      <c r="A66" s="2787">
        <v>21</v>
      </c>
      <c r="B66" s="2795" t="s">
        <v>1567</v>
      </c>
      <c r="C66" s="2795"/>
      <c r="D66" s="2804" t="s">
        <v>451</v>
      </c>
      <c r="E66" s="2796">
        <v>0</v>
      </c>
      <c r="F66" s="2796">
        <v>0</v>
      </c>
      <c r="G66" s="2796">
        <v>0</v>
      </c>
      <c r="H66" s="2796">
        <v>66</v>
      </c>
      <c r="I66" s="2796">
        <v>0</v>
      </c>
      <c r="J66" s="2796">
        <v>0</v>
      </c>
      <c r="K66" s="2796">
        <v>0</v>
      </c>
      <c r="L66" s="2796">
        <v>59</v>
      </c>
      <c r="M66" s="2796">
        <v>69</v>
      </c>
      <c r="N66" s="2796">
        <v>42</v>
      </c>
      <c r="O66" s="2796">
        <v>0</v>
      </c>
      <c r="P66" s="2796">
        <v>0</v>
      </c>
      <c r="Q66" s="2796">
        <v>0</v>
      </c>
      <c r="R66" s="2796">
        <v>0</v>
      </c>
      <c r="S66" s="2796">
        <v>0</v>
      </c>
      <c r="T66" s="2796">
        <v>58</v>
      </c>
      <c r="U66" s="2796">
        <v>0</v>
      </c>
      <c r="V66" s="2796">
        <v>0</v>
      </c>
      <c r="W66" s="2796">
        <v>90</v>
      </c>
      <c r="X66" s="2796">
        <v>81</v>
      </c>
      <c r="Y66" s="2796">
        <v>0</v>
      </c>
      <c r="Z66" s="2796">
        <v>0</v>
      </c>
      <c r="AA66" s="2796">
        <v>0</v>
      </c>
      <c r="AB66" s="2796">
        <v>32</v>
      </c>
      <c r="AC66" s="2796">
        <v>52</v>
      </c>
      <c r="AD66" s="2796">
        <v>0</v>
      </c>
      <c r="AE66" s="2796">
        <v>56</v>
      </c>
      <c r="AF66" s="2796">
        <v>0</v>
      </c>
      <c r="AG66" s="2796">
        <v>94</v>
      </c>
      <c r="AH66" s="2796">
        <v>0</v>
      </c>
      <c r="AI66" s="2796">
        <v>0</v>
      </c>
      <c r="AJ66" s="2790">
        <f t="shared" si="0"/>
        <v>699</v>
      </c>
      <c r="AK66" s="2790" t="e">
        <f>VLOOKUP(B66,'Mủ CN (TT)'!C75:AK260,36,0)+VLOOKUP(B66,'Mủ CN (tam ung)'!C57:AL223,36,0)</f>
        <v>#N/A</v>
      </c>
      <c r="AL66" s="2797" t="s">
        <v>141</v>
      </c>
      <c r="AM66" s="2798"/>
    </row>
    <row r="67" spans="1:41" ht="18.75">
      <c r="A67" s="933">
        <v>22</v>
      </c>
      <c r="B67" s="2795" t="s">
        <v>1687</v>
      </c>
      <c r="C67" s="2795"/>
      <c r="D67" s="2795" t="s">
        <v>451</v>
      </c>
      <c r="E67" s="2796">
        <v>75</v>
      </c>
      <c r="F67" s="2796">
        <v>0</v>
      </c>
      <c r="G67" s="2796">
        <v>0</v>
      </c>
      <c r="H67" s="2796">
        <v>74</v>
      </c>
      <c r="I67" s="2796">
        <v>39</v>
      </c>
      <c r="J67" s="2796">
        <v>0</v>
      </c>
      <c r="K67" s="2796">
        <v>0</v>
      </c>
      <c r="L67" s="2796">
        <v>0</v>
      </c>
      <c r="M67" s="2796">
        <v>0</v>
      </c>
      <c r="N67" s="2796">
        <v>60</v>
      </c>
      <c r="O67" s="2796">
        <v>0</v>
      </c>
      <c r="P67" s="2796">
        <v>0</v>
      </c>
      <c r="Q67" s="2796">
        <v>0</v>
      </c>
      <c r="R67" s="2796">
        <v>0</v>
      </c>
      <c r="S67" s="2796">
        <v>58</v>
      </c>
      <c r="T67" s="2796">
        <v>60</v>
      </c>
      <c r="U67" s="2796">
        <v>0</v>
      </c>
      <c r="V67" s="2796">
        <v>0</v>
      </c>
      <c r="W67" s="2796">
        <v>0</v>
      </c>
      <c r="X67" s="2796">
        <v>32</v>
      </c>
      <c r="Y67" s="2796">
        <v>0</v>
      </c>
      <c r="Z67" s="2796">
        <v>0</v>
      </c>
      <c r="AA67" s="2796">
        <v>0</v>
      </c>
      <c r="AB67" s="2796">
        <v>0</v>
      </c>
      <c r="AC67" s="2796">
        <v>0</v>
      </c>
      <c r="AD67" s="2796">
        <v>0</v>
      </c>
      <c r="AE67" s="2796">
        <v>103</v>
      </c>
      <c r="AF67" s="2796">
        <v>99</v>
      </c>
      <c r="AG67" s="2796">
        <v>0</v>
      </c>
      <c r="AH67" s="2796">
        <v>50</v>
      </c>
      <c r="AI67" s="2796">
        <v>0</v>
      </c>
      <c r="AJ67" s="2790">
        <f t="shared" si="0"/>
        <v>650</v>
      </c>
      <c r="AK67" s="2790" t="e">
        <f>VLOOKUP(B67,'Mủ CN (TT)'!C76:AK261,36,0)+VLOOKUP(B67,'Mủ CN (tam ung)'!C57:AL224,36,0)</f>
        <v>#N/A</v>
      </c>
      <c r="AL67" s="2797" t="s">
        <v>141</v>
      </c>
      <c r="AM67" s="2798"/>
    </row>
    <row r="68" spans="1:41" ht="18.75">
      <c r="A68" s="2787">
        <v>23</v>
      </c>
      <c r="B68" s="2795" t="s">
        <v>1568</v>
      </c>
      <c r="C68" s="2795"/>
      <c r="D68" s="2804" t="s">
        <v>451</v>
      </c>
      <c r="E68" s="2796">
        <v>0</v>
      </c>
      <c r="F68" s="2796">
        <v>0</v>
      </c>
      <c r="G68" s="2796">
        <v>0</v>
      </c>
      <c r="H68" s="2796">
        <v>0</v>
      </c>
      <c r="I68" s="2796">
        <v>0</v>
      </c>
      <c r="J68" s="2796">
        <v>0</v>
      </c>
      <c r="K68" s="2796">
        <v>0</v>
      </c>
      <c r="L68" s="2796">
        <v>0</v>
      </c>
      <c r="M68" s="2796">
        <v>0</v>
      </c>
      <c r="N68" s="2796">
        <v>0</v>
      </c>
      <c r="O68" s="2796">
        <v>0</v>
      </c>
      <c r="P68" s="2796">
        <v>0</v>
      </c>
      <c r="Q68" s="2796">
        <v>0</v>
      </c>
      <c r="R68" s="2796">
        <v>0</v>
      </c>
      <c r="S68" s="2796">
        <v>0</v>
      </c>
      <c r="T68" s="2796">
        <v>0</v>
      </c>
      <c r="U68" s="2796">
        <v>0</v>
      </c>
      <c r="V68" s="2796">
        <v>0</v>
      </c>
      <c r="W68" s="2796">
        <v>0</v>
      </c>
      <c r="X68" s="2796">
        <v>0</v>
      </c>
      <c r="Y68" s="2796">
        <v>0</v>
      </c>
      <c r="Z68" s="2796">
        <v>0</v>
      </c>
      <c r="AA68" s="2796">
        <v>0</v>
      </c>
      <c r="AB68" s="2796">
        <v>0</v>
      </c>
      <c r="AC68" s="2796">
        <v>0</v>
      </c>
      <c r="AD68" s="2796">
        <v>0</v>
      </c>
      <c r="AE68" s="2796">
        <v>0</v>
      </c>
      <c r="AF68" s="2796">
        <v>0</v>
      </c>
      <c r="AG68" s="2796">
        <v>0</v>
      </c>
      <c r="AH68" s="2796">
        <v>0</v>
      </c>
      <c r="AI68" s="2796">
        <v>0</v>
      </c>
      <c r="AJ68" s="2790">
        <f>+SUM(E68:AI68)</f>
        <v>0</v>
      </c>
      <c r="AK68" s="2790" t="e">
        <f>VLOOKUP(B68,'Mủ CN (TT)'!C77:AK262,36,0)+VLOOKUP(B68,'Mủ CN (tam ung)'!C58:AL225,36,0)</f>
        <v>#N/A</v>
      </c>
      <c r="AL68" s="2797" t="s">
        <v>168</v>
      </c>
      <c r="AM68" s="2798"/>
    </row>
    <row r="69" spans="1:41" ht="18.75">
      <c r="A69" s="933">
        <v>24</v>
      </c>
      <c r="B69" s="2795" t="s">
        <v>1178</v>
      </c>
      <c r="C69" s="2795"/>
      <c r="D69" s="2795" t="s">
        <v>451</v>
      </c>
      <c r="E69" s="2796">
        <v>0</v>
      </c>
      <c r="F69" s="2796">
        <v>0</v>
      </c>
      <c r="G69" s="2796">
        <v>0</v>
      </c>
      <c r="H69" s="2796">
        <v>0</v>
      </c>
      <c r="I69" s="2796">
        <v>0</v>
      </c>
      <c r="J69" s="2796">
        <v>0</v>
      </c>
      <c r="K69" s="2796">
        <v>0</v>
      </c>
      <c r="L69" s="2796">
        <v>29</v>
      </c>
      <c r="M69" s="2796">
        <v>36</v>
      </c>
      <c r="N69" s="2796">
        <v>0</v>
      </c>
      <c r="O69" s="2796">
        <v>0</v>
      </c>
      <c r="P69" s="2796">
        <v>0</v>
      </c>
      <c r="Q69" s="2796">
        <v>0</v>
      </c>
      <c r="R69" s="2796">
        <v>0</v>
      </c>
      <c r="S69" s="2796">
        <v>27</v>
      </c>
      <c r="T69" s="2796">
        <v>32</v>
      </c>
      <c r="U69" s="2796">
        <v>0</v>
      </c>
      <c r="V69" s="2796">
        <v>21</v>
      </c>
      <c r="W69" s="2796">
        <v>0</v>
      </c>
      <c r="X69" s="2796">
        <v>28</v>
      </c>
      <c r="Y69" s="2796">
        <v>34</v>
      </c>
      <c r="Z69" s="2796">
        <v>0</v>
      </c>
      <c r="AA69" s="2796">
        <v>0</v>
      </c>
      <c r="AB69" s="2796">
        <v>0</v>
      </c>
      <c r="AC69" s="2796">
        <v>0</v>
      </c>
      <c r="AD69" s="2796">
        <v>0</v>
      </c>
      <c r="AE69" s="2796">
        <v>27</v>
      </c>
      <c r="AF69" s="2796">
        <v>64</v>
      </c>
      <c r="AG69" s="2796">
        <v>0</v>
      </c>
      <c r="AH69" s="2796">
        <v>0</v>
      </c>
      <c r="AI69" s="2796">
        <v>0</v>
      </c>
      <c r="AJ69" s="2790">
        <f>+SUM(E69:AI69)</f>
        <v>298</v>
      </c>
      <c r="AK69" s="2790" t="e">
        <f>VLOOKUP(B69,'Mủ CN (TT)'!C78:AK263,36,0)+VLOOKUP(B69,'Mủ CN (tam ung)'!C58:AL226,36,0)</f>
        <v>#N/A</v>
      </c>
      <c r="AL69" s="2797" t="s">
        <v>141</v>
      </c>
      <c r="AM69" s="2798"/>
    </row>
    <row r="70" spans="1:41" ht="18.75">
      <c r="A70" s="2787">
        <v>25</v>
      </c>
      <c r="B70" s="2795" t="s">
        <v>1688</v>
      </c>
      <c r="C70" s="2795"/>
      <c r="D70" s="2804" t="s">
        <v>451</v>
      </c>
      <c r="E70" s="2796">
        <v>0</v>
      </c>
      <c r="F70" s="2796">
        <v>0</v>
      </c>
      <c r="G70" s="2796">
        <v>0</v>
      </c>
      <c r="H70" s="2796">
        <v>0</v>
      </c>
      <c r="I70" s="2796">
        <v>0</v>
      </c>
      <c r="J70" s="2796">
        <v>0</v>
      </c>
      <c r="K70" s="2796">
        <v>0</v>
      </c>
      <c r="L70" s="2796">
        <v>0</v>
      </c>
      <c r="M70" s="2796">
        <v>0</v>
      </c>
      <c r="N70" s="2796">
        <v>0</v>
      </c>
      <c r="O70" s="2796">
        <v>0</v>
      </c>
      <c r="P70" s="2796">
        <v>0</v>
      </c>
      <c r="Q70" s="2796">
        <v>0</v>
      </c>
      <c r="R70" s="2796">
        <v>0</v>
      </c>
      <c r="S70" s="2796">
        <v>0</v>
      </c>
      <c r="T70" s="2796">
        <v>0</v>
      </c>
      <c r="U70" s="2796">
        <v>0</v>
      </c>
      <c r="V70" s="2796">
        <v>0</v>
      </c>
      <c r="W70" s="2796">
        <v>165</v>
      </c>
      <c r="X70" s="2796">
        <v>0</v>
      </c>
      <c r="Y70" s="2796">
        <v>0</v>
      </c>
      <c r="Z70" s="2796">
        <v>0</v>
      </c>
      <c r="AA70" s="2796">
        <v>0</v>
      </c>
      <c r="AB70" s="2796">
        <v>41</v>
      </c>
      <c r="AC70" s="2796">
        <v>0</v>
      </c>
      <c r="AD70" s="2796">
        <v>0</v>
      </c>
      <c r="AE70" s="2796">
        <v>126</v>
      </c>
      <c r="AF70" s="2796">
        <v>112</v>
      </c>
      <c r="AG70" s="2796">
        <v>0</v>
      </c>
      <c r="AH70" s="2796">
        <v>0</v>
      </c>
      <c r="AI70" s="2796">
        <v>0</v>
      </c>
      <c r="AJ70" s="2790">
        <f>+SUM(E70:AI70)</f>
        <v>444</v>
      </c>
      <c r="AK70" s="2790" t="e">
        <f>VLOOKUP(B70,'Mủ CN (TT)'!C79:AK264,36,0)+VLOOKUP(B70,'Mủ CN (tam ung)'!C58:AL227,36,0)</f>
        <v>#N/A</v>
      </c>
      <c r="AL70" s="2797" t="s">
        <v>141</v>
      </c>
      <c r="AM70" s="2798"/>
    </row>
    <row r="71" spans="1:41" ht="18.75">
      <c r="A71" s="933">
        <v>26</v>
      </c>
      <c r="B71" s="2795" t="s">
        <v>1689</v>
      </c>
      <c r="C71" s="2795"/>
      <c r="D71" s="2795" t="s">
        <v>451</v>
      </c>
      <c r="E71" s="2796">
        <v>0</v>
      </c>
      <c r="F71" s="2796">
        <v>0</v>
      </c>
      <c r="G71" s="2796">
        <v>0</v>
      </c>
      <c r="H71" s="2796">
        <v>0</v>
      </c>
      <c r="I71" s="2796">
        <v>0</v>
      </c>
      <c r="J71" s="2796">
        <v>0</v>
      </c>
      <c r="K71" s="2796">
        <v>0</v>
      </c>
      <c r="L71" s="2796">
        <v>0</v>
      </c>
      <c r="M71" s="2796">
        <v>0</v>
      </c>
      <c r="N71" s="2796">
        <v>0</v>
      </c>
      <c r="O71" s="2796">
        <v>0</v>
      </c>
      <c r="P71" s="2796">
        <v>0</v>
      </c>
      <c r="Q71" s="2796">
        <v>0</v>
      </c>
      <c r="R71" s="2796">
        <v>0</v>
      </c>
      <c r="S71" s="2796">
        <v>0</v>
      </c>
      <c r="T71" s="2796">
        <v>66</v>
      </c>
      <c r="U71" s="2796">
        <v>0</v>
      </c>
      <c r="V71" s="2796">
        <v>0</v>
      </c>
      <c r="W71" s="2796">
        <v>0</v>
      </c>
      <c r="X71" s="2796">
        <v>0</v>
      </c>
      <c r="Y71" s="2796">
        <v>0</v>
      </c>
      <c r="Z71" s="2796">
        <v>0</v>
      </c>
      <c r="AA71" s="2796">
        <v>0</v>
      </c>
      <c r="AB71" s="2796">
        <v>54</v>
      </c>
      <c r="AC71" s="2796">
        <v>75</v>
      </c>
      <c r="AD71" s="2796">
        <v>59</v>
      </c>
      <c r="AE71" s="2796">
        <v>0</v>
      </c>
      <c r="AF71" s="2796">
        <v>0</v>
      </c>
      <c r="AG71" s="2796">
        <v>51</v>
      </c>
      <c r="AH71" s="2796">
        <v>0</v>
      </c>
      <c r="AI71" s="2796">
        <v>0</v>
      </c>
      <c r="AJ71" s="2790">
        <f t="shared" si="0"/>
        <v>305</v>
      </c>
      <c r="AK71" s="2790" t="e">
        <f>VLOOKUP(B71,'Mủ CN (TT)'!C90:AK265,36,0)+VLOOKUP(B71,'Mủ CN (tam ung)'!C58:AL228,36,0)</f>
        <v>#N/A</v>
      </c>
      <c r="AL71" s="2797" t="s">
        <v>168</v>
      </c>
      <c r="AM71" s="2798"/>
    </row>
    <row r="72" spans="1:41" ht="18.75">
      <c r="A72" s="2787">
        <v>27</v>
      </c>
      <c r="B72" s="2795" t="s">
        <v>1690</v>
      </c>
      <c r="C72" s="2795"/>
      <c r="D72" s="2804" t="s">
        <v>451</v>
      </c>
      <c r="E72" s="2796">
        <v>0</v>
      </c>
      <c r="F72" s="2796">
        <v>0</v>
      </c>
      <c r="G72" s="2796">
        <v>0</v>
      </c>
      <c r="H72" s="2796">
        <v>0</v>
      </c>
      <c r="I72" s="2796">
        <v>0</v>
      </c>
      <c r="J72" s="2796">
        <v>0</v>
      </c>
      <c r="K72" s="2796">
        <v>0</v>
      </c>
      <c r="L72" s="2796">
        <v>0</v>
      </c>
      <c r="M72" s="2796">
        <v>0</v>
      </c>
      <c r="N72" s="2796">
        <v>0</v>
      </c>
      <c r="O72" s="2796">
        <v>0</v>
      </c>
      <c r="P72" s="2796">
        <v>0</v>
      </c>
      <c r="Q72" s="2796">
        <v>0</v>
      </c>
      <c r="R72" s="2796">
        <v>0</v>
      </c>
      <c r="S72" s="2796">
        <v>0</v>
      </c>
      <c r="T72" s="2796">
        <v>0</v>
      </c>
      <c r="U72" s="2796">
        <v>0</v>
      </c>
      <c r="V72" s="2796">
        <v>0</v>
      </c>
      <c r="W72" s="2796">
        <v>0</v>
      </c>
      <c r="X72" s="2796">
        <v>0</v>
      </c>
      <c r="Y72" s="2796">
        <v>0</v>
      </c>
      <c r="Z72" s="2796">
        <v>0</v>
      </c>
      <c r="AA72" s="2796">
        <v>0</v>
      </c>
      <c r="AB72" s="2796">
        <v>0</v>
      </c>
      <c r="AC72" s="2796">
        <v>74</v>
      </c>
      <c r="AD72" s="2796">
        <v>0</v>
      </c>
      <c r="AE72" s="2796">
        <v>0</v>
      </c>
      <c r="AF72" s="2796">
        <v>0</v>
      </c>
      <c r="AG72" s="2796">
        <v>0</v>
      </c>
      <c r="AH72" s="2796">
        <v>0</v>
      </c>
      <c r="AI72" s="2901">
        <v>0</v>
      </c>
      <c r="AJ72" s="2902">
        <f t="shared" si="0"/>
        <v>74</v>
      </c>
      <c r="AK72" s="2790" t="e">
        <f>VLOOKUP(B72,'Mủ CN (TT)'!C90:AK266,36,0)+VLOOKUP(B72,'Mủ CN (tam ung)'!C58:AL229,36,0)</f>
        <v>#N/A</v>
      </c>
      <c r="AL72" s="2797" t="s">
        <v>168</v>
      </c>
      <c r="AM72" s="2798"/>
      <c r="AN72">
        <f>1932-1899</f>
        <v>33</v>
      </c>
    </row>
    <row r="73" spans="1:41" ht="18.75">
      <c r="A73" s="2922" t="s">
        <v>1863</v>
      </c>
      <c r="B73" s="2923"/>
      <c r="C73" s="2923"/>
      <c r="D73" s="2924"/>
      <c r="E73" s="2909">
        <f t="shared" ref="E73:AL73" si="2">SUBTOTAL(9,E46:E72)</f>
        <v>823</v>
      </c>
      <c r="F73" s="2909">
        <f t="shared" si="2"/>
        <v>647</v>
      </c>
      <c r="G73" s="2909">
        <f t="shared" si="2"/>
        <v>270</v>
      </c>
      <c r="H73" s="2909">
        <f t="shared" si="2"/>
        <v>1214</v>
      </c>
      <c r="I73" s="2909">
        <f t="shared" si="2"/>
        <v>1182</v>
      </c>
      <c r="J73" s="2909">
        <f t="shared" si="2"/>
        <v>545</v>
      </c>
      <c r="K73" s="2909">
        <f t="shared" si="2"/>
        <v>801</v>
      </c>
      <c r="L73" s="2909">
        <f t="shared" si="2"/>
        <v>1163</v>
      </c>
      <c r="M73" s="2909">
        <f t="shared" si="2"/>
        <v>1011</v>
      </c>
      <c r="N73" s="2909">
        <f t="shared" si="2"/>
        <v>1251</v>
      </c>
      <c r="O73" s="2909">
        <f t="shared" si="2"/>
        <v>218</v>
      </c>
      <c r="P73" s="2909">
        <f t="shared" si="2"/>
        <v>893</v>
      </c>
      <c r="Q73" s="2909">
        <f t="shared" si="2"/>
        <v>758</v>
      </c>
      <c r="R73" s="2909">
        <f t="shared" si="2"/>
        <v>1212</v>
      </c>
      <c r="S73" s="2909">
        <f t="shared" si="2"/>
        <v>539</v>
      </c>
      <c r="T73" s="2909">
        <f t="shared" si="2"/>
        <v>1523</v>
      </c>
      <c r="U73" s="2909">
        <f t="shared" si="2"/>
        <v>969</v>
      </c>
      <c r="V73" s="2909">
        <f t="shared" si="2"/>
        <v>734</v>
      </c>
      <c r="W73" s="2909">
        <f t="shared" si="2"/>
        <v>1201</v>
      </c>
      <c r="X73" s="2909">
        <f t="shared" si="2"/>
        <v>661</v>
      </c>
      <c r="Y73" s="2909">
        <f t="shared" si="2"/>
        <v>641</v>
      </c>
      <c r="Z73" s="2909">
        <f t="shared" si="2"/>
        <v>626</v>
      </c>
      <c r="AA73" s="2909">
        <f t="shared" si="2"/>
        <v>477</v>
      </c>
      <c r="AB73" s="2909">
        <f t="shared" si="2"/>
        <v>1383</v>
      </c>
      <c r="AC73" s="2909">
        <f t="shared" si="2"/>
        <v>1189</v>
      </c>
      <c r="AD73" s="2909">
        <f t="shared" si="2"/>
        <v>1305</v>
      </c>
      <c r="AE73" s="2909">
        <f t="shared" si="2"/>
        <v>1270</v>
      </c>
      <c r="AF73" s="2909">
        <f t="shared" si="2"/>
        <v>1732</v>
      </c>
      <c r="AG73" s="2909">
        <f t="shared" si="2"/>
        <v>2135</v>
      </c>
      <c r="AH73" s="2909">
        <f t="shared" si="2"/>
        <v>1589</v>
      </c>
      <c r="AI73" s="2909">
        <f t="shared" si="2"/>
        <v>1284</v>
      </c>
      <c r="AJ73" s="2909">
        <f>SUBTOTAL(9,AJ46:AJ72)</f>
        <v>31246</v>
      </c>
      <c r="AK73" s="2909" t="e">
        <f>SUBTOTAL(9,AK46:AK72)</f>
        <v>#N/A</v>
      </c>
      <c r="AL73" s="2916">
        <f t="shared" si="2"/>
        <v>0</v>
      </c>
      <c r="AM73" s="2917"/>
    </row>
    <row r="74" spans="1:41" ht="18.75">
      <c r="A74" s="2807">
        <v>1</v>
      </c>
      <c r="B74" s="2808" t="s">
        <v>1489</v>
      </c>
      <c r="C74" s="2809"/>
      <c r="D74" s="2809" t="s">
        <v>452</v>
      </c>
      <c r="E74" s="2790">
        <v>106</v>
      </c>
      <c r="F74" s="2790">
        <v>109</v>
      </c>
      <c r="G74" s="2790">
        <v>113</v>
      </c>
      <c r="H74" s="2790">
        <v>81</v>
      </c>
      <c r="I74" s="2790">
        <v>105</v>
      </c>
      <c r="J74" s="2790">
        <v>89</v>
      </c>
      <c r="K74" s="2790">
        <v>109</v>
      </c>
      <c r="L74" s="2790">
        <v>82</v>
      </c>
      <c r="M74" s="2790">
        <v>93</v>
      </c>
      <c r="N74" s="2790">
        <v>125</v>
      </c>
      <c r="O74" s="2790">
        <v>113</v>
      </c>
      <c r="P74" s="2790">
        <v>83</v>
      </c>
      <c r="Q74" s="2790">
        <v>91</v>
      </c>
      <c r="R74" s="2790">
        <v>96</v>
      </c>
      <c r="S74" s="2790">
        <v>100</v>
      </c>
      <c r="T74" s="2790">
        <v>70</v>
      </c>
      <c r="U74" s="2790">
        <v>0</v>
      </c>
      <c r="V74" s="2790">
        <v>94</v>
      </c>
      <c r="W74" s="2790">
        <v>67</v>
      </c>
      <c r="X74" s="2790">
        <v>95</v>
      </c>
      <c r="Y74" s="2790">
        <v>100</v>
      </c>
      <c r="Z74" s="2790">
        <v>85</v>
      </c>
      <c r="AA74" s="2790">
        <v>90</v>
      </c>
      <c r="AB74" s="2790">
        <v>70</v>
      </c>
      <c r="AC74" s="2790">
        <v>68</v>
      </c>
      <c r="AD74" s="2790">
        <v>77</v>
      </c>
      <c r="AE74" s="2790">
        <v>90</v>
      </c>
      <c r="AF74" s="2790">
        <v>73</v>
      </c>
      <c r="AG74" s="2790">
        <v>100</v>
      </c>
      <c r="AH74" s="2790">
        <v>72</v>
      </c>
      <c r="AI74" s="2790">
        <v>94</v>
      </c>
      <c r="AJ74" s="2790">
        <f>+SUM(E74:AI74)</f>
        <v>2740</v>
      </c>
      <c r="AK74" s="2790" t="e">
        <f>VLOOKUP(B74,'Mủ CN (TT)'!C91:AK268,36,0)+VLOOKUP(B74,'Mủ CN (tam ung)'!C59:AL231,36,0)</f>
        <v>#N/A</v>
      </c>
      <c r="AL74" s="2810" t="s">
        <v>141</v>
      </c>
      <c r="AM74" s="2809"/>
    </row>
    <row r="75" spans="1:41" ht="18.75">
      <c r="A75" s="2811">
        <v>2</v>
      </c>
      <c r="B75" s="2812" t="s">
        <v>1532</v>
      </c>
      <c r="C75" s="2813"/>
      <c r="D75" s="2813" t="s">
        <v>452</v>
      </c>
      <c r="E75" s="2796">
        <v>106</v>
      </c>
      <c r="F75" s="2796">
        <v>108</v>
      </c>
      <c r="G75" s="2796">
        <v>114</v>
      </c>
      <c r="H75" s="2796">
        <v>93</v>
      </c>
      <c r="I75" s="2796">
        <v>106</v>
      </c>
      <c r="J75" s="2796">
        <v>90</v>
      </c>
      <c r="K75" s="2796">
        <v>109</v>
      </c>
      <c r="L75" s="2796">
        <v>83</v>
      </c>
      <c r="M75" s="2796">
        <v>94</v>
      </c>
      <c r="N75" s="2796">
        <v>125</v>
      </c>
      <c r="O75" s="2796">
        <v>113</v>
      </c>
      <c r="P75" s="2796">
        <v>83</v>
      </c>
      <c r="Q75" s="2796">
        <v>91</v>
      </c>
      <c r="R75" s="2796">
        <v>96</v>
      </c>
      <c r="S75" s="2796">
        <v>101</v>
      </c>
      <c r="T75" s="2796">
        <v>71</v>
      </c>
      <c r="U75" s="2796">
        <v>0</v>
      </c>
      <c r="V75" s="2796">
        <v>95</v>
      </c>
      <c r="W75" s="2796">
        <v>67</v>
      </c>
      <c r="X75" s="2796">
        <v>96</v>
      </c>
      <c r="Y75" s="2796">
        <v>100</v>
      </c>
      <c r="Z75" s="2796">
        <v>86</v>
      </c>
      <c r="AA75" s="2796">
        <v>90</v>
      </c>
      <c r="AB75" s="2796">
        <v>70</v>
      </c>
      <c r="AC75" s="2796">
        <v>68</v>
      </c>
      <c r="AD75" s="2796">
        <v>77</v>
      </c>
      <c r="AE75" s="2796">
        <v>90</v>
      </c>
      <c r="AF75" s="2796">
        <v>73</v>
      </c>
      <c r="AG75" s="2796">
        <v>100</v>
      </c>
      <c r="AH75" s="2796">
        <v>72</v>
      </c>
      <c r="AI75" s="2796">
        <v>94</v>
      </c>
      <c r="AJ75" s="2790">
        <f t="shared" ref="AJ75:AJ135" si="3">+SUM(E75:AI75)</f>
        <v>2761</v>
      </c>
      <c r="AK75" s="2790" t="e">
        <f>VLOOKUP(B75,'Mủ CN (TT)'!C92:AK269,36,0)+VLOOKUP(B75,'Mủ CN (tam ung)'!C60:AL232,36,0)</f>
        <v>#N/A</v>
      </c>
      <c r="AL75" s="2814" t="s">
        <v>141</v>
      </c>
      <c r="AM75" s="2798"/>
    </row>
    <row r="76" spans="1:41" ht="18.75">
      <c r="A76" s="2807">
        <v>3</v>
      </c>
      <c r="B76" s="2812" t="s">
        <v>1691</v>
      </c>
      <c r="C76" s="2813"/>
      <c r="D76" s="2813" t="s">
        <v>452</v>
      </c>
      <c r="E76" s="2796">
        <v>57</v>
      </c>
      <c r="F76" s="2796">
        <v>68</v>
      </c>
      <c r="G76" s="2796">
        <v>68</v>
      </c>
      <c r="H76" s="2796">
        <v>73</v>
      </c>
      <c r="I76" s="2796">
        <v>51</v>
      </c>
      <c r="J76" s="2796">
        <v>67</v>
      </c>
      <c r="K76" s="2796">
        <v>0</v>
      </c>
      <c r="L76" s="2796">
        <v>0</v>
      </c>
      <c r="M76" s="2796">
        <v>0</v>
      </c>
      <c r="N76" s="2796">
        <v>0</v>
      </c>
      <c r="O76" s="2796">
        <v>114</v>
      </c>
      <c r="P76" s="2796">
        <v>84</v>
      </c>
      <c r="Q76" s="2796">
        <v>92</v>
      </c>
      <c r="R76" s="2796">
        <v>97</v>
      </c>
      <c r="S76" s="2796">
        <v>101</v>
      </c>
      <c r="T76" s="2796">
        <v>70</v>
      </c>
      <c r="U76" s="2796">
        <v>0</v>
      </c>
      <c r="V76" s="2796">
        <v>95</v>
      </c>
      <c r="W76" s="2796">
        <v>66</v>
      </c>
      <c r="X76" s="2796">
        <v>96</v>
      </c>
      <c r="Y76" s="2796">
        <v>98</v>
      </c>
      <c r="Z76" s="2796">
        <v>86</v>
      </c>
      <c r="AA76" s="2796">
        <v>89</v>
      </c>
      <c r="AB76" s="2796">
        <v>65</v>
      </c>
      <c r="AC76" s="2796">
        <v>69</v>
      </c>
      <c r="AD76" s="2796">
        <v>77</v>
      </c>
      <c r="AE76" s="2796">
        <v>90</v>
      </c>
      <c r="AF76" s="2796">
        <v>74</v>
      </c>
      <c r="AG76" s="2796">
        <v>100</v>
      </c>
      <c r="AH76" s="2796">
        <v>73</v>
      </c>
      <c r="AI76" s="2796">
        <v>94</v>
      </c>
      <c r="AJ76" s="2790">
        <f t="shared" si="3"/>
        <v>2114</v>
      </c>
      <c r="AK76" s="2790" t="e">
        <f>VLOOKUP(B76,'Mủ CN (TT)'!C93:AK270,36,0)+VLOOKUP(B76,'Mủ CN (tam ung)'!C61:AL233,36,0)</f>
        <v>#N/A</v>
      </c>
      <c r="AL76" s="2814" t="s">
        <v>141</v>
      </c>
      <c r="AM76" s="2798"/>
    </row>
    <row r="77" spans="1:41" ht="18.75">
      <c r="A77" s="2811">
        <v>4</v>
      </c>
      <c r="B77" s="2812" t="s">
        <v>1692</v>
      </c>
      <c r="C77" s="2813"/>
      <c r="D77" s="2813" t="s">
        <v>452</v>
      </c>
      <c r="E77" s="2796">
        <v>58</v>
      </c>
      <c r="F77" s="2796">
        <v>68</v>
      </c>
      <c r="G77" s="2796">
        <v>68</v>
      </c>
      <c r="H77" s="2796">
        <v>74</v>
      </c>
      <c r="I77" s="2796">
        <v>53</v>
      </c>
      <c r="J77" s="2796">
        <v>67</v>
      </c>
      <c r="K77" s="2796">
        <v>0</v>
      </c>
      <c r="L77" s="2796">
        <v>0</v>
      </c>
      <c r="M77" s="2796">
        <v>0</v>
      </c>
      <c r="N77" s="2796">
        <v>0</v>
      </c>
      <c r="O77" s="2796">
        <v>102</v>
      </c>
      <c r="P77" s="2796">
        <v>76</v>
      </c>
      <c r="Q77" s="2796">
        <v>84</v>
      </c>
      <c r="R77" s="2796">
        <v>115</v>
      </c>
      <c r="S77" s="2796">
        <v>103</v>
      </c>
      <c r="T77" s="2796">
        <v>67</v>
      </c>
      <c r="U77" s="2796">
        <v>0</v>
      </c>
      <c r="V77" s="2796">
        <v>65</v>
      </c>
      <c r="W77" s="2796">
        <v>79</v>
      </c>
      <c r="X77" s="2796">
        <v>71</v>
      </c>
      <c r="Y77" s="2796">
        <v>97</v>
      </c>
      <c r="Z77" s="2796">
        <v>94</v>
      </c>
      <c r="AA77" s="2796">
        <v>86</v>
      </c>
      <c r="AB77" s="2796">
        <v>73</v>
      </c>
      <c r="AC77" s="2796">
        <v>76</v>
      </c>
      <c r="AD77" s="2796">
        <v>87</v>
      </c>
      <c r="AE77" s="2796">
        <v>81</v>
      </c>
      <c r="AF77" s="2796">
        <v>68</v>
      </c>
      <c r="AG77" s="2796">
        <v>80</v>
      </c>
      <c r="AH77" s="2796">
        <v>95</v>
      </c>
      <c r="AI77" s="2796">
        <v>90</v>
      </c>
      <c r="AJ77" s="2790">
        <f t="shared" si="3"/>
        <v>2077</v>
      </c>
      <c r="AK77" s="2790" t="e">
        <f>VLOOKUP(B77,'Mủ CN (TT)'!C94:AK271,36,0)+VLOOKUP(B77,'Mủ CN (tam ung)'!C62:AL234,36,0)</f>
        <v>#N/A</v>
      </c>
      <c r="AL77" s="2814" t="s">
        <v>138</v>
      </c>
      <c r="AM77" s="2798"/>
    </row>
    <row r="78" spans="1:41" ht="18.75">
      <c r="A78" s="2807">
        <v>5</v>
      </c>
      <c r="B78" s="2812" t="s">
        <v>1693</v>
      </c>
      <c r="C78" s="2813"/>
      <c r="D78" s="2813" t="s">
        <v>452</v>
      </c>
      <c r="E78" s="2796">
        <v>50</v>
      </c>
      <c r="F78" s="2796">
        <v>0</v>
      </c>
      <c r="G78" s="2796">
        <v>74</v>
      </c>
      <c r="H78" s="2796">
        <v>57</v>
      </c>
      <c r="I78" s="2796">
        <v>0</v>
      </c>
      <c r="J78" s="2796">
        <v>50</v>
      </c>
      <c r="K78" s="2796">
        <v>65</v>
      </c>
      <c r="L78" s="2796">
        <v>65</v>
      </c>
      <c r="M78" s="2796">
        <v>51</v>
      </c>
      <c r="N78" s="2796">
        <v>50</v>
      </c>
      <c r="O78" s="2796">
        <v>39</v>
      </c>
      <c r="P78" s="2796">
        <v>63</v>
      </c>
      <c r="Q78" s="2796">
        <v>39</v>
      </c>
      <c r="R78" s="2796">
        <v>65</v>
      </c>
      <c r="S78" s="2796">
        <v>83</v>
      </c>
      <c r="T78" s="2796">
        <v>54</v>
      </c>
      <c r="U78" s="2796">
        <v>0</v>
      </c>
      <c r="V78" s="2796">
        <v>41</v>
      </c>
      <c r="W78" s="2796">
        <v>0</v>
      </c>
      <c r="X78" s="2796">
        <v>75</v>
      </c>
      <c r="Y78" s="2796">
        <v>0</v>
      </c>
      <c r="Z78" s="2796">
        <v>65</v>
      </c>
      <c r="AA78" s="2796">
        <v>83</v>
      </c>
      <c r="AB78" s="2796">
        <v>0</v>
      </c>
      <c r="AC78" s="2796">
        <v>53</v>
      </c>
      <c r="AD78" s="2796">
        <v>55</v>
      </c>
      <c r="AE78" s="2796">
        <v>83</v>
      </c>
      <c r="AF78" s="2796">
        <v>73</v>
      </c>
      <c r="AG78" s="2796">
        <v>53</v>
      </c>
      <c r="AH78" s="2796">
        <v>68</v>
      </c>
      <c r="AI78" s="2796">
        <v>93</v>
      </c>
      <c r="AJ78" s="2790">
        <f t="shared" si="3"/>
        <v>1547</v>
      </c>
      <c r="AK78" s="2790" t="e">
        <f>VLOOKUP(B78,'Mủ CN (TT)'!C95:AK272,36,0)+VLOOKUP(B78,'Mủ CN (tam ung)'!C63:AL235,36,0)</f>
        <v>#N/A</v>
      </c>
      <c r="AL78" s="2814" t="s">
        <v>141</v>
      </c>
      <c r="AM78" s="2798"/>
    </row>
    <row r="79" spans="1:41" ht="18.75">
      <c r="A79" s="2811">
        <v>6</v>
      </c>
      <c r="B79" s="2812" t="s">
        <v>281</v>
      </c>
      <c r="C79" s="2813"/>
      <c r="D79" s="2813" t="s">
        <v>452</v>
      </c>
      <c r="E79" s="2796">
        <v>0</v>
      </c>
      <c r="F79" s="2796">
        <v>0</v>
      </c>
      <c r="G79" s="2796">
        <v>57</v>
      </c>
      <c r="H79" s="2796">
        <v>107</v>
      </c>
      <c r="I79" s="2796">
        <v>0</v>
      </c>
      <c r="J79" s="2796">
        <v>51</v>
      </c>
      <c r="K79" s="2796">
        <v>64</v>
      </c>
      <c r="L79" s="2796">
        <v>63</v>
      </c>
      <c r="M79" s="2796">
        <v>27</v>
      </c>
      <c r="N79" s="2796">
        <v>43</v>
      </c>
      <c r="O79" s="2796">
        <v>105</v>
      </c>
      <c r="P79" s="2796">
        <v>64</v>
      </c>
      <c r="Q79" s="2796">
        <v>21</v>
      </c>
      <c r="R79" s="2796">
        <v>71</v>
      </c>
      <c r="S79" s="2796">
        <v>101</v>
      </c>
      <c r="T79" s="2796">
        <v>56</v>
      </c>
      <c r="U79" s="2796">
        <v>19</v>
      </c>
      <c r="V79" s="2796">
        <v>0</v>
      </c>
      <c r="W79" s="2796">
        <v>0</v>
      </c>
      <c r="X79" s="2796">
        <v>63</v>
      </c>
      <c r="Y79" s="2796">
        <v>26</v>
      </c>
      <c r="Z79" s="2796">
        <v>105</v>
      </c>
      <c r="AA79" s="2796">
        <v>112</v>
      </c>
      <c r="AB79" s="2796">
        <v>52</v>
      </c>
      <c r="AC79" s="2796">
        <v>20</v>
      </c>
      <c r="AD79" s="2796">
        <v>128</v>
      </c>
      <c r="AE79" s="2796">
        <v>123</v>
      </c>
      <c r="AF79" s="2796">
        <v>53</v>
      </c>
      <c r="AG79" s="2796">
        <v>28</v>
      </c>
      <c r="AH79" s="2796">
        <v>100</v>
      </c>
      <c r="AI79" s="2796">
        <v>110</v>
      </c>
      <c r="AJ79" s="2790">
        <f t="shared" si="3"/>
        <v>1769</v>
      </c>
      <c r="AK79" s="2790" t="e">
        <f>VLOOKUP(B79,'Mủ CN (TT)'!C96:AK273,36,0)+VLOOKUP(B79,'Mủ CN (tam ung)'!C64:AL236,36,0)</f>
        <v>#REF!</v>
      </c>
      <c r="AL79" s="2814" t="s">
        <v>138</v>
      </c>
      <c r="AM79" s="2798"/>
    </row>
    <row r="80" spans="1:41" ht="18.75">
      <c r="A80" s="2807">
        <v>7</v>
      </c>
      <c r="B80" s="2812" t="s">
        <v>1183</v>
      </c>
      <c r="C80" s="2813"/>
      <c r="D80" s="2813" t="s">
        <v>452</v>
      </c>
      <c r="E80" s="2796">
        <v>105</v>
      </c>
      <c r="F80" s="2796">
        <v>131</v>
      </c>
      <c r="G80" s="2796">
        <v>109</v>
      </c>
      <c r="H80" s="2796">
        <v>67</v>
      </c>
      <c r="I80" s="2796">
        <v>107</v>
      </c>
      <c r="J80" s="2796">
        <v>145</v>
      </c>
      <c r="K80" s="2796">
        <v>120</v>
      </c>
      <c r="L80" s="2796">
        <v>76</v>
      </c>
      <c r="M80" s="2796">
        <v>88</v>
      </c>
      <c r="N80" s="2796">
        <v>116</v>
      </c>
      <c r="O80" s="2796">
        <v>101</v>
      </c>
      <c r="P80" s="2796">
        <v>76</v>
      </c>
      <c r="Q80" s="2796">
        <v>84</v>
      </c>
      <c r="R80" s="2796">
        <v>116</v>
      </c>
      <c r="S80" s="2796">
        <v>103</v>
      </c>
      <c r="T80" s="2796">
        <v>67</v>
      </c>
      <c r="U80" s="2796">
        <v>0</v>
      </c>
      <c r="V80" s="2796">
        <v>64</v>
      </c>
      <c r="W80" s="2796">
        <v>80</v>
      </c>
      <c r="X80" s="2796">
        <v>71</v>
      </c>
      <c r="Y80" s="2796">
        <v>100</v>
      </c>
      <c r="Z80" s="2796">
        <v>95</v>
      </c>
      <c r="AA80" s="2796">
        <v>87</v>
      </c>
      <c r="AB80" s="2796">
        <v>73</v>
      </c>
      <c r="AC80" s="2796">
        <v>75</v>
      </c>
      <c r="AD80" s="2796">
        <v>86</v>
      </c>
      <c r="AE80" s="2796">
        <v>81</v>
      </c>
      <c r="AF80" s="2796">
        <v>68</v>
      </c>
      <c r="AG80" s="2796">
        <v>80</v>
      </c>
      <c r="AH80" s="2796">
        <v>95</v>
      </c>
      <c r="AI80" s="2796">
        <v>90</v>
      </c>
      <c r="AJ80" s="2790">
        <f t="shared" si="3"/>
        <v>2756</v>
      </c>
      <c r="AK80" s="2790" t="e">
        <f>VLOOKUP(B80,'Mủ CN (TT)'!C97:AK274,36,0)+VLOOKUP(B80,'Mủ CN (tam ung)'!C65:AL237,36,0)</f>
        <v>#N/A</v>
      </c>
      <c r="AL80" s="2814" t="s">
        <v>141</v>
      </c>
      <c r="AM80" s="2798"/>
    </row>
    <row r="81" spans="1:39" ht="18.75">
      <c r="A81" s="2811">
        <v>8</v>
      </c>
      <c r="B81" s="2812" t="s">
        <v>1184</v>
      </c>
      <c r="C81" s="2813"/>
      <c r="D81" s="2813" t="s">
        <v>452</v>
      </c>
      <c r="E81" s="2796">
        <v>105</v>
      </c>
      <c r="F81" s="2796">
        <v>131</v>
      </c>
      <c r="G81" s="2796">
        <v>109</v>
      </c>
      <c r="H81" s="2796">
        <v>67</v>
      </c>
      <c r="I81" s="2796">
        <v>107</v>
      </c>
      <c r="J81" s="2796">
        <v>145</v>
      </c>
      <c r="K81" s="2796">
        <v>120</v>
      </c>
      <c r="L81" s="2796">
        <v>76</v>
      </c>
      <c r="M81" s="2796">
        <v>88</v>
      </c>
      <c r="N81" s="2796">
        <v>117</v>
      </c>
      <c r="O81" s="2796">
        <v>102</v>
      </c>
      <c r="P81" s="2796">
        <v>77</v>
      </c>
      <c r="Q81" s="2796">
        <v>84</v>
      </c>
      <c r="R81" s="2796">
        <v>116</v>
      </c>
      <c r="S81" s="2796">
        <v>103</v>
      </c>
      <c r="T81" s="2796">
        <v>67</v>
      </c>
      <c r="U81" s="2796">
        <v>0</v>
      </c>
      <c r="V81" s="2796">
        <v>64</v>
      </c>
      <c r="W81" s="2796">
        <v>80</v>
      </c>
      <c r="X81" s="2796">
        <v>71</v>
      </c>
      <c r="Y81" s="2796">
        <v>100</v>
      </c>
      <c r="Z81" s="2796">
        <v>95</v>
      </c>
      <c r="AA81" s="2796">
        <v>87</v>
      </c>
      <c r="AB81" s="2796">
        <v>72</v>
      </c>
      <c r="AC81" s="2796">
        <v>75</v>
      </c>
      <c r="AD81" s="2796">
        <v>87</v>
      </c>
      <c r="AE81" s="2796">
        <v>82</v>
      </c>
      <c r="AF81" s="2796">
        <v>68</v>
      </c>
      <c r="AG81" s="2796">
        <v>80</v>
      </c>
      <c r="AH81" s="2796">
        <v>95</v>
      </c>
      <c r="AI81" s="2796">
        <v>90</v>
      </c>
      <c r="AJ81" s="2790">
        <f t="shared" si="3"/>
        <v>2760</v>
      </c>
      <c r="AK81" s="2790" t="e">
        <f>VLOOKUP(B81,'Mủ CN (TT)'!C98:AK275,36,0)+VLOOKUP(B81,'Mủ CN (tam ung)'!C66:AL238,36,0)</f>
        <v>#N/A</v>
      </c>
      <c r="AL81" s="2814" t="s">
        <v>141</v>
      </c>
      <c r="AM81" s="2798"/>
    </row>
    <row r="82" spans="1:39" ht="18.75">
      <c r="A82" s="2807">
        <v>9</v>
      </c>
      <c r="B82" s="2812" t="s">
        <v>1615</v>
      </c>
      <c r="C82" s="2813"/>
      <c r="D82" s="2813" t="s">
        <v>452</v>
      </c>
      <c r="E82" s="2796">
        <v>82</v>
      </c>
      <c r="F82" s="2796">
        <v>114</v>
      </c>
      <c r="G82" s="2796">
        <v>123</v>
      </c>
      <c r="H82" s="2796">
        <v>100</v>
      </c>
      <c r="I82" s="2796">
        <v>95</v>
      </c>
      <c r="J82" s="2796">
        <v>104</v>
      </c>
      <c r="K82" s="2796">
        <v>115</v>
      </c>
      <c r="L82" s="2796">
        <v>86</v>
      </c>
      <c r="M82" s="2796">
        <v>77</v>
      </c>
      <c r="N82" s="2796">
        <v>95</v>
      </c>
      <c r="O82" s="2796">
        <v>93</v>
      </c>
      <c r="P82" s="2796">
        <v>93</v>
      </c>
      <c r="Q82" s="2796">
        <v>83</v>
      </c>
      <c r="R82" s="2796">
        <v>101</v>
      </c>
      <c r="S82" s="2796">
        <v>100</v>
      </c>
      <c r="T82" s="2796">
        <v>75</v>
      </c>
      <c r="U82" s="2796">
        <v>70</v>
      </c>
      <c r="V82" s="2796">
        <v>87</v>
      </c>
      <c r="W82" s="2796">
        <v>91</v>
      </c>
      <c r="X82" s="2796">
        <v>121</v>
      </c>
      <c r="Y82" s="2796">
        <v>60</v>
      </c>
      <c r="Z82" s="2796">
        <v>90</v>
      </c>
      <c r="AA82" s="2796">
        <v>97</v>
      </c>
      <c r="AB82" s="2796">
        <v>78</v>
      </c>
      <c r="AC82" s="2796">
        <v>72</v>
      </c>
      <c r="AD82" s="2796">
        <v>83</v>
      </c>
      <c r="AE82" s="2796">
        <v>99</v>
      </c>
      <c r="AF82" s="2796">
        <v>71</v>
      </c>
      <c r="AG82" s="2796">
        <v>71</v>
      </c>
      <c r="AH82" s="2796">
        <v>80</v>
      </c>
      <c r="AI82" s="2796">
        <v>114</v>
      </c>
      <c r="AJ82" s="2790">
        <f t="shared" si="3"/>
        <v>2820</v>
      </c>
      <c r="AK82" s="2790" t="e">
        <f>VLOOKUP(B82,'Mủ CN (TT)'!C99:AK276,36,0)+VLOOKUP(B82,'Mủ CN (tam ung)'!C67:AL239,36,0)</f>
        <v>#N/A</v>
      </c>
      <c r="AL82" s="2814" t="s">
        <v>141</v>
      </c>
      <c r="AM82" s="2798"/>
    </row>
    <row r="83" spans="1:39" ht="18.75">
      <c r="A83" s="2811">
        <v>10</v>
      </c>
      <c r="B83" s="2812" t="s">
        <v>1490</v>
      </c>
      <c r="C83" s="2813"/>
      <c r="D83" s="2813" t="s">
        <v>452</v>
      </c>
      <c r="E83" s="2796">
        <v>82</v>
      </c>
      <c r="F83" s="2796">
        <v>115</v>
      </c>
      <c r="G83" s="2796">
        <v>123</v>
      </c>
      <c r="H83" s="2796">
        <v>100</v>
      </c>
      <c r="I83" s="2796">
        <v>95</v>
      </c>
      <c r="J83" s="2796">
        <v>104</v>
      </c>
      <c r="K83" s="2796">
        <v>126</v>
      </c>
      <c r="L83" s="2796">
        <v>86</v>
      </c>
      <c r="M83" s="2796">
        <v>77</v>
      </c>
      <c r="N83" s="2796">
        <v>95</v>
      </c>
      <c r="O83" s="2796">
        <v>94</v>
      </c>
      <c r="P83" s="2796">
        <v>93</v>
      </c>
      <c r="Q83" s="2796">
        <v>84</v>
      </c>
      <c r="R83" s="2796">
        <v>101</v>
      </c>
      <c r="S83" s="2796">
        <v>101</v>
      </c>
      <c r="T83" s="2796">
        <v>74</v>
      </c>
      <c r="U83" s="2796">
        <v>70</v>
      </c>
      <c r="V83" s="2796">
        <v>87</v>
      </c>
      <c r="W83" s="2796">
        <v>91</v>
      </c>
      <c r="X83" s="2796">
        <v>121</v>
      </c>
      <c r="Y83" s="2796">
        <v>60</v>
      </c>
      <c r="Z83" s="2796">
        <v>90</v>
      </c>
      <c r="AA83" s="2796">
        <v>97</v>
      </c>
      <c r="AB83" s="2796">
        <v>78</v>
      </c>
      <c r="AC83" s="2796">
        <v>72</v>
      </c>
      <c r="AD83" s="2796">
        <v>83</v>
      </c>
      <c r="AE83" s="2796">
        <v>99</v>
      </c>
      <c r="AF83" s="2796">
        <v>71</v>
      </c>
      <c r="AG83" s="2796">
        <v>72</v>
      </c>
      <c r="AH83" s="2796">
        <v>80</v>
      </c>
      <c r="AI83" s="2796">
        <v>114</v>
      </c>
      <c r="AJ83" s="2790">
        <f t="shared" si="3"/>
        <v>2835</v>
      </c>
      <c r="AK83" s="2790" t="e">
        <f>VLOOKUP(B83,'Mủ CN (TT)'!C100:AK277,36,0)+VLOOKUP(B83,'Mủ CN (tam ung)'!C68:AL240,36,0)</f>
        <v>#N/A</v>
      </c>
      <c r="AL83" s="2814" t="s">
        <v>141</v>
      </c>
      <c r="AM83" s="2798"/>
    </row>
    <row r="84" spans="1:39" ht="18.75">
      <c r="A84" s="2807">
        <v>11</v>
      </c>
      <c r="B84" s="2812" t="s">
        <v>1491</v>
      </c>
      <c r="C84" s="2813"/>
      <c r="D84" s="2813" t="s">
        <v>452</v>
      </c>
      <c r="E84" s="2796">
        <v>83</v>
      </c>
      <c r="F84" s="2796">
        <v>75</v>
      </c>
      <c r="G84" s="2796">
        <v>59</v>
      </c>
      <c r="H84" s="2796">
        <v>63</v>
      </c>
      <c r="I84" s="2796">
        <v>83</v>
      </c>
      <c r="J84" s="2796">
        <v>70</v>
      </c>
      <c r="K84" s="2796">
        <v>0</v>
      </c>
      <c r="L84" s="2796">
        <v>126</v>
      </c>
      <c r="M84" s="2796">
        <v>75</v>
      </c>
      <c r="N84" s="2796">
        <v>81</v>
      </c>
      <c r="O84" s="2796">
        <v>0</v>
      </c>
      <c r="P84" s="2796">
        <v>68</v>
      </c>
      <c r="Q84" s="2796">
        <v>141</v>
      </c>
      <c r="R84" s="2796">
        <v>96</v>
      </c>
      <c r="S84" s="2796">
        <v>0</v>
      </c>
      <c r="T84" s="2796">
        <v>61</v>
      </c>
      <c r="U84" s="2796">
        <v>83</v>
      </c>
      <c r="V84" s="2796">
        <v>57</v>
      </c>
      <c r="W84" s="2796">
        <v>45</v>
      </c>
      <c r="X84" s="2796">
        <v>55</v>
      </c>
      <c r="Y84" s="2796">
        <v>0</v>
      </c>
      <c r="Z84" s="2796">
        <v>51</v>
      </c>
      <c r="AA84" s="2796">
        <v>0</v>
      </c>
      <c r="AB84" s="2796">
        <v>53</v>
      </c>
      <c r="AC84" s="2796">
        <v>142</v>
      </c>
      <c r="AD84" s="2796">
        <v>59</v>
      </c>
      <c r="AE84" s="2796">
        <v>60</v>
      </c>
      <c r="AF84" s="2796">
        <v>45</v>
      </c>
      <c r="AG84" s="2796">
        <v>63</v>
      </c>
      <c r="AH84" s="2796">
        <v>58</v>
      </c>
      <c r="AI84" s="2796">
        <v>0</v>
      </c>
      <c r="AJ84" s="2790">
        <f t="shared" si="3"/>
        <v>1852</v>
      </c>
      <c r="AK84" s="2790" t="e">
        <f>VLOOKUP(B84,'Mủ CN (TT)'!C101:AK278,36,0)+VLOOKUP(B84,'Mủ CN (tam ung)'!C69:AL241,36,0)</f>
        <v>#REF!</v>
      </c>
      <c r="AL84" s="2814" t="s">
        <v>141</v>
      </c>
      <c r="AM84" s="2798"/>
    </row>
    <row r="85" spans="1:39" ht="18.75">
      <c r="A85" s="2811">
        <v>12</v>
      </c>
      <c r="B85" s="2812" t="s">
        <v>1492</v>
      </c>
      <c r="C85" s="2813"/>
      <c r="D85" s="2813" t="s">
        <v>452</v>
      </c>
      <c r="E85" s="2796">
        <v>84</v>
      </c>
      <c r="F85" s="2796">
        <v>75</v>
      </c>
      <c r="G85" s="2796">
        <v>59</v>
      </c>
      <c r="H85" s="2796">
        <v>64</v>
      </c>
      <c r="I85" s="2796">
        <v>84</v>
      </c>
      <c r="J85" s="2796">
        <v>71</v>
      </c>
      <c r="K85" s="2796">
        <v>0</v>
      </c>
      <c r="L85" s="2796">
        <v>127</v>
      </c>
      <c r="M85" s="2796">
        <v>75</v>
      </c>
      <c r="N85" s="2796">
        <v>0</v>
      </c>
      <c r="O85" s="2796">
        <v>0</v>
      </c>
      <c r="P85" s="2796">
        <v>69</v>
      </c>
      <c r="Q85" s="2796">
        <v>142</v>
      </c>
      <c r="R85" s="2796">
        <v>96</v>
      </c>
      <c r="S85" s="2796">
        <v>0</v>
      </c>
      <c r="T85" s="2796">
        <v>62</v>
      </c>
      <c r="U85" s="2796">
        <v>84</v>
      </c>
      <c r="V85" s="2796">
        <v>57</v>
      </c>
      <c r="W85" s="2796">
        <v>46</v>
      </c>
      <c r="X85" s="2796">
        <v>56</v>
      </c>
      <c r="Y85" s="2796">
        <v>0</v>
      </c>
      <c r="Z85" s="2796">
        <v>52</v>
      </c>
      <c r="AA85" s="2796">
        <v>0</v>
      </c>
      <c r="AB85" s="2796">
        <v>53</v>
      </c>
      <c r="AC85" s="2796">
        <v>143</v>
      </c>
      <c r="AD85" s="2796">
        <v>60</v>
      </c>
      <c r="AE85" s="2796">
        <v>60</v>
      </c>
      <c r="AF85" s="2796">
        <v>45</v>
      </c>
      <c r="AG85" s="2796">
        <v>63</v>
      </c>
      <c r="AH85" s="2796">
        <v>58</v>
      </c>
      <c r="AI85" s="2796">
        <v>0</v>
      </c>
      <c r="AJ85" s="2790">
        <f t="shared" si="3"/>
        <v>1785</v>
      </c>
      <c r="AK85" s="2790" t="e">
        <f>VLOOKUP(B85,'Mủ CN (TT)'!C102:AK279,36,0)+VLOOKUP(B85,'Mủ CN (tam ung)'!C69:AL242,36,0)</f>
        <v>#REF!</v>
      </c>
      <c r="AL85" s="2814" t="s">
        <v>141</v>
      </c>
      <c r="AM85" s="2798"/>
    </row>
    <row r="86" spans="1:39" ht="18.75">
      <c r="A86" s="2807">
        <v>13</v>
      </c>
      <c r="B86" s="2812" t="s">
        <v>1694</v>
      </c>
      <c r="C86" s="2813"/>
      <c r="D86" s="2813" t="s">
        <v>452</v>
      </c>
      <c r="E86" s="2796">
        <v>72</v>
      </c>
      <c r="F86" s="2796">
        <v>68</v>
      </c>
      <c r="G86" s="2796">
        <v>92</v>
      </c>
      <c r="H86" s="2796">
        <v>72</v>
      </c>
      <c r="I86" s="2796">
        <v>80</v>
      </c>
      <c r="J86" s="2796">
        <v>94</v>
      </c>
      <c r="K86" s="2796">
        <v>96</v>
      </c>
      <c r="L86" s="2796">
        <v>76</v>
      </c>
      <c r="M86" s="2796">
        <v>72</v>
      </c>
      <c r="N86" s="2796">
        <v>92</v>
      </c>
      <c r="O86" s="2796">
        <v>74</v>
      </c>
      <c r="P86" s="2796">
        <v>84</v>
      </c>
      <c r="Q86" s="2796">
        <v>71</v>
      </c>
      <c r="R86" s="2796">
        <v>84</v>
      </c>
      <c r="S86" s="2796">
        <v>93</v>
      </c>
      <c r="T86" s="2796">
        <v>69</v>
      </c>
      <c r="U86" s="2796">
        <v>71</v>
      </c>
      <c r="V86" s="2796">
        <v>46</v>
      </c>
      <c r="W86" s="2796">
        <v>80</v>
      </c>
      <c r="X86" s="2796">
        <v>85</v>
      </c>
      <c r="Y86" s="2796">
        <v>67</v>
      </c>
      <c r="Z86" s="2796">
        <v>68</v>
      </c>
      <c r="AA86" s="2796">
        <v>87</v>
      </c>
      <c r="AB86" s="2796">
        <v>75</v>
      </c>
      <c r="AC86" s="2796">
        <v>56</v>
      </c>
      <c r="AD86" s="2796">
        <v>106</v>
      </c>
      <c r="AE86" s="2796">
        <v>78</v>
      </c>
      <c r="AF86" s="2796">
        <v>62</v>
      </c>
      <c r="AG86" s="2796">
        <v>53</v>
      </c>
      <c r="AH86" s="2796">
        <v>70</v>
      </c>
      <c r="AI86" s="2796">
        <v>77</v>
      </c>
      <c r="AJ86" s="2790">
        <f t="shared" si="3"/>
        <v>2370</v>
      </c>
      <c r="AK86" s="2790" t="e">
        <f>VLOOKUP(B86,'Mủ CN (TT)'!C103:AK280,36,0)+VLOOKUP(B86,'Mủ CN (tam ung)'!C69:AL243,36,0)</f>
        <v>#N/A</v>
      </c>
      <c r="AL86" s="2814" t="s">
        <v>141</v>
      </c>
      <c r="AM86" s="2798"/>
    </row>
    <row r="87" spans="1:39" ht="18.75">
      <c r="A87" s="2811">
        <v>14</v>
      </c>
      <c r="B87" s="2812" t="s">
        <v>1616</v>
      </c>
      <c r="C87" s="2813"/>
      <c r="D87" s="2813" t="s">
        <v>452</v>
      </c>
      <c r="E87" s="2796">
        <v>73</v>
      </c>
      <c r="F87" s="2796">
        <v>68</v>
      </c>
      <c r="G87" s="2796">
        <v>92</v>
      </c>
      <c r="H87" s="2796">
        <v>73</v>
      </c>
      <c r="I87" s="2796">
        <v>81</v>
      </c>
      <c r="J87" s="2796">
        <v>94</v>
      </c>
      <c r="K87" s="2796">
        <v>97</v>
      </c>
      <c r="L87" s="2796">
        <v>76</v>
      </c>
      <c r="M87" s="2796">
        <v>73</v>
      </c>
      <c r="N87" s="2796">
        <v>93</v>
      </c>
      <c r="O87" s="2796">
        <v>74</v>
      </c>
      <c r="P87" s="2796">
        <v>85</v>
      </c>
      <c r="Q87" s="2796">
        <v>71</v>
      </c>
      <c r="R87" s="2796">
        <v>85</v>
      </c>
      <c r="S87" s="2796">
        <v>94</v>
      </c>
      <c r="T87" s="2796">
        <v>70</v>
      </c>
      <c r="U87" s="2796">
        <v>71</v>
      </c>
      <c r="V87" s="2796">
        <v>46</v>
      </c>
      <c r="W87" s="2796">
        <v>81</v>
      </c>
      <c r="X87" s="2796">
        <v>85</v>
      </c>
      <c r="Y87" s="2796">
        <v>67</v>
      </c>
      <c r="Z87" s="2796">
        <v>68</v>
      </c>
      <c r="AA87" s="2796">
        <v>87</v>
      </c>
      <c r="AB87" s="2796">
        <v>75</v>
      </c>
      <c r="AC87" s="2796">
        <v>57</v>
      </c>
      <c r="AD87" s="2796">
        <v>106</v>
      </c>
      <c r="AE87" s="2796">
        <v>78</v>
      </c>
      <c r="AF87" s="2796">
        <v>63</v>
      </c>
      <c r="AG87" s="2796">
        <v>54</v>
      </c>
      <c r="AH87" s="2796">
        <v>70</v>
      </c>
      <c r="AI87" s="2796">
        <v>78</v>
      </c>
      <c r="AJ87" s="2790">
        <f t="shared" si="3"/>
        <v>2385</v>
      </c>
      <c r="AK87" s="2790" t="e">
        <f>VLOOKUP(B87,'Mủ CN (TT)'!C104:AK281,36,0)+VLOOKUP(B87,'Mủ CN (tam ung)'!C70:AL244,36,0)</f>
        <v>#N/A</v>
      </c>
      <c r="AL87" s="2814" t="s">
        <v>141</v>
      </c>
      <c r="AM87" s="2798"/>
    </row>
    <row r="88" spans="1:39" ht="18.75">
      <c r="A88" s="2807">
        <v>15</v>
      </c>
      <c r="B88" s="2812" t="s">
        <v>1229</v>
      </c>
      <c r="C88" s="2813"/>
      <c r="D88" s="2813" t="s">
        <v>452</v>
      </c>
      <c r="E88" s="2796">
        <v>52</v>
      </c>
      <c r="F88" s="2796">
        <v>108</v>
      </c>
      <c r="G88" s="2796">
        <v>67</v>
      </c>
      <c r="H88" s="2796">
        <v>83</v>
      </c>
      <c r="I88" s="2796">
        <v>65</v>
      </c>
      <c r="J88" s="2796">
        <v>104</v>
      </c>
      <c r="K88" s="2796">
        <v>70</v>
      </c>
      <c r="L88" s="2796">
        <v>80</v>
      </c>
      <c r="M88" s="2796">
        <v>58</v>
      </c>
      <c r="N88" s="2796">
        <v>0</v>
      </c>
      <c r="O88" s="2796">
        <v>58</v>
      </c>
      <c r="P88" s="2796">
        <v>74</v>
      </c>
      <c r="Q88" s="2796">
        <v>53</v>
      </c>
      <c r="R88" s="2796">
        <v>98</v>
      </c>
      <c r="S88" s="2796">
        <v>55</v>
      </c>
      <c r="T88" s="2796">
        <v>67</v>
      </c>
      <c r="U88" s="2796">
        <v>62</v>
      </c>
      <c r="V88" s="2796">
        <v>94</v>
      </c>
      <c r="W88" s="2796">
        <v>0</v>
      </c>
      <c r="X88" s="2796">
        <v>85</v>
      </c>
      <c r="Y88" s="2796">
        <v>61</v>
      </c>
      <c r="Z88" s="2796">
        <v>75</v>
      </c>
      <c r="AA88" s="2796">
        <v>51</v>
      </c>
      <c r="AB88" s="2796">
        <v>77</v>
      </c>
      <c r="AC88" s="2796">
        <v>60</v>
      </c>
      <c r="AD88" s="2796">
        <v>81</v>
      </c>
      <c r="AE88" s="2796">
        <v>55</v>
      </c>
      <c r="AF88" s="2796">
        <v>75</v>
      </c>
      <c r="AG88" s="2796">
        <v>58</v>
      </c>
      <c r="AH88" s="2796">
        <v>90</v>
      </c>
      <c r="AI88" s="2796">
        <v>44</v>
      </c>
      <c r="AJ88" s="2790">
        <f t="shared" si="3"/>
        <v>2060</v>
      </c>
      <c r="AK88" s="2790" t="e">
        <f>VLOOKUP(B88,'Mủ CN (TT)'!C105:AK282,36,0)+VLOOKUP(B88,'Mủ CN (tam ung)'!C71:AL245,36,0)</f>
        <v>#REF!</v>
      </c>
      <c r="AL88" s="2814" t="s">
        <v>141</v>
      </c>
      <c r="AM88" s="2798"/>
    </row>
    <row r="89" spans="1:39" ht="18.75">
      <c r="A89" s="2811">
        <v>16</v>
      </c>
      <c r="B89" s="2812" t="s">
        <v>1494</v>
      </c>
      <c r="C89" s="2813"/>
      <c r="D89" s="2813" t="s">
        <v>452</v>
      </c>
      <c r="E89" s="2796">
        <v>125</v>
      </c>
      <c r="F89" s="2796">
        <v>96</v>
      </c>
      <c r="G89" s="2796">
        <v>94</v>
      </c>
      <c r="H89" s="2796">
        <v>80</v>
      </c>
      <c r="I89" s="2796">
        <v>116</v>
      </c>
      <c r="J89" s="2796">
        <v>91</v>
      </c>
      <c r="K89" s="2796">
        <v>95</v>
      </c>
      <c r="L89" s="2796">
        <v>79</v>
      </c>
      <c r="M89" s="2796">
        <v>106</v>
      </c>
      <c r="N89" s="2796">
        <v>86</v>
      </c>
      <c r="O89" s="2796">
        <v>96</v>
      </c>
      <c r="P89" s="2796">
        <v>69</v>
      </c>
      <c r="Q89" s="2796">
        <v>107</v>
      </c>
      <c r="R89" s="2796">
        <v>93</v>
      </c>
      <c r="S89" s="2796">
        <v>83</v>
      </c>
      <c r="T89" s="2796">
        <v>60</v>
      </c>
      <c r="U89" s="2796">
        <v>75</v>
      </c>
      <c r="V89" s="2796">
        <v>71</v>
      </c>
      <c r="W89" s="2796">
        <v>65</v>
      </c>
      <c r="X89" s="2796">
        <v>64</v>
      </c>
      <c r="Y89" s="2796">
        <v>102</v>
      </c>
      <c r="Z89" s="2796">
        <v>70</v>
      </c>
      <c r="AA89" s="2796">
        <v>75</v>
      </c>
      <c r="AB89" s="2796">
        <v>65</v>
      </c>
      <c r="AC89" s="2796">
        <v>91</v>
      </c>
      <c r="AD89" s="2796">
        <v>68</v>
      </c>
      <c r="AE89" s="2796">
        <v>76</v>
      </c>
      <c r="AF89" s="2796">
        <v>60</v>
      </c>
      <c r="AG89" s="2796">
        <v>100</v>
      </c>
      <c r="AH89" s="2796">
        <v>61</v>
      </c>
      <c r="AI89" s="2796">
        <v>74</v>
      </c>
      <c r="AJ89" s="2790">
        <f t="shared" si="3"/>
        <v>2593</v>
      </c>
      <c r="AK89" s="2790" t="e">
        <f>VLOOKUP(B89,'Mủ CN (TT)'!C106:AK283,36,0)+VLOOKUP(B89,'Mủ CN (tam ung)'!C72:AL246,36,0)</f>
        <v>#N/A</v>
      </c>
      <c r="AL89" s="2814" t="s">
        <v>141</v>
      </c>
      <c r="AM89" s="2798"/>
    </row>
    <row r="90" spans="1:39" ht="18.75">
      <c r="A90" s="2807">
        <v>17</v>
      </c>
      <c r="B90" s="2812" t="s">
        <v>243</v>
      </c>
      <c r="C90" s="2813"/>
      <c r="D90" s="2813" t="s">
        <v>452</v>
      </c>
      <c r="E90" s="2796">
        <v>105</v>
      </c>
      <c r="F90" s="2796">
        <v>70</v>
      </c>
      <c r="G90" s="2796">
        <v>73</v>
      </c>
      <c r="H90" s="2796">
        <v>51</v>
      </c>
      <c r="I90" s="2796">
        <v>75</v>
      </c>
      <c r="J90" s="2796">
        <v>104</v>
      </c>
      <c r="K90" s="2796">
        <v>81</v>
      </c>
      <c r="L90" s="2796">
        <v>59</v>
      </c>
      <c r="M90" s="2796">
        <v>100</v>
      </c>
      <c r="N90" s="2796">
        <v>70</v>
      </c>
      <c r="O90" s="2796">
        <v>70</v>
      </c>
      <c r="P90" s="2796">
        <v>50</v>
      </c>
      <c r="Q90" s="2796">
        <v>112</v>
      </c>
      <c r="R90" s="2796">
        <v>86</v>
      </c>
      <c r="S90" s="2796">
        <v>67</v>
      </c>
      <c r="T90" s="2796">
        <v>31</v>
      </c>
      <c r="U90" s="2796">
        <v>80</v>
      </c>
      <c r="V90" s="2796">
        <v>87</v>
      </c>
      <c r="W90" s="2796">
        <v>67</v>
      </c>
      <c r="X90" s="2796">
        <v>47</v>
      </c>
      <c r="Y90" s="2796">
        <v>138</v>
      </c>
      <c r="Z90" s="2796">
        <v>92</v>
      </c>
      <c r="AA90" s="2796">
        <v>64</v>
      </c>
      <c r="AB90" s="2796">
        <v>51</v>
      </c>
      <c r="AC90" s="2796">
        <v>72</v>
      </c>
      <c r="AD90" s="2796">
        <v>79</v>
      </c>
      <c r="AE90" s="2796">
        <v>62</v>
      </c>
      <c r="AF90" s="2796">
        <v>53</v>
      </c>
      <c r="AG90" s="2796">
        <v>94</v>
      </c>
      <c r="AH90" s="2796">
        <v>74</v>
      </c>
      <c r="AI90" s="2796">
        <v>63</v>
      </c>
      <c r="AJ90" s="2790">
        <f t="shared" si="3"/>
        <v>2327</v>
      </c>
      <c r="AK90" s="2790" t="e">
        <f>VLOOKUP(B90,'Mủ CN (TT)'!C107:AK284,36,0)+VLOOKUP(B90,'Mủ CN (tam ung)'!C73:AL247,36,0)</f>
        <v>#REF!</v>
      </c>
      <c r="AL90" s="2814" t="s">
        <v>138</v>
      </c>
      <c r="AM90" s="2798"/>
    </row>
    <row r="91" spans="1:39" ht="18.75">
      <c r="A91" s="2811">
        <v>18</v>
      </c>
      <c r="B91" s="2812" t="s">
        <v>1533</v>
      </c>
      <c r="C91" s="2813"/>
      <c r="D91" s="2813" t="s">
        <v>452</v>
      </c>
      <c r="E91" s="2796">
        <v>125</v>
      </c>
      <c r="F91" s="2796">
        <v>96</v>
      </c>
      <c r="G91" s="2796">
        <v>94</v>
      </c>
      <c r="H91" s="2796">
        <v>81</v>
      </c>
      <c r="I91" s="2796">
        <v>117</v>
      </c>
      <c r="J91" s="2796">
        <v>91</v>
      </c>
      <c r="K91" s="2796">
        <v>95</v>
      </c>
      <c r="L91" s="2796">
        <v>79</v>
      </c>
      <c r="M91" s="2796">
        <v>106</v>
      </c>
      <c r="N91" s="2796">
        <v>87</v>
      </c>
      <c r="O91" s="2796">
        <v>96</v>
      </c>
      <c r="P91" s="2796">
        <v>70</v>
      </c>
      <c r="Q91" s="2796">
        <v>107</v>
      </c>
      <c r="R91" s="2796">
        <v>93</v>
      </c>
      <c r="S91" s="2796">
        <v>84</v>
      </c>
      <c r="T91" s="2796">
        <v>60</v>
      </c>
      <c r="U91" s="2796">
        <v>75</v>
      </c>
      <c r="V91" s="2796">
        <v>72</v>
      </c>
      <c r="W91" s="2796">
        <v>65</v>
      </c>
      <c r="X91" s="2796">
        <v>64</v>
      </c>
      <c r="Y91" s="2796">
        <v>102</v>
      </c>
      <c r="Z91" s="2796">
        <v>70</v>
      </c>
      <c r="AA91" s="2796">
        <v>75</v>
      </c>
      <c r="AB91" s="2796">
        <v>65</v>
      </c>
      <c r="AC91" s="2790">
        <v>92</v>
      </c>
      <c r="AD91" s="2790">
        <v>68</v>
      </c>
      <c r="AE91" s="2790">
        <v>76</v>
      </c>
      <c r="AF91" s="2790">
        <v>60</v>
      </c>
      <c r="AG91" s="2790">
        <v>100</v>
      </c>
      <c r="AH91" s="2790">
        <v>61</v>
      </c>
      <c r="AI91" s="2790">
        <v>75</v>
      </c>
      <c r="AJ91" s="2790">
        <f t="shared" si="3"/>
        <v>2601</v>
      </c>
      <c r="AK91" s="2790" t="e">
        <f>VLOOKUP(B91,'Mủ CN (TT)'!C108:AK285,36,0)+VLOOKUP(B91,'Mủ CN (tam ung)'!C74:AL248,36,0)</f>
        <v>#N/A</v>
      </c>
      <c r="AL91" s="2814" t="s">
        <v>141</v>
      </c>
      <c r="AM91" s="2798"/>
    </row>
    <row r="92" spans="1:39" ht="18.75">
      <c r="A92" s="2807">
        <v>19</v>
      </c>
      <c r="B92" s="2812" t="s">
        <v>1534</v>
      </c>
      <c r="C92" s="2813"/>
      <c r="D92" s="2813" t="s">
        <v>452</v>
      </c>
      <c r="E92" s="2796">
        <v>127</v>
      </c>
      <c r="F92" s="2796">
        <v>95</v>
      </c>
      <c r="G92" s="2796">
        <v>95</v>
      </c>
      <c r="H92" s="2796">
        <v>81</v>
      </c>
      <c r="I92" s="2796">
        <v>116</v>
      </c>
      <c r="J92" s="2796">
        <v>91</v>
      </c>
      <c r="K92" s="2796">
        <v>96</v>
      </c>
      <c r="L92" s="2796">
        <v>79</v>
      </c>
      <c r="M92" s="2796">
        <v>106</v>
      </c>
      <c r="N92" s="2796">
        <v>87</v>
      </c>
      <c r="O92" s="2796">
        <v>97</v>
      </c>
      <c r="P92" s="2796">
        <v>70</v>
      </c>
      <c r="Q92" s="2796">
        <v>107</v>
      </c>
      <c r="R92" s="2796">
        <v>94</v>
      </c>
      <c r="S92" s="2796">
        <v>84</v>
      </c>
      <c r="T92" s="2796">
        <v>59</v>
      </c>
      <c r="U92" s="2796">
        <v>77</v>
      </c>
      <c r="V92" s="2796">
        <v>72</v>
      </c>
      <c r="W92" s="2796">
        <v>66</v>
      </c>
      <c r="X92" s="2796">
        <v>64</v>
      </c>
      <c r="Y92" s="2796">
        <v>103</v>
      </c>
      <c r="Z92" s="2796">
        <v>72</v>
      </c>
      <c r="AA92" s="2796">
        <v>76</v>
      </c>
      <c r="AB92" s="2796">
        <v>64</v>
      </c>
      <c r="AC92" s="2796">
        <v>92</v>
      </c>
      <c r="AD92" s="2796">
        <v>64</v>
      </c>
      <c r="AE92" s="2796">
        <v>78</v>
      </c>
      <c r="AF92" s="2796">
        <v>60</v>
      </c>
      <c r="AG92" s="2796">
        <v>99</v>
      </c>
      <c r="AH92" s="2796">
        <v>61</v>
      </c>
      <c r="AI92" s="2796">
        <v>74</v>
      </c>
      <c r="AJ92" s="2790">
        <f t="shared" si="3"/>
        <v>2606</v>
      </c>
      <c r="AK92" s="2790" t="e">
        <f>VLOOKUP(B92,'Mủ CN (TT)'!C109:AK286,36,0)+VLOOKUP(B92,'Mủ CN (tam ung)'!C75:AL249,36,0)</f>
        <v>#N/A</v>
      </c>
      <c r="AL92" s="2814" t="s">
        <v>141</v>
      </c>
      <c r="AM92" s="2798"/>
    </row>
    <row r="93" spans="1:39" ht="18.75">
      <c r="A93" s="2811">
        <v>20</v>
      </c>
      <c r="B93" s="2812" t="s">
        <v>1695</v>
      </c>
      <c r="C93" s="2813"/>
      <c r="D93" s="2813" t="s">
        <v>452</v>
      </c>
      <c r="E93" s="2796">
        <v>131</v>
      </c>
      <c r="F93" s="2796">
        <v>71</v>
      </c>
      <c r="G93" s="2796">
        <v>96</v>
      </c>
      <c r="H93" s="2796">
        <v>85</v>
      </c>
      <c r="I93" s="2796">
        <v>121</v>
      </c>
      <c r="J93" s="2796">
        <v>80</v>
      </c>
      <c r="K93" s="2796">
        <v>105</v>
      </c>
      <c r="L93" s="2796">
        <v>95</v>
      </c>
      <c r="M93" s="2796">
        <v>114</v>
      </c>
      <c r="N93" s="2796">
        <v>86</v>
      </c>
      <c r="O93" s="2796">
        <v>112</v>
      </c>
      <c r="P93" s="2796">
        <v>71</v>
      </c>
      <c r="Q93" s="2796">
        <v>114</v>
      </c>
      <c r="R93" s="2796">
        <v>78</v>
      </c>
      <c r="S93" s="2796">
        <v>0</v>
      </c>
      <c r="T93" s="2796">
        <v>55</v>
      </c>
      <c r="U93" s="2796">
        <v>77</v>
      </c>
      <c r="V93" s="2796">
        <v>67</v>
      </c>
      <c r="W93" s="2796">
        <v>151</v>
      </c>
      <c r="X93" s="2796">
        <v>57</v>
      </c>
      <c r="Y93" s="2796">
        <v>92</v>
      </c>
      <c r="Z93" s="2796">
        <v>55</v>
      </c>
      <c r="AA93" s="2796">
        <v>78</v>
      </c>
      <c r="AB93" s="2796">
        <v>50</v>
      </c>
      <c r="AC93" s="2796">
        <v>80</v>
      </c>
      <c r="AD93" s="2796">
        <v>60</v>
      </c>
      <c r="AE93" s="2796">
        <v>75</v>
      </c>
      <c r="AF93" s="2796">
        <v>45</v>
      </c>
      <c r="AG93" s="2796">
        <v>93</v>
      </c>
      <c r="AH93" s="2796">
        <v>56</v>
      </c>
      <c r="AI93" s="2796">
        <v>74</v>
      </c>
      <c r="AJ93" s="2790">
        <f t="shared" si="3"/>
        <v>2524</v>
      </c>
      <c r="AK93" s="2790" t="e">
        <f>VLOOKUP(B93,'Mủ CN (TT)'!C110:AK287,36,0)+VLOOKUP(B93,'Mủ CN (tam ung)'!C76:AL250,36,0)</f>
        <v>#N/A</v>
      </c>
      <c r="AL93" s="2814" t="s">
        <v>141</v>
      </c>
      <c r="AM93" s="2798"/>
    </row>
    <row r="94" spans="1:39" ht="18.75">
      <c r="A94" s="2807">
        <v>21</v>
      </c>
      <c r="B94" s="2812" t="s">
        <v>1535</v>
      </c>
      <c r="C94" s="2813"/>
      <c r="D94" s="2813" t="s">
        <v>452</v>
      </c>
      <c r="E94" s="2796">
        <v>71</v>
      </c>
      <c r="F94" s="2796">
        <v>75</v>
      </c>
      <c r="G94" s="2796">
        <v>51</v>
      </c>
      <c r="H94" s="2796">
        <v>68</v>
      </c>
      <c r="I94" s="2796">
        <v>72</v>
      </c>
      <c r="J94" s="2796">
        <v>93</v>
      </c>
      <c r="K94" s="2796">
        <v>52</v>
      </c>
      <c r="L94" s="2796">
        <v>84</v>
      </c>
      <c r="M94" s="2796">
        <v>61</v>
      </c>
      <c r="N94" s="2796">
        <v>78</v>
      </c>
      <c r="O94" s="2796">
        <v>52</v>
      </c>
      <c r="P94" s="2796">
        <v>57</v>
      </c>
      <c r="Q94" s="2796">
        <v>64</v>
      </c>
      <c r="R94" s="2796">
        <v>98</v>
      </c>
      <c r="S94" s="2796">
        <v>0</v>
      </c>
      <c r="T94" s="2796">
        <v>58</v>
      </c>
      <c r="U94" s="2796">
        <v>42</v>
      </c>
      <c r="V94" s="2796">
        <v>47</v>
      </c>
      <c r="W94" s="2796">
        <v>48</v>
      </c>
      <c r="X94" s="2796">
        <v>71</v>
      </c>
      <c r="Y94" s="2796">
        <v>0</v>
      </c>
      <c r="Z94" s="2796">
        <v>83</v>
      </c>
      <c r="AA94" s="2796">
        <v>63</v>
      </c>
      <c r="AB94" s="2796">
        <v>58</v>
      </c>
      <c r="AC94" s="2796">
        <v>69</v>
      </c>
      <c r="AD94" s="2796">
        <v>67</v>
      </c>
      <c r="AE94" s="2796">
        <v>56</v>
      </c>
      <c r="AF94" s="2796">
        <v>65</v>
      </c>
      <c r="AG94" s="2796">
        <v>74</v>
      </c>
      <c r="AH94" s="2796">
        <v>76</v>
      </c>
      <c r="AI94" s="2796">
        <v>58</v>
      </c>
      <c r="AJ94" s="2790">
        <f t="shared" si="3"/>
        <v>1911</v>
      </c>
      <c r="AK94" s="2790" t="e">
        <f>VLOOKUP(B94,'Mủ CN (TT)'!C111:AK288,36,0)+VLOOKUP(B94,'Mủ CN (tam ung)'!C77:AL251,36,0)</f>
        <v>#N/A</v>
      </c>
      <c r="AL94" s="2814" t="s">
        <v>141</v>
      </c>
      <c r="AM94" s="2798"/>
    </row>
    <row r="95" spans="1:39" ht="18.75">
      <c r="A95" s="2811">
        <v>22</v>
      </c>
      <c r="B95" s="2812" t="s">
        <v>1696</v>
      </c>
      <c r="C95" s="2813"/>
      <c r="D95" s="2813" t="s">
        <v>452</v>
      </c>
      <c r="E95" s="2796">
        <v>132</v>
      </c>
      <c r="F95" s="2796">
        <v>71</v>
      </c>
      <c r="G95" s="2796">
        <v>97</v>
      </c>
      <c r="H95" s="2796">
        <v>86</v>
      </c>
      <c r="I95" s="2796">
        <v>121</v>
      </c>
      <c r="J95" s="2796">
        <v>81</v>
      </c>
      <c r="K95" s="2796">
        <v>105</v>
      </c>
      <c r="L95" s="2796">
        <v>95</v>
      </c>
      <c r="M95" s="2796">
        <v>115</v>
      </c>
      <c r="N95" s="2796">
        <v>86</v>
      </c>
      <c r="O95" s="2796">
        <v>111</v>
      </c>
      <c r="P95" s="2796">
        <v>72</v>
      </c>
      <c r="Q95" s="2796">
        <v>114</v>
      </c>
      <c r="R95" s="2796">
        <v>79</v>
      </c>
      <c r="S95" s="2796">
        <v>0</v>
      </c>
      <c r="T95" s="2796">
        <v>55</v>
      </c>
      <c r="U95" s="2796">
        <v>78</v>
      </c>
      <c r="V95" s="2796">
        <v>68</v>
      </c>
      <c r="W95" s="2796">
        <v>151</v>
      </c>
      <c r="X95" s="2796">
        <v>57</v>
      </c>
      <c r="Y95" s="2796">
        <v>93</v>
      </c>
      <c r="Z95" s="2796">
        <v>56</v>
      </c>
      <c r="AA95" s="2796">
        <v>79</v>
      </c>
      <c r="AB95" s="2796">
        <v>50</v>
      </c>
      <c r="AC95" s="2796">
        <v>81</v>
      </c>
      <c r="AD95" s="2796">
        <v>61</v>
      </c>
      <c r="AE95" s="2796">
        <v>75</v>
      </c>
      <c r="AF95" s="2796">
        <v>45</v>
      </c>
      <c r="AG95" s="2796">
        <v>93</v>
      </c>
      <c r="AH95" s="2796">
        <v>56</v>
      </c>
      <c r="AI95" s="2796">
        <v>74</v>
      </c>
      <c r="AJ95" s="2790">
        <f t="shared" si="3"/>
        <v>2537</v>
      </c>
      <c r="AK95" s="2790" t="e">
        <f>VLOOKUP(B95,'Mủ CN (TT)'!C112:AK289,36,0)+VLOOKUP(B95,'Mủ CN (tam ung)'!C78:AL252,36,0)</f>
        <v>#N/A</v>
      </c>
      <c r="AL95" s="2814" t="s">
        <v>141</v>
      </c>
      <c r="AM95" s="2798"/>
    </row>
    <row r="96" spans="1:39" ht="18.75">
      <c r="A96" s="2807">
        <v>23</v>
      </c>
      <c r="B96" s="2812" t="s">
        <v>1495</v>
      </c>
      <c r="C96" s="2813"/>
      <c r="D96" s="2813" t="s">
        <v>452</v>
      </c>
      <c r="E96" s="2796">
        <v>113</v>
      </c>
      <c r="F96" s="2796">
        <v>102</v>
      </c>
      <c r="G96" s="2796">
        <v>119</v>
      </c>
      <c r="H96" s="2796">
        <v>117</v>
      </c>
      <c r="I96" s="2796">
        <v>114</v>
      </c>
      <c r="J96" s="2796">
        <v>101</v>
      </c>
      <c r="K96" s="2796">
        <v>121</v>
      </c>
      <c r="L96" s="2796">
        <v>115</v>
      </c>
      <c r="M96" s="2796">
        <v>91</v>
      </c>
      <c r="N96" s="2796">
        <v>108</v>
      </c>
      <c r="O96" s="2796">
        <v>122</v>
      </c>
      <c r="P96" s="2796">
        <v>111</v>
      </c>
      <c r="Q96" s="2796">
        <v>98</v>
      </c>
      <c r="R96" s="2796">
        <v>107</v>
      </c>
      <c r="S96" s="2796">
        <v>114</v>
      </c>
      <c r="T96" s="2796">
        <v>96</v>
      </c>
      <c r="U96" s="2796">
        <v>56</v>
      </c>
      <c r="V96" s="2796">
        <v>88</v>
      </c>
      <c r="W96" s="2796">
        <v>103</v>
      </c>
      <c r="X96" s="2796">
        <v>100</v>
      </c>
      <c r="Y96" s="2796">
        <v>90</v>
      </c>
      <c r="Z96" s="2796">
        <v>79</v>
      </c>
      <c r="AA96" s="2796">
        <v>104</v>
      </c>
      <c r="AB96" s="2796">
        <v>89</v>
      </c>
      <c r="AC96" s="2796">
        <v>74</v>
      </c>
      <c r="AD96" s="2796">
        <v>71</v>
      </c>
      <c r="AE96" s="2796">
        <v>105</v>
      </c>
      <c r="AF96" s="2796">
        <v>95</v>
      </c>
      <c r="AG96" s="2796">
        <v>90</v>
      </c>
      <c r="AH96" s="2796">
        <v>75</v>
      </c>
      <c r="AI96" s="2796">
        <v>107</v>
      </c>
      <c r="AJ96" s="2790">
        <f t="shared" si="3"/>
        <v>3075</v>
      </c>
      <c r="AK96" s="2790" t="e">
        <f>VLOOKUP(B96,'Mủ CN (TT)'!C113:AK290,36,0)+VLOOKUP(B96,'Mủ CN (tam ung)'!C79:AL253,36,0)</f>
        <v>#N/A</v>
      </c>
      <c r="AL96" s="2814" t="s">
        <v>141</v>
      </c>
      <c r="AM96" s="2798"/>
    </row>
    <row r="97" spans="1:42" ht="18.75">
      <c r="A97" s="2811">
        <v>24</v>
      </c>
      <c r="B97" s="2812" t="s">
        <v>1496</v>
      </c>
      <c r="C97" s="2813"/>
      <c r="D97" s="2813" t="s">
        <v>452</v>
      </c>
      <c r="E97" s="2796">
        <v>113</v>
      </c>
      <c r="F97" s="2796">
        <v>102</v>
      </c>
      <c r="G97" s="2796">
        <v>118</v>
      </c>
      <c r="H97" s="2796">
        <v>119</v>
      </c>
      <c r="I97" s="2796">
        <v>114</v>
      </c>
      <c r="J97" s="2796">
        <v>101</v>
      </c>
      <c r="K97" s="2796">
        <v>121</v>
      </c>
      <c r="L97" s="2796">
        <v>115</v>
      </c>
      <c r="M97" s="2796">
        <v>91</v>
      </c>
      <c r="N97" s="2796">
        <v>108</v>
      </c>
      <c r="O97" s="2796">
        <v>123</v>
      </c>
      <c r="P97" s="2796">
        <v>111</v>
      </c>
      <c r="Q97" s="2796">
        <v>98</v>
      </c>
      <c r="R97" s="2796">
        <v>108</v>
      </c>
      <c r="S97" s="2796">
        <v>114</v>
      </c>
      <c r="T97" s="2796">
        <v>96</v>
      </c>
      <c r="U97" s="2796">
        <v>56</v>
      </c>
      <c r="V97" s="2796">
        <v>88</v>
      </c>
      <c r="W97" s="2796">
        <v>103</v>
      </c>
      <c r="X97" s="2796">
        <v>100</v>
      </c>
      <c r="Y97" s="2796">
        <v>90</v>
      </c>
      <c r="Z97" s="2796">
        <v>79</v>
      </c>
      <c r="AA97" s="2796">
        <v>104</v>
      </c>
      <c r="AB97" s="2796">
        <v>89</v>
      </c>
      <c r="AC97" s="2796">
        <v>75</v>
      </c>
      <c r="AD97" s="2796">
        <v>71</v>
      </c>
      <c r="AE97" s="2796">
        <v>106</v>
      </c>
      <c r="AF97" s="2796">
        <v>95</v>
      </c>
      <c r="AG97" s="2796">
        <v>90</v>
      </c>
      <c r="AH97" s="2796">
        <v>75</v>
      </c>
      <c r="AI97" s="2796">
        <v>107</v>
      </c>
      <c r="AJ97" s="2790">
        <f t="shared" si="3"/>
        <v>3080</v>
      </c>
      <c r="AK97" s="2790" t="e">
        <f>VLOOKUP(B97,'Mủ CN (TT)'!C114:AK291,36,0)+VLOOKUP(B97,'Mủ CN (tam ung)'!C80:AL254,36,0)</f>
        <v>#N/A</v>
      </c>
      <c r="AL97" s="2814" t="s">
        <v>141</v>
      </c>
      <c r="AM97" s="2798"/>
    </row>
    <row r="98" spans="1:42" ht="18.75">
      <c r="A98" s="2807">
        <v>25</v>
      </c>
      <c r="B98" s="2812" t="s">
        <v>1697</v>
      </c>
      <c r="C98" s="2813"/>
      <c r="D98" s="2813" t="s">
        <v>452</v>
      </c>
      <c r="E98" s="2796">
        <v>70</v>
      </c>
      <c r="F98" s="2796">
        <v>110</v>
      </c>
      <c r="G98" s="2796">
        <v>58</v>
      </c>
      <c r="H98" s="2796">
        <v>50</v>
      </c>
      <c r="I98" s="2796">
        <v>83</v>
      </c>
      <c r="J98" s="2796">
        <v>95</v>
      </c>
      <c r="K98" s="2796">
        <v>0</v>
      </c>
      <c r="L98" s="2796">
        <v>91</v>
      </c>
      <c r="M98" s="2796">
        <v>71</v>
      </c>
      <c r="N98" s="2796">
        <v>36</v>
      </c>
      <c r="O98" s="2796">
        <v>0</v>
      </c>
      <c r="P98" s="2796">
        <v>62</v>
      </c>
      <c r="Q98" s="2796">
        <v>87</v>
      </c>
      <c r="R98" s="2796">
        <v>100</v>
      </c>
      <c r="S98" s="2796">
        <v>0</v>
      </c>
      <c r="T98" s="2796">
        <v>125</v>
      </c>
      <c r="U98" s="2796">
        <v>30</v>
      </c>
      <c r="V98" s="2796">
        <v>66</v>
      </c>
      <c r="W98" s="2796">
        <v>50</v>
      </c>
      <c r="X98" s="2796">
        <v>50</v>
      </c>
      <c r="Y98" s="2796">
        <v>64</v>
      </c>
      <c r="Z98" s="2796">
        <v>89</v>
      </c>
      <c r="AA98" s="2796">
        <v>54</v>
      </c>
      <c r="AB98" s="2796">
        <v>46</v>
      </c>
      <c r="AC98" s="2796">
        <v>67</v>
      </c>
      <c r="AD98" s="2796">
        <v>81</v>
      </c>
      <c r="AE98" s="2796">
        <v>50</v>
      </c>
      <c r="AF98" s="2796">
        <v>50</v>
      </c>
      <c r="AG98" s="2796">
        <v>67</v>
      </c>
      <c r="AH98" s="2796">
        <v>87</v>
      </c>
      <c r="AI98" s="2796">
        <v>55</v>
      </c>
      <c r="AJ98" s="2790">
        <f t="shared" si="3"/>
        <v>1944</v>
      </c>
      <c r="AK98" s="2790" t="e">
        <f>VLOOKUP(B98,'Mủ CN (TT)'!C115:AK292,36,0)+VLOOKUP(B98,'Mủ CN (tam ung)'!C81:AL255,36,0)</f>
        <v>#N/A</v>
      </c>
      <c r="AL98" s="2814" t="s">
        <v>141</v>
      </c>
      <c r="AM98" s="2798"/>
    </row>
    <row r="99" spans="1:42" ht="18.75">
      <c r="A99" s="2811">
        <v>26</v>
      </c>
      <c r="B99" s="2812" t="s">
        <v>1698</v>
      </c>
      <c r="C99" s="2813"/>
      <c r="D99" s="2813" t="s">
        <v>452</v>
      </c>
      <c r="E99" s="2796">
        <v>70</v>
      </c>
      <c r="F99" s="2796">
        <v>67</v>
      </c>
      <c r="G99" s="2796">
        <v>51</v>
      </c>
      <c r="H99" s="2796">
        <v>75</v>
      </c>
      <c r="I99" s="2796">
        <v>0</v>
      </c>
      <c r="J99" s="2796">
        <v>65</v>
      </c>
      <c r="K99" s="2796">
        <v>50</v>
      </c>
      <c r="L99" s="2796">
        <v>75</v>
      </c>
      <c r="M99" s="2796">
        <v>105</v>
      </c>
      <c r="N99" s="2796">
        <v>0</v>
      </c>
      <c r="O99" s="2796">
        <v>0</v>
      </c>
      <c r="P99" s="2796">
        <v>64</v>
      </c>
      <c r="Q99" s="2796">
        <v>45</v>
      </c>
      <c r="R99" s="2796">
        <v>112</v>
      </c>
      <c r="S99" s="2796">
        <v>61</v>
      </c>
      <c r="T99" s="2796">
        <v>60</v>
      </c>
      <c r="U99" s="2796">
        <v>48</v>
      </c>
      <c r="V99" s="2796">
        <v>62</v>
      </c>
      <c r="W99" s="2796">
        <v>40</v>
      </c>
      <c r="X99" s="2796">
        <v>67</v>
      </c>
      <c r="Y99" s="2796">
        <v>54</v>
      </c>
      <c r="Z99" s="2796">
        <v>52</v>
      </c>
      <c r="AA99" s="2796">
        <v>40</v>
      </c>
      <c r="AB99" s="2796">
        <v>56</v>
      </c>
      <c r="AC99" s="2796">
        <v>25</v>
      </c>
      <c r="AD99" s="2796">
        <v>56</v>
      </c>
      <c r="AE99" s="2796">
        <v>37</v>
      </c>
      <c r="AF99" s="2796">
        <v>55</v>
      </c>
      <c r="AG99" s="2796">
        <v>58</v>
      </c>
      <c r="AH99" s="2796">
        <v>46</v>
      </c>
      <c r="AI99" s="2796">
        <v>41</v>
      </c>
      <c r="AJ99" s="2790">
        <f t="shared" si="3"/>
        <v>1637</v>
      </c>
      <c r="AK99" s="2790" t="e">
        <f>VLOOKUP(B99,'Mủ CN (TT)'!C116:AK293,36,0)+VLOOKUP(B99,'Mủ CN (tam ung)'!C82:AL256,36,0)</f>
        <v>#REF!</v>
      </c>
      <c r="AL99" s="2814" t="s">
        <v>141</v>
      </c>
      <c r="AM99" s="2798"/>
    </row>
    <row r="100" spans="1:42" ht="18.75">
      <c r="A100" s="2807">
        <v>27</v>
      </c>
      <c r="B100" s="2812" t="s">
        <v>1699</v>
      </c>
      <c r="C100" s="2813"/>
      <c r="D100" s="2813" t="s">
        <v>452</v>
      </c>
      <c r="E100" s="2796">
        <v>70</v>
      </c>
      <c r="F100" s="2796">
        <v>110</v>
      </c>
      <c r="G100" s="2796">
        <v>58</v>
      </c>
      <c r="H100" s="2796">
        <v>50</v>
      </c>
      <c r="I100" s="2796">
        <v>84</v>
      </c>
      <c r="J100" s="2796">
        <v>95</v>
      </c>
      <c r="K100" s="2796">
        <v>0</v>
      </c>
      <c r="L100" s="2796">
        <v>91</v>
      </c>
      <c r="M100" s="2796">
        <v>70</v>
      </c>
      <c r="N100" s="2796">
        <v>35</v>
      </c>
      <c r="O100" s="2796">
        <v>0</v>
      </c>
      <c r="P100" s="2796">
        <v>62</v>
      </c>
      <c r="Q100" s="2796">
        <v>87</v>
      </c>
      <c r="R100" s="2796">
        <v>100</v>
      </c>
      <c r="S100" s="2796">
        <v>0</v>
      </c>
      <c r="T100" s="2796">
        <v>126</v>
      </c>
      <c r="U100" s="2796">
        <v>32</v>
      </c>
      <c r="V100" s="2796">
        <v>67</v>
      </c>
      <c r="W100" s="2796">
        <v>50</v>
      </c>
      <c r="X100" s="2796">
        <v>50</v>
      </c>
      <c r="Y100" s="2796">
        <v>64</v>
      </c>
      <c r="Z100" s="2796">
        <v>89</v>
      </c>
      <c r="AA100" s="2796">
        <v>54</v>
      </c>
      <c r="AB100" s="2796">
        <v>46</v>
      </c>
      <c r="AC100" s="2796">
        <v>67</v>
      </c>
      <c r="AD100" s="2796">
        <v>81</v>
      </c>
      <c r="AE100" s="2796">
        <v>50</v>
      </c>
      <c r="AF100" s="2796">
        <v>50</v>
      </c>
      <c r="AG100" s="2796">
        <v>67</v>
      </c>
      <c r="AH100" s="2796">
        <v>87</v>
      </c>
      <c r="AI100" s="2796">
        <v>55</v>
      </c>
      <c r="AJ100" s="2790">
        <f t="shared" si="3"/>
        <v>1947</v>
      </c>
      <c r="AK100" s="2790" t="e">
        <f>VLOOKUP(B100,'Mủ CN (TT)'!C117:AK294,36,0)+VLOOKUP(B100,'Mủ CN (tam ung)'!C83:AL257,36,0)</f>
        <v>#N/A</v>
      </c>
      <c r="AL100" s="2814" t="s">
        <v>141</v>
      </c>
      <c r="AM100" s="2798"/>
    </row>
    <row r="101" spans="1:42" ht="18.75">
      <c r="A101" s="2811">
        <v>28</v>
      </c>
      <c r="B101" s="2812" t="s">
        <v>1700</v>
      </c>
      <c r="C101" s="2813"/>
      <c r="D101" s="2813" t="s">
        <v>452</v>
      </c>
      <c r="E101" s="2790">
        <v>70</v>
      </c>
      <c r="F101" s="2790">
        <v>111</v>
      </c>
      <c r="G101" s="2790">
        <v>0</v>
      </c>
      <c r="H101" s="2790">
        <v>51</v>
      </c>
      <c r="I101" s="2790">
        <v>84</v>
      </c>
      <c r="J101" s="2790">
        <v>96</v>
      </c>
      <c r="K101" s="2790">
        <v>0</v>
      </c>
      <c r="L101" s="2790">
        <v>91</v>
      </c>
      <c r="M101" s="2790">
        <v>70</v>
      </c>
      <c r="N101" s="2790">
        <v>36</v>
      </c>
      <c r="O101" s="2790">
        <v>0</v>
      </c>
      <c r="P101" s="2790">
        <v>62</v>
      </c>
      <c r="Q101" s="2790">
        <v>87</v>
      </c>
      <c r="R101" s="2790">
        <v>100</v>
      </c>
      <c r="S101" s="2790">
        <v>0</v>
      </c>
      <c r="T101" s="2790">
        <v>125</v>
      </c>
      <c r="U101" s="2790">
        <v>0</v>
      </c>
      <c r="V101" s="2790">
        <v>0</v>
      </c>
      <c r="W101" s="2790">
        <v>48</v>
      </c>
      <c r="X101" s="2790">
        <v>42</v>
      </c>
      <c r="Y101" s="2790">
        <v>64</v>
      </c>
      <c r="Z101" s="2790">
        <v>89</v>
      </c>
      <c r="AA101" s="2790">
        <v>53</v>
      </c>
      <c r="AB101" s="2790">
        <v>46</v>
      </c>
      <c r="AC101" s="2790">
        <v>69</v>
      </c>
      <c r="AD101" s="2790">
        <v>81</v>
      </c>
      <c r="AE101" s="2790">
        <v>51</v>
      </c>
      <c r="AF101" s="2790">
        <v>52</v>
      </c>
      <c r="AG101" s="2790">
        <v>66</v>
      </c>
      <c r="AH101" s="2790">
        <v>87</v>
      </c>
      <c r="AI101" s="2790">
        <v>56</v>
      </c>
      <c r="AJ101" s="2790">
        <f t="shared" si="3"/>
        <v>1787</v>
      </c>
      <c r="AK101" s="2790" t="e">
        <f>VLOOKUP(B101,'Mủ CN (TT)'!C118:AK295,36,0)+VLOOKUP(B101,'Mủ CN (tam ung)'!C84:AL258,36,0)</f>
        <v>#N/A</v>
      </c>
      <c r="AL101" s="2814" t="s">
        <v>141</v>
      </c>
      <c r="AM101" s="2798"/>
    </row>
    <row r="102" spans="1:42" ht="18.75">
      <c r="A102" s="2807">
        <v>29</v>
      </c>
      <c r="B102" s="2812" t="s">
        <v>1701</v>
      </c>
      <c r="C102" s="2813"/>
      <c r="D102" s="2813" t="s">
        <v>452</v>
      </c>
      <c r="E102" s="2796">
        <v>0</v>
      </c>
      <c r="F102" s="2796">
        <v>59</v>
      </c>
      <c r="G102" s="2796">
        <v>0</v>
      </c>
      <c r="H102" s="2796">
        <v>59</v>
      </c>
      <c r="I102" s="2796">
        <v>40</v>
      </c>
      <c r="J102" s="2796">
        <v>72</v>
      </c>
      <c r="K102" s="2796">
        <v>71</v>
      </c>
      <c r="L102" s="2796">
        <v>65</v>
      </c>
      <c r="M102" s="2796">
        <v>49</v>
      </c>
      <c r="N102" s="2796">
        <v>40</v>
      </c>
      <c r="O102" s="2796">
        <v>62</v>
      </c>
      <c r="P102" s="2796">
        <v>103</v>
      </c>
      <c r="Q102" s="2796">
        <v>65</v>
      </c>
      <c r="R102" s="2796">
        <v>0</v>
      </c>
      <c r="S102" s="2796">
        <v>135</v>
      </c>
      <c r="T102" s="2796">
        <v>0</v>
      </c>
      <c r="U102" s="2796">
        <v>0</v>
      </c>
      <c r="V102" s="2796">
        <v>0</v>
      </c>
      <c r="W102" s="2796">
        <v>0</v>
      </c>
      <c r="X102" s="2796">
        <v>118</v>
      </c>
      <c r="Y102" s="2796">
        <v>30</v>
      </c>
      <c r="Z102" s="2796">
        <v>144</v>
      </c>
      <c r="AA102" s="2796">
        <v>0</v>
      </c>
      <c r="AB102" s="2796">
        <v>0</v>
      </c>
      <c r="AC102" s="2796">
        <v>0</v>
      </c>
      <c r="AD102" s="2796">
        <v>0</v>
      </c>
      <c r="AE102" s="2796">
        <v>135</v>
      </c>
      <c r="AF102" s="2796">
        <v>98</v>
      </c>
      <c r="AG102" s="2796">
        <v>47</v>
      </c>
      <c r="AH102" s="2796">
        <v>90</v>
      </c>
      <c r="AI102" s="2796">
        <v>96</v>
      </c>
      <c r="AJ102" s="2790">
        <f t="shared" si="3"/>
        <v>1578</v>
      </c>
      <c r="AK102" s="2790" t="e">
        <f>VLOOKUP(B102,'Mủ CN (TT)'!C119:AK296,36,0)+VLOOKUP(B102,'Mủ CN (tam ung)'!C85:AL259,36,0)</f>
        <v>#N/A</v>
      </c>
      <c r="AL102" s="2814" t="s">
        <v>138</v>
      </c>
      <c r="AM102" s="2798"/>
    </row>
    <row r="103" spans="1:42" ht="18.75">
      <c r="A103" s="2811">
        <v>30</v>
      </c>
      <c r="B103" s="2812" t="s">
        <v>1702</v>
      </c>
      <c r="C103" s="2813"/>
      <c r="D103" s="2813" t="s">
        <v>452</v>
      </c>
      <c r="E103" s="2796">
        <v>55</v>
      </c>
      <c r="F103" s="2796">
        <v>68</v>
      </c>
      <c r="G103" s="2796">
        <v>111</v>
      </c>
      <c r="H103" s="2796">
        <v>159</v>
      </c>
      <c r="I103" s="2796">
        <v>59</v>
      </c>
      <c r="J103" s="2796">
        <v>123</v>
      </c>
      <c r="K103" s="2796">
        <v>117</v>
      </c>
      <c r="L103" s="2796">
        <v>165</v>
      </c>
      <c r="M103" s="2796">
        <v>52</v>
      </c>
      <c r="N103" s="2796">
        <v>87</v>
      </c>
      <c r="O103" s="2796">
        <v>112</v>
      </c>
      <c r="P103" s="2796">
        <v>156</v>
      </c>
      <c r="Q103" s="2796">
        <v>54</v>
      </c>
      <c r="R103" s="2796">
        <v>108</v>
      </c>
      <c r="S103" s="2796">
        <v>111</v>
      </c>
      <c r="T103" s="2796">
        <v>140</v>
      </c>
      <c r="U103" s="2796">
        <v>51</v>
      </c>
      <c r="V103" s="2796">
        <v>108</v>
      </c>
      <c r="W103" s="2796">
        <v>105</v>
      </c>
      <c r="X103" s="2796">
        <v>173</v>
      </c>
      <c r="Y103" s="2796">
        <v>26</v>
      </c>
      <c r="Z103" s="2796">
        <v>118</v>
      </c>
      <c r="AA103" s="2796">
        <v>100</v>
      </c>
      <c r="AB103" s="2796">
        <v>116</v>
      </c>
      <c r="AC103" s="2796">
        <v>35</v>
      </c>
      <c r="AD103" s="2796">
        <v>70</v>
      </c>
      <c r="AE103" s="2796">
        <v>84</v>
      </c>
      <c r="AF103" s="2796">
        <v>101</v>
      </c>
      <c r="AG103" s="2796">
        <v>49</v>
      </c>
      <c r="AH103" s="2796">
        <v>72</v>
      </c>
      <c r="AI103" s="2796">
        <v>210</v>
      </c>
      <c r="AJ103" s="2790">
        <f t="shared" si="3"/>
        <v>3095</v>
      </c>
      <c r="AK103" s="2790" t="e">
        <f>VLOOKUP(B103,'Mủ CN (TT)'!C120:AK297,36,0)+VLOOKUP(B103,'Mủ CN (tam ung)'!C86:AL260,36,0)</f>
        <v>#N/A</v>
      </c>
      <c r="AL103" s="2814" t="s">
        <v>141</v>
      </c>
      <c r="AM103" s="2798"/>
    </row>
    <row r="104" spans="1:42" ht="18.75">
      <c r="A104" s="2807">
        <v>31</v>
      </c>
      <c r="B104" s="2812" t="s">
        <v>1536</v>
      </c>
      <c r="C104" s="2813"/>
      <c r="D104" s="2813" t="s">
        <v>452</v>
      </c>
      <c r="E104" s="2796">
        <v>75</v>
      </c>
      <c r="F104" s="2796">
        <v>80</v>
      </c>
      <c r="G104" s="2796">
        <v>134</v>
      </c>
      <c r="H104" s="2796">
        <v>113</v>
      </c>
      <c r="I104" s="2796">
        <v>75</v>
      </c>
      <c r="J104" s="2796">
        <v>70</v>
      </c>
      <c r="K104" s="2796">
        <v>129</v>
      </c>
      <c r="L104" s="2796">
        <v>101</v>
      </c>
      <c r="M104" s="2796">
        <v>66</v>
      </c>
      <c r="N104" s="2796">
        <v>74</v>
      </c>
      <c r="O104" s="2796">
        <v>136</v>
      </c>
      <c r="P104" s="2796">
        <v>104</v>
      </c>
      <c r="Q104" s="2796">
        <v>65</v>
      </c>
      <c r="R104" s="2796">
        <v>78</v>
      </c>
      <c r="S104" s="2796">
        <v>117</v>
      </c>
      <c r="T104" s="2796">
        <v>91</v>
      </c>
      <c r="U104" s="2796">
        <v>65</v>
      </c>
      <c r="V104" s="2796">
        <v>72</v>
      </c>
      <c r="W104" s="2796">
        <v>115</v>
      </c>
      <c r="X104" s="2796">
        <v>89</v>
      </c>
      <c r="Y104" s="2796">
        <v>50</v>
      </c>
      <c r="Z104" s="2796">
        <v>61</v>
      </c>
      <c r="AA104" s="2796">
        <v>110</v>
      </c>
      <c r="AB104" s="2796">
        <v>80</v>
      </c>
      <c r="AC104" s="2796">
        <v>53</v>
      </c>
      <c r="AD104" s="2796">
        <v>55</v>
      </c>
      <c r="AE104" s="2796">
        <v>101</v>
      </c>
      <c r="AF104" s="2796">
        <v>81</v>
      </c>
      <c r="AG104" s="2796">
        <v>53</v>
      </c>
      <c r="AH104" s="2796">
        <v>61</v>
      </c>
      <c r="AI104" s="2796">
        <v>104</v>
      </c>
      <c r="AJ104" s="2790">
        <f t="shared" si="3"/>
        <v>2658</v>
      </c>
      <c r="AK104" s="2790" t="e">
        <f>VLOOKUP(B104,'Mủ CN (TT)'!C121:AK298,36,0)+VLOOKUP(B104,'Mủ CN (tam ung)'!C87:AL261,36,0)</f>
        <v>#N/A</v>
      </c>
      <c r="AL104" s="2814" t="s">
        <v>138</v>
      </c>
      <c r="AM104" s="2798"/>
    </row>
    <row r="105" spans="1:42" ht="18.75">
      <c r="A105" s="2811">
        <v>32</v>
      </c>
      <c r="B105" s="2812" t="s">
        <v>1703</v>
      </c>
      <c r="C105" s="2813"/>
      <c r="D105" s="2813" t="s">
        <v>452</v>
      </c>
      <c r="E105" s="2796">
        <v>75</v>
      </c>
      <c r="F105" s="2796">
        <v>80</v>
      </c>
      <c r="G105" s="2796">
        <v>134</v>
      </c>
      <c r="H105" s="2796">
        <v>113</v>
      </c>
      <c r="I105" s="2796">
        <v>75</v>
      </c>
      <c r="J105" s="2796">
        <v>71</v>
      </c>
      <c r="K105" s="2796">
        <v>129</v>
      </c>
      <c r="L105" s="2796">
        <v>102</v>
      </c>
      <c r="M105" s="2796">
        <v>67</v>
      </c>
      <c r="N105" s="2796">
        <v>74</v>
      </c>
      <c r="O105" s="2796">
        <v>136</v>
      </c>
      <c r="P105" s="2796">
        <v>104</v>
      </c>
      <c r="Q105" s="2796">
        <v>65</v>
      </c>
      <c r="R105" s="2796">
        <v>78</v>
      </c>
      <c r="S105" s="2796">
        <v>118</v>
      </c>
      <c r="T105" s="2796">
        <v>92</v>
      </c>
      <c r="U105" s="2796">
        <v>66</v>
      </c>
      <c r="V105" s="2796">
        <v>72</v>
      </c>
      <c r="W105" s="2796">
        <v>115</v>
      </c>
      <c r="X105" s="2796">
        <v>89</v>
      </c>
      <c r="Y105" s="2796">
        <v>50</v>
      </c>
      <c r="Z105" s="2796">
        <v>61</v>
      </c>
      <c r="AA105" s="2796">
        <v>110</v>
      </c>
      <c r="AB105" s="2796">
        <v>80</v>
      </c>
      <c r="AC105" s="2796">
        <v>53</v>
      </c>
      <c r="AD105" s="2796">
        <v>55</v>
      </c>
      <c r="AE105" s="2796">
        <v>101</v>
      </c>
      <c r="AF105" s="2796">
        <v>82</v>
      </c>
      <c r="AG105" s="2796">
        <v>53</v>
      </c>
      <c r="AH105" s="2796">
        <v>62</v>
      </c>
      <c r="AI105" s="2796">
        <v>104</v>
      </c>
      <c r="AJ105" s="2790">
        <f t="shared" si="3"/>
        <v>2666</v>
      </c>
      <c r="AK105" s="2790" t="e">
        <f>VLOOKUP(B105,'Mủ CN (TT)'!C122:AK299,36,0)+VLOOKUP(B105,'Mủ CN (tam ung)'!C88:AL262,36,0)</f>
        <v>#N/A</v>
      </c>
      <c r="AL105" s="2814" t="s">
        <v>141</v>
      </c>
      <c r="AM105" s="2798"/>
    </row>
    <row r="106" spans="1:42" ht="18.75">
      <c r="A106" s="2807">
        <v>33</v>
      </c>
      <c r="B106" s="2812" t="s">
        <v>1500</v>
      </c>
      <c r="C106" s="2813"/>
      <c r="D106" s="2813" t="s">
        <v>452</v>
      </c>
      <c r="E106" s="2796">
        <v>76</v>
      </c>
      <c r="F106" s="2796">
        <v>80</v>
      </c>
      <c r="G106" s="2796">
        <v>134</v>
      </c>
      <c r="H106" s="2796">
        <v>113</v>
      </c>
      <c r="I106" s="2796">
        <v>75</v>
      </c>
      <c r="J106" s="2796">
        <v>71</v>
      </c>
      <c r="K106" s="2796">
        <v>130</v>
      </c>
      <c r="L106" s="2796">
        <v>101</v>
      </c>
      <c r="M106" s="2796">
        <v>67</v>
      </c>
      <c r="N106" s="2796">
        <v>74</v>
      </c>
      <c r="O106" s="2796">
        <v>136</v>
      </c>
      <c r="P106" s="2796">
        <v>105</v>
      </c>
      <c r="Q106" s="2796">
        <v>66</v>
      </c>
      <c r="R106" s="2796">
        <v>78</v>
      </c>
      <c r="S106" s="2796">
        <v>118</v>
      </c>
      <c r="T106" s="2796">
        <v>91</v>
      </c>
      <c r="U106" s="2796">
        <v>66</v>
      </c>
      <c r="V106" s="2796">
        <v>73</v>
      </c>
      <c r="W106" s="2796">
        <v>116</v>
      </c>
      <c r="X106" s="2796">
        <v>88</v>
      </c>
      <c r="Y106" s="2796">
        <v>56</v>
      </c>
      <c r="Z106" s="2796">
        <v>62</v>
      </c>
      <c r="AA106" s="2796">
        <v>106</v>
      </c>
      <c r="AB106" s="2796">
        <v>82</v>
      </c>
      <c r="AC106" s="2796">
        <v>52</v>
      </c>
      <c r="AD106" s="2796">
        <v>53</v>
      </c>
      <c r="AE106" s="2796">
        <v>102</v>
      </c>
      <c r="AF106" s="2796">
        <v>82</v>
      </c>
      <c r="AG106" s="2796">
        <v>53</v>
      </c>
      <c r="AH106" s="2796">
        <v>62</v>
      </c>
      <c r="AI106" s="2796">
        <v>104</v>
      </c>
      <c r="AJ106" s="2790">
        <f t="shared" si="3"/>
        <v>2672</v>
      </c>
      <c r="AK106" s="2790" t="e">
        <f>VLOOKUP(B106,'Mủ CN (TT)'!C123:AK300,36,0)+VLOOKUP(B106,'Mủ CN (tam ung)'!C89:AL263,36,0)</f>
        <v>#N/A</v>
      </c>
      <c r="AL106" s="2814" t="s">
        <v>141</v>
      </c>
      <c r="AM106" s="2798"/>
    </row>
    <row r="107" spans="1:42" ht="18.75">
      <c r="A107" s="2811">
        <v>34</v>
      </c>
      <c r="B107" s="2812" t="s">
        <v>1704</v>
      </c>
      <c r="C107" s="2813"/>
      <c r="D107" s="2813" t="s">
        <v>452</v>
      </c>
      <c r="E107" s="2796">
        <v>52</v>
      </c>
      <c r="F107" s="2796">
        <v>68</v>
      </c>
      <c r="G107" s="2796">
        <v>75</v>
      </c>
      <c r="H107" s="2796">
        <v>95</v>
      </c>
      <c r="I107" s="2796">
        <v>52</v>
      </c>
      <c r="J107" s="2796">
        <v>68</v>
      </c>
      <c r="K107" s="2796">
        <v>75</v>
      </c>
      <c r="L107" s="2796">
        <v>70</v>
      </c>
      <c r="M107" s="2796">
        <v>52</v>
      </c>
      <c r="N107" s="2796">
        <v>42</v>
      </c>
      <c r="O107" s="2796">
        <v>78</v>
      </c>
      <c r="P107" s="2796">
        <v>120</v>
      </c>
      <c r="Q107" s="2796">
        <v>51</v>
      </c>
      <c r="R107" s="2796">
        <v>69</v>
      </c>
      <c r="S107" s="2796">
        <v>0</v>
      </c>
      <c r="T107" s="2796">
        <v>79</v>
      </c>
      <c r="U107" s="2796">
        <v>0</v>
      </c>
      <c r="V107" s="2796">
        <v>70</v>
      </c>
      <c r="W107" s="2796">
        <v>110</v>
      </c>
      <c r="X107" s="2796">
        <v>73</v>
      </c>
      <c r="Y107" s="2796">
        <v>41</v>
      </c>
      <c r="Z107" s="2796">
        <v>63</v>
      </c>
      <c r="AA107" s="2796">
        <v>75</v>
      </c>
      <c r="AB107" s="2796">
        <v>76</v>
      </c>
      <c r="AC107" s="2796">
        <v>40</v>
      </c>
      <c r="AD107" s="2796">
        <v>63</v>
      </c>
      <c r="AE107" s="2796">
        <v>75</v>
      </c>
      <c r="AF107" s="2796">
        <v>102</v>
      </c>
      <c r="AG107" s="2796">
        <v>41</v>
      </c>
      <c r="AH107" s="2796">
        <v>65</v>
      </c>
      <c r="AI107" s="2796">
        <v>75</v>
      </c>
      <c r="AJ107" s="2790">
        <f t="shared" si="3"/>
        <v>2015</v>
      </c>
      <c r="AK107" s="2790" t="e">
        <f>VLOOKUP(B107,'Mủ CN (TT)'!C124:AK301,36,0)+VLOOKUP(B107,'Mủ CN (tam ung)'!C90:AL264,36,0)</f>
        <v>#N/A</v>
      </c>
      <c r="AL107" s="2814" t="s">
        <v>138</v>
      </c>
      <c r="AM107" s="2798"/>
    </row>
    <row r="108" spans="1:42" ht="18.75">
      <c r="A108" s="2807">
        <v>35</v>
      </c>
      <c r="B108" s="2812" t="s">
        <v>1504</v>
      </c>
      <c r="C108" s="2813"/>
      <c r="D108" s="2813" t="s">
        <v>452</v>
      </c>
      <c r="E108" s="2796">
        <v>179</v>
      </c>
      <c r="F108" s="2796">
        <v>75</v>
      </c>
      <c r="G108" s="2796">
        <v>53</v>
      </c>
      <c r="H108" s="2796">
        <v>0</v>
      </c>
      <c r="I108" s="2796">
        <v>115</v>
      </c>
      <c r="J108" s="2796">
        <v>0</v>
      </c>
      <c r="K108" s="2796">
        <v>0</v>
      </c>
      <c r="L108" s="2796">
        <v>0</v>
      </c>
      <c r="M108" s="2796">
        <v>75</v>
      </c>
      <c r="N108" s="2796">
        <v>120</v>
      </c>
      <c r="O108" s="2796">
        <v>174</v>
      </c>
      <c r="P108" s="2796">
        <v>100</v>
      </c>
      <c r="Q108" s="2796">
        <v>207</v>
      </c>
      <c r="R108" s="2796">
        <v>128</v>
      </c>
      <c r="S108" s="2796">
        <v>0</v>
      </c>
      <c r="T108" s="2796">
        <v>144</v>
      </c>
      <c r="U108" s="2796">
        <v>0</v>
      </c>
      <c r="V108" s="2796">
        <v>90</v>
      </c>
      <c r="W108" s="2796">
        <v>0</v>
      </c>
      <c r="X108" s="2796">
        <v>100</v>
      </c>
      <c r="Y108" s="2796">
        <v>163</v>
      </c>
      <c r="Z108" s="2796">
        <v>100</v>
      </c>
      <c r="AA108" s="2796">
        <v>84</v>
      </c>
      <c r="AB108" s="2796">
        <v>69</v>
      </c>
      <c r="AC108" s="2796">
        <v>78</v>
      </c>
      <c r="AD108" s="2796">
        <v>118</v>
      </c>
      <c r="AE108" s="2796">
        <v>0</v>
      </c>
      <c r="AF108" s="2796">
        <v>200</v>
      </c>
      <c r="AG108" s="2796">
        <v>57</v>
      </c>
      <c r="AH108" s="2796">
        <v>0</v>
      </c>
      <c r="AI108" s="2796">
        <v>103</v>
      </c>
      <c r="AJ108" s="2790">
        <f t="shared" si="3"/>
        <v>2532</v>
      </c>
      <c r="AK108" s="2790" t="e">
        <f>VLOOKUP(B108,'Mủ CN (TT)'!C125:AK302,36,0)+VLOOKUP(B108,'Mủ CN (tam ung)'!C91:AL265,36,0)</f>
        <v>#N/A</v>
      </c>
      <c r="AL108" s="2814" t="s">
        <v>141</v>
      </c>
      <c r="AM108" s="2798"/>
    </row>
    <row r="109" spans="1:42" ht="18.75">
      <c r="A109" s="2811">
        <v>36</v>
      </c>
      <c r="B109" s="2812" t="s">
        <v>1537</v>
      </c>
      <c r="C109" s="2813"/>
      <c r="D109" s="2813" t="s">
        <v>452</v>
      </c>
      <c r="E109" s="2796">
        <v>52</v>
      </c>
      <c r="F109" s="2796">
        <v>68</v>
      </c>
      <c r="G109" s="2796">
        <v>75</v>
      </c>
      <c r="H109" s="2796">
        <v>95</v>
      </c>
      <c r="I109" s="2796">
        <v>52</v>
      </c>
      <c r="J109" s="2796">
        <v>68</v>
      </c>
      <c r="K109" s="2796">
        <v>75</v>
      </c>
      <c r="L109" s="2796">
        <v>71</v>
      </c>
      <c r="M109" s="2796">
        <v>50</v>
      </c>
      <c r="N109" s="2796">
        <v>87</v>
      </c>
      <c r="O109" s="2796">
        <v>88</v>
      </c>
      <c r="P109" s="2796">
        <v>119</v>
      </c>
      <c r="Q109" s="2796">
        <v>51</v>
      </c>
      <c r="R109" s="2796">
        <v>70</v>
      </c>
      <c r="S109" s="2796">
        <v>0</v>
      </c>
      <c r="T109" s="2796">
        <v>78</v>
      </c>
      <c r="U109" s="2796">
        <v>35</v>
      </c>
      <c r="V109" s="2796">
        <v>70</v>
      </c>
      <c r="W109" s="2796">
        <v>111</v>
      </c>
      <c r="X109" s="2796">
        <v>72</v>
      </c>
      <c r="Y109" s="2796">
        <v>41</v>
      </c>
      <c r="Z109" s="2796">
        <v>63</v>
      </c>
      <c r="AA109" s="2796">
        <v>75</v>
      </c>
      <c r="AB109" s="2796">
        <v>76</v>
      </c>
      <c r="AC109" s="2796">
        <v>40</v>
      </c>
      <c r="AD109" s="2796">
        <v>63</v>
      </c>
      <c r="AE109" s="2796">
        <v>74</v>
      </c>
      <c r="AF109" s="2796">
        <v>101</v>
      </c>
      <c r="AG109" s="2796">
        <v>40</v>
      </c>
      <c r="AH109" s="2796">
        <v>64</v>
      </c>
      <c r="AI109" s="2796">
        <v>75</v>
      </c>
      <c r="AJ109" s="2790">
        <f t="shared" si="3"/>
        <v>2099</v>
      </c>
      <c r="AK109" s="2790" t="e">
        <f>VLOOKUP(B109,'Mủ CN (TT)'!C126:AK303,36,0)+VLOOKUP(B109,'Mủ CN (tam ung)'!C92:AL266,36,0)</f>
        <v>#N/A</v>
      </c>
      <c r="AL109" s="2814" t="s">
        <v>141</v>
      </c>
      <c r="AM109" s="2798"/>
    </row>
    <row r="110" spans="1:42" ht="18.75">
      <c r="A110" s="2807">
        <v>37</v>
      </c>
      <c r="B110" s="2812" t="s">
        <v>1501</v>
      </c>
      <c r="C110" s="2813"/>
      <c r="D110" s="2813" t="s">
        <v>452</v>
      </c>
      <c r="E110" s="2796">
        <v>52</v>
      </c>
      <c r="F110" s="2796">
        <v>69</v>
      </c>
      <c r="G110" s="2796">
        <v>75</v>
      </c>
      <c r="H110" s="2796">
        <v>96</v>
      </c>
      <c r="I110" s="2796">
        <v>52</v>
      </c>
      <c r="J110" s="2796">
        <v>70</v>
      </c>
      <c r="K110" s="2796">
        <v>75</v>
      </c>
      <c r="L110" s="2796">
        <v>71</v>
      </c>
      <c r="M110" s="2796">
        <v>51</v>
      </c>
      <c r="N110" s="2796">
        <v>44</v>
      </c>
      <c r="O110" s="2796">
        <v>88</v>
      </c>
      <c r="P110" s="2796">
        <v>119</v>
      </c>
      <c r="Q110" s="2796">
        <v>52</v>
      </c>
      <c r="R110" s="2796">
        <v>69</v>
      </c>
      <c r="S110" s="2796">
        <v>0</v>
      </c>
      <c r="T110" s="2796">
        <v>78</v>
      </c>
      <c r="U110" s="2796">
        <v>40</v>
      </c>
      <c r="V110" s="2796">
        <v>70</v>
      </c>
      <c r="W110" s="2796">
        <v>111</v>
      </c>
      <c r="X110" s="2796">
        <v>72</v>
      </c>
      <c r="Y110" s="2796">
        <v>41</v>
      </c>
      <c r="Z110" s="2796">
        <v>63</v>
      </c>
      <c r="AA110" s="2796">
        <v>74</v>
      </c>
      <c r="AB110" s="2796">
        <v>77</v>
      </c>
      <c r="AC110" s="2796">
        <v>40</v>
      </c>
      <c r="AD110" s="2796">
        <v>62</v>
      </c>
      <c r="AE110" s="2796">
        <v>75</v>
      </c>
      <c r="AF110" s="2796">
        <v>101</v>
      </c>
      <c r="AG110" s="2796">
        <v>40</v>
      </c>
      <c r="AH110" s="2796">
        <v>65</v>
      </c>
      <c r="AI110" s="2796">
        <v>75</v>
      </c>
      <c r="AJ110" s="2790">
        <f t="shared" si="3"/>
        <v>2067</v>
      </c>
      <c r="AK110" s="2790" t="e">
        <f>VLOOKUP(B110,'Mủ CN (TT)'!C127:AK304,36,0)+VLOOKUP(B110,'Mủ CN (tam ung)'!C93:AL267,36,0)</f>
        <v>#N/A</v>
      </c>
      <c r="AL110" s="2814" t="s">
        <v>141</v>
      </c>
      <c r="AM110" s="2798"/>
    </row>
    <row r="111" spans="1:42" ht="18.75">
      <c r="A111" s="2811">
        <v>38</v>
      </c>
      <c r="B111" s="2812" t="s">
        <v>1502</v>
      </c>
      <c r="C111" s="2813"/>
      <c r="D111" s="2813" t="s">
        <v>452</v>
      </c>
      <c r="E111" s="2796">
        <v>50</v>
      </c>
      <c r="F111" s="2796">
        <v>65</v>
      </c>
      <c r="G111" s="2796">
        <v>50</v>
      </c>
      <c r="H111" s="2796">
        <v>90</v>
      </c>
      <c r="I111" s="2796">
        <v>51</v>
      </c>
      <c r="J111" s="2796">
        <v>0</v>
      </c>
      <c r="K111" s="2796">
        <v>50</v>
      </c>
      <c r="L111" s="2796">
        <v>85</v>
      </c>
      <c r="M111" s="2796">
        <v>42</v>
      </c>
      <c r="N111" s="2796">
        <v>98</v>
      </c>
      <c r="O111" s="2796">
        <v>0</v>
      </c>
      <c r="P111" s="2796">
        <v>80</v>
      </c>
      <c r="Q111" s="2796">
        <v>37</v>
      </c>
      <c r="R111" s="2796">
        <v>88</v>
      </c>
      <c r="S111" s="2796">
        <v>55</v>
      </c>
      <c r="T111" s="2796">
        <v>100</v>
      </c>
      <c r="U111" s="2796">
        <v>37</v>
      </c>
      <c r="V111" s="2796">
        <v>60</v>
      </c>
      <c r="W111" s="2796">
        <v>60</v>
      </c>
      <c r="X111" s="2796">
        <v>82</v>
      </c>
      <c r="Y111" s="2796">
        <v>29</v>
      </c>
      <c r="Z111" s="2796">
        <v>67</v>
      </c>
      <c r="AA111" s="2796">
        <v>42</v>
      </c>
      <c r="AB111" s="2796">
        <v>0</v>
      </c>
      <c r="AC111" s="2796">
        <v>26</v>
      </c>
      <c r="AD111" s="2796">
        <v>61</v>
      </c>
      <c r="AE111" s="2796">
        <v>33</v>
      </c>
      <c r="AF111" s="2796">
        <v>73</v>
      </c>
      <c r="AG111" s="2796">
        <v>28</v>
      </c>
      <c r="AH111" s="2796">
        <v>68</v>
      </c>
      <c r="AI111" s="2796">
        <v>46</v>
      </c>
      <c r="AJ111" s="2790">
        <f t="shared" si="3"/>
        <v>1653</v>
      </c>
      <c r="AK111" s="2790" t="e">
        <f>VLOOKUP(B111,'Mủ CN (TT)'!C128:AK305,36,0)+VLOOKUP(B111,'Mủ CN (tam ung)'!C94:AL268,36,0)</f>
        <v>#N/A</v>
      </c>
      <c r="AL111" s="2814" t="s">
        <v>141</v>
      </c>
      <c r="AM111" s="2798"/>
      <c r="AP111">
        <f>+COUNTIF(AL74:AL135,"A")</f>
        <v>53</v>
      </c>
    </row>
    <row r="112" spans="1:42" ht="18.75">
      <c r="A112" s="2807">
        <v>39</v>
      </c>
      <c r="B112" s="2812" t="s">
        <v>1705</v>
      </c>
      <c r="C112" s="2813"/>
      <c r="D112" s="2813" t="s">
        <v>452</v>
      </c>
      <c r="E112" s="2796">
        <v>101</v>
      </c>
      <c r="F112" s="2796">
        <v>51</v>
      </c>
      <c r="G112" s="2796">
        <v>68</v>
      </c>
      <c r="H112" s="2796">
        <v>107</v>
      </c>
      <c r="I112" s="2796">
        <v>79</v>
      </c>
      <c r="J112" s="2796">
        <v>135</v>
      </c>
      <c r="K112" s="2796">
        <v>82</v>
      </c>
      <c r="L112" s="2796">
        <v>169</v>
      </c>
      <c r="M112" s="2796">
        <v>66</v>
      </c>
      <c r="N112" s="2796">
        <v>102</v>
      </c>
      <c r="O112" s="2796">
        <v>70</v>
      </c>
      <c r="P112" s="2796">
        <v>136</v>
      </c>
      <c r="Q112" s="2796">
        <v>82</v>
      </c>
      <c r="R112" s="2796">
        <v>139</v>
      </c>
      <c r="S112" s="2796">
        <v>87</v>
      </c>
      <c r="T112" s="2796">
        <v>109</v>
      </c>
      <c r="U112" s="2796">
        <v>81</v>
      </c>
      <c r="V112" s="2796">
        <v>121</v>
      </c>
      <c r="W112" s="2796">
        <v>90</v>
      </c>
      <c r="X112" s="2796">
        <v>94</v>
      </c>
      <c r="Y112" s="2796">
        <v>58</v>
      </c>
      <c r="Z112" s="2796">
        <v>110</v>
      </c>
      <c r="AA112" s="2796">
        <v>76</v>
      </c>
      <c r="AB112" s="2796">
        <v>90</v>
      </c>
      <c r="AC112" s="2796">
        <v>87</v>
      </c>
      <c r="AD112" s="2796">
        <v>91</v>
      </c>
      <c r="AE112" s="2796">
        <v>67</v>
      </c>
      <c r="AF112" s="2796">
        <v>89</v>
      </c>
      <c r="AG112" s="2796">
        <v>57</v>
      </c>
      <c r="AH112" s="2796">
        <v>107</v>
      </c>
      <c r="AI112" s="2796">
        <v>61</v>
      </c>
      <c r="AJ112" s="2790">
        <f t="shared" si="3"/>
        <v>2862</v>
      </c>
      <c r="AK112" s="2790" t="e">
        <f>VLOOKUP(B112,'Mủ CN (TT)'!C129:AK306,36,0)+VLOOKUP(B112,'Mủ CN (tam ung)'!C95:AL269,36,0)</f>
        <v>#N/A</v>
      </c>
      <c r="AL112" s="2814" t="s">
        <v>141</v>
      </c>
      <c r="AM112" s="2798"/>
    </row>
    <row r="113" spans="1:39" ht="18.75">
      <c r="A113" s="2811">
        <v>40</v>
      </c>
      <c r="B113" s="2812" t="s">
        <v>1706</v>
      </c>
      <c r="C113" s="2813"/>
      <c r="D113" s="2813" t="s">
        <v>452</v>
      </c>
      <c r="E113" s="2796">
        <v>75</v>
      </c>
      <c r="F113" s="2796">
        <v>61</v>
      </c>
      <c r="G113" s="2796">
        <v>60</v>
      </c>
      <c r="H113" s="2796">
        <v>0</v>
      </c>
      <c r="I113" s="2796">
        <v>0</v>
      </c>
      <c r="J113" s="2796">
        <v>0</v>
      </c>
      <c r="K113" s="2796">
        <v>52</v>
      </c>
      <c r="L113" s="2796">
        <v>0</v>
      </c>
      <c r="M113" s="2796">
        <v>0</v>
      </c>
      <c r="N113" s="2796">
        <v>0</v>
      </c>
      <c r="O113" s="2796">
        <v>63</v>
      </c>
      <c r="P113" s="2796">
        <v>136</v>
      </c>
      <c r="Q113" s="2796">
        <v>64</v>
      </c>
      <c r="R113" s="2796">
        <v>214</v>
      </c>
      <c r="S113" s="2796">
        <v>71</v>
      </c>
      <c r="T113" s="2796">
        <v>109</v>
      </c>
      <c r="U113" s="2796">
        <v>51</v>
      </c>
      <c r="V113" s="2796">
        <v>114</v>
      </c>
      <c r="W113" s="2796">
        <v>43</v>
      </c>
      <c r="X113" s="2796">
        <v>118</v>
      </c>
      <c r="Y113" s="2796">
        <v>50</v>
      </c>
      <c r="Z113" s="2796">
        <v>171</v>
      </c>
      <c r="AA113" s="2796">
        <v>59</v>
      </c>
      <c r="AB113" s="2796">
        <v>76</v>
      </c>
      <c r="AC113" s="2796">
        <v>45</v>
      </c>
      <c r="AD113" s="2796">
        <v>181</v>
      </c>
      <c r="AE113" s="2796">
        <v>60</v>
      </c>
      <c r="AF113" s="2796">
        <v>118</v>
      </c>
      <c r="AG113" s="2796">
        <v>59</v>
      </c>
      <c r="AH113" s="2796">
        <v>192</v>
      </c>
      <c r="AI113" s="2796">
        <v>60</v>
      </c>
      <c r="AJ113" s="2790">
        <f t="shared" si="3"/>
        <v>2302</v>
      </c>
      <c r="AK113" s="2790" t="e">
        <f>VLOOKUP(B113,'Mủ CN (TT)'!C130:AK307,36,0)+VLOOKUP(B113,'Mủ CN (tam ung)'!C96:AL270,36,0)</f>
        <v>#REF!</v>
      </c>
      <c r="AL113" s="2814" t="s">
        <v>141</v>
      </c>
      <c r="AM113" s="2798"/>
    </row>
    <row r="114" spans="1:39" ht="18.75">
      <c r="A114" s="2807">
        <v>41</v>
      </c>
      <c r="B114" s="2812" t="s">
        <v>1707</v>
      </c>
      <c r="C114" s="2813"/>
      <c r="D114" s="2813" t="s">
        <v>452</v>
      </c>
      <c r="E114" s="2796">
        <v>81</v>
      </c>
      <c r="F114" s="2796">
        <v>68</v>
      </c>
      <c r="G114" s="2796">
        <v>124</v>
      </c>
      <c r="H114" s="2796">
        <v>131</v>
      </c>
      <c r="I114" s="2796">
        <v>63</v>
      </c>
      <c r="J114" s="2796">
        <v>78</v>
      </c>
      <c r="K114" s="2796">
        <v>88</v>
      </c>
      <c r="L114" s="2796">
        <v>110</v>
      </c>
      <c r="M114" s="2796">
        <v>55</v>
      </c>
      <c r="N114" s="2796">
        <v>52</v>
      </c>
      <c r="O114" s="2796">
        <v>60</v>
      </c>
      <c r="P114" s="2796">
        <v>118</v>
      </c>
      <c r="Q114" s="2796">
        <v>50</v>
      </c>
      <c r="R114" s="2796">
        <v>102</v>
      </c>
      <c r="S114" s="2796">
        <v>0</v>
      </c>
      <c r="T114" s="2796">
        <v>84</v>
      </c>
      <c r="U114" s="2796">
        <v>32</v>
      </c>
      <c r="V114" s="2796">
        <v>112</v>
      </c>
      <c r="W114" s="2796">
        <v>67</v>
      </c>
      <c r="X114" s="2796">
        <v>103</v>
      </c>
      <c r="Y114" s="2796">
        <v>41</v>
      </c>
      <c r="Z114" s="2796">
        <v>84</v>
      </c>
      <c r="AA114" s="2796">
        <v>72</v>
      </c>
      <c r="AB114" s="2796">
        <v>0</v>
      </c>
      <c r="AC114" s="2796">
        <v>36</v>
      </c>
      <c r="AD114" s="2796">
        <v>70</v>
      </c>
      <c r="AE114" s="2796">
        <v>76</v>
      </c>
      <c r="AF114" s="2796">
        <v>0</v>
      </c>
      <c r="AG114" s="2796">
        <v>46</v>
      </c>
      <c r="AH114" s="2796">
        <v>99</v>
      </c>
      <c r="AI114" s="2796">
        <v>58</v>
      </c>
      <c r="AJ114" s="2790">
        <f t="shared" si="3"/>
        <v>2160</v>
      </c>
      <c r="AK114" s="2790" t="e">
        <f>VLOOKUP(B114,'Mủ CN (TT)'!C131:AK308,36,0)+VLOOKUP(B114,'Mủ CN (tam ung)'!C97:AL271,36,0)</f>
        <v>#N/A</v>
      </c>
      <c r="AL114" s="2814" t="s">
        <v>141</v>
      </c>
      <c r="AM114" s="2798"/>
    </row>
    <row r="115" spans="1:39" ht="18.75">
      <c r="A115" s="2811">
        <v>42</v>
      </c>
      <c r="B115" s="2812" t="s">
        <v>1708</v>
      </c>
      <c r="C115" s="2813"/>
      <c r="D115" s="2813" t="s">
        <v>452</v>
      </c>
      <c r="E115" s="2796">
        <v>51</v>
      </c>
      <c r="F115" s="2796">
        <v>0</v>
      </c>
      <c r="G115" s="2796">
        <v>0</v>
      </c>
      <c r="H115" s="2796">
        <v>0</v>
      </c>
      <c r="I115" s="2796">
        <v>56</v>
      </c>
      <c r="J115" s="2796">
        <v>0</v>
      </c>
      <c r="K115" s="2796">
        <v>0</v>
      </c>
      <c r="L115" s="2796">
        <v>0</v>
      </c>
      <c r="M115" s="2796">
        <v>51</v>
      </c>
      <c r="N115" s="2796">
        <v>85</v>
      </c>
      <c r="O115" s="2796">
        <v>0</v>
      </c>
      <c r="P115" s="2796">
        <v>64</v>
      </c>
      <c r="Q115" s="2796">
        <v>0</v>
      </c>
      <c r="R115" s="2796">
        <v>69</v>
      </c>
      <c r="S115" s="2796">
        <v>0</v>
      </c>
      <c r="T115" s="2796">
        <v>65</v>
      </c>
      <c r="U115" s="2796">
        <v>0</v>
      </c>
      <c r="V115" s="2796">
        <v>0</v>
      </c>
      <c r="W115" s="2796">
        <v>0</v>
      </c>
      <c r="X115" s="2796">
        <v>0</v>
      </c>
      <c r="Y115" s="2796">
        <v>67</v>
      </c>
      <c r="Z115" s="2796">
        <v>72</v>
      </c>
      <c r="AA115" s="2796">
        <v>50</v>
      </c>
      <c r="AB115" s="2796">
        <v>81</v>
      </c>
      <c r="AC115" s="2796">
        <v>35</v>
      </c>
      <c r="AD115" s="2796">
        <v>67</v>
      </c>
      <c r="AE115" s="2796">
        <v>40</v>
      </c>
      <c r="AF115" s="2796">
        <v>75</v>
      </c>
      <c r="AG115" s="2796">
        <v>0</v>
      </c>
      <c r="AH115" s="2796">
        <v>65</v>
      </c>
      <c r="AI115" s="2796">
        <v>49</v>
      </c>
      <c r="AJ115" s="2790">
        <f t="shared" si="3"/>
        <v>1042</v>
      </c>
      <c r="AK115" s="2790" t="e">
        <f>VLOOKUP(B115,'Mủ CN (TT)'!C132:AK309,36,0)+VLOOKUP(B115,'Mủ CN (tam ung)'!C98:AL272,36,0)</f>
        <v>#N/A</v>
      </c>
      <c r="AL115" s="2814" t="s">
        <v>138</v>
      </c>
      <c r="AM115" s="2798"/>
    </row>
    <row r="116" spans="1:39" ht="18.75">
      <c r="A116" s="2807">
        <v>43</v>
      </c>
      <c r="B116" s="2812" t="s">
        <v>1505</v>
      </c>
      <c r="C116" s="2813"/>
      <c r="D116" s="2813" t="s">
        <v>452</v>
      </c>
      <c r="E116" s="2796">
        <v>88</v>
      </c>
      <c r="F116" s="2796">
        <v>90</v>
      </c>
      <c r="G116" s="2796">
        <v>82</v>
      </c>
      <c r="H116" s="2796">
        <v>119</v>
      </c>
      <c r="I116" s="2796">
        <v>76</v>
      </c>
      <c r="J116" s="2796">
        <v>96</v>
      </c>
      <c r="K116" s="2796">
        <v>118</v>
      </c>
      <c r="L116" s="2796">
        <v>106</v>
      </c>
      <c r="M116" s="2796">
        <v>76</v>
      </c>
      <c r="N116" s="2796">
        <v>90</v>
      </c>
      <c r="O116" s="2796">
        <v>112</v>
      </c>
      <c r="P116" s="2796">
        <v>103</v>
      </c>
      <c r="Q116" s="2796">
        <v>86</v>
      </c>
      <c r="R116" s="2796">
        <v>102</v>
      </c>
      <c r="S116" s="2796">
        <v>98</v>
      </c>
      <c r="T116" s="2796">
        <v>84</v>
      </c>
      <c r="U116" s="2796">
        <v>68</v>
      </c>
      <c r="V116" s="2796">
        <v>93</v>
      </c>
      <c r="W116" s="2796">
        <v>89</v>
      </c>
      <c r="X116" s="2796">
        <v>90</v>
      </c>
      <c r="Y116" s="2796">
        <v>75</v>
      </c>
      <c r="Z116" s="2796">
        <v>94</v>
      </c>
      <c r="AA116" s="2796">
        <v>101</v>
      </c>
      <c r="AB116" s="2796">
        <v>78</v>
      </c>
      <c r="AC116" s="2796">
        <v>69</v>
      </c>
      <c r="AD116" s="2796">
        <v>92</v>
      </c>
      <c r="AE116" s="2796">
        <v>89</v>
      </c>
      <c r="AF116" s="2796">
        <v>77</v>
      </c>
      <c r="AG116" s="2796">
        <v>73</v>
      </c>
      <c r="AH116" s="2796">
        <v>92</v>
      </c>
      <c r="AI116" s="2796">
        <v>97</v>
      </c>
      <c r="AJ116" s="2790">
        <f t="shared" si="3"/>
        <v>2803</v>
      </c>
      <c r="AK116" s="2790" t="e">
        <f>VLOOKUP(B116,'Mủ CN (TT)'!C133:AK310,36,0)+VLOOKUP(B116,'Mủ CN (tam ung)'!C99:AL273,36,0)</f>
        <v>#N/A</v>
      </c>
      <c r="AL116" s="2814" t="s">
        <v>141</v>
      </c>
      <c r="AM116" s="2798"/>
    </row>
    <row r="117" spans="1:39" ht="18.75">
      <c r="A117" s="2811">
        <v>44</v>
      </c>
      <c r="B117" s="2812" t="s">
        <v>1075</v>
      </c>
      <c r="C117" s="2813"/>
      <c r="D117" s="2813" t="s">
        <v>452</v>
      </c>
      <c r="E117" s="2796">
        <v>113</v>
      </c>
      <c r="F117" s="2796">
        <v>102</v>
      </c>
      <c r="G117" s="2796">
        <v>118</v>
      </c>
      <c r="H117" s="2796">
        <v>117</v>
      </c>
      <c r="I117" s="2796">
        <v>114</v>
      </c>
      <c r="J117" s="2796">
        <v>101</v>
      </c>
      <c r="K117" s="2796">
        <v>121</v>
      </c>
      <c r="L117" s="2796">
        <v>114</v>
      </c>
      <c r="M117" s="2796">
        <v>91</v>
      </c>
      <c r="N117" s="2796">
        <v>109</v>
      </c>
      <c r="O117" s="2796">
        <v>123</v>
      </c>
      <c r="P117" s="2796">
        <v>112</v>
      </c>
      <c r="Q117" s="2796">
        <v>98</v>
      </c>
      <c r="R117" s="2796">
        <v>108</v>
      </c>
      <c r="S117" s="2796">
        <v>114</v>
      </c>
      <c r="T117" s="2796">
        <v>95</v>
      </c>
      <c r="U117" s="2796">
        <v>57</v>
      </c>
      <c r="V117" s="2796">
        <v>89</v>
      </c>
      <c r="W117" s="2796">
        <v>103</v>
      </c>
      <c r="X117" s="2796">
        <v>100</v>
      </c>
      <c r="Y117" s="2796">
        <v>89</v>
      </c>
      <c r="Z117" s="2796">
        <v>80</v>
      </c>
      <c r="AA117" s="2796">
        <v>104</v>
      </c>
      <c r="AB117" s="2796">
        <v>89</v>
      </c>
      <c r="AC117" s="2796">
        <v>74</v>
      </c>
      <c r="AD117" s="2796">
        <v>72</v>
      </c>
      <c r="AE117" s="2796">
        <v>106</v>
      </c>
      <c r="AF117" s="2796">
        <v>95</v>
      </c>
      <c r="AG117" s="2796">
        <v>90</v>
      </c>
      <c r="AH117" s="2796">
        <v>73</v>
      </c>
      <c r="AI117" s="2796">
        <v>107</v>
      </c>
      <c r="AJ117" s="2790">
        <f t="shared" si="3"/>
        <v>3078</v>
      </c>
      <c r="AK117" s="2790" t="e">
        <f>VLOOKUP(B117,'Mủ CN (TT)'!C134:AK311,36,0)+VLOOKUP(B117,'Mủ CN (tam ung)'!C100:AL274,36,0)</f>
        <v>#N/A</v>
      </c>
      <c r="AL117" s="2814" t="s">
        <v>141</v>
      </c>
      <c r="AM117" s="2798"/>
    </row>
    <row r="118" spans="1:39" ht="18.75">
      <c r="A118" s="2807">
        <v>45</v>
      </c>
      <c r="B118" s="2812" t="s">
        <v>1506</v>
      </c>
      <c r="C118" s="2813"/>
      <c r="D118" s="2813" t="s">
        <v>452</v>
      </c>
      <c r="E118" s="2796">
        <v>80</v>
      </c>
      <c r="F118" s="2796">
        <v>116</v>
      </c>
      <c r="G118" s="2796">
        <v>122</v>
      </c>
      <c r="H118" s="2796">
        <v>95</v>
      </c>
      <c r="I118" s="2796">
        <v>67</v>
      </c>
      <c r="J118" s="2796">
        <v>104</v>
      </c>
      <c r="K118" s="2796">
        <v>116</v>
      </c>
      <c r="L118" s="2796">
        <v>88</v>
      </c>
      <c r="M118" s="2796">
        <v>78</v>
      </c>
      <c r="N118" s="2796">
        <v>94</v>
      </c>
      <c r="O118" s="2796">
        <v>93</v>
      </c>
      <c r="P118" s="2796">
        <v>93</v>
      </c>
      <c r="Q118" s="2796">
        <v>84</v>
      </c>
      <c r="R118" s="2796">
        <v>102</v>
      </c>
      <c r="S118" s="2796">
        <v>0</v>
      </c>
      <c r="T118" s="2796">
        <v>74</v>
      </c>
      <c r="U118" s="2796">
        <v>68</v>
      </c>
      <c r="V118" s="2796">
        <v>87</v>
      </c>
      <c r="W118" s="2796">
        <v>91</v>
      </c>
      <c r="X118" s="2796">
        <v>121</v>
      </c>
      <c r="Y118" s="2796">
        <v>61</v>
      </c>
      <c r="Z118" s="2796">
        <v>88</v>
      </c>
      <c r="AA118" s="2796">
        <v>97</v>
      </c>
      <c r="AB118" s="2796">
        <v>79</v>
      </c>
      <c r="AC118" s="2790">
        <v>72</v>
      </c>
      <c r="AD118" s="2790">
        <v>83</v>
      </c>
      <c r="AE118" s="2790">
        <v>99</v>
      </c>
      <c r="AF118" s="2790">
        <v>71</v>
      </c>
      <c r="AG118" s="2790">
        <v>72</v>
      </c>
      <c r="AH118" s="2790">
        <v>79</v>
      </c>
      <c r="AI118" s="2790">
        <v>113</v>
      </c>
      <c r="AJ118" s="2790">
        <f t="shared" si="3"/>
        <v>2687</v>
      </c>
      <c r="AK118" s="2790" t="e">
        <f>VLOOKUP(B118,'Mủ CN (TT)'!C135:AK312,36,0)+VLOOKUP(B118,'Mủ CN (tam ung)'!C101:AL275,36,0)</f>
        <v>#N/A</v>
      </c>
      <c r="AL118" s="2814" t="s">
        <v>141</v>
      </c>
      <c r="AM118" s="2798"/>
    </row>
    <row r="119" spans="1:39" ht="18.75">
      <c r="A119" s="2811">
        <v>46</v>
      </c>
      <c r="B119" s="2812" t="s">
        <v>1622</v>
      </c>
      <c r="C119" s="2813"/>
      <c r="D119" s="2813" t="s">
        <v>452</v>
      </c>
      <c r="E119" s="2796">
        <v>107</v>
      </c>
      <c r="F119" s="2796">
        <v>51</v>
      </c>
      <c r="G119" s="2796">
        <v>66</v>
      </c>
      <c r="H119" s="2796">
        <v>90</v>
      </c>
      <c r="I119" s="2796">
        <v>112</v>
      </c>
      <c r="J119" s="2796">
        <v>60</v>
      </c>
      <c r="K119" s="2796">
        <v>71</v>
      </c>
      <c r="L119" s="2796">
        <v>103</v>
      </c>
      <c r="M119" s="2796">
        <v>108</v>
      </c>
      <c r="N119" s="2796">
        <v>64</v>
      </c>
      <c r="O119" s="2796">
        <v>0</v>
      </c>
      <c r="P119" s="2796">
        <v>91</v>
      </c>
      <c r="Q119" s="2796">
        <v>99</v>
      </c>
      <c r="R119" s="2796">
        <v>75</v>
      </c>
      <c r="S119" s="2796">
        <v>0</v>
      </c>
      <c r="T119" s="2796">
        <v>91</v>
      </c>
      <c r="U119" s="2796">
        <v>100</v>
      </c>
      <c r="V119" s="2796">
        <v>62</v>
      </c>
      <c r="W119" s="2796">
        <v>112</v>
      </c>
      <c r="X119" s="2796">
        <v>105</v>
      </c>
      <c r="Y119" s="2796">
        <v>112</v>
      </c>
      <c r="Z119" s="2796">
        <v>71</v>
      </c>
      <c r="AA119" s="2796">
        <v>65</v>
      </c>
      <c r="AB119" s="2796">
        <v>77</v>
      </c>
      <c r="AC119" s="2796">
        <v>90</v>
      </c>
      <c r="AD119" s="2796">
        <v>0</v>
      </c>
      <c r="AE119" s="2796">
        <v>64</v>
      </c>
      <c r="AF119" s="2796">
        <v>87</v>
      </c>
      <c r="AG119" s="2796">
        <v>0</v>
      </c>
      <c r="AH119" s="2796">
        <v>65</v>
      </c>
      <c r="AI119" s="2796">
        <v>57</v>
      </c>
      <c r="AJ119" s="2790">
        <f t="shared" si="3"/>
        <v>2255</v>
      </c>
      <c r="AK119" s="2790" t="e">
        <f>VLOOKUP(B119,'Mủ CN (TT)'!C136:AK313,36,0)+VLOOKUP(B119,'Mủ CN (tam ung)'!C102:AL276,36,0)</f>
        <v>#N/A</v>
      </c>
      <c r="AL119" s="2814" t="s">
        <v>141</v>
      </c>
      <c r="AM119" s="2798"/>
    </row>
    <row r="120" spans="1:39" ht="18.75">
      <c r="A120" s="2807">
        <v>47</v>
      </c>
      <c r="B120" s="2812" t="s">
        <v>1507</v>
      </c>
      <c r="C120" s="2813"/>
      <c r="D120" s="2813" t="s">
        <v>452</v>
      </c>
      <c r="E120" s="2796">
        <v>78</v>
      </c>
      <c r="F120" s="2796">
        <v>111</v>
      </c>
      <c r="G120" s="2796">
        <v>0</v>
      </c>
      <c r="H120" s="2796">
        <v>105</v>
      </c>
      <c r="I120" s="2796">
        <v>60</v>
      </c>
      <c r="J120" s="2796">
        <v>98</v>
      </c>
      <c r="K120" s="2796">
        <v>66</v>
      </c>
      <c r="L120" s="2796">
        <v>91</v>
      </c>
      <c r="M120" s="2796">
        <v>55</v>
      </c>
      <c r="N120" s="2796">
        <v>96</v>
      </c>
      <c r="O120" s="2796">
        <v>107</v>
      </c>
      <c r="P120" s="2796">
        <v>96</v>
      </c>
      <c r="Q120" s="2796">
        <v>55</v>
      </c>
      <c r="R120" s="2796">
        <v>111</v>
      </c>
      <c r="S120" s="2796">
        <v>71</v>
      </c>
      <c r="T120" s="2796">
        <v>70</v>
      </c>
      <c r="U120" s="2796">
        <v>73</v>
      </c>
      <c r="V120" s="2796">
        <v>95</v>
      </c>
      <c r="W120" s="2796">
        <v>115</v>
      </c>
      <c r="X120" s="2796">
        <v>74</v>
      </c>
      <c r="Y120" s="2796">
        <v>60</v>
      </c>
      <c r="Z120" s="2796">
        <v>96</v>
      </c>
      <c r="AA120" s="2796">
        <v>84</v>
      </c>
      <c r="AB120" s="2796">
        <v>88</v>
      </c>
      <c r="AC120" s="2796">
        <v>58</v>
      </c>
      <c r="AD120" s="2796">
        <v>97</v>
      </c>
      <c r="AE120" s="2796">
        <v>80</v>
      </c>
      <c r="AF120" s="2796">
        <v>78</v>
      </c>
      <c r="AG120" s="2796">
        <v>62</v>
      </c>
      <c r="AH120" s="2796">
        <v>103</v>
      </c>
      <c r="AI120" s="2796">
        <v>86</v>
      </c>
      <c r="AJ120" s="2790">
        <f t="shared" si="3"/>
        <v>2519</v>
      </c>
      <c r="AK120" s="2790" t="e">
        <f>VLOOKUP(B120,'Mủ CN (TT)'!C137:AK314,36,0)+VLOOKUP(B120,'Mủ CN (tam ung)'!C103:AL277,36,0)</f>
        <v>#REF!</v>
      </c>
      <c r="AL120" s="2814" t="s">
        <v>141</v>
      </c>
      <c r="AM120" s="2798"/>
    </row>
    <row r="121" spans="1:39" ht="18.75">
      <c r="A121" s="2811">
        <v>48</v>
      </c>
      <c r="B121" s="2812" t="s">
        <v>1538</v>
      </c>
      <c r="C121" s="2813"/>
      <c r="D121" s="2813" t="s">
        <v>452</v>
      </c>
      <c r="E121" s="2796">
        <v>50</v>
      </c>
      <c r="F121" s="2796">
        <v>126</v>
      </c>
      <c r="G121" s="2796">
        <v>64</v>
      </c>
      <c r="H121" s="2796">
        <v>170</v>
      </c>
      <c r="I121" s="2796">
        <v>58</v>
      </c>
      <c r="J121" s="2796">
        <v>109</v>
      </c>
      <c r="K121" s="2796">
        <v>102</v>
      </c>
      <c r="L121" s="2796">
        <v>155</v>
      </c>
      <c r="M121" s="2796">
        <v>52</v>
      </c>
      <c r="N121" s="2796">
        <v>121</v>
      </c>
      <c r="O121" s="2796">
        <v>97</v>
      </c>
      <c r="P121" s="2796">
        <v>158</v>
      </c>
      <c r="Q121" s="2796">
        <v>72</v>
      </c>
      <c r="R121" s="2796">
        <v>145</v>
      </c>
      <c r="S121" s="2796">
        <v>97</v>
      </c>
      <c r="T121" s="2796">
        <v>152</v>
      </c>
      <c r="U121" s="2796">
        <v>27</v>
      </c>
      <c r="V121" s="2796">
        <v>145</v>
      </c>
      <c r="W121" s="2796">
        <v>96</v>
      </c>
      <c r="X121" s="2796">
        <v>156</v>
      </c>
      <c r="Y121" s="2796">
        <v>83</v>
      </c>
      <c r="Z121" s="2796">
        <v>132</v>
      </c>
      <c r="AA121" s="2796">
        <v>105</v>
      </c>
      <c r="AB121" s="2796">
        <v>154</v>
      </c>
      <c r="AC121" s="2796">
        <v>100</v>
      </c>
      <c r="AD121" s="2796">
        <v>135</v>
      </c>
      <c r="AE121" s="2796">
        <v>105</v>
      </c>
      <c r="AF121" s="2796">
        <v>142</v>
      </c>
      <c r="AG121" s="2796">
        <v>92</v>
      </c>
      <c r="AH121" s="2796">
        <v>134</v>
      </c>
      <c r="AI121" s="2796">
        <v>110</v>
      </c>
      <c r="AJ121" s="2790">
        <f t="shared" si="3"/>
        <v>3444</v>
      </c>
      <c r="AK121" s="2790" t="e">
        <f>VLOOKUP(B121,'Mủ CN (TT)'!C138:AK315,36,0)+VLOOKUP(B121,'Mủ CN (tam ung)'!C104:AL278,36,0)</f>
        <v>#N/A</v>
      </c>
      <c r="AL121" s="2814" t="s">
        <v>141</v>
      </c>
      <c r="AM121" s="2798"/>
    </row>
    <row r="122" spans="1:39" ht="18.75">
      <c r="A122" s="2807">
        <v>49</v>
      </c>
      <c r="B122" s="2812" t="s">
        <v>1539</v>
      </c>
      <c r="C122" s="2813"/>
      <c r="D122" s="2813" t="s">
        <v>452</v>
      </c>
      <c r="E122" s="2796">
        <v>50</v>
      </c>
      <c r="F122" s="2796">
        <v>126</v>
      </c>
      <c r="G122" s="2796">
        <v>65</v>
      </c>
      <c r="H122" s="2796">
        <v>171</v>
      </c>
      <c r="I122" s="2796">
        <v>59</v>
      </c>
      <c r="J122" s="2796">
        <v>110</v>
      </c>
      <c r="K122" s="2796">
        <v>102</v>
      </c>
      <c r="L122" s="2796">
        <v>156</v>
      </c>
      <c r="M122" s="2796">
        <v>53</v>
      </c>
      <c r="N122" s="2796">
        <v>122</v>
      </c>
      <c r="O122" s="2796">
        <v>97</v>
      </c>
      <c r="P122" s="2796">
        <v>159</v>
      </c>
      <c r="Q122" s="2796">
        <v>73</v>
      </c>
      <c r="R122" s="2796">
        <v>146</v>
      </c>
      <c r="S122" s="2796">
        <v>98</v>
      </c>
      <c r="T122" s="2796">
        <v>152</v>
      </c>
      <c r="U122" s="2796">
        <v>0</v>
      </c>
      <c r="V122" s="2796">
        <v>146</v>
      </c>
      <c r="W122" s="2796">
        <v>96</v>
      </c>
      <c r="X122" s="2796">
        <v>56</v>
      </c>
      <c r="Y122" s="2796">
        <v>83</v>
      </c>
      <c r="Z122" s="2796">
        <v>133</v>
      </c>
      <c r="AA122" s="2796">
        <v>105</v>
      </c>
      <c r="AB122" s="2796">
        <v>154</v>
      </c>
      <c r="AC122" s="2796">
        <v>101</v>
      </c>
      <c r="AD122" s="2796">
        <v>135</v>
      </c>
      <c r="AE122" s="2796">
        <v>105</v>
      </c>
      <c r="AF122" s="2796">
        <v>142</v>
      </c>
      <c r="AG122" s="2796">
        <v>92</v>
      </c>
      <c r="AH122" s="2796">
        <v>134</v>
      </c>
      <c r="AI122" s="2796">
        <v>111</v>
      </c>
      <c r="AJ122" s="2790">
        <f t="shared" si="3"/>
        <v>3332</v>
      </c>
      <c r="AK122" s="2790" t="e">
        <f>VLOOKUP(B122,'Mủ CN (TT)'!C139:AK316,36,0)+VLOOKUP(B122,'Mủ CN (tam ung)'!C105:AL279,36,0)</f>
        <v>#N/A</v>
      </c>
      <c r="AL122" s="2814" t="s">
        <v>141</v>
      </c>
      <c r="AM122" s="2798"/>
    </row>
    <row r="123" spans="1:39" ht="18.75">
      <c r="A123" s="2811">
        <v>50</v>
      </c>
      <c r="B123" s="2812" t="s">
        <v>1508</v>
      </c>
      <c r="C123" s="2813"/>
      <c r="D123" s="2813" t="s">
        <v>452</v>
      </c>
      <c r="E123" s="2796">
        <v>102</v>
      </c>
      <c r="F123" s="2796">
        <v>67</v>
      </c>
      <c r="G123" s="2796">
        <v>84</v>
      </c>
      <c r="H123" s="2796">
        <v>131</v>
      </c>
      <c r="I123" s="2796">
        <v>98</v>
      </c>
      <c r="J123" s="2796">
        <v>93</v>
      </c>
      <c r="K123" s="2796">
        <v>111</v>
      </c>
      <c r="L123" s="2796">
        <v>130</v>
      </c>
      <c r="M123" s="2796">
        <v>97</v>
      </c>
      <c r="N123" s="2796">
        <v>88</v>
      </c>
      <c r="O123" s="2796">
        <v>0</v>
      </c>
      <c r="P123" s="2796">
        <v>136</v>
      </c>
      <c r="Q123" s="2796">
        <v>101</v>
      </c>
      <c r="R123" s="2796">
        <v>108</v>
      </c>
      <c r="S123" s="2796">
        <v>0</v>
      </c>
      <c r="T123" s="2796">
        <v>79</v>
      </c>
      <c r="U123" s="2796">
        <v>82</v>
      </c>
      <c r="V123" s="2796">
        <v>93</v>
      </c>
      <c r="W123" s="2796">
        <v>201</v>
      </c>
      <c r="X123" s="2796">
        <v>111</v>
      </c>
      <c r="Y123" s="2796">
        <v>85</v>
      </c>
      <c r="Z123" s="2796">
        <v>75</v>
      </c>
      <c r="AA123" s="2796">
        <v>83</v>
      </c>
      <c r="AB123" s="2796">
        <v>84</v>
      </c>
      <c r="AC123" s="2796">
        <v>90</v>
      </c>
      <c r="AD123" s="2796">
        <v>78</v>
      </c>
      <c r="AE123" s="2796">
        <v>80</v>
      </c>
      <c r="AF123" s="2796">
        <v>100</v>
      </c>
      <c r="AG123" s="2796">
        <v>87</v>
      </c>
      <c r="AH123" s="2796">
        <v>74</v>
      </c>
      <c r="AI123" s="2796">
        <v>91</v>
      </c>
      <c r="AJ123" s="2790">
        <f t="shared" si="3"/>
        <v>2839</v>
      </c>
      <c r="AK123" s="2790" t="e">
        <f>VLOOKUP(B123,'Mủ CN (TT)'!C140:AK317,36,0)+VLOOKUP(B123,'Mủ CN (tam ung)'!C106:AL280,36,0)</f>
        <v>#N/A</v>
      </c>
      <c r="AL123" s="2814" t="s">
        <v>141</v>
      </c>
      <c r="AM123" s="2798"/>
    </row>
    <row r="124" spans="1:39" ht="18.75">
      <c r="A124" s="2807">
        <v>51</v>
      </c>
      <c r="B124" s="2812" t="s">
        <v>1540</v>
      </c>
      <c r="C124" s="2813"/>
      <c r="D124" s="2813" t="s">
        <v>452</v>
      </c>
      <c r="E124" s="2796">
        <v>57</v>
      </c>
      <c r="F124" s="2796">
        <v>86</v>
      </c>
      <c r="G124" s="2796">
        <v>70</v>
      </c>
      <c r="H124" s="2796">
        <v>68</v>
      </c>
      <c r="I124" s="2796">
        <v>71</v>
      </c>
      <c r="J124" s="2796">
        <v>97</v>
      </c>
      <c r="K124" s="2796">
        <v>94</v>
      </c>
      <c r="L124" s="2796">
        <v>66</v>
      </c>
      <c r="M124" s="2796">
        <v>64</v>
      </c>
      <c r="N124" s="2796">
        <v>106</v>
      </c>
      <c r="O124" s="2796">
        <v>83</v>
      </c>
      <c r="P124" s="2796">
        <v>66</v>
      </c>
      <c r="Q124" s="2796">
        <v>75</v>
      </c>
      <c r="R124" s="2796">
        <v>118</v>
      </c>
      <c r="S124" s="2796">
        <v>89</v>
      </c>
      <c r="T124" s="2796">
        <v>55</v>
      </c>
      <c r="U124" s="2796">
        <v>47</v>
      </c>
      <c r="V124" s="2796">
        <v>114</v>
      </c>
      <c r="W124" s="2796">
        <v>88</v>
      </c>
      <c r="X124" s="2796">
        <v>84</v>
      </c>
      <c r="Y124" s="2796">
        <v>83</v>
      </c>
      <c r="Z124" s="2796">
        <v>100</v>
      </c>
      <c r="AA124" s="2796">
        <v>79</v>
      </c>
      <c r="AB124" s="2796">
        <v>76</v>
      </c>
      <c r="AC124" s="2796">
        <v>81</v>
      </c>
      <c r="AD124" s="2796">
        <v>100</v>
      </c>
      <c r="AE124" s="2796">
        <v>84</v>
      </c>
      <c r="AF124" s="2796">
        <v>92</v>
      </c>
      <c r="AG124" s="2796">
        <v>83</v>
      </c>
      <c r="AH124" s="2796">
        <v>105</v>
      </c>
      <c r="AI124" s="2796">
        <v>81</v>
      </c>
      <c r="AJ124" s="2790">
        <f t="shared" si="3"/>
        <v>2562</v>
      </c>
      <c r="AK124" s="2790" t="e">
        <f>VLOOKUP(B124,'Mủ CN (TT)'!C141:AK318,36,0)+VLOOKUP(B124,'Mủ CN (tam ung)'!C107:AL281,36,0)</f>
        <v>#N/A</v>
      </c>
      <c r="AL124" s="2814" t="s">
        <v>141</v>
      </c>
      <c r="AM124" s="2798"/>
    </row>
    <row r="125" spans="1:39" ht="18.75">
      <c r="A125" s="2811">
        <v>52</v>
      </c>
      <c r="B125" s="2812" t="s">
        <v>1709</v>
      </c>
      <c r="C125" s="2813"/>
      <c r="D125" s="2813" t="s">
        <v>452</v>
      </c>
      <c r="E125" s="2796">
        <v>53</v>
      </c>
      <c r="F125" s="2796">
        <v>86</v>
      </c>
      <c r="G125" s="2796">
        <v>70</v>
      </c>
      <c r="H125" s="2796">
        <v>68</v>
      </c>
      <c r="I125" s="2796">
        <v>71</v>
      </c>
      <c r="J125" s="2796">
        <v>98</v>
      </c>
      <c r="K125" s="2796">
        <v>94</v>
      </c>
      <c r="L125" s="2796">
        <v>67</v>
      </c>
      <c r="M125" s="2796">
        <v>64</v>
      </c>
      <c r="N125" s="2796">
        <v>107</v>
      </c>
      <c r="O125" s="2796">
        <v>83</v>
      </c>
      <c r="P125" s="2796">
        <v>66</v>
      </c>
      <c r="Q125" s="2796">
        <v>75</v>
      </c>
      <c r="R125" s="2796">
        <v>124</v>
      </c>
      <c r="S125" s="2796">
        <v>90</v>
      </c>
      <c r="T125" s="2796">
        <v>55</v>
      </c>
      <c r="U125" s="2796">
        <v>47</v>
      </c>
      <c r="V125" s="2796">
        <v>115</v>
      </c>
      <c r="W125" s="2796">
        <v>88</v>
      </c>
      <c r="X125" s="2796">
        <v>85</v>
      </c>
      <c r="Y125" s="2796">
        <v>83</v>
      </c>
      <c r="Z125" s="2796">
        <v>89</v>
      </c>
      <c r="AA125" s="2796">
        <v>79</v>
      </c>
      <c r="AB125" s="2796">
        <v>77</v>
      </c>
      <c r="AC125" s="2796">
        <v>82</v>
      </c>
      <c r="AD125" s="2796">
        <v>101</v>
      </c>
      <c r="AE125" s="2796">
        <v>84</v>
      </c>
      <c r="AF125" s="2796">
        <v>92</v>
      </c>
      <c r="AG125" s="2796">
        <v>84</v>
      </c>
      <c r="AH125" s="2796">
        <v>105</v>
      </c>
      <c r="AI125" s="2796">
        <v>82</v>
      </c>
      <c r="AJ125" s="2790">
        <f t="shared" si="3"/>
        <v>2564</v>
      </c>
      <c r="AK125" s="2790" t="e">
        <f>VLOOKUP(B125,'Mủ CN (TT)'!C142:AK319,36,0)+VLOOKUP(B125,'Mủ CN (tam ung)'!C108:AL282,36,0)</f>
        <v>#N/A</v>
      </c>
      <c r="AL125" s="2814" t="s">
        <v>141</v>
      </c>
      <c r="AM125" s="2798"/>
    </row>
    <row r="126" spans="1:39" ht="18.75">
      <c r="A126" s="2807">
        <v>53</v>
      </c>
      <c r="B126" s="2812" t="s">
        <v>1710</v>
      </c>
      <c r="C126" s="2813"/>
      <c r="D126" s="2813" t="s">
        <v>452</v>
      </c>
      <c r="E126" s="2796">
        <v>0</v>
      </c>
      <c r="F126" s="2796">
        <v>61</v>
      </c>
      <c r="G126" s="2796">
        <v>0</v>
      </c>
      <c r="H126" s="2796">
        <v>73</v>
      </c>
      <c r="I126" s="2796">
        <v>53</v>
      </c>
      <c r="J126" s="2796">
        <v>60</v>
      </c>
      <c r="K126" s="2796">
        <v>65</v>
      </c>
      <c r="L126" s="2796">
        <v>91</v>
      </c>
      <c r="M126" s="2796">
        <v>51</v>
      </c>
      <c r="N126" s="2796">
        <v>57</v>
      </c>
      <c r="O126" s="2796">
        <v>61</v>
      </c>
      <c r="P126" s="2796">
        <v>62</v>
      </c>
      <c r="Q126" s="2796">
        <v>74</v>
      </c>
      <c r="R126" s="2796">
        <v>70</v>
      </c>
      <c r="S126" s="2796">
        <v>86</v>
      </c>
      <c r="T126" s="2796">
        <v>0</v>
      </c>
      <c r="U126" s="2796">
        <v>79</v>
      </c>
      <c r="V126" s="2796">
        <v>50</v>
      </c>
      <c r="W126" s="2796">
        <v>62</v>
      </c>
      <c r="X126" s="2796">
        <v>84</v>
      </c>
      <c r="Y126" s="2796">
        <v>70</v>
      </c>
      <c r="Z126" s="2796">
        <v>73</v>
      </c>
      <c r="AA126" s="2796">
        <v>0</v>
      </c>
      <c r="AB126" s="2796">
        <v>0</v>
      </c>
      <c r="AC126" s="2796">
        <v>0</v>
      </c>
      <c r="AD126" s="2796">
        <v>0</v>
      </c>
      <c r="AE126" s="2796">
        <v>70</v>
      </c>
      <c r="AF126" s="2796">
        <v>89</v>
      </c>
      <c r="AG126" s="2796">
        <v>143</v>
      </c>
      <c r="AH126" s="2796">
        <v>73</v>
      </c>
      <c r="AI126" s="2796">
        <v>57</v>
      </c>
      <c r="AJ126" s="2790">
        <f t="shared" si="3"/>
        <v>1714</v>
      </c>
      <c r="AK126" s="2790" t="e">
        <f>VLOOKUP(B126,'Mủ CN (TT)'!C143:AK320,36,0)+VLOOKUP(B126,'Mủ CN (tam ung)'!C109:AL283,36,0)</f>
        <v>#N/A</v>
      </c>
      <c r="AL126" s="2814" t="s">
        <v>138</v>
      </c>
      <c r="AM126" s="2798"/>
    </row>
    <row r="127" spans="1:39" ht="18.75">
      <c r="A127" s="2811">
        <v>54</v>
      </c>
      <c r="B127" s="2812" t="s">
        <v>1201</v>
      </c>
      <c r="C127" s="2813"/>
      <c r="D127" s="2813" t="s">
        <v>452</v>
      </c>
      <c r="E127" s="2796">
        <v>0</v>
      </c>
      <c r="F127" s="2796">
        <v>62</v>
      </c>
      <c r="G127" s="2796">
        <v>50</v>
      </c>
      <c r="H127" s="2796">
        <v>73</v>
      </c>
      <c r="I127" s="2796">
        <v>50</v>
      </c>
      <c r="J127" s="2796">
        <v>79</v>
      </c>
      <c r="K127" s="2796">
        <v>0</v>
      </c>
      <c r="L127" s="2796">
        <v>78</v>
      </c>
      <c r="M127" s="2796">
        <v>75</v>
      </c>
      <c r="N127" s="2796">
        <v>37</v>
      </c>
      <c r="O127" s="2796">
        <v>69</v>
      </c>
      <c r="P127" s="2796">
        <v>42</v>
      </c>
      <c r="Q127" s="2796">
        <v>46</v>
      </c>
      <c r="R127" s="2796">
        <v>47</v>
      </c>
      <c r="S127" s="2796">
        <v>0</v>
      </c>
      <c r="T127" s="2796">
        <v>81</v>
      </c>
      <c r="U127" s="2796">
        <v>43</v>
      </c>
      <c r="V127" s="2796">
        <v>0</v>
      </c>
      <c r="W127" s="2796">
        <v>43</v>
      </c>
      <c r="X127" s="2796">
        <v>72</v>
      </c>
      <c r="Y127" s="2796">
        <v>0</v>
      </c>
      <c r="Z127" s="2796">
        <v>75</v>
      </c>
      <c r="AA127" s="2796">
        <v>77</v>
      </c>
      <c r="AB127" s="2796">
        <v>79</v>
      </c>
      <c r="AC127" s="2796">
        <v>0</v>
      </c>
      <c r="AD127" s="2796">
        <v>74</v>
      </c>
      <c r="AE127" s="2796">
        <v>53</v>
      </c>
      <c r="AF127" s="2796">
        <v>53</v>
      </c>
      <c r="AG127" s="2796">
        <v>65</v>
      </c>
      <c r="AH127" s="2796">
        <v>98</v>
      </c>
      <c r="AI127" s="2796">
        <v>83</v>
      </c>
      <c r="AJ127" s="2790">
        <f t="shared" si="3"/>
        <v>1604</v>
      </c>
      <c r="AK127" s="2790" t="e">
        <f>VLOOKUP(B127,'Mủ CN (TT)'!C144:AK321,36,0)+VLOOKUP(B127,'Mủ CN (tam ung)'!C110:AL284,36,0)</f>
        <v>#N/A</v>
      </c>
      <c r="AL127" s="2814" t="s">
        <v>138</v>
      </c>
      <c r="AM127" s="2798"/>
    </row>
    <row r="128" spans="1:39" ht="18.75">
      <c r="A128" s="2807">
        <v>55</v>
      </c>
      <c r="B128" s="2812" t="s">
        <v>1711</v>
      </c>
      <c r="C128" s="2813"/>
      <c r="D128" s="2813" t="s">
        <v>452</v>
      </c>
      <c r="E128" s="2790">
        <v>0</v>
      </c>
      <c r="F128" s="2790">
        <v>0</v>
      </c>
      <c r="G128" s="2790">
        <v>0</v>
      </c>
      <c r="H128" s="2790">
        <v>0</v>
      </c>
      <c r="I128" s="2790">
        <v>0</v>
      </c>
      <c r="J128" s="2790">
        <v>0</v>
      </c>
      <c r="K128" s="2790">
        <v>0</v>
      </c>
      <c r="L128" s="2790">
        <v>0</v>
      </c>
      <c r="M128" s="2790">
        <v>39</v>
      </c>
      <c r="N128" s="2790">
        <v>69</v>
      </c>
      <c r="O128" s="2790">
        <v>0</v>
      </c>
      <c r="P128" s="2790">
        <v>73</v>
      </c>
      <c r="Q128" s="2790">
        <v>34</v>
      </c>
      <c r="R128" s="2790">
        <v>81</v>
      </c>
      <c r="S128" s="2790">
        <v>0</v>
      </c>
      <c r="T128" s="2790">
        <v>40</v>
      </c>
      <c r="U128" s="2790">
        <v>60</v>
      </c>
      <c r="V128" s="2790">
        <v>63</v>
      </c>
      <c r="W128" s="2790">
        <v>30</v>
      </c>
      <c r="X128" s="2790">
        <v>0</v>
      </c>
      <c r="Y128" s="2790">
        <v>30</v>
      </c>
      <c r="Z128" s="2790">
        <v>35</v>
      </c>
      <c r="AA128" s="2790">
        <v>40</v>
      </c>
      <c r="AB128" s="2790">
        <v>0</v>
      </c>
      <c r="AC128" s="2790">
        <v>99</v>
      </c>
      <c r="AD128" s="2790">
        <v>43</v>
      </c>
      <c r="AE128" s="2790">
        <v>45</v>
      </c>
      <c r="AF128" s="2790">
        <v>40</v>
      </c>
      <c r="AG128" s="2790">
        <v>34</v>
      </c>
      <c r="AH128" s="2790">
        <v>0</v>
      </c>
      <c r="AI128" s="2790">
        <v>115</v>
      </c>
      <c r="AJ128" s="2790">
        <f t="shared" si="3"/>
        <v>970</v>
      </c>
      <c r="AK128" s="2790" t="e">
        <f>VLOOKUP(B128,'Mủ CN (TT)'!C145:AK322,36,0)+VLOOKUP(B128,'Mủ CN (tam ung)'!C111:AL285,36,0)</f>
        <v>#N/A</v>
      </c>
      <c r="AL128" s="2814" t="s">
        <v>141</v>
      </c>
      <c r="AM128" s="2798"/>
    </row>
    <row r="129" spans="1:42" ht="18" customHeight="1">
      <c r="A129" s="2811">
        <v>56</v>
      </c>
      <c r="B129" s="2812" t="s">
        <v>1624</v>
      </c>
      <c r="C129" s="2813"/>
      <c r="D129" s="2813" t="s">
        <v>452</v>
      </c>
      <c r="E129" s="2796">
        <v>0</v>
      </c>
      <c r="F129" s="2796">
        <v>68</v>
      </c>
      <c r="G129" s="2796">
        <v>51</v>
      </c>
      <c r="H129" s="2796">
        <v>0</v>
      </c>
      <c r="I129" s="2796">
        <v>0</v>
      </c>
      <c r="J129" s="2796">
        <v>0</v>
      </c>
      <c r="K129" s="2796">
        <v>0</v>
      </c>
      <c r="L129" s="2796">
        <v>0</v>
      </c>
      <c r="M129" s="2796">
        <v>55</v>
      </c>
      <c r="N129" s="2796">
        <v>0</v>
      </c>
      <c r="O129" s="2796">
        <v>0</v>
      </c>
      <c r="P129" s="2796">
        <v>0</v>
      </c>
      <c r="Q129" s="2796">
        <v>32</v>
      </c>
      <c r="R129" s="2796">
        <v>49</v>
      </c>
      <c r="S129" s="2796">
        <v>36</v>
      </c>
      <c r="T129" s="2796">
        <v>35</v>
      </c>
      <c r="U129" s="2796">
        <v>0</v>
      </c>
      <c r="V129" s="2796">
        <v>56</v>
      </c>
      <c r="W129" s="2796">
        <v>0</v>
      </c>
      <c r="X129" s="2796">
        <v>34</v>
      </c>
      <c r="Y129" s="2796">
        <v>56</v>
      </c>
      <c r="Z129" s="2796">
        <v>54</v>
      </c>
      <c r="AA129" s="2796">
        <v>0</v>
      </c>
      <c r="AB129" s="2796">
        <v>68</v>
      </c>
      <c r="AC129" s="2796">
        <v>51</v>
      </c>
      <c r="AD129" s="2796">
        <v>51</v>
      </c>
      <c r="AE129" s="2796">
        <v>37</v>
      </c>
      <c r="AF129" s="2796">
        <v>0</v>
      </c>
      <c r="AG129" s="2796">
        <v>47</v>
      </c>
      <c r="AH129" s="2796">
        <v>52</v>
      </c>
      <c r="AI129" s="2796">
        <v>61</v>
      </c>
      <c r="AJ129" s="2790">
        <f t="shared" si="3"/>
        <v>893</v>
      </c>
      <c r="AK129" s="2790" t="e">
        <f>VLOOKUP(B129,'Mủ CN (TT)'!C146:AK323,36,0)+VLOOKUP(B129,'Mủ CN (tam ung)'!C112:AL286,36,0)</f>
        <v>#N/A</v>
      </c>
      <c r="AL129" s="2814" t="s">
        <v>141</v>
      </c>
      <c r="AM129" s="2798"/>
    </row>
    <row r="130" spans="1:42" ht="18.75">
      <c r="A130" s="2807">
        <v>57</v>
      </c>
      <c r="B130" s="2812" t="s">
        <v>1625</v>
      </c>
      <c r="C130" s="2813"/>
      <c r="D130" s="2813" t="s">
        <v>452</v>
      </c>
      <c r="E130" s="2796">
        <v>0</v>
      </c>
      <c r="F130" s="2796">
        <v>0</v>
      </c>
      <c r="G130" s="2796">
        <v>52</v>
      </c>
      <c r="H130" s="2796">
        <v>0</v>
      </c>
      <c r="I130" s="2796">
        <v>0</v>
      </c>
      <c r="J130" s="2796">
        <v>0</v>
      </c>
      <c r="K130" s="2796">
        <v>0</v>
      </c>
      <c r="L130" s="2796">
        <v>0</v>
      </c>
      <c r="M130" s="2796">
        <v>55</v>
      </c>
      <c r="N130" s="2796">
        <v>0</v>
      </c>
      <c r="O130" s="2796">
        <v>0</v>
      </c>
      <c r="P130" s="2796">
        <v>0</v>
      </c>
      <c r="Q130" s="2796">
        <v>32</v>
      </c>
      <c r="R130" s="2796">
        <v>49</v>
      </c>
      <c r="S130" s="2796">
        <v>36</v>
      </c>
      <c r="T130" s="2796">
        <v>35</v>
      </c>
      <c r="U130" s="2796">
        <v>0</v>
      </c>
      <c r="V130" s="2796">
        <v>0</v>
      </c>
      <c r="W130" s="2796">
        <v>0</v>
      </c>
      <c r="X130" s="2796">
        <v>33</v>
      </c>
      <c r="Y130" s="2796">
        <v>51</v>
      </c>
      <c r="Z130" s="2796">
        <v>55</v>
      </c>
      <c r="AA130" s="2796">
        <v>0</v>
      </c>
      <c r="AB130" s="2796">
        <v>0</v>
      </c>
      <c r="AC130" s="2796">
        <v>51</v>
      </c>
      <c r="AD130" s="2796">
        <v>50</v>
      </c>
      <c r="AE130" s="2796">
        <v>0</v>
      </c>
      <c r="AF130" s="2796">
        <v>0</v>
      </c>
      <c r="AG130" s="2796">
        <v>46</v>
      </c>
      <c r="AH130" s="2796">
        <v>52</v>
      </c>
      <c r="AI130" s="2796">
        <v>61</v>
      </c>
      <c r="AJ130" s="2790">
        <f t="shared" si="3"/>
        <v>658</v>
      </c>
      <c r="AK130" s="2790" t="e">
        <f>VLOOKUP(B130,'Mủ CN (TT)'!C147:AK324,36,0)+VLOOKUP(B130,'Mủ CN (tam ung)'!C113:AL287,36,0)</f>
        <v>#N/A</v>
      </c>
      <c r="AL130" s="2814" t="s">
        <v>141</v>
      </c>
      <c r="AM130" s="2798"/>
    </row>
    <row r="131" spans="1:42" ht="18.75">
      <c r="A131" s="2811">
        <v>58</v>
      </c>
      <c r="B131" s="2812" t="s">
        <v>1509</v>
      </c>
      <c r="C131" s="2813"/>
      <c r="D131" s="2813" t="s">
        <v>452</v>
      </c>
      <c r="E131" s="2796">
        <v>50</v>
      </c>
      <c r="F131" s="2796">
        <v>54</v>
      </c>
      <c r="G131" s="2796">
        <v>64</v>
      </c>
      <c r="H131" s="2796">
        <v>86</v>
      </c>
      <c r="I131" s="2796">
        <v>78</v>
      </c>
      <c r="J131" s="2796">
        <v>50</v>
      </c>
      <c r="K131" s="2796">
        <v>150</v>
      </c>
      <c r="L131" s="2796">
        <v>0</v>
      </c>
      <c r="M131" s="2796">
        <v>55</v>
      </c>
      <c r="N131" s="2796">
        <v>81</v>
      </c>
      <c r="O131" s="2796">
        <v>0</v>
      </c>
      <c r="P131" s="2796">
        <v>110</v>
      </c>
      <c r="Q131" s="2796">
        <v>124</v>
      </c>
      <c r="R131" s="2796">
        <v>117</v>
      </c>
      <c r="S131" s="2796">
        <v>42</v>
      </c>
      <c r="T131" s="2796">
        <v>55</v>
      </c>
      <c r="U131" s="2796">
        <v>0</v>
      </c>
      <c r="V131" s="2796">
        <v>0</v>
      </c>
      <c r="W131" s="2796">
        <v>50</v>
      </c>
      <c r="X131" s="2796">
        <v>81</v>
      </c>
      <c r="Y131" s="2796">
        <v>45</v>
      </c>
      <c r="Z131" s="2796">
        <v>71</v>
      </c>
      <c r="AA131" s="2796">
        <v>93</v>
      </c>
      <c r="AB131" s="2796">
        <v>95</v>
      </c>
      <c r="AC131" s="2796">
        <v>50</v>
      </c>
      <c r="AD131" s="2796">
        <v>60</v>
      </c>
      <c r="AE131" s="2796">
        <v>45</v>
      </c>
      <c r="AF131" s="2796">
        <v>70</v>
      </c>
      <c r="AG131" s="2796">
        <v>71</v>
      </c>
      <c r="AH131" s="2796">
        <v>40</v>
      </c>
      <c r="AI131" s="2796">
        <v>83</v>
      </c>
      <c r="AJ131" s="2790">
        <f t="shared" si="3"/>
        <v>1970</v>
      </c>
      <c r="AK131" s="2790" t="e">
        <f>VLOOKUP(B131,'Mủ CN (TT)'!C148:AK325,36,0)+VLOOKUP(B131,'Mủ CN (tam ung)'!C114:AL288,36,0)</f>
        <v>#N/A</v>
      </c>
      <c r="AL131" s="2814" t="s">
        <v>141</v>
      </c>
      <c r="AM131" s="2798"/>
    </row>
    <row r="132" spans="1:42" ht="18.75">
      <c r="A132" s="2807">
        <v>59</v>
      </c>
      <c r="B132" s="2812" t="s">
        <v>1510</v>
      </c>
      <c r="C132" s="2813"/>
      <c r="D132" s="2813" t="s">
        <v>452</v>
      </c>
      <c r="E132" s="2796">
        <v>50</v>
      </c>
      <c r="F132" s="2796">
        <v>0</v>
      </c>
      <c r="G132" s="2796">
        <v>64</v>
      </c>
      <c r="H132" s="2796">
        <v>87</v>
      </c>
      <c r="I132" s="2796">
        <v>78</v>
      </c>
      <c r="J132" s="2796">
        <v>50</v>
      </c>
      <c r="K132" s="2796">
        <v>152</v>
      </c>
      <c r="L132" s="2796">
        <v>104</v>
      </c>
      <c r="M132" s="2796">
        <v>54</v>
      </c>
      <c r="N132" s="2796">
        <v>81</v>
      </c>
      <c r="O132" s="2796">
        <v>0</v>
      </c>
      <c r="P132" s="2796">
        <v>111</v>
      </c>
      <c r="Q132" s="2796">
        <v>124</v>
      </c>
      <c r="R132" s="2796">
        <v>0</v>
      </c>
      <c r="S132" s="2796">
        <v>42</v>
      </c>
      <c r="T132" s="2796">
        <v>55</v>
      </c>
      <c r="U132" s="2796">
        <v>0</v>
      </c>
      <c r="V132" s="2796">
        <v>0</v>
      </c>
      <c r="W132" s="2796">
        <v>50</v>
      </c>
      <c r="X132" s="2796">
        <v>82</v>
      </c>
      <c r="Y132" s="2796">
        <v>46</v>
      </c>
      <c r="Z132" s="2796">
        <v>72</v>
      </c>
      <c r="AA132" s="2796">
        <v>94</v>
      </c>
      <c r="AB132" s="2796">
        <v>95</v>
      </c>
      <c r="AC132" s="2796">
        <v>51</v>
      </c>
      <c r="AD132" s="2796">
        <v>61</v>
      </c>
      <c r="AE132" s="2796">
        <v>45</v>
      </c>
      <c r="AF132" s="2796">
        <v>71</v>
      </c>
      <c r="AG132" s="2796">
        <v>71</v>
      </c>
      <c r="AH132" s="2796">
        <v>40</v>
      </c>
      <c r="AI132" s="2796">
        <v>83</v>
      </c>
      <c r="AJ132" s="2790">
        <f t="shared" si="3"/>
        <v>1913</v>
      </c>
      <c r="AK132" s="2790" t="e">
        <f>VLOOKUP(B132,'Mủ CN (TT)'!C149:AK326,36,0)+VLOOKUP(B132,'Mủ CN (tam ung)'!C115:AL289,36,0)</f>
        <v>#N/A</v>
      </c>
      <c r="AL132" s="2814" t="s">
        <v>141</v>
      </c>
      <c r="AM132" s="2798"/>
    </row>
    <row r="133" spans="1:42" ht="18.75">
      <c r="A133" s="2811">
        <v>60</v>
      </c>
      <c r="B133" s="2812" t="s">
        <v>1712</v>
      </c>
      <c r="C133" s="2813"/>
      <c r="D133" s="2813" t="s">
        <v>452</v>
      </c>
      <c r="E133" s="2796">
        <v>0</v>
      </c>
      <c r="F133" s="2796">
        <v>0</v>
      </c>
      <c r="G133" s="2796">
        <v>0</v>
      </c>
      <c r="H133" s="2796">
        <v>0</v>
      </c>
      <c r="I133" s="2796">
        <v>0</v>
      </c>
      <c r="J133" s="2796">
        <v>0</v>
      </c>
      <c r="K133" s="2796">
        <v>73</v>
      </c>
      <c r="L133" s="2796">
        <v>0</v>
      </c>
      <c r="M133" s="2796">
        <v>39</v>
      </c>
      <c r="N133" s="2796">
        <v>69</v>
      </c>
      <c r="O133" s="2796">
        <v>0</v>
      </c>
      <c r="P133" s="2796">
        <v>73</v>
      </c>
      <c r="Q133" s="2796">
        <v>35</v>
      </c>
      <c r="R133" s="2796">
        <v>81</v>
      </c>
      <c r="S133" s="2796">
        <v>0</v>
      </c>
      <c r="T133" s="2796">
        <v>42</v>
      </c>
      <c r="U133" s="2796">
        <v>0</v>
      </c>
      <c r="V133" s="2796">
        <v>62</v>
      </c>
      <c r="W133" s="2796">
        <v>30</v>
      </c>
      <c r="X133" s="2796">
        <v>0</v>
      </c>
      <c r="Y133" s="2796">
        <v>32</v>
      </c>
      <c r="Z133" s="2796">
        <v>36</v>
      </c>
      <c r="AA133" s="2796">
        <v>40</v>
      </c>
      <c r="AB133" s="2796">
        <v>0</v>
      </c>
      <c r="AC133" s="2796">
        <v>99</v>
      </c>
      <c r="AD133" s="2796">
        <v>43</v>
      </c>
      <c r="AE133" s="2796">
        <v>46</v>
      </c>
      <c r="AF133" s="2796">
        <v>41</v>
      </c>
      <c r="AG133" s="2796">
        <v>34</v>
      </c>
      <c r="AH133" s="2796">
        <v>0</v>
      </c>
      <c r="AI133" s="2796">
        <v>115</v>
      </c>
      <c r="AJ133" s="2790">
        <f t="shared" si="3"/>
        <v>990</v>
      </c>
      <c r="AK133" s="2790" t="e">
        <f>VLOOKUP(B133,'Mủ CN (TT)'!C150:AK327,36,0)+VLOOKUP(B133,'Mủ CN (tam ung)'!C116:AL290,36,0)</f>
        <v>#N/A</v>
      </c>
      <c r="AL133" s="2814" t="s">
        <v>141</v>
      </c>
      <c r="AM133" s="2798"/>
    </row>
    <row r="134" spans="1:42" ht="18.75">
      <c r="A134" s="2807">
        <v>61</v>
      </c>
      <c r="B134" s="2812" t="s">
        <v>1713</v>
      </c>
      <c r="C134" s="2813"/>
      <c r="D134" s="2813" t="s">
        <v>452</v>
      </c>
      <c r="E134" s="2796">
        <v>62</v>
      </c>
      <c r="F134" s="2796">
        <v>71</v>
      </c>
      <c r="G134" s="2796">
        <v>50</v>
      </c>
      <c r="H134" s="2796">
        <v>0</v>
      </c>
      <c r="I134" s="2796">
        <v>68</v>
      </c>
      <c r="J134" s="2796">
        <v>61</v>
      </c>
      <c r="K134" s="2796">
        <v>0</v>
      </c>
      <c r="L134" s="2796">
        <v>44</v>
      </c>
      <c r="M134" s="2796">
        <v>58</v>
      </c>
      <c r="N134" s="2796">
        <v>58</v>
      </c>
      <c r="O134" s="2796">
        <v>35</v>
      </c>
      <c r="P134" s="2796">
        <v>37</v>
      </c>
      <c r="Q134" s="2796">
        <v>74</v>
      </c>
      <c r="R134" s="2796">
        <v>72</v>
      </c>
      <c r="S134" s="2796">
        <v>32</v>
      </c>
      <c r="T134" s="2796">
        <v>35</v>
      </c>
      <c r="U134" s="2796">
        <v>40</v>
      </c>
      <c r="V134" s="2796">
        <v>35</v>
      </c>
      <c r="W134" s="2796">
        <v>46</v>
      </c>
      <c r="X134" s="2796">
        <v>0</v>
      </c>
      <c r="Y134" s="2796">
        <v>60</v>
      </c>
      <c r="Z134" s="2796">
        <v>69</v>
      </c>
      <c r="AA134" s="2796">
        <v>0</v>
      </c>
      <c r="AB134" s="2796">
        <v>56</v>
      </c>
      <c r="AC134" s="2796">
        <v>44</v>
      </c>
      <c r="AD134" s="2796">
        <v>70</v>
      </c>
      <c r="AE134" s="2796">
        <v>38</v>
      </c>
      <c r="AF134" s="2796">
        <v>43</v>
      </c>
      <c r="AG134" s="2796">
        <v>49</v>
      </c>
      <c r="AH134" s="2796">
        <v>68</v>
      </c>
      <c r="AI134" s="2796">
        <v>36</v>
      </c>
      <c r="AJ134" s="2790">
        <f t="shared" si="3"/>
        <v>1411</v>
      </c>
      <c r="AK134" s="2790" t="e">
        <f>VLOOKUP(B134,'Mủ CN (TT)'!C151:AK328,36,0)+VLOOKUP(B134,'Mủ CN (tam ung)'!C117:AL291,36,0)</f>
        <v>#N/A</v>
      </c>
      <c r="AL134" s="2814" t="s">
        <v>141</v>
      </c>
      <c r="AM134" s="2798"/>
    </row>
    <row r="135" spans="1:42" ht="18.75">
      <c r="A135" s="2914">
        <v>62</v>
      </c>
      <c r="B135" s="2915" t="s">
        <v>523</v>
      </c>
      <c r="C135" s="2912"/>
      <c r="D135" s="2912" t="s">
        <v>452</v>
      </c>
      <c r="E135" s="2901">
        <v>62</v>
      </c>
      <c r="F135" s="2901">
        <v>71</v>
      </c>
      <c r="G135" s="2901">
        <v>51</v>
      </c>
      <c r="H135" s="2901">
        <v>0</v>
      </c>
      <c r="I135" s="2901">
        <v>68</v>
      </c>
      <c r="J135" s="2901">
        <v>61</v>
      </c>
      <c r="K135" s="2901">
        <v>0</v>
      </c>
      <c r="L135" s="2901">
        <v>44</v>
      </c>
      <c r="M135" s="2901">
        <v>59</v>
      </c>
      <c r="N135" s="2901">
        <v>57</v>
      </c>
      <c r="O135" s="2901">
        <v>35</v>
      </c>
      <c r="P135" s="2901">
        <v>0</v>
      </c>
      <c r="Q135" s="2901">
        <v>74</v>
      </c>
      <c r="R135" s="2901">
        <v>72</v>
      </c>
      <c r="S135" s="2901">
        <v>32</v>
      </c>
      <c r="T135" s="2901">
        <v>0</v>
      </c>
      <c r="U135" s="2901">
        <v>41</v>
      </c>
      <c r="V135" s="2901">
        <v>36</v>
      </c>
      <c r="W135" s="2901">
        <v>0</v>
      </c>
      <c r="X135" s="2901">
        <v>0</v>
      </c>
      <c r="Y135" s="2901">
        <v>60</v>
      </c>
      <c r="Z135" s="2901">
        <v>69</v>
      </c>
      <c r="AA135" s="2901">
        <v>0</v>
      </c>
      <c r="AB135" s="2901">
        <v>57</v>
      </c>
      <c r="AC135" s="2901">
        <v>45</v>
      </c>
      <c r="AD135" s="2901">
        <v>69</v>
      </c>
      <c r="AE135" s="2901">
        <v>39</v>
      </c>
      <c r="AF135" s="2901">
        <v>43</v>
      </c>
      <c r="AG135" s="2901">
        <v>49</v>
      </c>
      <c r="AH135" s="2901">
        <v>68</v>
      </c>
      <c r="AI135" s="2901">
        <v>37</v>
      </c>
      <c r="AJ135" s="2902">
        <f t="shared" si="3"/>
        <v>1299</v>
      </c>
      <c r="AK135" s="2790" t="e">
        <f>VLOOKUP(B135,'Mủ CN (TT)'!C152:AK329,36,0)+VLOOKUP(B135,'Mủ CN (tam ung)'!C118:AL292,36,0)</f>
        <v>#N/A</v>
      </c>
      <c r="AL135" s="2913" t="s">
        <v>141</v>
      </c>
      <c r="AM135" s="2908"/>
    </row>
    <row r="136" spans="1:42" ht="18.75">
      <c r="A136" s="2922" t="s">
        <v>1864</v>
      </c>
      <c r="B136" s="2923"/>
      <c r="C136" s="2923"/>
      <c r="D136" s="2924"/>
      <c r="E136" s="2903">
        <f t="shared" ref="E136:AL136" si="4">SUM(E74:E135)</f>
        <v>4413</v>
      </c>
      <c r="F136" s="2903">
        <f t="shared" si="4"/>
        <v>4654</v>
      </c>
      <c r="G136" s="2903">
        <f t="shared" si="4"/>
        <v>4547</v>
      </c>
      <c r="H136" s="2903">
        <f t="shared" si="4"/>
        <v>4792</v>
      </c>
      <c r="I136" s="2903">
        <f t="shared" si="4"/>
        <v>4354</v>
      </c>
      <c r="J136" s="2903">
        <f t="shared" si="4"/>
        <v>4682</v>
      </c>
      <c r="K136" s="2903">
        <f t="shared" si="4"/>
        <v>4520</v>
      </c>
      <c r="L136" s="2903">
        <f t="shared" si="4"/>
        <v>4797</v>
      </c>
      <c r="M136" s="2903">
        <f t="shared" si="4"/>
        <v>4175</v>
      </c>
      <c r="N136" s="2903">
        <f t="shared" si="4"/>
        <v>4420</v>
      </c>
      <c r="O136" s="2903">
        <f t="shared" si="4"/>
        <v>4259</v>
      </c>
      <c r="P136" s="2903">
        <f t="shared" si="4"/>
        <v>5255</v>
      </c>
      <c r="Q136" s="2903">
        <f t="shared" si="4"/>
        <v>4834</v>
      </c>
      <c r="R136" s="2903">
        <f t="shared" si="4"/>
        <v>5748</v>
      </c>
      <c r="S136" s="2903">
        <f t="shared" si="4"/>
        <v>3620</v>
      </c>
      <c r="T136" s="2903">
        <f t="shared" si="4"/>
        <v>4551</v>
      </c>
      <c r="U136" s="2903">
        <f t="shared" si="4"/>
        <v>2612</v>
      </c>
      <c r="V136" s="2903">
        <f t="shared" si="4"/>
        <v>4220</v>
      </c>
      <c r="W136" s="2903">
        <f t="shared" si="4"/>
        <v>4313</v>
      </c>
      <c r="X136" s="2903">
        <f t="shared" si="4"/>
        <v>4718</v>
      </c>
      <c r="Y136" s="2903">
        <f t="shared" si="4"/>
        <v>3999</v>
      </c>
      <c r="Z136" s="2903">
        <f t="shared" si="4"/>
        <v>4986</v>
      </c>
      <c r="AA136" s="2903">
        <f t="shared" si="4"/>
        <v>4341</v>
      </c>
      <c r="AB136" s="2903">
        <f t="shared" si="4"/>
        <v>4048</v>
      </c>
      <c r="AC136" s="2903">
        <f t="shared" si="4"/>
        <v>3987</v>
      </c>
      <c r="AD136" s="2903">
        <f t="shared" si="4"/>
        <v>4583</v>
      </c>
      <c r="AE136" s="2903">
        <f t="shared" si="4"/>
        <v>4483</v>
      </c>
      <c r="AF136" s="2903">
        <f t="shared" si="4"/>
        <v>4496</v>
      </c>
      <c r="AG136" s="2903">
        <f t="shared" si="4"/>
        <v>4113</v>
      </c>
      <c r="AH136" s="2903">
        <f t="shared" si="4"/>
        <v>4605</v>
      </c>
      <c r="AI136" s="2903">
        <f t="shared" si="4"/>
        <v>4981</v>
      </c>
      <c r="AJ136" s="2903">
        <f t="shared" si="4"/>
        <v>138106</v>
      </c>
      <c r="AK136" s="2903" t="e">
        <f t="shared" si="4"/>
        <v>#N/A</v>
      </c>
      <c r="AL136" s="2801">
        <f t="shared" si="4"/>
        <v>0</v>
      </c>
      <c r="AM136" s="2802"/>
      <c r="AN136" s="2815">
        <f>+AJ136+AJ160</f>
        <v>183361</v>
      </c>
      <c r="AO136" s="2815" t="e">
        <f>+#REF!+#REF!</f>
        <v>#REF!</v>
      </c>
      <c r="AP136" s="2815">
        <f>+AL136+AL160</f>
        <v>0</v>
      </c>
    </row>
    <row r="137" spans="1:42" ht="18.75">
      <c r="A137" s="2816">
        <v>1</v>
      </c>
      <c r="B137" s="2817" t="s">
        <v>1511</v>
      </c>
      <c r="C137" s="2817"/>
      <c r="D137" s="2817" t="s">
        <v>452</v>
      </c>
      <c r="E137" s="2790">
        <v>66</v>
      </c>
      <c r="F137" s="2790">
        <v>70</v>
      </c>
      <c r="G137" s="2790">
        <v>80</v>
      </c>
      <c r="H137" s="2790">
        <v>110</v>
      </c>
      <c r="I137" s="2790">
        <v>60</v>
      </c>
      <c r="J137" s="2790">
        <v>65</v>
      </c>
      <c r="K137" s="2790">
        <v>108</v>
      </c>
      <c r="L137" s="2790">
        <v>93</v>
      </c>
      <c r="M137" s="2790">
        <v>55</v>
      </c>
      <c r="N137" s="2790">
        <v>52</v>
      </c>
      <c r="O137" s="2790">
        <v>57</v>
      </c>
      <c r="P137" s="2790">
        <v>84</v>
      </c>
      <c r="Q137" s="2790">
        <v>61</v>
      </c>
      <c r="R137" s="2790">
        <v>55</v>
      </c>
      <c r="S137" s="2790"/>
      <c r="T137" s="2790">
        <v>66</v>
      </c>
      <c r="U137" s="2790">
        <v>50</v>
      </c>
      <c r="V137" s="2790">
        <v>54</v>
      </c>
      <c r="W137" s="2790">
        <v>122</v>
      </c>
      <c r="X137" s="2790">
        <v>70</v>
      </c>
      <c r="Y137" s="2790">
        <v>45</v>
      </c>
      <c r="Z137" s="2790">
        <v>48</v>
      </c>
      <c r="AA137" s="2790">
        <v>81</v>
      </c>
      <c r="AB137" s="2790">
        <v>55</v>
      </c>
      <c r="AC137" s="2790">
        <v>36</v>
      </c>
      <c r="AD137" s="2790">
        <v>40</v>
      </c>
      <c r="AE137" s="2790">
        <v>68</v>
      </c>
      <c r="AF137" s="2790">
        <v>54</v>
      </c>
      <c r="AG137" s="2790">
        <v>30</v>
      </c>
      <c r="AH137" s="2790">
        <v>45</v>
      </c>
      <c r="AI137" s="2790">
        <v>58</v>
      </c>
      <c r="AJ137" s="2790">
        <f>+SUM(E137:AI137)</f>
        <v>1938</v>
      </c>
      <c r="AK137" s="2790" t="e">
        <f>VLOOKUP(B137,'Mủ CN (TT)'!C154:AK331,36,0)+VLOOKUP(B137,'Mủ CN (tam ung)'!C120:AL294,36,0)</f>
        <v>#REF!</v>
      </c>
      <c r="AL137" s="2805" t="s">
        <v>141</v>
      </c>
      <c r="AM137" s="2818"/>
    </row>
    <row r="138" spans="1:42" ht="18.75">
      <c r="A138" s="2816">
        <v>2</v>
      </c>
      <c r="B138" s="2813" t="s">
        <v>1268</v>
      </c>
      <c r="C138" s="2813"/>
      <c r="D138" s="2813" t="s">
        <v>452</v>
      </c>
      <c r="E138" s="2796">
        <v>81</v>
      </c>
      <c r="F138" s="2796">
        <v>94</v>
      </c>
      <c r="G138" s="2796"/>
      <c r="H138" s="2796">
        <v>123</v>
      </c>
      <c r="I138" s="2796">
        <v>75</v>
      </c>
      <c r="J138" s="2796">
        <v>85</v>
      </c>
      <c r="K138" s="2796">
        <v>60</v>
      </c>
      <c r="L138" s="2796">
        <v>140</v>
      </c>
      <c r="M138" s="2796">
        <v>67</v>
      </c>
      <c r="N138" s="2796">
        <v>69</v>
      </c>
      <c r="O138" s="2796">
        <v>51</v>
      </c>
      <c r="P138" s="2796">
        <v>124</v>
      </c>
      <c r="Q138" s="2796">
        <v>58</v>
      </c>
      <c r="R138" s="2796">
        <v>68</v>
      </c>
      <c r="S138" s="2796">
        <v>74</v>
      </c>
      <c r="T138" s="2796">
        <v>112</v>
      </c>
      <c r="U138" s="2796">
        <v>46</v>
      </c>
      <c r="V138" s="2796">
        <v>45</v>
      </c>
      <c r="W138" s="2796">
        <v>68</v>
      </c>
      <c r="X138" s="2796">
        <v>120</v>
      </c>
      <c r="Y138" s="2796">
        <v>61</v>
      </c>
      <c r="Z138" s="2796">
        <v>65</v>
      </c>
      <c r="AA138" s="2796">
        <v>53</v>
      </c>
      <c r="AB138" s="2796">
        <v>103</v>
      </c>
      <c r="AC138" s="2796">
        <v>53</v>
      </c>
      <c r="AD138" s="2796">
        <v>48</v>
      </c>
      <c r="AE138" s="2796">
        <v>60</v>
      </c>
      <c r="AF138" s="2796">
        <v>80</v>
      </c>
      <c r="AG138" s="2796">
        <v>45</v>
      </c>
      <c r="AH138" s="2796">
        <v>80</v>
      </c>
      <c r="AI138" s="2796">
        <v>64</v>
      </c>
      <c r="AJ138" s="2790">
        <f t="shared" ref="AJ138:AJ159" si="5">+SUM(E138:AI138)</f>
        <v>2272</v>
      </c>
      <c r="AK138" s="2790" t="e">
        <f>VLOOKUP(B138,'Mủ CN (TT)'!C155:AK332,36,0)+VLOOKUP(B138,'Mủ CN (tam ung)'!C121:AL295,36,0)</f>
        <v>#REF!</v>
      </c>
      <c r="AL138" s="2814" t="s">
        <v>141</v>
      </c>
      <c r="AM138" s="2798"/>
      <c r="AN138">
        <f>190.7*0.5</f>
        <v>95.35</v>
      </c>
    </row>
    <row r="139" spans="1:42" ht="18.75">
      <c r="A139" s="2816">
        <v>3</v>
      </c>
      <c r="B139" s="2813" t="s">
        <v>847</v>
      </c>
      <c r="C139" s="2813"/>
      <c r="D139" s="2813" t="s">
        <v>452</v>
      </c>
      <c r="E139" s="2796">
        <v>60</v>
      </c>
      <c r="F139" s="2796"/>
      <c r="G139" s="2796">
        <v>70</v>
      </c>
      <c r="H139" s="2796">
        <v>96</v>
      </c>
      <c r="I139" s="2796">
        <v>50</v>
      </c>
      <c r="J139" s="2796">
        <v>50</v>
      </c>
      <c r="K139" s="2796">
        <v>50</v>
      </c>
      <c r="L139" s="2796">
        <v>62</v>
      </c>
      <c r="M139" s="2796">
        <v>41</v>
      </c>
      <c r="N139" s="2796">
        <v>55</v>
      </c>
      <c r="O139" s="2796">
        <v>50</v>
      </c>
      <c r="P139" s="2796">
        <v>82</v>
      </c>
      <c r="Q139" s="2796">
        <v>64</v>
      </c>
      <c r="R139" s="2796">
        <v>55</v>
      </c>
      <c r="S139" s="2796"/>
      <c r="T139" s="2796">
        <v>56</v>
      </c>
      <c r="U139" s="2796">
        <v>40</v>
      </c>
      <c r="V139" s="2796">
        <v>60</v>
      </c>
      <c r="W139" s="2796">
        <v>50</v>
      </c>
      <c r="X139" s="2796">
        <v>57</v>
      </c>
      <c r="Y139" s="2796">
        <v>46</v>
      </c>
      <c r="Z139" s="2796">
        <v>62</v>
      </c>
      <c r="AA139" s="2796">
        <v>42</v>
      </c>
      <c r="AB139" s="2796"/>
      <c r="AC139" s="2796">
        <v>113</v>
      </c>
      <c r="AD139" s="2796"/>
      <c r="AE139" s="2796"/>
      <c r="AF139" s="2796">
        <v>59</v>
      </c>
      <c r="AG139" s="2796">
        <v>54</v>
      </c>
      <c r="AH139" s="2796">
        <v>101</v>
      </c>
      <c r="AI139" s="2796">
        <v>77</v>
      </c>
      <c r="AJ139" s="2790">
        <f t="shared" si="5"/>
        <v>1602</v>
      </c>
      <c r="AK139" s="2790" t="e">
        <f>VLOOKUP(B139,'Mủ CN (TT)'!C156:AK333,36,0)+VLOOKUP(B139,'Mủ CN (tam ung)'!C122:AL296,36,0)</f>
        <v>#REF!</v>
      </c>
      <c r="AL139" s="2814" t="s">
        <v>141</v>
      </c>
      <c r="AM139" s="2798"/>
    </row>
    <row r="140" spans="1:42" ht="18.75">
      <c r="A140" s="2816">
        <v>4</v>
      </c>
      <c r="B140" s="2813" t="s">
        <v>1205</v>
      </c>
      <c r="C140" s="2813"/>
      <c r="D140" s="2813" t="s">
        <v>452</v>
      </c>
      <c r="E140" s="2796">
        <v>40</v>
      </c>
      <c r="F140" s="2796">
        <v>60</v>
      </c>
      <c r="G140" s="2796">
        <v>51</v>
      </c>
      <c r="H140" s="2796">
        <v>56</v>
      </c>
      <c r="I140" s="2796">
        <v>45</v>
      </c>
      <c r="J140" s="2796">
        <v>75</v>
      </c>
      <c r="K140" s="2796">
        <v>56</v>
      </c>
      <c r="L140" s="2796">
        <v>59</v>
      </c>
      <c r="M140" s="2796">
        <v>30</v>
      </c>
      <c r="N140" s="2796">
        <v>71</v>
      </c>
      <c r="O140" s="2796">
        <v>56</v>
      </c>
      <c r="P140" s="2796">
        <v>102</v>
      </c>
      <c r="Q140" s="2796">
        <v>40</v>
      </c>
      <c r="R140" s="2796">
        <v>71</v>
      </c>
      <c r="S140" s="2796">
        <v>72</v>
      </c>
      <c r="T140" s="2796">
        <v>60</v>
      </c>
      <c r="U140" s="2796">
        <v>40</v>
      </c>
      <c r="V140" s="2796">
        <v>66</v>
      </c>
      <c r="W140" s="2796">
        <v>70</v>
      </c>
      <c r="X140" s="2796">
        <v>76</v>
      </c>
      <c r="Y140" s="2796">
        <v>44</v>
      </c>
      <c r="Z140" s="2796">
        <v>58</v>
      </c>
      <c r="AA140" s="2796">
        <v>63</v>
      </c>
      <c r="AB140" s="2796">
        <v>87</v>
      </c>
      <c r="AC140" s="2796">
        <v>31</v>
      </c>
      <c r="AD140" s="2796">
        <v>91</v>
      </c>
      <c r="AE140" s="2796">
        <v>65</v>
      </c>
      <c r="AF140" s="2796">
        <v>84</v>
      </c>
      <c r="AG140" s="2796">
        <v>40</v>
      </c>
      <c r="AH140" s="2796">
        <v>100</v>
      </c>
      <c r="AI140" s="2796">
        <v>72</v>
      </c>
      <c r="AJ140" s="2790">
        <f t="shared" si="5"/>
        <v>1931</v>
      </c>
      <c r="AK140" s="2790" t="e">
        <f>VLOOKUP(B140,'Mủ CN (TT)'!C157:AK334,36,0)+VLOOKUP(B140,'Mủ CN (tam ung)'!C123:AL297,36,0)</f>
        <v>#N/A</v>
      </c>
      <c r="AL140" s="2814" t="s">
        <v>138</v>
      </c>
      <c r="AM140" s="2798"/>
    </row>
    <row r="141" spans="1:42" ht="18.75">
      <c r="A141" s="2816">
        <v>5</v>
      </c>
      <c r="B141" s="2813" t="s">
        <v>1206</v>
      </c>
      <c r="C141" s="2813"/>
      <c r="D141" s="2813" t="s">
        <v>452</v>
      </c>
      <c r="E141" s="2796">
        <v>52</v>
      </c>
      <c r="F141" s="2796">
        <v>114</v>
      </c>
      <c r="G141" s="2796">
        <v>90</v>
      </c>
      <c r="H141" s="2796">
        <v>124</v>
      </c>
      <c r="I141" s="2796">
        <v>55</v>
      </c>
      <c r="J141" s="2796">
        <v>115</v>
      </c>
      <c r="K141" s="2796">
        <v>82</v>
      </c>
      <c r="L141" s="2796">
        <v>114</v>
      </c>
      <c r="M141" s="2796">
        <v>50</v>
      </c>
      <c r="N141" s="2796">
        <v>107</v>
      </c>
      <c r="O141" s="2796">
        <v>80</v>
      </c>
      <c r="P141" s="2796">
        <v>56</v>
      </c>
      <c r="Q141" s="2796">
        <v>42</v>
      </c>
      <c r="R141" s="2796">
        <v>104</v>
      </c>
      <c r="S141" s="2796">
        <v>66</v>
      </c>
      <c r="T141" s="2796">
        <v>98</v>
      </c>
      <c r="U141" s="2796">
        <v>40</v>
      </c>
      <c r="V141" s="2796">
        <v>79</v>
      </c>
      <c r="W141" s="2796">
        <v>61</v>
      </c>
      <c r="X141" s="2796">
        <v>77</v>
      </c>
      <c r="Y141" s="2796">
        <v>40</v>
      </c>
      <c r="Z141" s="2796">
        <v>120</v>
      </c>
      <c r="AA141" s="2796">
        <v>71</v>
      </c>
      <c r="AB141" s="2796">
        <v>71</v>
      </c>
      <c r="AC141" s="2796">
        <v>40</v>
      </c>
      <c r="AD141" s="2796">
        <v>92</v>
      </c>
      <c r="AE141" s="2796">
        <v>65</v>
      </c>
      <c r="AF141" s="2796">
        <v>95</v>
      </c>
      <c r="AG141" s="2796">
        <v>30</v>
      </c>
      <c r="AH141" s="2796">
        <v>97</v>
      </c>
      <c r="AI141" s="2796">
        <v>59</v>
      </c>
      <c r="AJ141" s="2790">
        <f t="shared" si="5"/>
        <v>2386</v>
      </c>
      <c r="AK141" s="2790" t="e">
        <f>VLOOKUP(B141,'Mủ CN (TT)'!C158:AK335,36,0)+VLOOKUP(B141,'Mủ CN (tam ung)'!C124:AL298,36,0)</f>
        <v>#REF!</v>
      </c>
      <c r="AL141" s="2814" t="s">
        <v>141</v>
      </c>
      <c r="AM141" s="2798"/>
      <c r="AN141">
        <f>304*0.5</f>
        <v>152</v>
      </c>
    </row>
    <row r="142" spans="1:42" ht="18.75">
      <c r="A142" s="2816">
        <v>6</v>
      </c>
      <c r="B142" s="2813" t="s">
        <v>1207</v>
      </c>
      <c r="C142" s="2813"/>
      <c r="D142" s="2813" t="s">
        <v>452</v>
      </c>
      <c r="E142" s="2796">
        <v>58</v>
      </c>
      <c r="F142" s="2796">
        <v>61</v>
      </c>
      <c r="G142" s="2796">
        <v>77</v>
      </c>
      <c r="H142" s="2796">
        <v>70</v>
      </c>
      <c r="I142" s="2796">
        <v>68</v>
      </c>
      <c r="J142" s="2796">
        <v>61</v>
      </c>
      <c r="K142" s="2796">
        <v>76</v>
      </c>
      <c r="L142" s="2796">
        <v>112</v>
      </c>
      <c r="M142" s="2796">
        <v>40</v>
      </c>
      <c r="N142" s="2796">
        <v>60</v>
      </c>
      <c r="O142" s="2796">
        <v>36</v>
      </c>
      <c r="P142" s="2796">
        <v>77</v>
      </c>
      <c r="Q142" s="2796">
        <v>78</v>
      </c>
      <c r="R142" s="2796">
        <v>61</v>
      </c>
      <c r="S142" s="2796"/>
      <c r="T142" s="2796">
        <v>79</v>
      </c>
      <c r="U142" s="2796">
        <v>48</v>
      </c>
      <c r="V142" s="2796">
        <v>51</v>
      </c>
      <c r="W142" s="2796">
        <v>104</v>
      </c>
      <c r="X142" s="2796">
        <v>105</v>
      </c>
      <c r="Y142" s="2796">
        <v>35</v>
      </c>
      <c r="Z142" s="2796">
        <v>52</v>
      </c>
      <c r="AA142" s="2796">
        <v>60</v>
      </c>
      <c r="AB142" s="2796">
        <v>91</v>
      </c>
      <c r="AC142" s="2796">
        <v>30</v>
      </c>
      <c r="AD142" s="2796">
        <v>53</v>
      </c>
      <c r="AE142" s="2796">
        <v>63</v>
      </c>
      <c r="AF142" s="2796">
        <v>103</v>
      </c>
      <c r="AG142" s="2796">
        <v>33</v>
      </c>
      <c r="AH142" s="2796">
        <v>50</v>
      </c>
      <c r="AI142" s="2796">
        <v>59</v>
      </c>
      <c r="AJ142" s="2790">
        <f t="shared" si="5"/>
        <v>1951</v>
      </c>
      <c r="AK142" s="2790" t="e">
        <f>VLOOKUP(B142,'Mủ CN (TT)'!C159:AK336,36,0)+VLOOKUP(B142,'Mủ CN (tam ung)'!C125:AL299,36,0)</f>
        <v>#REF!</v>
      </c>
      <c r="AL142" s="2814" t="s">
        <v>141</v>
      </c>
      <c r="AM142" s="2798"/>
    </row>
    <row r="143" spans="1:42" ht="18.75">
      <c r="A143" s="2816">
        <v>7</v>
      </c>
      <c r="B143" s="2813" t="s">
        <v>567</v>
      </c>
      <c r="C143" s="2813"/>
      <c r="D143" s="2813" t="s">
        <v>452</v>
      </c>
      <c r="E143" s="2796">
        <v>57</v>
      </c>
      <c r="F143" s="2796">
        <v>74</v>
      </c>
      <c r="G143" s="2796">
        <v>73</v>
      </c>
      <c r="H143" s="2796">
        <v>115</v>
      </c>
      <c r="I143" s="2796">
        <v>124</v>
      </c>
      <c r="J143" s="2796">
        <v>70</v>
      </c>
      <c r="K143" s="2796">
        <v>70</v>
      </c>
      <c r="L143" s="2796">
        <v>87</v>
      </c>
      <c r="M143" s="2796">
        <v>105</v>
      </c>
      <c r="N143" s="2796">
        <v>52</v>
      </c>
      <c r="O143" s="2796">
        <v>99</v>
      </c>
      <c r="P143" s="2796">
        <v>60</v>
      </c>
      <c r="Q143" s="2796">
        <v>85</v>
      </c>
      <c r="R143" s="2796"/>
      <c r="S143" s="2796">
        <v>111</v>
      </c>
      <c r="T143" s="2796">
        <v>91</v>
      </c>
      <c r="U143" s="2796">
        <v>80</v>
      </c>
      <c r="V143" s="2796">
        <v>85</v>
      </c>
      <c r="W143" s="2796">
        <v>60</v>
      </c>
      <c r="X143" s="2796"/>
      <c r="Y143" s="2796"/>
      <c r="Z143" s="2796"/>
      <c r="AA143" s="2796"/>
      <c r="AB143" s="2796"/>
      <c r="AC143" s="2796">
        <v>157</v>
      </c>
      <c r="AD143" s="2796">
        <v>76</v>
      </c>
      <c r="AE143" s="2796">
        <v>42</v>
      </c>
      <c r="AF143" s="2796">
        <v>133</v>
      </c>
      <c r="AG143" s="2796">
        <v>81</v>
      </c>
      <c r="AH143" s="2796">
        <v>40</v>
      </c>
      <c r="AI143" s="2796">
        <v>44</v>
      </c>
      <c r="AJ143" s="2790">
        <f t="shared" si="5"/>
        <v>2071</v>
      </c>
      <c r="AK143" s="2790" t="e">
        <f>VLOOKUP(B143,'Mủ CN (TT)'!C160:AK337,36,0)+VLOOKUP(B143,'Mủ CN (tam ung)'!C126:AL300,36,0)</f>
        <v>#N/A</v>
      </c>
      <c r="AL143" s="2814" t="s">
        <v>141</v>
      </c>
      <c r="AM143" s="2798"/>
    </row>
    <row r="144" spans="1:42" ht="18.75">
      <c r="A144" s="2816">
        <v>8</v>
      </c>
      <c r="B144" s="2813" t="s">
        <v>1512</v>
      </c>
      <c r="C144" s="2813"/>
      <c r="D144" s="2813" t="s">
        <v>452</v>
      </c>
      <c r="E144" s="2796">
        <v>66</v>
      </c>
      <c r="F144" s="2796">
        <v>70</v>
      </c>
      <c r="G144" s="2796">
        <v>67</v>
      </c>
      <c r="H144" s="2796">
        <v>40</v>
      </c>
      <c r="I144" s="2796">
        <v>66</v>
      </c>
      <c r="J144" s="2796">
        <v>75</v>
      </c>
      <c r="K144" s="2796"/>
      <c r="L144" s="2796">
        <v>114</v>
      </c>
      <c r="M144" s="2796">
        <v>62</v>
      </c>
      <c r="N144" s="2796">
        <v>70</v>
      </c>
      <c r="O144" s="2796">
        <v>136</v>
      </c>
      <c r="P144" s="2796">
        <v>30</v>
      </c>
      <c r="Q144" s="2796">
        <v>55</v>
      </c>
      <c r="R144" s="2796">
        <v>84</v>
      </c>
      <c r="S144" s="2796"/>
      <c r="T144" s="2796">
        <v>163</v>
      </c>
      <c r="U144" s="2796"/>
      <c r="V144" s="2796">
        <v>65</v>
      </c>
      <c r="W144" s="2796">
        <v>93</v>
      </c>
      <c r="X144" s="2796">
        <v>40</v>
      </c>
      <c r="Y144" s="2796">
        <v>70</v>
      </c>
      <c r="Z144" s="2796">
        <v>77</v>
      </c>
      <c r="AA144" s="2796"/>
      <c r="AB144" s="2796"/>
      <c r="AC144" s="2796">
        <v>44</v>
      </c>
      <c r="AD144" s="2796">
        <v>68</v>
      </c>
      <c r="AE144" s="2796">
        <v>50</v>
      </c>
      <c r="AF144" s="2796">
        <v>35</v>
      </c>
      <c r="AG144" s="2796">
        <v>36</v>
      </c>
      <c r="AH144" s="2796">
        <v>69</v>
      </c>
      <c r="AI144" s="2796">
        <v>88</v>
      </c>
      <c r="AJ144" s="2790">
        <f t="shared" si="5"/>
        <v>1833</v>
      </c>
      <c r="AK144" s="2790" t="e">
        <f>VLOOKUP(B144,'Mủ CN (TT)'!C161:AK338,36,0)+VLOOKUP(B144,'Mủ CN (tam ung)'!C127:AL301,36,0)</f>
        <v>#N/A</v>
      </c>
      <c r="AL144" s="2814" t="s">
        <v>138</v>
      </c>
      <c r="AM144" s="2798"/>
    </row>
    <row r="145" spans="1:42" ht="18.75">
      <c r="A145" s="2816">
        <v>9</v>
      </c>
      <c r="B145" s="2813" t="s">
        <v>1210</v>
      </c>
      <c r="C145" s="2813"/>
      <c r="D145" s="2813" t="s">
        <v>452</v>
      </c>
      <c r="E145" s="2796">
        <v>71</v>
      </c>
      <c r="F145" s="2796">
        <v>72</v>
      </c>
      <c r="G145" s="2796">
        <v>90</v>
      </c>
      <c r="H145" s="2796">
        <v>70</v>
      </c>
      <c r="I145" s="2796">
        <v>60</v>
      </c>
      <c r="J145" s="2796">
        <v>75</v>
      </c>
      <c r="K145" s="2796">
        <v>75</v>
      </c>
      <c r="L145" s="2796">
        <v>67</v>
      </c>
      <c r="M145" s="2796">
        <v>55</v>
      </c>
      <c r="N145" s="2796"/>
      <c r="O145" s="2796">
        <v>117</v>
      </c>
      <c r="P145" s="2796">
        <v>83</v>
      </c>
      <c r="Q145" s="2796">
        <v>50</v>
      </c>
      <c r="R145" s="2796"/>
      <c r="S145" s="2796">
        <v>55</v>
      </c>
      <c r="T145" s="2796">
        <v>62</v>
      </c>
      <c r="U145" s="2796">
        <v>65</v>
      </c>
      <c r="V145" s="2796">
        <v>76</v>
      </c>
      <c r="W145" s="2796">
        <v>100</v>
      </c>
      <c r="X145" s="2796">
        <v>71</v>
      </c>
      <c r="Y145" s="2796">
        <v>57</v>
      </c>
      <c r="Z145" s="2796">
        <v>68</v>
      </c>
      <c r="AA145" s="2796">
        <v>65</v>
      </c>
      <c r="AB145" s="2796">
        <v>50</v>
      </c>
      <c r="AC145" s="2796">
        <v>40</v>
      </c>
      <c r="AD145" s="2796">
        <v>47</v>
      </c>
      <c r="AE145" s="2796">
        <v>40</v>
      </c>
      <c r="AF145" s="2796">
        <v>54</v>
      </c>
      <c r="AG145" s="2796">
        <v>39</v>
      </c>
      <c r="AH145" s="2796">
        <v>50</v>
      </c>
      <c r="AI145" s="2796">
        <v>40</v>
      </c>
      <c r="AJ145" s="2790">
        <f t="shared" si="5"/>
        <v>1864</v>
      </c>
      <c r="AK145" s="2790" t="e">
        <f>VLOOKUP(B145,'Mủ CN (TT)'!C162:AK339,36,0)+VLOOKUP(B145,'Mủ CN (tam ung)'!C128:AL302,36,0)</f>
        <v>#N/A</v>
      </c>
      <c r="AL145" s="2814" t="s">
        <v>141</v>
      </c>
      <c r="AM145" s="2798"/>
    </row>
    <row r="146" spans="1:42" ht="18.75">
      <c r="A146" s="2816">
        <v>10</v>
      </c>
      <c r="B146" s="2813" t="s">
        <v>1541</v>
      </c>
      <c r="C146" s="2813"/>
      <c r="D146" s="2813" t="s">
        <v>452</v>
      </c>
      <c r="E146" s="2796">
        <v>59</v>
      </c>
      <c r="F146" s="2796">
        <v>74</v>
      </c>
      <c r="G146" s="2796">
        <v>80</v>
      </c>
      <c r="H146" s="2796">
        <v>100</v>
      </c>
      <c r="I146" s="2796">
        <v>60</v>
      </c>
      <c r="J146" s="2796">
        <v>88</v>
      </c>
      <c r="K146" s="2796">
        <v>50</v>
      </c>
      <c r="L146" s="2796">
        <v>92</v>
      </c>
      <c r="M146" s="2796">
        <v>40</v>
      </c>
      <c r="N146" s="2796"/>
      <c r="O146" s="2796">
        <v>135</v>
      </c>
      <c r="P146" s="2796">
        <v>73</v>
      </c>
      <c r="Q146" s="2796">
        <v>41</v>
      </c>
      <c r="R146" s="2796"/>
      <c r="S146" s="2796">
        <v>83</v>
      </c>
      <c r="T146" s="2796">
        <v>92</v>
      </c>
      <c r="U146" s="2796">
        <v>44</v>
      </c>
      <c r="V146" s="2796">
        <v>99</v>
      </c>
      <c r="W146" s="2796">
        <v>77</v>
      </c>
      <c r="X146" s="2796">
        <v>89</v>
      </c>
      <c r="Y146" s="2796">
        <v>40</v>
      </c>
      <c r="Z146" s="2796">
        <v>78</v>
      </c>
      <c r="AA146" s="2796">
        <v>40</v>
      </c>
      <c r="AB146" s="2796">
        <v>75</v>
      </c>
      <c r="AC146" s="2796">
        <v>30</v>
      </c>
      <c r="AD146" s="2796">
        <v>79</v>
      </c>
      <c r="AE146" s="2796">
        <v>54</v>
      </c>
      <c r="AF146" s="2796">
        <v>73</v>
      </c>
      <c r="AG146" s="2796">
        <v>40</v>
      </c>
      <c r="AH146" s="2796">
        <v>86</v>
      </c>
      <c r="AI146" s="2796">
        <v>40</v>
      </c>
      <c r="AJ146" s="2790">
        <f t="shared" si="5"/>
        <v>2011</v>
      </c>
      <c r="AK146" s="2790" t="e">
        <f>VLOOKUP(B146,'Mủ CN (TT)'!C163:AK340,36,0)+VLOOKUP(B146,'Mủ CN (tam ung)'!C129:AL303,36,0)</f>
        <v>#N/A</v>
      </c>
      <c r="AL146" s="2814" t="s">
        <v>141</v>
      </c>
      <c r="AM146" s="2798"/>
    </row>
    <row r="147" spans="1:42" ht="18.75">
      <c r="A147" s="2816">
        <v>11</v>
      </c>
      <c r="B147" s="2813" t="s">
        <v>1513</v>
      </c>
      <c r="C147" s="2813"/>
      <c r="D147" s="2813" t="s">
        <v>452</v>
      </c>
      <c r="E147" s="2796">
        <v>70</v>
      </c>
      <c r="F147" s="2796">
        <v>95</v>
      </c>
      <c r="G147" s="2796">
        <v>81</v>
      </c>
      <c r="H147" s="2796">
        <v>114</v>
      </c>
      <c r="I147" s="2796">
        <v>70</v>
      </c>
      <c r="J147" s="2796">
        <v>85</v>
      </c>
      <c r="K147" s="2796">
        <v>62</v>
      </c>
      <c r="L147" s="2796"/>
      <c r="M147" s="2796">
        <v>128</v>
      </c>
      <c r="N147" s="2796">
        <v>75</v>
      </c>
      <c r="O147" s="2796">
        <v>61</v>
      </c>
      <c r="P147" s="2796">
        <v>83</v>
      </c>
      <c r="Q147" s="2796">
        <v>41</v>
      </c>
      <c r="R147" s="2796">
        <v>75</v>
      </c>
      <c r="S147" s="2796"/>
      <c r="T147" s="2796">
        <v>130</v>
      </c>
      <c r="U147" s="2796">
        <v>62</v>
      </c>
      <c r="V147" s="2796">
        <v>88</v>
      </c>
      <c r="W147" s="2796">
        <v>71</v>
      </c>
      <c r="X147" s="2796">
        <v>71</v>
      </c>
      <c r="Y147" s="2796">
        <v>52</v>
      </c>
      <c r="Z147" s="2796">
        <v>89</v>
      </c>
      <c r="AA147" s="2796">
        <v>51</v>
      </c>
      <c r="AB147" s="2796">
        <v>72</v>
      </c>
      <c r="AC147" s="2796">
        <v>45</v>
      </c>
      <c r="AD147" s="2796">
        <v>58</v>
      </c>
      <c r="AE147" s="2796">
        <v>55</v>
      </c>
      <c r="AF147" s="2796">
        <v>72</v>
      </c>
      <c r="AG147" s="2796">
        <v>38</v>
      </c>
      <c r="AH147" s="2796">
        <v>66</v>
      </c>
      <c r="AI147" s="2796">
        <v>57</v>
      </c>
      <c r="AJ147" s="2790">
        <f t="shared" si="5"/>
        <v>2117</v>
      </c>
      <c r="AK147" s="2790" t="e">
        <f>VLOOKUP(B147,'Mủ CN (TT)'!C164:AK341,36,0)+VLOOKUP(B147,'Mủ CN (tam ung)'!C130:AL304,36,0)</f>
        <v>#REF!</v>
      </c>
      <c r="AL147" s="2814" t="s">
        <v>141</v>
      </c>
      <c r="AM147" s="2798"/>
    </row>
    <row r="148" spans="1:42" ht="18.75">
      <c r="A148" s="2816">
        <v>12</v>
      </c>
      <c r="B148" s="2813" t="s">
        <v>1514</v>
      </c>
      <c r="C148" s="2813"/>
      <c r="D148" s="2813" t="s">
        <v>452</v>
      </c>
      <c r="E148" s="2796">
        <v>56</v>
      </c>
      <c r="F148" s="2796">
        <v>92</v>
      </c>
      <c r="G148" s="2796">
        <v>86</v>
      </c>
      <c r="H148" s="2796">
        <v>90</v>
      </c>
      <c r="I148" s="2796">
        <v>60</v>
      </c>
      <c r="J148" s="2796">
        <v>120</v>
      </c>
      <c r="K148" s="2796">
        <v>65</v>
      </c>
      <c r="L148" s="2796">
        <v>71</v>
      </c>
      <c r="M148" s="2796">
        <v>58</v>
      </c>
      <c r="N148" s="2796">
        <v>80</v>
      </c>
      <c r="O148" s="2796">
        <v>65</v>
      </c>
      <c r="P148" s="2796">
        <v>60</v>
      </c>
      <c r="Q148" s="2796">
        <v>45</v>
      </c>
      <c r="R148" s="2796">
        <v>105</v>
      </c>
      <c r="S148" s="2796"/>
      <c r="T148" s="2796">
        <v>112</v>
      </c>
      <c r="U148" s="2796">
        <v>50</v>
      </c>
      <c r="V148" s="2796">
        <v>69</v>
      </c>
      <c r="W148" s="2796">
        <v>58</v>
      </c>
      <c r="X148" s="2796">
        <v>55</v>
      </c>
      <c r="Y148" s="2796">
        <v>50</v>
      </c>
      <c r="Z148" s="2796">
        <v>98</v>
      </c>
      <c r="AA148" s="2796">
        <v>52</v>
      </c>
      <c r="AB148" s="2796">
        <v>45</v>
      </c>
      <c r="AC148" s="2796">
        <v>44</v>
      </c>
      <c r="AD148" s="2796">
        <v>112</v>
      </c>
      <c r="AE148" s="2796"/>
      <c r="AF148" s="2796">
        <v>50</v>
      </c>
      <c r="AG148" s="2796">
        <v>40</v>
      </c>
      <c r="AH148" s="2796">
        <v>90</v>
      </c>
      <c r="AI148" s="2796">
        <v>59</v>
      </c>
      <c r="AJ148" s="2790">
        <f t="shared" si="5"/>
        <v>2037</v>
      </c>
      <c r="AK148" s="2790" t="e">
        <f>VLOOKUP(B148,'Mủ CN (TT)'!C165:AK342,36,0)+VLOOKUP(B148,'Mủ CN (tam ung)'!C131:AL305,36,0)</f>
        <v>#N/A</v>
      </c>
      <c r="AL148" s="2814" t="s">
        <v>138</v>
      </c>
      <c r="AM148" s="2798"/>
    </row>
    <row r="149" spans="1:42" ht="18.75">
      <c r="A149" s="2816">
        <v>13</v>
      </c>
      <c r="B149" s="2813" t="s">
        <v>1303</v>
      </c>
      <c r="C149" s="2813"/>
      <c r="D149" s="2813" t="s">
        <v>452</v>
      </c>
      <c r="E149" s="2796">
        <v>72</v>
      </c>
      <c r="F149" s="2796">
        <v>100</v>
      </c>
      <c r="G149" s="2796">
        <v>60</v>
      </c>
      <c r="H149" s="2796">
        <v>64</v>
      </c>
      <c r="I149" s="2796">
        <v>75</v>
      </c>
      <c r="J149" s="2796">
        <v>90</v>
      </c>
      <c r="K149" s="2796">
        <v>65</v>
      </c>
      <c r="L149" s="2796">
        <v>70</v>
      </c>
      <c r="M149" s="2796">
        <v>68</v>
      </c>
      <c r="N149" s="2796"/>
      <c r="O149" s="2796">
        <v>56</v>
      </c>
      <c r="P149" s="2796">
        <v>62</v>
      </c>
      <c r="Q149" s="2796">
        <v>62</v>
      </c>
      <c r="R149" s="2796">
        <v>61</v>
      </c>
      <c r="S149" s="2796"/>
      <c r="T149" s="2796">
        <v>70</v>
      </c>
      <c r="U149" s="2796">
        <v>61</v>
      </c>
      <c r="V149" s="2796">
        <v>59</v>
      </c>
      <c r="W149" s="2796">
        <v>57</v>
      </c>
      <c r="X149" s="2796">
        <v>87</v>
      </c>
      <c r="Y149" s="2796"/>
      <c r="Z149" s="2796">
        <v>52</v>
      </c>
      <c r="AA149" s="2796">
        <v>51</v>
      </c>
      <c r="AB149" s="2796">
        <v>78</v>
      </c>
      <c r="AC149" s="2796">
        <v>50</v>
      </c>
      <c r="AD149" s="2796"/>
      <c r="AE149" s="2796">
        <v>57</v>
      </c>
      <c r="AF149" s="2796"/>
      <c r="AG149" s="2796"/>
      <c r="AH149" s="2796">
        <v>84</v>
      </c>
      <c r="AI149" s="2796">
        <v>83</v>
      </c>
      <c r="AJ149" s="2790">
        <f t="shared" si="5"/>
        <v>1694</v>
      </c>
      <c r="AK149" s="2790" t="e">
        <f>VLOOKUP(B149,'Mủ CN (TT)'!C166:AK343,36,0)+VLOOKUP(B149,'Mủ CN (tam ung)'!C132:AL306,36,0)</f>
        <v>#N/A</v>
      </c>
      <c r="AL149" s="2814" t="s">
        <v>138</v>
      </c>
      <c r="AM149" s="2798"/>
    </row>
    <row r="150" spans="1:42" ht="18.75">
      <c r="A150" s="2816">
        <v>14</v>
      </c>
      <c r="B150" s="2813" t="s">
        <v>850</v>
      </c>
      <c r="C150" s="2813"/>
      <c r="D150" s="2813" t="s">
        <v>452</v>
      </c>
      <c r="E150" s="2796">
        <v>90</v>
      </c>
      <c r="F150" s="2796">
        <v>85</v>
      </c>
      <c r="G150" s="2796">
        <v>75</v>
      </c>
      <c r="H150" s="2796">
        <v>142</v>
      </c>
      <c r="I150" s="2796">
        <v>70</v>
      </c>
      <c r="J150" s="2796">
        <v>80</v>
      </c>
      <c r="K150" s="2796">
        <v>65</v>
      </c>
      <c r="L150" s="2796">
        <v>129</v>
      </c>
      <c r="M150" s="2796">
        <v>64</v>
      </c>
      <c r="N150" s="2796">
        <v>71</v>
      </c>
      <c r="O150" s="2796">
        <v>56</v>
      </c>
      <c r="P150" s="2796">
        <v>112</v>
      </c>
      <c r="Q150" s="2796">
        <v>43</v>
      </c>
      <c r="R150" s="2796">
        <v>71</v>
      </c>
      <c r="S150" s="2796"/>
      <c r="T150" s="2796">
        <v>73</v>
      </c>
      <c r="U150" s="2796">
        <v>56</v>
      </c>
      <c r="V150" s="2796">
        <v>55</v>
      </c>
      <c r="W150" s="2796">
        <v>104</v>
      </c>
      <c r="X150" s="2796">
        <v>109</v>
      </c>
      <c r="Y150" s="2796">
        <v>55</v>
      </c>
      <c r="Z150" s="2796">
        <v>61</v>
      </c>
      <c r="AA150" s="2796">
        <v>66</v>
      </c>
      <c r="AB150" s="2796">
        <v>62</v>
      </c>
      <c r="AC150" s="2796">
        <v>40</v>
      </c>
      <c r="AD150" s="2796">
        <v>46</v>
      </c>
      <c r="AE150" s="2796">
        <v>40</v>
      </c>
      <c r="AF150" s="2796">
        <v>65</v>
      </c>
      <c r="AG150" s="2796">
        <v>40</v>
      </c>
      <c r="AH150" s="2796">
        <v>51</v>
      </c>
      <c r="AI150" s="2796">
        <v>61</v>
      </c>
      <c r="AJ150" s="2790">
        <f t="shared" si="5"/>
        <v>2137</v>
      </c>
      <c r="AK150" s="2790" t="e">
        <f>VLOOKUP(B150,'Mủ CN (TT)'!C167:AK344,36,0)+VLOOKUP(B150,'Mủ CN (tam ung)'!C133:AL307,36,0)</f>
        <v>#N/A</v>
      </c>
      <c r="AL150" s="2814" t="s">
        <v>141</v>
      </c>
      <c r="AM150" s="2798"/>
      <c r="AP150">
        <f>+COUNTIF(AL137:AL159,"A")</f>
        <v>15</v>
      </c>
    </row>
    <row r="151" spans="1:42" ht="18.75">
      <c r="A151" s="2816">
        <v>15</v>
      </c>
      <c r="B151" s="2813" t="s">
        <v>1515</v>
      </c>
      <c r="C151" s="2813"/>
      <c r="D151" s="2813" t="s">
        <v>452</v>
      </c>
      <c r="E151" s="2796">
        <v>102</v>
      </c>
      <c r="F151" s="2796">
        <v>66</v>
      </c>
      <c r="G151" s="2796"/>
      <c r="H151" s="2796">
        <v>86</v>
      </c>
      <c r="I151" s="2796">
        <v>87</v>
      </c>
      <c r="J151" s="2796">
        <v>60</v>
      </c>
      <c r="K151" s="2796">
        <v>50</v>
      </c>
      <c r="L151" s="2796">
        <v>51</v>
      </c>
      <c r="M151" s="2796">
        <v>100</v>
      </c>
      <c r="N151" s="2796">
        <v>42</v>
      </c>
      <c r="O151" s="2796">
        <v>61</v>
      </c>
      <c r="P151" s="2796">
        <v>70</v>
      </c>
      <c r="Q151" s="2796">
        <v>90</v>
      </c>
      <c r="R151" s="2796"/>
      <c r="S151" s="2796">
        <v>85</v>
      </c>
      <c r="T151" s="2796">
        <v>73</v>
      </c>
      <c r="U151" s="2796"/>
      <c r="V151" s="2796">
        <v>40</v>
      </c>
      <c r="W151" s="2796">
        <v>50</v>
      </c>
      <c r="X151" s="2796">
        <v>45</v>
      </c>
      <c r="Y151" s="2796">
        <v>84</v>
      </c>
      <c r="Z151" s="2796"/>
      <c r="AA151" s="2796">
        <v>45</v>
      </c>
      <c r="AB151" s="2796">
        <v>50</v>
      </c>
      <c r="AC151" s="2796">
        <v>50</v>
      </c>
      <c r="AD151" s="2796">
        <v>40</v>
      </c>
      <c r="AE151" s="2796">
        <v>32</v>
      </c>
      <c r="AF151" s="2796">
        <v>70</v>
      </c>
      <c r="AG151" s="2796">
        <v>88</v>
      </c>
      <c r="AH151" s="2796">
        <v>46</v>
      </c>
      <c r="AI151" s="2796">
        <v>40</v>
      </c>
      <c r="AJ151" s="2790">
        <f t="shared" si="5"/>
        <v>1703</v>
      </c>
      <c r="AK151" s="2790" t="e">
        <f>VLOOKUP(B151,'Mủ CN (TT)'!C168:AK345,36,0)+VLOOKUP(B151,'Mủ CN (tam ung)'!C134:AL308,36,0)</f>
        <v>#N/A</v>
      </c>
      <c r="AL151" s="2814" t="s">
        <v>138</v>
      </c>
      <c r="AM151" s="2798"/>
    </row>
    <row r="152" spans="1:42" ht="18.75">
      <c r="A152" s="2816">
        <v>16</v>
      </c>
      <c r="B152" s="2813" t="s">
        <v>1516</v>
      </c>
      <c r="C152" s="2813"/>
      <c r="D152" s="2813" t="s">
        <v>452</v>
      </c>
      <c r="E152" s="2796">
        <v>69</v>
      </c>
      <c r="F152" s="2796">
        <v>51</v>
      </c>
      <c r="G152" s="2796"/>
      <c r="H152" s="2796">
        <v>75</v>
      </c>
      <c r="I152" s="2796">
        <v>73</v>
      </c>
      <c r="J152" s="2796">
        <v>50</v>
      </c>
      <c r="K152" s="2796">
        <v>50</v>
      </c>
      <c r="L152" s="2796">
        <v>50</v>
      </c>
      <c r="M152" s="2796">
        <v>78</v>
      </c>
      <c r="N152" s="2796">
        <v>40</v>
      </c>
      <c r="O152" s="2796">
        <v>56</v>
      </c>
      <c r="P152" s="2796">
        <v>86</v>
      </c>
      <c r="Q152" s="2796">
        <v>59</v>
      </c>
      <c r="R152" s="2796"/>
      <c r="S152" s="2796">
        <v>80</v>
      </c>
      <c r="T152" s="2796">
        <v>74</v>
      </c>
      <c r="U152" s="2796"/>
      <c r="V152" s="2796">
        <v>40</v>
      </c>
      <c r="W152" s="2796">
        <v>50</v>
      </c>
      <c r="X152" s="2796">
        <v>40</v>
      </c>
      <c r="Y152" s="2796">
        <v>74</v>
      </c>
      <c r="Z152" s="2796"/>
      <c r="AA152" s="2796">
        <v>41</v>
      </c>
      <c r="AB152" s="2796">
        <v>56</v>
      </c>
      <c r="AC152" s="2796">
        <v>46</v>
      </c>
      <c r="AD152" s="2796">
        <v>45</v>
      </c>
      <c r="AE152" s="2796">
        <v>52</v>
      </c>
      <c r="AF152" s="2796">
        <v>69</v>
      </c>
      <c r="AG152" s="2796">
        <v>75</v>
      </c>
      <c r="AH152" s="2796">
        <v>40</v>
      </c>
      <c r="AI152" s="2796">
        <v>40</v>
      </c>
      <c r="AJ152" s="2790">
        <f t="shared" si="5"/>
        <v>1559</v>
      </c>
      <c r="AK152" s="2790" t="e">
        <f>VLOOKUP(B152,'Mủ CN (TT)'!C169:AK346,36,0)+VLOOKUP(B152,'Mủ CN (tam ung)'!C135:AL309,36,0)</f>
        <v>#N/A</v>
      </c>
      <c r="AL152" s="2814" t="s">
        <v>141</v>
      </c>
      <c r="AM152" s="2798"/>
    </row>
    <row r="153" spans="1:42" ht="18.75">
      <c r="A153" s="2816">
        <v>17</v>
      </c>
      <c r="B153" s="2813" t="s">
        <v>288</v>
      </c>
      <c r="C153" s="2813"/>
      <c r="D153" s="2813" t="s">
        <v>452</v>
      </c>
      <c r="E153" s="2796">
        <v>90</v>
      </c>
      <c r="F153" s="2796">
        <v>116</v>
      </c>
      <c r="G153" s="2796">
        <v>76</v>
      </c>
      <c r="H153" s="2796">
        <v>82</v>
      </c>
      <c r="I153" s="2796">
        <v>80</v>
      </c>
      <c r="J153" s="2796">
        <v>90</v>
      </c>
      <c r="K153" s="2796">
        <v>63</v>
      </c>
      <c r="L153" s="2796">
        <v>42</v>
      </c>
      <c r="M153" s="2796">
        <v>60</v>
      </c>
      <c r="N153" s="2796">
        <v>66</v>
      </c>
      <c r="O153" s="2796">
        <v>48</v>
      </c>
      <c r="P153" s="2796">
        <v>64</v>
      </c>
      <c r="Q153" s="2796">
        <v>84</v>
      </c>
      <c r="R153" s="2796">
        <v>92</v>
      </c>
      <c r="S153" s="2796"/>
      <c r="T153" s="2796">
        <v>47</v>
      </c>
      <c r="U153" s="2796"/>
      <c r="V153" s="2796">
        <v>86</v>
      </c>
      <c r="W153" s="2796">
        <v>85</v>
      </c>
      <c r="X153" s="2796">
        <v>75</v>
      </c>
      <c r="Y153" s="2796">
        <v>76</v>
      </c>
      <c r="Z153" s="2796">
        <v>91</v>
      </c>
      <c r="AA153" s="2796">
        <v>69</v>
      </c>
      <c r="AB153" s="2796">
        <v>36</v>
      </c>
      <c r="AC153" s="2796">
        <v>55</v>
      </c>
      <c r="AD153" s="2796">
        <v>58</v>
      </c>
      <c r="AE153" s="2796">
        <v>45</v>
      </c>
      <c r="AF153" s="2796">
        <v>70</v>
      </c>
      <c r="AG153" s="2796">
        <v>76</v>
      </c>
      <c r="AH153" s="2796">
        <v>53</v>
      </c>
      <c r="AI153" s="2796">
        <v>57</v>
      </c>
      <c r="AJ153" s="2790">
        <f t="shared" si="5"/>
        <v>2032</v>
      </c>
      <c r="AK153" s="2790" t="e">
        <f>VLOOKUP(B153,'Mủ CN (TT)'!C170:AK347,36,0)+VLOOKUP(B153,'Mủ CN (tam ung)'!C136:AL310,36,0)</f>
        <v>#N/A</v>
      </c>
      <c r="AL153" s="2814" t="s">
        <v>141</v>
      </c>
      <c r="AM153" s="2798"/>
    </row>
    <row r="154" spans="1:42" ht="18.75">
      <c r="A154" s="2816">
        <v>18</v>
      </c>
      <c r="B154" s="2813" t="s">
        <v>1215</v>
      </c>
      <c r="C154" s="2813"/>
      <c r="D154" s="2813" t="s">
        <v>452</v>
      </c>
      <c r="E154" s="2796">
        <v>58</v>
      </c>
      <c r="F154" s="2796">
        <v>61</v>
      </c>
      <c r="G154" s="2796">
        <v>52</v>
      </c>
      <c r="H154" s="2796"/>
      <c r="I154" s="2796"/>
      <c r="J154" s="2796">
        <v>55</v>
      </c>
      <c r="K154" s="2796">
        <v>55</v>
      </c>
      <c r="L154" s="2796">
        <v>108</v>
      </c>
      <c r="M154" s="2796">
        <v>88</v>
      </c>
      <c r="N154" s="2796"/>
      <c r="O154" s="2796">
        <v>49</v>
      </c>
      <c r="P154" s="2796">
        <v>94</v>
      </c>
      <c r="Q154" s="2796">
        <v>62</v>
      </c>
      <c r="R154" s="2796">
        <v>62</v>
      </c>
      <c r="S154" s="2796"/>
      <c r="T154" s="2796">
        <v>163</v>
      </c>
      <c r="U154" s="2796">
        <v>68</v>
      </c>
      <c r="V154" s="2796">
        <v>74</v>
      </c>
      <c r="W154" s="2796">
        <v>40</v>
      </c>
      <c r="X154" s="2796">
        <v>74</v>
      </c>
      <c r="Y154" s="2796"/>
      <c r="Z154" s="2796">
        <v>79</v>
      </c>
      <c r="AA154" s="2796">
        <v>44</v>
      </c>
      <c r="AB154" s="2796">
        <v>110</v>
      </c>
      <c r="AC154" s="2790">
        <v>63</v>
      </c>
      <c r="AD154" s="2790">
        <v>69</v>
      </c>
      <c r="AE154" s="2790">
        <v>86</v>
      </c>
      <c r="AF154" s="2790"/>
      <c r="AG154" s="2790">
        <v>51</v>
      </c>
      <c r="AH154" s="2790">
        <v>57</v>
      </c>
      <c r="AI154" s="2790">
        <v>51</v>
      </c>
      <c r="AJ154" s="2790">
        <f t="shared" si="5"/>
        <v>1773</v>
      </c>
      <c r="AK154" s="2790" t="e">
        <f>VLOOKUP(B154,'Mủ CN (TT)'!C171:AK348,36,0)+VLOOKUP(B154,'Mủ CN (tam ung)'!C137:AL311,36,0)</f>
        <v>#N/A</v>
      </c>
      <c r="AL154" s="2814" t="s">
        <v>138</v>
      </c>
      <c r="AM154" s="2798"/>
    </row>
    <row r="155" spans="1:42" ht="18.75">
      <c r="A155" s="2816">
        <v>19</v>
      </c>
      <c r="B155" s="2813" t="s">
        <v>1189</v>
      </c>
      <c r="C155" s="2813"/>
      <c r="D155" s="2813" t="s">
        <v>452</v>
      </c>
      <c r="E155" s="2796">
        <v>75</v>
      </c>
      <c r="F155" s="2796">
        <v>198</v>
      </c>
      <c r="G155" s="2796">
        <v>130</v>
      </c>
      <c r="H155" s="2796">
        <v>171</v>
      </c>
      <c r="I155" s="2796">
        <v>70</v>
      </c>
      <c r="J155" s="2796">
        <v>91</v>
      </c>
      <c r="K155" s="2796">
        <v>80</v>
      </c>
      <c r="L155" s="2796">
        <v>114</v>
      </c>
      <c r="M155" s="2796">
        <v>70</v>
      </c>
      <c r="N155" s="2796">
        <v>80</v>
      </c>
      <c r="O155" s="2796">
        <v>80</v>
      </c>
      <c r="P155" s="2796">
        <v>96</v>
      </c>
      <c r="Q155" s="2796">
        <v>68</v>
      </c>
      <c r="R155" s="2796">
        <v>87</v>
      </c>
      <c r="S155" s="2796"/>
      <c r="T155" s="2796">
        <v>107</v>
      </c>
      <c r="U155" s="2796">
        <v>72</v>
      </c>
      <c r="V155" s="2796">
        <v>85</v>
      </c>
      <c r="W155" s="2796">
        <v>142</v>
      </c>
      <c r="X155" s="2796">
        <v>87</v>
      </c>
      <c r="Y155" s="2796">
        <v>64</v>
      </c>
      <c r="Z155" s="2796">
        <v>78</v>
      </c>
      <c r="AA155" s="2796">
        <v>69</v>
      </c>
      <c r="AB155" s="2796">
        <v>87</v>
      </c>
      <c r="AC155" s="2796">
        <v>66</v>
      </c>
      <c r="AD155" s="2796">
        <v>70</v>
      </c>
      <c r="AE155" s="2796">
        <v>65</v>
      </c>
      <c r="AF155" s="2796">
        <v>89</v>
      </c>
      <c r="AG155" s="2796">
        <v>69</v>
      </c>
      <c r="AH155" s="2796"/>
      <c r="AI155" s="2796">
        <v>142</v>
      </c>
      <c r="AJ155" s="2790">
        <f t="shared" si="5"/>
        <v>2702</v>
      </c>
      <c r="AK155" s="2790" t="e">
        <f>VLOOKUP(B155,'Mủ CN (TT)'!C172:AK349,36,0)+VLOOKUP(B155,'Mủ CN (tam ung)'!C138:AL312,36,0)</f>
        <v>#N/A</v>
      </c>
      <c r="AL155" s="2814" t="s">
        <v>138</v>
      </c>
      <c r="AM155" s="2798"/>
    </row>
    <row r="156" spans="1:42" ht="18.75">
      <c r="A156" s="2816">
        <v>20</v>
      </c>
      <c r="B156" s="2813" t="s">
        <v>1542</v>
      </c>
      <c r="C156" s="2813"/>
      <c r="D156" s="2813" t="s">
        <v>452</v>
      </c>
      <c r="E156" s="2796">
        <v>90</v>
      </c>
      <c r="F156" s="2796">
        <v>54</v>
      </c>
      <c r="G156" s="2796">
        <v>62</v>
      </c>
      <c r="H156" s="2796">
        <v>50</v>
      </c>
      <c r="I156" s="2796">
        <v>65</v>
      </c>
      <c r="J156" s="2796">
        <v>65</v>
      </c>
      <c r="K156" s="2796">
        <v>62</v>
      </c>
      <c r="L156" s="2796">
        <v>59</v>
      </c>
      <c r="M156" s="2796">
        <v>80</v>
      </c>
      <c r="N156" s="2796">
        <v>64</v>
      </c>
      <c r="O156" s="2796">
        <v>63</v>
      </c>
      <c r="P156" s="2796">
        <v>50</v>
      </c>
      <c r="Q156" s="2796">
        <v>71</v>
      </c>
      <c r="R156" s="2796">
        <v>60</v>
      </c>
      <c r="S156" s="2796">
        <v>59</v>
      </c>
      <c r="T156" s="2796">
        <v>42</v>
      </c>
      <c r="U156" s="2796">
        <v>64</v>
      </c>
      <c r="V156" s="2796">
        <v>53</v>
      </c>
      <c r="W156" s="2796">
        <v>60</v>
      </c>
      <c r="X156" s="2796">
        <v>50</v>
      </c>
      <c r="Y156" s="2796">
        <v>73</v>
      </c>
      <c r="Z156" s="2796"/>
      <c r="AA156" s="2796">
        <v>66</v>
      </c>
      <c r="AB156" s="2796">
        <v>53</v>
      </c>
      <c r="AC156" s="2796">
        <v>75</v>
      </c>
      <c r="AD156" s="2796">
        <v>77</v>
      </c>
      <c r="AE156" s="2796">
        <v>61</v>
      </c>
      <c r="AF156" s="2796">
        <v>60</v>
      </c>
      <c r="AG156" s="2796">
        <v>58</v>
      </c>
      <c r="AH156" s="2796">
        <v>66</v>
      </c>
      <c r="AI156" s="2796">
        <v>74</v>
      </c>
      <c r="AJ156" s="2790">
        <f t="shared" si="5"/>
        <v>1886</v>
      </c>
      <c r="AK156" s="2790" t="e">
        <f>VLOOKUP(B156,'Mủ CN (TT)'!C173:AK350,36,0)+VLOOKUP(B156,'Mủ CN (tam ung)'!C139:AL313,36,0)</f>
        <v>#N/A</v>
      </c>
      <c r="AL156" s="2814" t="s">
        <v>141</v>
      </c>
      <c r="AM156" s="2798"/>
    </row>
    <row r="157" spans="1:42" ht="18.75">
      <c r="A157" s="2816">
        <v>21</v>
      </c>
      <c r="B157" s="2813" t="s">
        <v>1543</v>
      </c>
      <c r="C157" s="2813"/>
      <c r="D157" s="2813" t="s">
        <v>452</v>
      </c>
      <c r="E157" s="2796">
        <v>62</v>
      </c>
      <c r="F157" s="2796"/>
      <c r="G157" s="2796"/>
      <c r="H157" s="2796">
        <v>76</v>
      </c>
      <c r="I157" s="2796">
        <v>64</v>
      </c>
      <c r="J157" s="2796">
        <v>154</v>
      </c>
      <c r="K157" s="2796">
        <v>73</v>
      </c>
      <c r="L157" s="2796">
        <v>60</v>
      </c>
      <c r="M157" s="2796">
        <v>85</v>
      </c>
      <c r="N157" s="2796"/>
      <c r="O157" s="2796">
        <v>105</v>
      </c>
      <c r="P157" s="2796">
        <v>61</v>
      </c>
      <c r="Q157" s="2796">
        <v>36</v>
      </c>
      <c r="R157" s="2796">
        <v>69</v>
      </c>
      <c r="S157" s="2796"/>
      <c r="T157" s="2796">
        <v>51</v>
      </c>
      <c r="U157" s="2796">
        <v>77</v>
      </c>
      <c r="V157" s="2796">
        <v>60</v>
      </c>
      <c r="W157" s="2796">
        <v>60</v>
      </c>
      <c r="X157" s="2796">
        <v>50</v>
      </c>
      <c r="Y157" s="2796">
        <v>50</v>
      </c>
      <c r="Z157" s="2796">
        <v>40</v>
      </c>
      <c r="AA157" s="2796">
        <v>80</v>
      </c>
      <c r="AB157" s="2796">
        <v>52</v>
      </c>
      <c r="AC157" s="2796">
        <v>76</v>
      </c>
      <c r="AD157" s="2796">
        <v>52</v>
      </c>
      <c r="AE157" s="2796">
        <v>63</v>
      </c>
      <c r="AF157" s="2796">
        <v>66</v>
      </c>
      <c r="AG157" s="2796"/>
      <c r="AH157" s="2796"/>
      <c r="AI157" s="2796">
        <v>116</v>
      </c>
      <c r="AJ157" s="2790">
        <f t="shared" si="5"/>
        <v>1738</v>
      </c>
      <c r="AK157" s="2790" t="e">
        <f>VLOOKUP(B157,'Mủ CN (TT)'!C174:AK351,36,0)+VLOOKUP(B157,'Mủ CN (tam ung)'!C140:AL314,36,0)</f>
        <v>#N/A</v>
      </c>
      <c r="AL157" s="2814" t="s">
        <v>141</v>
      </c>
      <c r="AM157" s="2798"/>
    </row>
    <row r="158" spans="1:42" ht="18.75">
      <c r="A158" s="2816">
        <v>22</v>
      </c>
      <c r="B158" s="2813" t="s">
        <v>1253</v>
      </c>
      <c r="C158" s="2813"/>
      <c r="D158" s="2813" t="s">
        <v>452</v>
      </c>
      <c r="E158" s="2796">
        <v>56</v>
      </c>
      <c r="F158" s="2796">
        <v>70</v>
      </c>
      <c r="G158" s="2796">
        <v>71</v>
      </c>
      <c r="H158" s="2796">
        <v>50</v>
      </c>
      <c r="I158" s="2796">
        <v>64</v>
      </c>
      <c r="J158" s="2796">
        <v>60</v>
      </c>
      <c r="K158" s="2796">
        <v>77</v>
      </c>
      <c r="L158" s="2796">
        <v>53</v>
      </c>
      <c r="M158" s="2796">
        <v>54</v>
      </c>
      <c r="N158" s="2796">
        <v>105</v>
      </c>
      <c r="O158" s="2796">
        <v>76</v>
      </c>
      <c r="P158" s="2796">
        <v>64</v>
      </c>
      <c r="Q158" s="2796">
        <v>66</v>
      </c>
      <c r="R158" s="2796">
        <v>66</v>
      </c>
      <c r="S158" s="2796"/>
      <c r="T158" s="2796">
        <v>96</v>
      </c>
      <c r="U158" s="2796">
        <v>60</v>
      </c>
      <c r="V158" s="2796">
        <v>62</v>
      </c>
      <c r="W158" s="2796">
        <v>112</v>
      </c>
      <c r="X158" s="2796">
        <v>108</v>
      </c>
      <c r="Y158" s="2796">
        <v>70</v>
      </c>
      <c r="Z158" s="2796">
        <v>65</v>
      </c>
      <c r="AA158" s="2796">
        <v>65</v>
      </c>
      <c r="AB158" s="2796">
        <v>81</v>
      </c>
      <c r="AC158" s="2796">
        <v>56</v>
      </c>
      <c r="AD158" s="2796">
        <v>57</v>
      </c>
      <c r="AE158" s="2796">
        <v>50</v>
      </c>
      <c r="AF158" s="2796">
        <v>86</v>
      </c>
      <c r="AG158" s="2796">
        <v>50</v>
      </c>
      <c r="AH158" s="2796">
        <v>66</v>
      </c>
      <c r="AI158" s="2796"/>
      <c r="AJ158" s="2790">
        <f t="shared" si="5"/>
        <v>2016</v>
      </c>
      <c r="AK158" s="2790" t="e">
        <f>VLOOKUP(B158,'Mủ CN (TT)'!C175:AK352,36,0)+VLOOKUP(B158,'Mủ CN (tam ung)'!C141:AL315,36,0)</f>
        <v>#REF!</v>
      </c>
      <c r="AL158" s="2814" t="s">
        <v>138</v>
      </c>
      <c r="AM158" s="2798"/>
    </row>
    <row r="159" spans="1:42" ht="18.75">
      <c r="A159" s="2911">
        <v>23</v>
      </c>
      <c r="B159" s="2912" t="s">
        <v>1544</v>
      </c>
      <c r="C159" s="2912"/>
      <c r="D159" s="2912" t="s">
        <v>452</v>
      </c>
      <c r="E159" s="2901">
        <v>81</v>
      </c>
      <c r="F159" s="2901">
        <v>100</v>
      </c>
      <c r="G159" s="2901">
        <v>72</v>
      </c>
      <c r="H159" s="2901">
        <v>84</v>
      </c>
      <c r="I159" s="2901">
        <v>76</v>
      </c>
      <c r="J159" s="2901">
        <v>102</v>
      </c>
      <c r="K159" s="2901">
        <v>60</v>
      </c>
      <c r="L159" s="2901">
        <v>59</v>
      </c>
      <c r="M159" s="2901">
        <v>65</v>
      </c>
      <c r="N159" s="2901">
        <v>79</v>
      </c>
      <c r="O159" s="2901">
        <v>53</v>
      </c>
      <c r="P159" s="2901">
        <v>56</v>
      </c>
      <c r="Q159" s="2901">
        <v>65</v>
      </c>
      <c r="R159" s="2901">
        <v>89</v>
      </c>
      <c r="S159" s="2901">
        <v>53</v>
      </c>
      <c r="T159" s="2901">
        <v>45</v>
      </c>
      <c r="U159" s="2901">
        <v>55</v>
      </c>
      <c r="V159" s="2901">
        <v>78</v>
      </c>
      <c r="W159" s="2901">
        <v>50</v>
      </c>
      <c r="X159" s="2901">
        <v>65</v>
      </c>
      <c r="Y159" s="2901">
        <v>65</v>
      </c>
      <c r="Z159" s="2901">
        <v>77</v>
      </c>
      <c r="AA159" s="2901">
        <v>41</v>
      </c>
      <c r="AB159" s="2901">
        <v>44</v>
      </c>
      <c r="AC159" s="2901">
        <v>40</v>
      </c>
      <c r="AD159" s="2901">
        <v>63</v>
      </c>
      <c r="AE159" s="2901">
        <v>50</v>
      </c>
      <c r="AF159" s="2901">
        <v>50</v>
      </c>
      <c r="AG159" s="2901">
        <v>58</v>
      </c>
      <c r="AH159" s="2901"/>
      <c r="AI159" s="2901">
        <v>127</v>
      </c>
      <c r="AJ159" s="2902">
        <f t="shared" si="5"/>
        <v>2002</v>
      </c>
      <c r="AK159" s="2790" t="e">
        <f>VLOOKUP(B159,'Mủ CN (TT)'!C176:AK353,36,0)+VLOOKUP(B159,'Mủ CN (tam ung)'!C141:AL316,36,0)</f>
        <v>#N/A</v>
      </c>
      <c r="AL159" s="2913" t="s">
        <v>141</v>
      </c>
      <c r="AM159" s="2908"/>
    </row>
    <row r="160" spans="1:42" ht="18.75">
      <c r="A160" s="2922" t="s">
        <v>1865</v>
      </c>
      <c r="B160" s="2923"/>
      <c r="C160" s="2923"/>
      <c r="D160" s="2924"/>
      <c r="E160" s="2903">
        <f t="shared" ref="E160:AL160" si="6">SUBTOTAL(9,E137:E159)</f>
        <v>1581</v>
      </c>
      <c r="F160" s="2903">
        <f t="shared" si="6"/>
        <v>1777</v>
      </c>
      <c r="G160" s="2903">
        <f t="shared" si="6"/>
        <v>1443</v>
      </c>
      <c r="H160" s="2903">
        <f t="shared" si="6"/>
        <v>1988</v>
      </c>
      <c r="I160" s="2903">
        <f t="shared" si="6"/>
        <v>1517</v>
      </c>
      <c r="J160" s="2903">
        <f t="shared" si="6"/>
        <v>1861</v>
      </c>
      <c r="K160" s="2903">
        <f t="shared" si="6"/>
        <v>1454</v>
      </c>
      <c r="L160" s="2903">
        <f t="shared" si="6"/>
        <v>1806</v>
      </c>
      <c r="M160" s="2903">
        <f t="shared" si="6"/>
        <v>1543</v>
      </c>
      <c r="N160" s="2903">
        <f t="shared" si="6"/>
        <v>1238</v>
      </c>
      <c r="O160" s="2903">
        <f t="shared" si="6"/>
        <v>1646</v>
      </c>
      <c r="P160" s="2903">
        <f t="shared" si="6"/>
        <v>1729</v>
      </c>
      <c r="Q160" s="2903">
        <f t="shared" si="6"/>
        <v>1366</v>
      </c>
      <c r="R160" s="2903">
        <f t="shared" si="6"/>
        <v>1335</v>
      </c>
      <c r="S160" s="2903">
        <f t="shared" si="6"/>
        <v>738</v>
      </c>
      <c r="T160" s="2903">
        <f t="shared" si="6"/>
        <v>1962</v>
      </c>
      <c r="U160" s="2903">
        <f t="shared" si="6"/>
        <v>1078</v>
      </c>
      <c r="V160" s="2903">
        <f t="shared" si="6"/>
        <v>1529</v>
      </c>
      <c r="W160" s="2903">
        <f t="shared" si="6"/>
        <v>1744</v>
      </c>
      <c r="X160" s="2903">
        <f t="shared" si="6"/>
        <v>1621</v>
      </c>
      <c r="Y160" s="2903">
        <f t="shared" si="6"/>
        <v>1151</v>
      </c>
      <c r="Z160" s="2903">
        <f t="shared" si="6"/>
        <v>1358</v>
      </c>
      <c r="AA160" s="2903">
        <f t="shared" si="6"/>
        <v>1215</v>
      </c>
      <c r="AB160" s="2903">
        <f t="shared" si="6"/>
        <v>1358</v>
      </c>
      <c r="AC160" s="2903">
        <f t="shared" si="6"/>
        <v>1280</v>
      </c>
      <c r="AD160" s="2903">
        <f t="shared" si="6"/>
        <v>1341</v>
      </c>
      <c r="AE160" s="2903">
        <f t="shared" si="6"/>
        <v>1163</v>
      </c>
      <c r="AF160" s="2903">
        <f t="shared" si="6"/>
        <v>1517</v>
      </c>
      <c r="AG160" s="2903">
        <f t="shared" si="6"/>
        <v>1071</v>
      </c>
      <c r="AH160" s="2903">
        <f t="shared" si="6"/>
        <v>1337</v>
      </c>
      <c r="AI160" s="2903">
        <f t="shared" si="6"/>
        <v>1508</v>
      </c>
      <c r="AJ160" s="2903">
        <f t="shared" si="6"/>
        <v>45255</v>
      </c>
      <c r="AK160" s="2903" t="e">
        <f t="shared" si="6"/>
        <v>#REF!</v>
      </c>
      <c r="AL160" s="2819">
        <f t="shared" si="6"/>
        <v>0</v>
      </c>
      <c r="AM160" s="2820"/>
    </row>
    <row r="161" spans="1:41" ht="18.75">
      <c r="A161" s="2821">
        <v>1</v>
      </c>
      <c r="B161" s="2822" t="s">
        <v>1216</v>
      </c>
      <c r="C161" s="2823"/>
      <c r="D161" s="2823" t="s">
        <v>453</v>
      </c>
      <c r="E161" s="2790">
        <v>105</v>
      </c>
      <c r="F161" s="2790">
        <v>72</v>
      </c>
      <c r="G161" s="2790">
        <v>80</v>
      </c>
      <c r="H161" s="2790">
        <v>66</v>
      </c>
      <c r="I161" s="2790">
        <v>110</v>
      </c>
      <c r="J161" s="2790">
        <v>65</v>
      </c>
      <c r="K161" s="2790">
        <v>95</v>
      </c>
      <c r="L161" s="2790">
        <v>53</v>
      </c>
      <c r="M161" s="2790">
        <v>117</v>
      </c>
      <c r="N161" s="2790">
        <v>56</v>
      </c>
      <c r="O161" s="2790">
        <v>78</v>
      </c>
      <c r="P161" s="2790">
        <v>52</v>
      </c>
      <c r="Q161" s="2790">
        <v>92</v>
      </c>
      <c r="R161" s="2790">
        <v>70</v>
      </c>
      <c r="S161" s="2790">
        <v>0</v>
      </c>
      <c r="T161" s="2790">
        <v>127</v>
      </c>
      <c r="U161" s="2790">
        <v>101</v>
      </c>
      <c r="V161" s="2790">
        <v>53</v>
      </c>
      <c r="W161" s="2790">
        <v>73</v>
      </c>
      <c r="X161" s="2790">
        <v>48</v>
      </c>
      <c r="Y161" s="2790">
        <v>100</v>
      </c>
      <c r="Z161" s="2790">
        <v>59</v>
      </c>
      <c r="AA161" s="2790">
        <v>72</v>
      </c>
      <c r="AB161" s="2790">
        <v>60</v>
      </c>
      <c r="AC161" s="2790">
        <v>89</v>
      </c>
      <c r="AD161" s="2790">
        <v>56</v>
      </c>
      <c r="AE161" s="2790">
        <v>73</v>
      </c>
      <c r="AF161" s="2790">
        <v>46</v>
      </c>
      <c r="AG161" s="2790">
        <v>80</v>
      </c>
      <c r="AH161" s="2790">
        <v>57</v>
      </c>
      <c r="AI161" s="2790">
        <v>80</v>
      </c>
      <c r="AJ161" s="2790">
        <f t="shared" ref="AJ161:AJ172" si="7">+SUM(E161:AI161)</f>
        <v>2285</v>
      </c>
      <c r="AK161" s="2790" t="e">
        <f>VLOOKUP(B161,'Mủ CN (TT)'!C179:AK355,36,0)+VLOOKUP(B161,'Mủ CN (tam ung)'!C143:AL318,36,0)</f>
        <v>#REF!</v>
      </c>
      <c r="AL161" s="2824" t="s">
        <v>141</v>
      </c>
      <c r="AM161" s="2825"/>
      <c r="AN161">
        <f>+VLOOKUP(B161,'[30]MỦ TẠP'!$B$9:$AH$37,33,0)</f>
        <v>1386</v>
      </c>
      <c r="AO161" s="2793">
        <f t="shared" ref="AO161:AO172" si="8">+AN161-AJ161</f>
        <v>-899</v>
      </c>
    </row>
    <row r="162" spans="1:41" ht="18.75">
      <c r="A162" s="1169">
        <v>2</v>
      </c>
      <c r="B162" s="2826" t="s">
        <v>351</v>
      </c>
      <c r="C162" s="2827"/>
      <c r="D162" s="2827" t="s">
        <v>453</v>
      </c>
      <c r="E162" s="2796">
        <v>185</v>
      </c>
      <c r="F162" s="2796">
        <v>108</v>
      </c>
      <c r="G162" s="2796">
        <v>54</v>
      </c>
      <c r="H162" s="2796">
        <v>43</v>
      </c>
      <c r="I162" s="2796">
        <v>114</v>
      </c>
      <c r="J162" s="2796">
        <v>84</v>
      </c>
      <c r="K162" s="2796">
        <v>48</v>
      </c>
      <c r="L162" s="2796">
        <v>41</v>
      </c>
      <c r="M162" s="2796">
        <v>115</v>
      </c>
      <c r="N162" s="2796">
        <v>87</v>
      </c>
      <c r="O162" s="2796">
        <v>53</v>
      </c>
      <c r="P162" s="2796">
        <v>36</v>
      </c>
      <c r="Q162" s="2796">
        <v>159</v>
      </c>
      <c r="R162" s="2796">
        <v>88</v>
      </c>
      <c r="S162" s="2796">
        <v>0</v>
      </c>
      <c r="T162" s="2796">
        <v>85</v>
      </c>
      <c r="U162" s="2796">
        <v>135</v>
      </c>
      <c r="V162" s="2796">
        <v>80</v>
      </c>
      <c r="W162" s="2796">
        <v>50</v>
      </c>
      <c r="X162" s="2796">
        <v>38</v>
      </c>
      <c r="Y162" s="2796">
        <v>116</v>
      </c>
      <c r="Z162" s="2796">
        <v>75</v>
      </c>
      <c r="AA162" s="2796">
        <v>44</v>
      </c>
      <c r="AB162" s="2796">
        <v>35</v>
      </c>
      <c r="AC162" s="2796">
        <v>111</v>
      </c>
      <c r="AD162" s="2796">
        <v>72</v>
      </c>
      <c r="AE162" s="2796">
        <v>40</v>
      </c>
      <c r="AF162" s="2796">
        <v>34</v>
      </c>
      <c r="AG162" s="2796">
        <v>91</v>
      </c>
      <c r="AH162" s="2796">
        <v>71</v>
      </c>
      <c r="AI162" s="2796">
        <v>45</v>
      </c>
      <c r="AJ162" s="2790">
        <f t="shared" si="7"/>
        <v>2337</v>
      </c>
      <c r="AK162" s="2790" t="e">
        <f>VLOOKUP(B162,'Mủ CN (TT)'!C180:AK356,36,0)+VLOOKUP(B162,'Mủ CN (tam ung)'!C144:AL319,36,0)</f>
        <v>#REF!</v>
      </c>
      <c r="AL162" s="2828" t="s">
        <v>138</v>
      </c>
      <c r="AM162" s="2798"/>
      <c r="AN162">
        <f>+VLOOKUP(B162,'[30]MỦ TẠP'!$B$9:$AH$37,33,0)</f>
        <v>2831</v>
      </c>
      <c r="AO162" s="2793">
        <f t="shared" si="8"/>
        <v>494</v>
      </c>
    </row>
    <row r="163" spans="1:41" ht="18.75">
      <c r="A163" s="2821">
        <v>3</v>
      </c>
      <c r="B163" s="2826" t="s">
        <v>334</v>
      </c>
      <c r="C163" s="2827"/>
      <c r="D163" s="2827" t="s">
        <v>453</v>
      </c>
      <c r="E163" s="2796">
        <v>99</v>
      </c>
      <c r="F163" s="2796">
        <v>63</v>
      </c>
      <c r="G163" s="2796">
        <v>51</v>
      </c>
      <c r="H163" s="2796">
        <v>54</v>
      </c>
      <c r="I163" s="2796">
        <v>95</v>
      </c>
      <c r="J163" s="2796">
        <v>61</v>
      </c>
      <c r="K163" s="2796">
        <v>77</v>
      </c>
      <c r="L163" s="2796">
        <v>42</v>
      </c>
      <c r="M163" s="2796">
        <v>86</v>
      </c>
      <c r="N163" s="2796">
        <v>53</v>
      </c>
      <c r="O163" s="2796">
        <v>76</v>
      </c>
      <c r="P163" s="2796">
        <v>47</v>
      </c>
      <c r="Q163" s="2796">
        <v>92</v>
      </c>
      <c r="R163" s="2796">
        <v>62</v>
      </c>
      <c r="S163" s="2796">
        <v>0</v>
      </c>
      <c r="T163" s="2796">
        <v>94</v>
      </c>
      <c r="U163" s="2796">
        <v>83</v>
      </c>
      <c r="V163" s="2796">
        <v>48</v>
      </c>
      <c r="W163" s="2796">
        <v>50</v>
      </c>
      <c r="X163" s="2796">
        <v>36</v>
      </c>
      <c r="Y163" s="2796">
        <v>83</v>
      </c>
      <c r="Z163" s="2796">
        <v>57</v>
      </c>
      <c r="AA163" s="2796">
        <v>48</v>
      </c>
      <c r="AB163" s="2796">
        <v>32</v>
      </c>
      <c r="AC163" s="2796">
        <v>61</v>
      </c>
      <c r="AD163" s="2796">
        <v>42</v>
      </c>
      <c r="AE163" s="2796">
        <v>61</v>
      </c>
      <c r="AF163" s="2796">
        <v>30</v>
      </c>
      <c r="AG163" s="2796">
        <v>56</v>
      </c>
      <c r="AH163" s="2796">
        <v>49</v>
      </c>
      <c r="AI163" s="2796">
        <v>0</v>
      </c>
      <c r="AJ163" s="2790">
        <f t="shared" si="7"/>
        <v>1788</v>
      </c>
      <c r="AK163" s="2790" t="e">
        <f>VLOOKUP(B163,'Mủ CN (TT)'!C181:AK357,36,0)+VLOOKUP(B163,'Mủ CN (tam ung)'!C145:AL320,36,0)</f>
        <v>#REF!</v>
      </c>
      <c r="AL163" s="2828" t="s">
        <v>138</v>
      </c>
      <c r="AM163" s="2798"/>
      <c r="AN163">
        <f>+VLOOKUP(B163,'[30]MỦ TẠP'!$B$9:$AH$37,33,0)</f>
        <v>3971</v>
      </c>
      <c r="AO163" s="2793">
        <f t="shared" si="8"/>
        <v>2183</v>
      </c>
    </row>
    <row r="164" spans="1:41" ht="18.75">
      <c r="A164" s="1169">
        <v>4</v>
      </c>
      <c r="B164" s="2826" t="s">
        <v>1218</v>
      </c>
      <c r="C164" s="2827"/>
      <c r="D164" s="2827" t="s">
        <v>453</v>
      </c>
      <c r="E164" s="2796">
        <v>76</v>
      </c>
      <c r="F164" s="2796">
        <v>76</v>
      </c>
      <c r="G164" s="2796">
        <v>0</v>
      </c>
      <c r="H164" s="2796">
        <v>114</v>
      </c>
      <c r="I164" s="2796">
        <v>80</v>
      </c>
      <c r="J164" s="2796">
        <v>90</v>
      </c>
      <c r="K164" s="2796">
        <v>50</v>
      </c>
      <c r="L164" s="2796">
        <v>61</v>
      </c>
      <c r="M164" s="2796">
        <v>84</v>
      </c>
      <c r="N164" s="2796">
        <v>88</v>
      </c>
      <c r="O164" s="2796">
        <v>49</v>
      </c>
      <c r="P164" s="2796">
        <v>57</v>
      </c>
      <c r="Q164" s="2796">
        <v>82</v>
      </c>
      <c r="R164" s="2796">
        <v>81</v>
      </c>
      <c r="S164" s="2796">
        <v>0</v>
      </c>
      <c r="T164" s="2796">
        <v>94</v>
      </c>
      <c r="U164" s="2796">
        <v>86</v>
      </c>
      <c r="V164" s="2796">
        <v>70</v>
      </c>
      <c r="W164" s="2796">
        <v>37</v>
      </c>
      <c r="X164" s="2796">
        <v>53</v>
      </c>
      <c r="Y164" s="2796">
        <v>81</v>
      </c>
      <c r="Z164" s="2796">
        <v>82</v>
      </c>
      <c r="AA164" s="2796">
        <v>42</v>
      </c>
      <c r="AB164" s="2796">
        <v>53</v>
      </c>
      <c r="AC164" s="2796">
        <v>93</v>
      </c>
      <c r="AD164" s="2796">
        <v>81</v>
      </c>
      <c r="AE164" s="2796">
        <v>36</v>
      </c>
      <c r="AF164" s="2796">
        <v>50</v>
      </c>
      <c r="AG164" s="2796">
        <v>73</v>
      </c>
      <c r="AH164" s="2796">
        <v>60</v>
      </c>
      <c r="AI164" s="2796">
        <v>50</v>
      </c>
      <c r="AJ164" s="2790">
        <f t="shared" si="7"/>
        <v>2029</v>
      </c>
      <c r="AK164" s="2790" t="e">
        <f>VLOOKUP(B164,'Mủ CN (TT)'!C182:AK358,36,0)+VLOOKUP(B164,'Mủ CN (tam ung)'!C145:AL321,36,0)</f>
        <v>#REF!</v>
      </c>
      <c r="AL164" s="2828" t="s">
        <v>141</v>
      </c>
      <c r="AM164" s="2798"/>
      <c r="AN164">
        <f>+VLOOKUP(B164,'[30]MỦ TẠP'!$B$9:$AH$37,33,0)</f>
        <v>3934</v>
      </c>
      <c r="AO164" s="2793">
        <f t="shared" si="8"/>
        <v>1905</v>
      </c>
    </row>
    <row r="165" spans="1:41" ht="18.75">
      <c r="A165" s="2821">
        <v>5</v>
      </c>
      <c r="B165" s="2826" t="s">
        <v>1517</v>
      </c>
      <c r="C165" s="2827"/>
      <c r="D165" s="2827" t="s">
        <v>453</v>
      </c>
      <c r="E165" s="2796">
        <v>33</v>
      </c>
      <c r="F165" s="2796">
        <v>53</v>
      </c>
      <c r="G165" s="2796">
        <v>36</v>
      </c>
      <c r="H165" s="2796">
        <v>96</v>
      </c>
      <c r="I165" s="2796">
        <v>53</v>
      </c>
      <c r="J165" s="2796">
        <v>78</v>
      </c>
      <c r="K165" s="2796">
        <v>63</v>
      </c>
      <c r="L165" s="2796">
        <v>50</v>
      </c>
      <c r="M165" s="2796">
        <v>36</v>
      </c>
      <c r="N165" s="2796">
        <v>59</v>
      </c>
      <c r="O165" s="2796">
        <v>45</v>
      </c>
      <c r="P165" s="2796">
        <v>44</v>
      </c>
      <c r="Q165" s="2796">
        <v>43</v>
      </c>
      <c r="R165" s="2796">
        <v>62</v>
      </c>
      <c r="S165" s="2796">
        <v>0</v>
      </c>
      <c r="T165" s="2796">
        <v>62</v>
      </c>
      <c r="U165" s="2796">
        <v>0</v>
      </c>
      <c r="V165" s="2796">
        <v>55</v>
      </c>
      <c r="W165" s="2796">
        <v>36</v>
      </c>
      <c r="X165" s="2796">
        <v>26</v>
      </c>
      <c r="Y165" s="2796">
        <v>45</v>
      </c>
      <c r="Z165" s="2796">
        <v>35</v>
      </c>
      <c r="AA165" s="2796">
        <v>46</v>
      </c>
      <c r="AB165" s="2796">
        <v>37</v>
      </c>
      <c r="AC165" s="2796">
        <v>39</v>
      </c>
      <c r="AD165" s="2796">
        <v>63</v>
      </c>
      <c r="AE165" s="2796">
        <v>63</v>
      </c>
      <c r="AF165" s="2796">
        <v>47</v>
      </c>
      <c r="AG165" s="2796">
        <v>35</v>
      </c>
      <c r="AH165" s="2796">
        <v>50</v>
      </c>
      <c r="AI165" s="2796">
        <v>55</v>
      </c>
      <c r="AJ165" s="2790">
        <f t="shared" si="7"/>
        <v>1445</v>
      </c>
      <c r="AK165" s="2790" t="e">
        <f>VLOOKUP(B165,'Mủ CN (TT)'!C183:AK359,36,0)+VLOOKUP(B165,'Mủ CN (tam ung)'!C146:AL322,36,0)</f>
        <v>#REF!</v>
      </c>
      <c r="AL165" s="2828" t="s">
        <v>138</v>
      </c>
      <c r="AM165" s="2798"/>
      <c r="AN165" t="e">
        <f>+VLOOKUP(B165,'[30]MỦ TẠP'!$B$9:$AH$37,33,0)</f>
        <v>#N/A</v>
      </c>
      <c r="AO165" s="2793" t="e">
        <f t="shared" si="8"/>
        <v>#N/A</v>
      </c>
    </row>
    <row r="166" spans="1:41" ht="18.75">
      <c r="A166" s="1169">
        <v>6</v>
      </c>
      <c r="B166" s="2826" t="s">
        <v>1217</v>
      </c>
      <c r="C166" s="2827"/>
      <c r="D166" s="2827" t="s">
        <v>453</v>
      </c>
      <c r="E166" s="2796">
        <v>94</v>
      </c>
      <c r="F166" s="2796">
        <v>65</v>
      </c>
      <c r="G166" s="2796">
        <v>39</v>
      </c>
      <c r="H166" s="2796">
        <v>54</v>
      </c>
      <c r="I166" s="2796">
        <v>97</v>
      </c>
      <c r="J166" s="2796">
        <v>63</v>
      </c>
      <c r="K166" s="2796">
        <v>36</v>
      </c>
      <c r="L166" s="2796">
        <v>53</v>
      </c>
      <c r="M166" s="2796">
        <v>101</v>
      </c>
      <c r="N166" s="2796">
        <v>60</v>
      </c>
      <c r="O166" s="2796">
        <v>32</v>
      </c>
      <c r="P166" s="2796">
        <v>44</v>
      </c>
      <c r="Q166" s="2796">
        <v>80</v>
      </c>
      <c r="R166" s="2796">
        <v>68</v>
      </c>
      <c r="S166" s="2796">
        <v>0</v>
      </c>
      <c r="T166" s="2796">
        <v>86</v>
      </c>
      <c r="U166" s="2796">
        <v>96</v>
      </c>
      <c r="V166" s="2796">
        <v>56</v>
      </c>
      <c r="W166" s="2796">
        <v>32</v>
      </c>
      <c r="X166" s="2796">
        <v>44</v>
      </c>
      <c r="Y166" s="2796">
        <v>91</v>
      </c>
      <c r="Z166" s="2796">
        <v>62</v>
      </c>
      <c r="AA166" s="2796">
        <v>31</v>
      </c>
      <c r="AB166" s="2796">
        <v>46</v>
      </c>
      <c r="AC166" s="2796">
        <v>88</v>
      </c>
      <c r="AD166" s="2796">
        <v>52</v>
      </c>
      <c r="AE166" s="2796">
        <v>34</v>
      </c>
      <c r="AF166" s="2796">
        <v>45</v>
      </c>
      <c r="AG166" s="2796">
        <v>89</v>
      </c>
      <c r="AH166" s="2796">
        <v>62</v>
      </c>
      <c r="AI166" s="2796">
        <v>35</v>
      </c>
      <c r="AJ166" s="2790">
        <f t="shared" si="7"/>
        <v>1835</v>
      </c>
      <c r="AK166" s="2790" t="e">
        <f>VLOOKUP(B166,'Mủ CN (TT)'!C184:AK360,36,0)+VLOOKUP(B166,'Mủ CN (tam ung)'!C147:AL323,36,0)</f>
        <v>#REF!</v>
      </c>
      <c r="AL166" s="2828" t="s">
        <v>141</v>
      </c>
      <c r="AM166" s="2798"/>
      <c r="AN166">
        <f>+VLOOKUP(B166,'[30]MỦ TẠP'!$B$9:$AH$37,33,0)</f>
        <v>2504</v>
      </c>
      <c r="AO166" s="2793">
        <f t="shared" si="8"/>
        <v>669</v>
      </c>
    </row>
    <row r="167" spans="1:41" ht="18.75">
      <c r="A167" s="2821">
        <v>7</v>
      </c>
      <c r="B167" s="2826" t="s">
        <v>1545</v>
      </c>
      <c r="C167" s="2829"/>
      <c r="D167" s="2827" t="s">
        <v>453</v>
      </c>
      <c r="E167" s="2796">
        <v>60</v>
      </c>
      <c r="F167" s="2796">
        <v>44</v>
      </c>
      <c r="G167" s="2796">
        <v>66</v>
      </c>
      <c r="H167" s="2796">
        <v>64</v>
      </c>
      <c r="I167" s="2796">
        <v>77</v>
      </c>
      <c r="J167" s="2796">
        <v>46</v>
      </c>
      <c r="K167" s="2796">
        <v>44</v>
      </c>
      <c r="L167" s="2796">
        <v>68</v>
      </c>
      <c r="M167" s="2796">
        <v>61</v>
      </c>
      <c r="N167" s="2796">
        <v>46</v>
      </c>
      <c r="O167" s="2796">
        <v>0</v>
      </c>
      <c r="P167" s="2796">
        <v>111</v>
      </c>
      <c r="Q167" s="2796">
        <v>24</v>
      </c>
      <c r="R167" s="2796">
        <v>51</v>
      </c>
      <c r="S167" s="2796">
        <v>0</v>
      </c>
      <c r="T167" s="2796">
        <v>121</v>
      </c>
      <c r="U167" s="2796">
        <v>58</v>
      </c>
      <c r="V167" s="2796">
        <v>49</v>
      </c>
      <c r="W167" s="2796">
        <v>49</v>
      </c>
      <c r="X167" s="2796">
        <v>66</v>
      </c>
      <c r="Y167" s="2796">
        <v>61</v>
      </c>
      <c r="Z167" s="2796">
        <v>62</v>
      </c>
      <c r="AA167" s="2796">
        <v>43</v>
      </c>
      <c r="AB167" s="2796">
        <v>65</v>
      </c>
      <c r="AC167" s="2796">
        <v>60</v>
      </c>
      <c r="AD167" s="2796">
        <v>50</v>
      </c>
      <c r="AE167" s="2796">
        <v>0</v>
      </c>
      <c r="AF167" s="2796">
        <v>111</v>
      </c>
      <c r="AG167" s="2796">
        <v>0</v>
      </c>
      <c r="AH167" s="2796">
        <v>58</v>
      </c>
      <c r="AI167" s="2796">
        <v>43</v>
      </c>
      <c r="AJ167" s="2790">
        <f t="shared" si="7"/>
        <v>1658</v>
      </c>
      <c r="AK167" s="2790" t="e">
        <f>VLOOKUP(B167,'Mủ CN (TT)'!C185:AK361,36,0)+VLOOKUP(B167,'Mủ CN (tam ung)'!C148:AL324,36,0)</f>
        <v>#REF!</v>
      </c>
      <c r="AL167" s="2828" t="s">
        <v>138</v>
      </c>
      <c r="AM167" s="2798"/>
      <c r="AN167" t="e">
        <f>+VLOOKUP(B167,'[30]MỦ TẠP'!$B$9:$AH$37,33,0)</f>
        <v>#N/A</v>
      </c>
      <c r="AO167" s="2793" t="e">
        <f t="shared" si="8"/>
        <v>#N/A</v>
      </c>
    </row>
    <row r="168" spans="1:41" ht="18.75">
      <c r="A168" s="1169">
        <v>8</v>
      </c>
      <c r="B168" s="2826" t="s">
        <v>152</v>
      </c>
      <c r="C168" s="2827"/>
      <c r="D168" s="2827" t="s">
        <v>453</v>
      </c>
      <c r="E168" s="2796">
        <v>75</v>
      </c>
      <c r="F168" s="2796">
        <v>95</v>
      </c>
      <c r="G168" s="2796">
        <v>54</v>
      </c>
      <c r="H168" s="2796">
        <v>73</v>
      </c>
      <c r="I168" s="2796">
        <v>62</v>
      </c>
      <c r="J168" s="2796">
        <v>91</v>
      </c>
      <c r="K168" s="2796">
        <v>37</v>
      </c>
      <c r="L168" s="2796">
        <v>60</v>
      </c>
      <c r="M168" s="2796">
        <v>60</v>
      </c>
      <c r="N168" s="2796">
        <v>87</v>
      </c>
      <c r="O168" s="2796">
        <v>42</v>
      </c>
      <c r="P168" s="2796">
        <v>60</v>
      </c>
      <c r="Q168" s="2796">
        <v>62</v>
      </c>
      <c r="R168" s="2796">
        <v>87</v>
      </c>
      <c r="S168" s="2796">
        <v>0</v>
      </c>
      <c r="T168" s="2796">
        <v>102</v>
      </c>
      <c r="U168" s="2796">
        <v>66</v>
      </c>
      <c r="V168" s="2796">
        <v>89</v>
      </c>
      <c r="W168" s="2796">
        <v>40</v>
      </c>
      <c r="X168" s="2796">
        <v>58</v>
      </c>
      <c r="Y168" s="2796">
        <v>60</v>
      </c>
      <c r="Z168" s="2796">
        <v>102</v>
      </c>
      <c r="AA168" s="2796">
        <v>41</v>
      </c>
      <c r="AB168" s="2796">
        <v>57</v>
      </c>
      <c r="AC168" s="2796">
        <v>48</v>
      </c>
      <c r="AD168" s="2796">
        <v>83</v>
      </c>
      <c r="AE168" s="2796">
        <v>38</v>
      </c>
      <c r="AF168" s="2796">
        <v>64</v>
      </c>
      <c r="AG168" s="2796">
        <v>51</v>
      </c>
      <c r="AH168" s="2796">
        <v>90</v>
      </c>
      <c r="AI168" s="2796">
        <v>42</v>
      </c>
      <c r="AJ168" s="2790">
        <f t="shared" si="7"/>
        <v>1976</v>
      </c>
      <c r="AK168" s="2790" t="e">
        <f>VLOOKUP(B168,'Mủ CN (TT)'!C186:AK362,36,0)+VLOOKUP(B168,'Mủ CN (tam ung)'!C149:AL325,36,0)</f>
        <v>#REF!</v>
      </c>
      <c r="AL168" s="2828" t="s">
        <v>141</v>
      </c>
      <c r="AM168" s="2798"/>
      <c r="AN168" t="e">
        <f>+VLOOKUP(B168,'[30]MỦ TẠP'!$B$9:$AH$37,33,0)</f>
        <v>#N/A</v>
      </c>
      <c r="AO168" s="2793" t="e">
        <f t="shared" si="8"/>
        <v>#N/A</v>
      </c>
    </row>
    <row r="169" spans="1:41" ht="18.75">
      <c r="A169" s="2821">
        <v>9</v>
      </c>
      <c r="B169" s="2826" t="s">
        <v>571</v>
      </c>
      <c r="C169" s="2827"/>
      <c r="D169" s="2827" t="s">
        <v>453</v>
      </c>
      <c r="E169" s="2796">
        <v>39</v>
      </c>
      <c r="F169" s="2796">
        <v>94</v>
      </c>
      <c r="G169" s="2796">
        <v>46</v>
      </c>
      <c r="H169" s="2796">
        <v>64</v>
      </c>
      <c r="I169" s="2796">
        <v>45</v>
      </c>
      <c r="J169" s="2796">
        <v>106</v>
      </c>
      <c r="K169" s="2796">
        <v>54</v>
      </c>
      <c r="L169" s="2796">
        <v>55</v>
      </c>
      <c r="M169" s="2796">
        <v>38</v>
      </c>
      <c r="N169" s="2796">
        <v>110</v>
      </c>
      <c r="O169" s="2796">
        <v>48</v>
      </c>
      <c r="P169" s="2796">
        <v>58</v>
      </c>
      <c r="Q169" s="2796">
        <v>42</v>
      </c>
      <c r="R169" s="2796">
        <v>105</v>
      </c>
      <c r="S169" s="2796">
        <v>0</v>
      </c>
      <c r="T169" s="2796">
        <v>116</v>
      </c>
      <c r="U169" s="2796">
        <v>35</v>
      </c>
      <c r="V169" s="2796">
        <v>92</v>
      </c>
      <c r="W169" s="2796">
        <v>52</v>
      </c>
      <c r="X169" s="2796">
        <v>49</v>
      </c>
      <c r="Y169" s="2796">
        <v>27</v>
      </c>
      <c r="Z169" s="2796">
        <v>87</v>
      </c>
      <c r="AA169" s="2796">
        <v>47</v>
      </c>
      <c r="AB169" s="2796">
        <v>40</v>
      </c>
      <c r="AC169" s="2796">
        <v>33</v>
      </c>
      <c r="AD169" s="2796">
        <v>87</v>
      </c>
      <c r="AE169" s="2796">
        <v>49</v>
      </c>
      <c r="AF169" s="2796">
        <v>53</v>
      </c>
      <c r="AG169" s="2796">
        <v>32</v>
      </c>
      <c r="AH169" s="2796">
        <v>94</v>
      </c>
      <c r="AI169" s="2796">
        <v>54</v>
      </c>
      <c r="AJ169" s="2790">
        <f t="shared" si="7"/>
        <v>1851</v>
      </c>
      <c r="AK169" s="2790" t="e">
        <f>VLOOKUP(B169,'Mủ CN (TT)'!C187:AK363,36,0)+VLOOKUP(B169,'Mủ CN (tam ung)'!C150:AL326,36,0)</f>
        <v>#REF!</v>
      </c>
      <c r="AL169" s="2828" t="s">
        <v>138</v>
      </c>
      <c r="AM169" s="2798"/>
      <c r="AN169">
        <f>+VLOOKUP(B169,'[30]MỦ TẠP'!$B$9:$AH$37,33,0)</f>
        <v>2949</v>
      </c>
      <c r="AO169" s="2793">
        <f t="shared" si="8"/>
        <v>1098</v>
      </c>
    </row>
    <row r="170" spans="1:41" ht="18.75">
      <c r="A170" s="1169">
        <v>10</v>
      </c>
      <c r="B170" s="2826" t="s">
        <v>1219</v>
      </c>
      <c r="C170" s="2827"/>
      <c r="D170" s="2827" t="s">
        <v>453</v>
      </c>
      <c r="E170" s="2796">
        <v>29</v>
      </c>
      <c r="F170" s="2796">
        <v>79</v>
      </c>
      <c r="G170" s="2796">
        <v>45</v>
      </c>
      <c r="H170" s="2796">
        <v>65</v>
      </c>
      <c r="I170" s="2796">
        <v>39</v>
      </c>
      <c r="J170" s="2796">
        <v>71</v>
      </c>
      <c r="K170" s="2796">
        <v>39</v>
      </c>
      <c r="L170" s="2796">
        <v>58</v>
      </c>
      <c r="M170" s="2796">
        <v>35</v>
      </c>
      <c r="N170" s="2796">
        <v>64</v>
      </c>
      <c r="O170" s="2796">
        <v>37</v>
      </c>
      <c r="P170" s="2796">
        <v>57</v>
      </c>
      <c r="Q170" s="2796">
        <v>31</v>
      </c>
      <c r="R170" s="2796">
        <v>73</v>
      </c>
      <c r="S170" s="2796">
        <v>0</v>
      </c>
      <c r="T170" s="2796">
        <v>88</v>
      </c>
      <c r="U170" s="2796">
        <v>36</v>
      </c>
      <c r="V170" s="2796">
        <v>54</v>
      </c>
      <c r="W170" s="2796">
        <v>35</v>
      </c>
      <c r="X170" s="2796">
        <v>54</v>
      </c>
      <c r="Y170" s="2796">
        <v>37</v>
      </c>
      <c r="Z170" s="2796">
        <v>0</v>
      </c>
      <c r="AA170" s="2796">
        <v>93</v>
      </c>
      <c r="AB170" s="2796">
        <v>51</v>
      </c>
      <c r="AC170" s="2796">
        <v>30</v>
      </c>
      <c r="AD170" s="2796">
        <v>60</v>
      </c>
      <c r="AE170" s="2796">
        <v>29</v>
      </c>
      <c r="AF170" s="2796">
        <v>52</v>
      </c>
      <c r="AG170" s="2796">
        <v>28</v>
      </c>
      <c r="AH170" s="2796">
        <v>57</v>
      </c>
      <c r="AI170" s="2796">
        <v>39</v>
      </c>
      <c r="AJ170" s="2790">
        <f t="shared" si="7"/>
        <v>1465</v>
      </c>
      <c r="AK170" s="2790" t="e">
        <f>VLOOKUP(B170,'Mủ CN (TT)'!C188:AK364,36,0)+VLOOKUP(B170,'Mủ CN (tam ung)'!C151:AL327,36,0)</f>
        <v>#REF!</v>
      </c>
      <c r="AL170" s="2828" t="s">
        <v>138</v>
      </c>
      <c r="AM170" s="2798"/>
      <c r="AN170">
        <f>+VLOOKUP(B170,'[30]MỦ TẠP'!$B$9:$AH$37,33,0)</f>
        <v>2522</v>
      </c>
      <c r="AO170" s="2793">
        <f t="shared" si="8"/>
        <v>1057</v>
      </c>
    </row>
    <row r="171" spans="1:41" ht="18.75">
      <c r="A171" s="2821">
        <v>11</v>
      </c>
      <c r="B171" s="2826" t="s">
        <v>853</v>
      </c>
      <c r="C171" s="2827"/>
      <c r="D171" s="2827" t="s">
        <v>453</v>
      </c>
      <c r="E171" s="2796">
        <v>41</v>
      </c>
      <c r="F171" s="2796">
        <v>65</v>
      </c>
      <c r="G171" s="2796">
        <v>49</v>
      </c>
      <c r="H171" s="2796">
        <v>55</v>
      </c>
      <c r="I171" s="2796">
        <v>34</v>
      </c>
      <c r="J171" s="2796">
        <v>67</v>
      </c>
      <c r="K171" s="2796">
        <v>37</v>
      </c>
      <c r="L171" s="2796">
        <v>45</v>
      </c>
      <c r="M171" s="2796">
        <v>45</v>
      </c>
      <c r="N171" s="2796">
        <v>73</v>
      </c>
      <c r="O171" s="2796">
        <v>60</v>
      </c>
      <c r="P171" s="2796">
        <v>37</v>
      </c>
      <c r="Q171" s="2796">
        <v>29</v>
      </c>
      <c r="R171" s="2796">
        <v>70</v>
      </c>
      <c r="S171" s="2796">
        <v>0</v>
      </c>
      <c r="T171" s="2796">
        <v>85</v>
      </c>
      <c r="U171" s="2796">
        <v>0</v>
      </c>
      <c r="V171" s="2796">
        <v>64</v>
      </c>
      <c r="W171" s="2796">
        <v>40</v>
      </c>
      <c r="X171" s="2796">
        <v>39</v>
      </c>
      <c r="Y171" s="2796">
        <v>27</v>
      </c>
      <c r="Z171" s="2796">
        <v>51</v>
      </c>
      <c r="AA171" s="2796">
        <v>51</v>
      </c>
      <c r="AB171" s="2796">
        <v>32</v>
      </c>
      <c r="AC171" s="2796">
        <v>23</v>
      </c>
      <c r="AD171" s="2796">
        <v>46</v>
      </c>
      <c r="AE171" s="2796">
        <v>39</v>
      </c>
      <c r="AF171" s="2796">
        <v>19</v>
      </c>
      <c r="AG171" s="2796">
        <v>25</v>
      </c>
      <c r="AH171" s="2796">
        <v>45</v>
      </c>
      <c r="AI171" s="2796">
        <v>49</v>
      </c>
      <c r="AJ171" s="2790">
        <f t="shared" si="7"/>
        <v>1342</v>
      </c>
      <c r="AK171" s="2790" t="e">
        <f>VLOOKUP(B171,'Mủ CN (TT)'!C189:AK365,36,0)+VLOOKUP(B171,'Mủ CN (tam ung)'!C152:AL328,36,0)</f>
        <v>#REF!</v>
      </c>
      <c r="AL171" s="2828" t="s">
        <v>138</v>
      </c>
      <c r="AM171" s="2798"/>
      <c r="AN171" t="e">
        <f>+VLOOKUP(B171,'[30]MỦ TẠP'!$B$9:$AH$37,33,0)</f>
        <v>#N/A</v>
      </c>
      <c r="AO171" s="2793" t="e">
        <f t="shared" si="8"/>
        <v>#N/A</v>
      </c>
    </row>
    <row r="172" spans="1:41" ht="18.75">
      <c r="A172" s="1169">
        <v>12</v>
      </c>
      <c r="B172" s="2826" t="s">
        <v>1220</v>
      </c>
      <c r="C172" s="2827"/>
      <c r="D172" s="2827" t="s">
        <v>453</v>
      </c>
      <c r="E172" s="2796">
        <v>54</v>
      </c>
      <c r="F172" s="2796">
        <v>66</v>
      </c>
      <c r="G172" s="2796">
        <v>59</v>
      </c>
      <c r="H172" s="2796">
        <v>72</v>
      </c>
      <c r="I172" s="2796">
        <v>46</v>
      </c>
      <c r="J172" s="2796">
        <v>53</v>
      </c>
      <c r="K172" s="2796">
        <v>55</v>
      </c>
      <c r="L172" s="2796">
        <v>40</v>
      </c>
      <c r="M172" s="2796">
        <v>42</v>
      </c>
      <c r="N172" s="2796">
        <v>47</v>
      </c>
      <c r="O172" s="2796">
        <v>57</v>
      </c>
      <c r="P172" s="2796">
        <v>44</v>
      </c>
      <c r="Q172" s="2796">
        <v>63</v>
      </c>
      <c r="R172" s="2796">
        <v>57</v>
      </c>
      <c r="S172" s="2796">
        <v>0</v>
      </c>
      <c r="T172" s="2796">
        <v>115</v>
      </c>
      <c r="U172" s="2796">
        <v>72</v>
      </c>
      <c r="V172" s="2796">
        <v>60</v>
      </c>
      <c r="W172" s="2796">
        <v>55</v>
      </c>
      <c r="X172" s="2796">
        <v>44</v>
      </c>
      <c r="Y172" s="2796">
        <v>34</v>
      </c>
      <c r="Z172" s="2796">
        <v>55</v>
      </c>
      <c r="AA172" s="2796">
        <v>58</v>
      </c>
      <c r="AB172" s="2796">
        <v>37</v>
      </c>
      <c r="AC172" s="2796">
        <v>52</v>
      </c>
      <c r="AD172" s="2796">
        <v>60</v>
      </c>
      <c r="AE172" s="2796">
        <v>53</v>
      </c>
      <c r="AF172" s="2796">
        <v>39</v>
      </c>
      <c r="AG172" s="2796">
        <v>40</v>
      </c>
      <c r="AH172" s="2796">
        <v>41</v>
      </c>
      <c r="AI172" s="2796">
        <v>51</v>
      </c>
      <c r="AJ172" s="2790">
        <f t="shared" si="7"/>
        <v>1621</v>
      </c>
      <c r="AK172" s="2790" t="e">
        <f>VLOOKUP(B172,'Mủ CN (TT)'!C190:AK366,36,0)+VLOOKUP(B172,'Mủ CN (tam ung)'!C153:AL329,36,0)</f>
        <v>#REF!</v>
      </c>
      <c r="AL172" s="2828" t="s">
        <v>141</v>
      </c>
      <c r="AM172" s="2798"/>
      <c r="AN172">
        <f>+VLOOKUP(B172,'[30]MỦ TẠP'!$B$9:$AH$37,33,0)</f>
        <v>3980</v>
      </c>
      <c r="AO172" s="2793">
        <f t="shared" si="8"/>
        <v>2359</v>
      </c>
    </row>
    <row r="173" spans="1:41" ht="18.75">
      <c r="A173" s="2821">
        <v>13</v>
      </c>
      <c r="B173" s="2826" t="s">
        <v>1221</v>
      </c>
      <c r="C173" s="2827"/>
      <c r="D173" s="2827" t="s">
        <v>453</v>
      </c>
      <c r="E173" s="2796">
        <v>68</v>
      </c>
      <c r="F173" s="2796">
        <v>82</v>
      </c>
      <c r="G173" s="2796">
        <v>61</v>
      </c>
      <c r="H173" s="2796">
        <v>53</v>
      </c>
      <c r="I173" s="2796">
        <v>68</v>
      </c>
      <c r="J173" s="2796">
        <v>89</v>
      </c>
      <c r="K173" s="2796">
        <v>65</v>
      </c>
      <c r="L173" s="2796">
        <v>44</v>
      </c>
      <c r="M173" s="2796">
        <v>55</v>
      </c>
      <c r="N173" s="2796">
        <v>83</v>
      </c>
      <c r="O173" s="2796">
        <v>66</v>
      </c>
      <c r="P173" s="2796">
        <v>49</v>
      </c>
      <c r="Q173" s="2796">
        <v>63</v>
      </c>
      <c r="R173" s="2796">
        <v>92</v>
      </c>
      <c r="S173" s="2796">
        <v>0</v>
      </c>
      <c r="T173" s="2796">
        <v>104</v>
      </c>
      <c r="U173" s="2796">
        <v>62</v>
      </c>
      <c r="V173" s="2796">
        <v>119</v>
      </c>
      <c r="W173" s="2796">
        <v>46</v>
      </c>
      <c r="X173" s="2796">
        <v>44</v>
      </c>
      <c r="Y173" s="2796">
        <v>52</v>
      </c>
      <c r="Z173" s="2796">
        <v>62</v>
      </c>
      <c r="AA173" s="2796">
        <v>54</v>
      </c>
      <c r="AB173" s="2796">
        <v>35</v>
      </c>
      <c r="AC173" s="2796">
        <v>56</v>
      </c>
      <c r="AD173" s="2796">
        <v>117</v>
      </c>
      <c r="AE173" s="2796">
        <v>107</v>
      </c>
      <c r="AF173" s="2796">
        <v>0</v>
      </c>
      <c r="AG173" s="2796">
        <v>158</v>
      </c>
      <c r="AH173" s="2796">
        <v>105</v>
      </c>
      <c r="AI173" s="2796">
        <v>82</v>
      </c>
      <c r="AJ173" s="2790">
        <f t="shared" ref="AJ173:AJ189" si="9">+SUM(E173:AI173)</f>
        <v>2141</v>
      </c>
      <c r="AK173" s="2790" t="e">
        <f>VLOOKUP(B173,'Mủ CN (TT)'!C191:AK367,36,0)+VLOOKUP(B173,'Mủ CN (tam ung)'!C154:AL330,36,0)</f>
        <v>#REF!</v>
      </c>
      <c r="AL173" s="2828" t="s">
        <v>141</v>
      </c>
      <c r="AM173" s="2798"/>
      <c r="AO173" s="2793"/>
    </row>
    <row r="174" spans="1:41" ht="18.75">
      <c r="A174" s="1169">
        <v>14</v>
      </c>
      <c r="B174" s="2826" t="s">
        <v>1222</v>
      </c>
      <c r="C174" s="2827"/>
      <c r="D174" s="2827" t="s">
        <v>453</v>
      </c>
      <c r="E174" s="2796">
        <v>60</v>
      </c>
      <c r="F174" s="2796">
        <v>87</v>
      </c>
      <c r="G174" s="2796">
        <v>85</v>
      </c>
      <c r="H174" s="2796">
        <v>74</v>
      </c>
      <c r="I174" s="2796">
        <v>63</v>
      </c>
      <c r="J174" s="2796">
        <v>95</v>
      </c>
      <c r="K174" s="2796">
        <v>52</v>
      </c>
      <c r="L174" s="2796">
        <v>83</v>
      </c>
      <c r="M174" s="2796">
        <v>74</v>
      </c>
      <c r="N174" s="2796">
        <v>87</v>
      </c>
      <c r="O174" s="2796">
        <v>73</v>
      </c>
      <c r="P174" s="2796">
        <v>87</v>
      </c>
      <c r="Q174" s="2796">
        <v>69</v>
      </c>
      <c r="R174" s="2796">
        <v>111</v>
      </c>
      <c r="S174" s="2796">
        <v>0</v>
      </c>
      <c r="T174" s="2796">
        <v>161</v>
      </c>
      <c r="U174" s="2796">
        <v>60</v>
      </c>
      <c r="V174" s="2796">
        <v>101</v>
      </c>
      <c r="W174" s="2796">
        <v>79</v>
      </c>
      <c r="X174" s="2796">
        <v>74</v>
      </c>
      <c r="Y174" s="2796">
        <v>55</v>
      </c>
      <c r="Z174" s="2796">
        <v>0</v>
      </c>
      <c r="AA174" s="2796">
        <v>117</v>
      </c>
      <c r="AB174" s="2796">
        <v>101</v>
      </c>
      <c r="AC174" s="2796">
        <v>37</v>
      </c>
      <c r="AD174" s="2796">
        <v>89</v>
      </c>
      <c r="AE174" s="2796">
        <v>48</v>
      </c>
      <c r="AF174" s="2796">
        <v>103</v>
      </c>
      <c r="AG174" s="2796">
        <v>57</v>
      </c>
      <c r="AH174" s="2796">
        <v>118</v>
      </c>
      <c r="AI174" s="2796">
        <v>0</v>
      </c>
      <c r="AJ174" s="2790">
        <f t="shared" si="9"/>
        <v>2300</v>
      </c>
      <c r="AK174" s="2790" t="e">
        <f>VLOOKUP(B174,'Mủ CN (TT)'!C192:AK368,36,0)+VLOOKUP(B174,'Mủ CN (tam ung)'!C155:AL331,36,0)</f>
        <v>#REF!</v>
      </c>
      <c r="AL174" s="2828" t="s">
        <v>141</v>
      </c>
      <c r="AM174" s="2798"/>
      <c r="AO174" s="2793"/>
    </row>
    <row r="175" spans="1:41" ht="18.75">
      <c r="A175" s="2821">
        <v>15</v>
      </c>
      <c r="B175" s="2826" t="s">
        <v>1223</v>
      </c>
      <c r="C175" s="2827"/>
      <c r="D175" s="2827" t="s">
        <v>453</v>
      </c>
      <c r="E175" s="2796">
        <v>74</v>
      </c>
      <c r="F175" s="2796">
        <v>61</v>
      </c>
      <c r="G175" s="2796">
        <v>60</v>
      </c>
      <c r="H175" s="2796">
        <v>76</v>
      </c>
      <c r="I175" s="2796">
        <v>65</v>
      </c>
      <c r="J175" s="2796">
        <v>55</v>
      </c>
      <c r="K175" s="2796">
        <v>50</v>
      </c>
      <c r="L175" s="2796">
        <v>68</v>
      </c>
      <c r="M175" s="2796">
        <v>58</v>
      </c>
      <c r="N175" s="2796">
        <v>57</v>
      </c>
      <c r="O175" s="2796">
        <v>48</v>
      </c>
      <c r="P175" s="2796">
        <v>71</v>
      </c>
      <c r="Q175" s="2796">
        <v>60</v>
      </c>
      <c r="R175" s="2796">
        <v>50</v>
      </c>
      <c r="S175" s="2796">
        <v>0</v>
      </c>
      <c r="T175" s="2796">
        <v>114</v>
      </c>
      <c r="U175" s="2796">
        <v>58</v>
      </c>
      <c r="V175" s="2796">
        <v>48</v>
      </c>
      <c r="W175" s="2796">
        <v>47</v>
      </c>
      <c r="X175" s="2796">
        <v>67</v>
      </c>
      <c r="Y175" s="2796">
        <v>58</v>
      </c>
      <c r="Z175" s="2796">
        <v>55</v>
      </c>
      <c r="AA175" s="2796">
        <v>46</v>
      </c>
      <c r="AB175" s="2796">
        <v>65</v>
      </c>
      <c r="AC175" s="2796">
        <v>50</v>
      </c>
      <c r="AD175" s="2796">
        <v>47</v>
      </c>
      <c r="AE175" s="2796">
        <v>40</v>
      </c>
      <c r="AF175" s="2796">
        <v>73</v>
      </c>
      <c r="AG175" s="2796">
        <v>53</v>
      </c>
      <c r="AH175" s="2796">
        <v>62</v>
      </c>
      <c r="AI175" s="2796">
        <v>45</v>
      </c>
      <c r="AJ175" s="2790">
        <f t="shared" si="9"/>
        <v>1781</v>
      </c>
      <c r="AK175" s="2790" t="e">
        <f>VLOOKUP(B175,'Mủ CN (TT)'!C193:AK369,36,0)+VLOOKUP(B175,'Mủ CN (tam ung)'!C155:AL332,36,0)</f>
        <v>#REF!</v>
      </c>
      <c r="AL175" s="2828" t="s">
        <v>141</v>
      </c>
      <c r="AM175" s="2798"/>
      <c r="AO175" s="2793"/>
    </row>
    <row r="176" spans="1:41" ht="18.75">
      <c r="A176" s="1169">
        <v>16</v>
      </c>
      <c r="B176" s="2826" t="s">
        <v>1224</v>
      </c>
      <c r="C176" s="2827"/>
      <c r="D176" s="2827" t="s">
        <v>453</v>
      </c>
      <c r="E176" s="2796">
        <v>97</v>
      </c>
      <c r="F176" s="2796">
        <v>72</v>
      </c>
      <c r="G176" s="2796">
        <v>64</v>
      </c>
      <c r="H176" s="2796">
        <v>93</v>
      </c>
      <c r="I176" s="2796">
        <v>80</v>
      </c>
      <c r="J176" s="2796">
        <v>86</v>
      </c>
      <c r="K176" s="2796">
        <v>63</v>
      </c>
      <c r="L176" s="2796">
        <v>90</v>
      </c>
      <c r="M176" s="2796">
        <v>72</v>
      </c>
      <c r="N176" s="2796">
        <v>70</v>
      </c>
      <c r="O176" s="2796">
        <v>58</v>
      </c>
      <c r="P176" s="2796">
        <v>80</v>
      </c>
      <c r="Q176" s="2796">
        <v>64</v>
      </c>
      <c r="R176" s="2796">
        <v>74</v>
      </c>
      <c r="S176" s="2796">
        <v>0</v>
      </c>
      <c r="T176" s="2796">
        <v>134</v>
      </c>
      <c r="U176" s="2796">
        <v>69</v>
      </c>
      <c r="V176" s="2796">
        <v>56</v>
      </c>
      <c r="W176" s="2796">
        <v>62</v>
      </c>
      <c r="X176" s="2796">
        <v>66</v>
      </c>
      <c r="Y176" s="2796">
        <v>64</v>
      </c>
      <c r="Z176" s="2796">
        <v>60</v>
      </c>
      <c r="AA176" s="2796">
        <v>43</v>
      </c>
      <c r="AB176" s="2796">
        <v>63</v>
      </c>
      <c r="AC176" s="2796">
        <v>52</v>
      </c>
      <c r="AD176" s="2796">
        <v>56</v>
      </c>
      <c r="AE176" s="2796">
        <v>47</v>
      </c>
      <c r="AF176" s="2796">
        <v>78</v>
      </c>
      <c r="AG176" s="2796">
        <v>58</v>
      </c>
      <c r="AH176" s="2796">
        <v>58</v>
      </c>
      <c r="AI176" s="2796">
        <v>64</v>
      </c>
      <c r="AJ176" s="2790">
        <f t="shared" si="9"/>
        <v>2093</v>
      </c>
      <c r="AK176" s="2790" t="e">
        <f>VLOOKUP(B176,'Mủ CN (TT)'!C194:AK370,36,0)+VLOOKUP(B176,'Mủ CN (tam ung)'!C156:AL333,36,0)</f>
        <v>#REF!</v>
      </c>
      <c r="AL176" s="2828" t="s">
        <v>141</v>
      </c>
      <c r="AM176" s="2798"/>
      <c r="AO176" s="2793"/>
    </row>
    <row r="177" spans="1:43" ht="18.75">
      <c r="A177" s="2821">
        <v>17</v>
      </c>
      <c r="B177" s="2826" t="s">
        <v>1546</v>
      </c>
      <c r="C177" s="2827"/>
      <c r="D177" s="2827" t="s">
        <v>453</v>
      </c>
      <c r="E177" s="2796">
        <v>59</v>
      </c>
      <c r="F177" s="2796">
        <v>32</v>
      </c>
      <c r="G177" s="2796">
        <v>52</v>
      </c>
      <c r="H177" s="2796">
        <v>68</v>
      </c>
      <c r="I177" s="2796">
        <v>75</v>
      </c>
      <c r="J177" s="2796">
        <v>64</v>
      </c>
      <c r="K177" s="2796">
        <v>49</v>
      </c>
      <c r="L177" s="2796">
        <v>76</v>
      </c>
      <c r="M177" s="2796">
        <v>72</v>
      </c>
      <c r="N177" s="2796">
        <v>63</v>
      </c>
      <c r="O177" s="2796">
        <v>53</v>
      </c>
      <c r="P177" s="2796">
        <v>88</v>
      </c>
      <c r="Q177" s="2796">
        <v>67</v>
      </c>
      <c r="R177" s="2796">
        <v>63</v>
      </c>
      <c r="S177" s="2796">
        <v>0</v>
      </c>
      <c r="T177" s="2796">
        <v>126</v>
      </c>
      <c r="U177" s="2796">
        <v>0</v>
      </c>
      <c r="V177" s="2796">
        <v>61</v>
      </c>
      <c r="W177" s="2796">
        <v>95</v>
      </c>
      <c r="X177" s="2796">
        <v>78</v>
      </c>
      <c r="Y177" s="2796">
        <v>65</v>
      </c>
      <c r="Z177" s="2796">
        <v>67</v>
      </c>
      <c r="AA177" s="2796">
        <v>44</v>
      </c>
      <c r="AB177" s="2796">
        <v>60</v>
      </c>
      <c r="AC177" s="2796">
        <v>57</v>
      </c>
      <c r="AD177" s="2796">
        <v>60</v>
      </c>
      <c r="AE177" s="2796">
        <v>41</v>
      </c>
      <c r="AF177" s="2796">
        <v>80</v>
      </c>
      <c r="AG177" s="2796">
        <v>0</v>
      </c>
      <c r="AH177" s="2796">
        <v>118</v>
      </c>
      <c r="AI177" s="2796">
        <v>42</v>
      </c>
      <c r="AJ177" s="2790">
        <f t="shared" si="9"/>
        <v>1875</v>
      </c>
      <c r="AK177" s="2790" t="e">
        <f>VLOOKUP(B177,'Mủ CN (TT)'!C195:AK371,36,0)+VLOOKUP(B177,'Mủ CN (tam ung)'!C157:AL334,36,0)</f>
        <v>#REF!</v>
      </c>
      <c r="AL177" s="2828" t="s">
        <v>138</v>
      </c>
      <c r="AM177" s="2798"/>
      <c r="AO177" s="2793"/>
    </row>
    <row r="178" spans="1:43" ht="18.75">
      <c r="A178" s="1169">
        <v>18</v>
      </c>
      <c r="B178" s="2826" t="s">
        <v>1226</v>
      </c>
      <c r="C178" s="2827"/>
      <c r="D178" s="2827" t="s">
        <v>453</v>
      </c>
      <c r="E178" s="2796">
        <v>54</v>
      </c>
      <c r="F178" s="2796">
        <v>44</v>
      </c>
      <c r="G178" s="2796">
        <v>72</v>
      </c>
      <c r="H178" s="2796">
        <v>73</v>
      </c>
      <c r="I178" s="2796">
        <v>48</v>
      </c>
      <c r="J178" s="2796">
        <v>85</v>
      </c>
      <c r="K178" s="2796">
        <v>66</v>
      </c>
      <c r="L178" s="2796">
        <v>0</v>
      </c>
      <c r="M178" s="2796">
        <v>114</v>
      </c>
      <c r="N178" s="2796">
        <v>60</v>
      </c>
      <c r="O178" s="2796">
        <v>0</v>
      </c>
      <c r="P178" s="2796">
        <v>119</v>
      </c>
      <c r="Q178" s="2796">
        <v>41</v>
      </c>
      <c r="R178" s="2796">
        <v>72</v>
      </c>
      <c r="S178" s="2796">
        <v>0</v>
      </c>
      <c r="T178" s="2796">
        <v>110</v>
      </c>
      <c r="U178" s="2796">
        <v>40</v>
      </c>
      <c r="V178" s="2796">
        <v>0</v>
      </c>
      <c r="W178" s="2796">
        <v>118</v>
      </c>
      <c r="X178" s="2796">
        <v>47</v>
      </c>
      <c r="Y178" s="2796">
        <v>47</v>
      </c>
      <c r="Z178" s="2796">
        <v>46</v>
      </c>
      <c r="AA178" s="2796">
        <v>75</v>
      </c>
      <c r="AB178" s="2796">
        <v>66</v>
      </c>
      <c r="AC178" s="2790">
        <v>61</v>
      </c>
      <c r="AD178" s="2790">
        <v>0</v>
      </c>
      <c r="AE178" s="2790">
        <v>147</v>
      </c>
      <c r="AF178" s="2790">
        <v>46</v>
      </c>
      <c r="AG178" s="2790">
        <v>47</v>
      </c>
      <c r="AH178" s="2790">
        <v>66</v>
      </c>
      <c r="AI178" s="2790">
        <v>65</v>
      </c>
      <c r="AJ178" s="2790">
        <f t="shared" si="9"/>
        <v>1829</v>
      </c>
      <c r="AK178" s="2790" t="e">
        <f>VLOOKUP(B178,'Mủ CN (TT)'!C196:AK372,36,0)+VLOOKUP(B178,'Mủ CN (tam ung)'!C158:AL335,36,0)</f>
        <v>#REF!</v>
      </c>
      <c r="AL178" s="2828" t="s">
        <v>138</v>
      </c>
      <c r="AM178" s="2798"/>
      <c r="AO178" s="2793"/>
    </row>
    <row r="179" spans="1:43" ht="18.75">
      <c r="A179" s="2821">
        <v>19</v>
      </c>
      <c r="B179" s="2826" t="s">
        <v>861</v>
      </c>
      <c r="C179" s="2827"/>
      <c r="D179" s="2827" t="s">
        <v>453</v>
      </c>
      <c r="E179" s="2796">
        <v>55</v>
      </c>
      <c r="F179" s="2796">
        <v>67</v>
      </c>
      <c r="G179" s="2796">
        <v>58</v>
      </c>
      <c r="H179" s="2796">
        <v>53</v>
      </c>
      <c r="I179" s="2796">
        <v>40</v>
      </c>
      <c r="J179" s="2796">
        <v>68</v>
      </c>
      <c r="K179" s="2796">
        <v>58</v>
      </c>
      <c r="L179" s="2796">
        <v>46</v>
      </c>
      <c r="M179" s="2796">
        <v>51</v>
      </c>
      <c r="N179" s="2796">
        <v>69</v>
      </c>
      <c r="O179" s="2796">
        <v>50</v>
      </c>
      <c r="P179" s="2796">
        <v>43</v>
      </c>
      <c r="Q179" s="2796">
        <v>38</v>
      </c>
      <c r="R179" s="2796">
        <v>52</v>
      </c>
      <c r="S179" s="2796">
        <v>0</v>
      </c>
      <c r="T179" s="2796">
        <v>86</v>
      </c>
      <c r="U179" s="2796">
        <v>39</v>
      </c>
      <c r="V179" s="2796">
        <v>64</v>
      </c>
      <c r="W179" s="2796">
        <v>48</v>
      </c>
      <c r="X179" s="2796">
        <v>39</v>
      </c>
      <c r="Y179" s="2796">
        <v>42</v>
      </c>
      <c r="Z179" s="2796">
        <v>58</v>
      </c>
      <c r="AA179" s="2796">
        <v>49</v>
      </c>
      <c r="AB179" s="2796">
        <v>41</v>
      </c>
      <c r="AC179" s="2796">
        <v>43</v>
      </c>
      <c r="AD179" s="2796">
        <v>55</v>
      </c>
      <c r="AE179" s="2796">
        <v>40</v>
      </c>
      <c r="AF179" s="2796">
        <v>33</v>
      </c>
      <c r="AG179" s="2796">
        <v>43</v>
      </c>
      <c r="AH179" s="2796">
        <v>52</v>
      </c>
      <c r="AI179" s="2796">
        <v>47</v>
      </c>
      <c r="AJ179" s="2790">
        <f t="shared" si="9"/>
        <v>1527</v>
      </c>
      <c r="AK179" s="2790" t="e">
        <f>VLOOKUP(B179,'Mủ CN (TT)'!C197:AK373,36,0)+VLOOKUP(B179,'Mủ CN (tam ung)'!C159:AL336,36,0)</f>
        <v>#REF!</v>
      </c>
      <c r="AL179" s="2828" t="s">
        <v>141</v>
      </c>
      <c r="AM179" s="2798"/>
      <c r="AO179" s="2793"/>
    </row>
    <row r="180" spans="1:43" ht="18.75">
      <c r="A180" s="1169">
        <v>20</v>
      </c>
      <c r="B180" s="2826" t="s">
        <v>486</v>
      </c>
      <c r="C180" s="2827"/>
      <c r="D180" s="2827" t="s">
        <v>453</v>
      </c>
      <c r="E180" s="2796">
        <v>71</v>
      </c>
      <c r="F180" s="2796">
        <v>95</v>
      </c>
      <c r="G180" s="2796">
        <v>96</v>
      </c>
      <c r="H180" s="2796">
        <v>74</v>
      </c>
      <c r="I180" s="2796">
        <v>73</v>
      </c>
      <c r="J180" s="2796">
        <v>80</v>
      </c>
      <c r="K180" s="2796">
        <v>96</v>
      </c>
      <c r="L180" s="2796">
        <v>59</v>
      </c>
      <c r="M180" s="2796">
        <v>66</v>
      </c>
      <c r="N180" s="2796">
        <v>82</v>
      </c>
      <c r="O180" s="2796">
        <v>97</v>
      </c>
      <c r="P180" s="2796">
        <v>53</v>
      </c>
      <c r="Q180" s="2796">
        <v>57</v>
      </c>
      <c r="R180" s="2796">
        <v>72</v>
      </c>
      <c r="S180" s="2796">
        <v>0</v>
      </c>
      <c r="T180" s="2796">
        <v>137</v>
      </c>
      <c r="U180" s="2796">
        <v>62</v>
      </c>
      <c r="V180" s="2796">
        <v>65</v>
      </c>
      <c r="W180" s="2796">
        <v>112</v>
      </c>
      <c r="X180" s="2796">
        <v>50</v>
      </c>
      <c r="Y180" s="2796">
        <v>59</v>
      </c>
      <c r="Z180" s="2796">
        <v>67</v>
      </c>
      <c r="AA180" s="2796">
        <v>101</v>
      </c>
      <c r="AB180" s="2796">
        <v>44</v>
      </c>
      <c r="AC180" s="2796">
        <v>59</v>
      </c>
      <c r="AD180" s="2796">
        <v>55</v>
      </c>
      <c r="AE180" s="2796">
        <v>79</v>
      </c>
      <c r="AF180" s="2796">
        <v>51</v>
      </c>
      <c r="AG180" s="2796">
        <v>47</v>
      </c>
      <c r="AH180" s="2796">
        <v>51</v>
      </c>
      <c r="AI180" s="2796">
        <v>84</v>
      </c>
      <c r="AJ180" s="2790">
        <f t="shared" si="9"/>
        <v>2194</v>
      </c>
      <c r="AK180" s="2790" t="e">
        <f>VLOOKUP(B180,'Mủ CN (TT)'!C198:AK374,36,0)+VLOOKUP(B180,'Mủ CN (tam ung)'!C160:AL337,36,0)</f>
        <v>#REF!</v>
      </c>
      <c r="AL180" s="2828" t="s">
        <v>141</v>
      </c>
      <c r="AM180" s="2798"/>
      <c r="AO180" s="2793"/>
    </row>
    <row r="181" spans="1:43" ht="18.75">
      <c r="A181" s="2821">
        <v>21</v>
      </c>
      <c r="B181" s="2826" t="s">
        <v>836</v>
      </c>
      <c r="C181" s="2827"/>
      <c r="D181" s="2827" t="s">
        <v>453</v>
      </c>
      <c r="E181" s="2796">
        <v>54</v>
      </c>
      <c r="F181" s="2796">
        <v>55</v>
      </c>
      <c r="G181" s="2796">
        <v>59</v>
      </c>
      <c r="H181" s="2796">
        <v>0</v>
      </c>
      <c r="I181" s="2796">
        <v>151</v>
      </c>
      <c r="J181" s="2796">
        <v>54</v>
      </c>
      <c r="K181" s="2796">
        <v>49</v>
      </c>
      <c r="L181" s="2796">
        <v>79</v>
      </c>
      <c r="M181" s="2796">
        <v>60</v>
      </c>
      <c r="N181" s="2796">
        <v>60</v>
      </c>
      <c r="O181" s="2796">
        <v>76</v>
      </c>
      <c r="P181" s="2796">
        <v>90</v>
      </c>
      <c r="Q181" s="2796">
        <v>43</v>
      </c>
      <c r="R181" s="2796">
        <v>47</v>
      </c>
      <c r="S181" s="2796">
        <v>0</v>
      </c>
      <c r="T181" s="2796">
        <v>144</v>
      </c>
      <c r="U181" s="2796">
        <v>58</v>
      </c>
      <c r="V181" s="2796">
        <v>58</v>
      </c>
      <c r="W181" s="2796">
        <v>68</v>
      </c>
      <c r="X181" s="2796">
        <v>113</v>
      </c>
      <c r="Y181" s="2796">
        <v>44</v>
      </c>
      <c r="Z181" s="2796">
        <v>0</v>
      </c>
      <c r="AA181" s="2796">
        <v>125</v>
      </c>
      <c r="AB181" s="2796">
        <v>121</v>
      </c>
      <c r="AC181" s="2796">
        <v>47</v>
      </c>
      <c r="AD181" s="2796">
        <v>62</v>
      </c>
      <c r="AE181" s="2796">
        <v>65</v>
      </c>
      <c r="AF181" s="2796">
        <v>88</v>
      </c>
      <c r="AG181" s="2796">
        <v>49</v>
      </c>
      <c r="AH181" s="2796">
        <v>55</v>
      </c>
      <c r="AI181" s="2796">
        <v>73</v>
      </c>
      <c r="AJ181" s="2790">
        <f t="shared" si="9"/>
        <v>2047</v>
      </c>
      <c r="AK181" s="2790" t="e">
        <f>VLOOKUP(B181,'Mủ CN (TT)'!C199:AK375,36,0)+VLOOKUP(B181,'Mủ CN (tam ung)'!C161:AL338,36,0)</f>
        <v>#REF!</v>
      </c>
      <c r="AL181" s="2828" t="s">
        <v>141</v>
      </c>
      <c r="AM181" s="2798"/>
      <c r="AO181" s="2793"/>
    </row>
    <row r="182" spans="1:43" ht="18.75">
      <c r="A182" s="1169">
        <v>22</v>
      </c>
      <c r="B182" s="2826" t="s">
        <v>1227</v>
      </c>
      <c r="C182" s="2827"/>
      <c r="D182" s="2827" t="s">
        <v>453</v>
      </c>
      <c r="E182" s="2796">
        <v>29</v>
      </c>
      <c r="F182" s="2796">
        <v>49</v>
      </c>
      <c r="G182" s="2796">
        <v>38</v>
      </c>
      <c r="H182" s="2796">
        <v>64</v>
      </c>
      <c r="I182" s="2796">
        <v>37</v>
      </c>
      <c r="J182" s="2796">
        <v>57</v>
      </c>
      <c r="K182" s="2796">
        <v>63</v>
      </c>
      <c r="L182" s="2796">
        <v>74</v>
      </c>
      <c r="M182" s="2796">
        <v>0</v>
      </c>
      <c r="N182" s="2796">
        <v>100</v>
      </c>
      <c r="O182" s="2796">
        <v>48</v>
      </c>
      <c r="P182" s="2796">
        <v>67</v>
      </c>
      <c r="Q182" s="2796">
        <v>0</v>
      </c>
      <c r="R182" s="2796">
        <v>111</v>
      </c>
      <c r="S182" s="2796">
        <v>0</v>
      </c>
      <c r="T182" s="2796">
        <v>119</v>
      </c>
      <c r="U182" s="2796">
        <v>0</v>
      </c>
      <c r="V182" s="2796">
        <v>57</v>
      </c>
      <c r="W182" s="2796">
        <v>58</v>
      </c>
      <c r="X182" s="2796">
        <v>120</v>
      </c>
      <c r="Y182" s="2796">
        <v>102</v>
      </c>
      <c r="Z182" s="2796">
        <v>0</v>
      </c>
      <c r="AA182" s="2796">
        <v>130</v>
      </c>
      <c r="AB182" s="2796">
        <v>59</v>
      </c>
      <c r="AC182" s="2796">
        <v>60</v>
      </c>
      <c r="AD182" s="2796">
        <v>0</v>
      </c>
      <c r="AE182" s="2796">
        <v>147</v>
      </c>
      <c r="AF182" s="2796">
        <v>0</v>
      </c>
      <c r="AG182" s="2796">
        <v>59</v>
      </c>
      <c r="AH182" s="2796">
        <v>70</v>
      </c>
      <c r="AI182" s="2796">
        <v>0</v>
      </c>
      <c r="AJ182" s="2790">
        <f t="shared" si="9"/>
        <v>1718</v>
      </c>
      <c r="AK182" s="2790" t="e">
        <f>VLOOKUP(B182,'Mủ CN (TT)'!C200:AK376,36,0)+VLOOKUP(B182,'Mủ CN (tam ung)'!C162:AL339,36,0)</f>
        <v>#REF!</v>
      </c>
      <c r="AL182" s="2828" t="s">
        <v>138</v>
      </c>
      <c r="AM182" s="2798"/>
      <c r="AO182" s="2793"/>
      <c r="AQ182">
        <f>+COUNTIF(AL161:AL190,"A")</f>
        <v>18</v>
      </c>
    </row>
    <row r="183" spans="1:43" ht="18.75">
      <c r="A183" s="2821">
        <v>23</v>
      </c>
      <c r="B183" s="2826" t="s">
        <v>1228</v>
      </c>
      <c r="C183" s="2827"/>
      <c r="D183" s="2827" t="s">
        <v>453</v>
      </c>
      <c r="E183" s="2796">
        <v>102</v>
      </c>
      <c r="F183" s="2796">
        <v>54</v>
      </c>
      <c r="G183" s="2796">
        <v>55</v>
      </c>
      <c r="H183" s="2796">
        <v>44</v>
      </c>
      <c r="I183" s="2796">
        <v>99</v>
      </c>
      <c r="J183" s="2796">
        <v>43</v>
      </c>
      <c r="K183" s="2796">
        <v>59</v>
      </c>
      <c r="L183" s="2796">
        <v>56</v>
      </c>
      <c r="M183" s="2796">
        <v>102</v>
      </c>
      <c r="N183" s="2796">
        <v>47</v>
      </c>
      <c r="O183" s="2796">
        <v>62</v>
      </c>
      <c r="P183" s="2796">
        <v>55</v>
      </c>
      <c r="Q183" s="2796">
        <v>98</v>
      </c>
      <c r="R183" s="2796">
        <v>45</v>
      </c>
      <c r="S183" s="2796">
        <v>0</v>
      </c>
      <c r="T183" s="2796">
        <v>122</v>
      </c>
      <c r="U183" s="2796">
        <v>96</v>
      </c>
      <c r="V183" s="2796">
        <v>49</v>
      </c>
      <c r="W183" s="2796">
        <v>69</v>
      </c>
      <c r="X183" s="2796">
        <v>55</v>
      </c>
      <c r="Y183" s="2796">
        <v>82</v>
      </c>
      <c r="Z183" s="2796">
        <v>0</v>
      </c>
      <c r="AA183" s="2796">
        <v>0</v>
      </c>
      <c r="AB183" s="2796">
        <v>42</v>
      </c>
      <c r="AC183" s="2796">
        <v>32</v>
      </c>
      <c r="AD183" s="2796">
        <v>77</v>
      </c>
      <c r="AE183" s="2796">
        <v>56</v>
      </c>
      <c r="AF183" s="2796">
        <v>50</v>
      </c>
      <c r="AG183" s="2796">
        <v>100</v>
      </c>
      <c r="AH183" s="2796">
        <v>35</v>
      </c>
      <c r="AI183" s="2796">
        <v>57</v>
      </c>
      <c r="AJ183" s="2790">
        <f t="shared" si="9"/>
        <v>1843</v>
      </c>
      <c r="AK183" s="2790" t="e">
        <f>VLOOKUP(B183,'Mủ CN (TT)'!C201:AK377,36,0)+VLOOKUP(B183,'Mủ CN (tam ung)'!C162:AL340,36,0)</f>
        <v>#REF!</v>
      </c>
      <c r="AL183" s="2828" t="s">
        <v>141</v>
      </c>
      <c r="AM183" s="2798"/>
      <c r="AO183" s="2793"/>
    </row>
    <row r="184" spans="1:43" ht="18.75">
      <c r="A184" s="1169">
        <v>24</v>
      </c>
      <c r="B184" s="2826" t="s">
        <v>1229</v>
      </c>
      <c r="C184" s="2827"/>
      <c r="D184" s="2827" t="s">
        <v>453</v>
      </c>
      <c r="E184" s="2790">
        <v>0</v>
      </c>
      <c r="F184" s="2790">
        <v>0</v>
      </c>
      <c r="G184" s="2790">
        <v>0</v>
      </c>
      <c r="H184" s="2790">
        <v>90</v>
      </c>
      <c r="I184" s="2790">
        <v>88</v>
      </c>
      <c r="J184" s="2790">
        <v>0</v>
      </c>
      <c r="K184" s="2790">
        <v>110</v>
      </c>
      <c r="L184" s="2790">
        <v>82</v>
      </c>
      <c r="M184" s="2790">
        <v>83</v>
      </c>
      <c r="N184" s="2790">
        <v>57</v>
      </c>
      <c r="O184" s="2790">
        <v>71</v>
      </c>
      <c r="P184" s="2790">
        <v>89</v>
      </c>
      <c r="Q184" s="2790">
        <v>80</v>
      </c>
      <c r="R184" s="2790">
        <v>53</v>
      </c>
      <c r="S184" s="2790">
        <v>0</v>
      </c>
      <c r="T184" s="2790">
        <v>143</v>
      </c>
      <c r="U184" s="2790">
        <v>84</v>
      </c>
      <c r="V184" s="2790">
        <v>65</v>
      </c>
      <c r="W184" s="2790">
        <v>0</v>
      </c>
      <c r="X184" s="2790">
        <v>62</v>
      </c>
      <c r="Y184" s="2790">
        <v>90</v>
      </c>
      <c r="Z184" s="2790">
        <v>51</v>
      </c>
      <c r="AA184" s="2790">
        <v>0</v>
      </c>
      <c r="AB184" s="2790">
        <v>129</v>
      </c>
      <c r="AC184" s="2790">
        <v>82</v>
      </c>
      <c r="AD184" s="2790">
        <v>62</v>
      </c>
      <c r="AE184" s="2790">
        <v>66</v>
      </c>
      <c r="AF184" s="2790">
        <v>74</v>
      </c>
      <c r="AG184" s="2790">
        <v>0</v>
      </c>
      <c r="AH184" s="2790">
        <v>0</v>
      </c>
      <c r="AI184" s="2790">
        <v>60</v>
      </c>
      <c r="AJ184" s="2790">
        <f t="shared" si="9"/>
        <v>1771</v>
      </c>
      <c r="AK184" s="2790" t="e">
        <f>VLOOKUP(B184,'Mủ CN (TT)'!C202:AK378,36,0)+VLOOKUP(B184,'Mủ CN (tam ung)'!C163:AL341,36,0)</f>
        <v>#REF!</v>
      </c>
      <c r="AL184" s="2828" t="s">
        <v>141</v>
      </c>
      <c r="AM184" s="2798"/>
      <c r="AO184" s="2793"/>
    </row>
    <row r="185" spans="1:43" ht="18.75">
      <c r="A185" s="2821">
        <v>25</v>
      </c>
      <c r="B185" s="2826" t="s">
        <v>1518</v>
      </c>
      <c r="C185" s="2827"/>
      <c r="D185" s="2827" t="s">
        <v>453</v>
      </c>
      <c r="E185" s="2796">
        <v>57</v>
      </c>
      <c r="F185" s="2796">
        <v>43</v>
      </c>
      <c r="G185" s="2796">
        <v>40</v>
      </c>
      <c r="H185" s="2796">
        <v>38</v>
      </c>
      <c r="I185" s="2796">
        <v>62</v>
      </c>
      <c r="J185" s="2796">
        <v>67</v>
      </c>
      <c r="K185" s="2796">
        <v>90</v>
      </c>
      <c r="L185" s="2796">
        <v>71</v>
      </c>
      <c r="M185" s="2796">
        <v>52</v>
      </c>
      <c r="N185" s="2796">
        <v>56</v>
      </c>
      <c r="O185" s="2796">
        <v>90</v>
      </c>
      <c r="P185" s="2796">
        <v>66</v>
      </c>
      <c r="Q185" s="2796">
        <v>51</v>
      </c>
      <c r="R185" s="2796">
        <v>67</v>
      </c>
      <c r="S185" s="2796">
        <v>0</v>
      </c>
      <c r="T185" s="2796">
        <v>0</v>
      </c>
      <c r="U185" s="2796">
        <v>0</v>
      </c>
      <c r="V185" s="2796">
        <v>0</v>
      </c>
      <c r="W185" s="2796">
        <v>82</v>
      </c>
      <c r="X185" s="2796">
        <v>84</v>
      </c>
      <c r="Y185" s="2796">
        <v>56</v>
      </c>
      <c r="Z185" s="2796">
        <v>0</v>
      </c>
      <c r="AA185" s="2796">
        <v>192</v>
      </c>
      <c r="AB185" s="2796">
        <v>59</v>
      </c>
      <c r="AC185" s="2796">
        <v>67</v>
      </c>
      <c r="AD185" s="2796">
        <v>73</v>
      </c>
      <c r="AE185" s="2796">
        <v>62</v>
      </c>
      <c r="AF185" s="2796">
        <v>63</v>
      </c>
      <c r="AG185" s="2796">
        <v>53</v>
      </c>
      <c r="AH185" s="2796">
        <v>73</v>
      </c>
      <c r="AI185" s="2796">
        <v>103</v>
      </c>
      <c r="AJ185" s="2790">
        <f t="shared" si="9"/>
        <v>1817</v>
      </c>
      <c r="AK185" s="2790" t="e">
        <f>VLOOKUP(B185,'Mủ CN (TT)'!C203:AK379,36,0)+VLOOKUP(B185,'Mủ CN (tam ung)'!C164:AL342,36,0)</f>
        <v>#REF!</v>
      </c>
      <c r="AL185" s="2828" t="s">
        <v>138</v>
      </c>
      <c r="AM185" s="2798"/>
      <c r="AO185" s="2793"/>
    </row>
    <row r="186" spans="1:43" ht="18.75">
      <c r="A186" s="1169">
        <v>26</v>
      </c>
      <c r="B186" s="2826" t="s">
        <v>1519</v>
      </c>
      <c r="C186" s="2827"/>
      <c r="D186" s="2827" t="s">
        <v>453</v>
      </c>
      <c r="E186" s="2796">
        <v>69</v>
      </c>
      <c r="F186" s="2796">
        <v>88</v>
      </c>
      <c r="G186" s="2796">
        <v>88</v>
      </c>
      <c r="H186" s="2796">
        <v>88</v>
      </c>
      <c r="I186" s="2796">
        <v>90</v>
      </c>
      <c r="J186" s="2796">
        <v>87</v>
      </c>
      <c r="K186" s="2796">
        <v>93</v>
      </c>
      <c r="L186" s="2796">
        <v>97</v>
      </c>
      <c r="M186" s="2796">
        <v>97</v>
      </c>
      <c r="N186" s="2796">
        <v>90</v>
      </c>
      <c r="O186" s="2796">
        <v>117</v>
      </c>
      <c r="P186" s="2796">
        <v>156</v>
      </c>
      <c r="Q186" s="2796">
        <v>116</v>
      </c>
      <c r="R186" s="2796">
        <v>114</v>
      </c>
      <c r="S186" s="2796">
        <v>0</v>
      </c>
      <c r="T186" s="2796">
        <v>308</v>
      </c>
      <c r="U186" s="2796">
        <v>0</v>
      </c>
      <c r="V186" s="2796">
        <v>0</v>
      </c>
      <c r="W186" s="2796">
        <v>116</v>
      </c>
      <c r="X186" s="2796">
        <v>112</v>
      </c>
      <c r="Y186" s="2796">
        <v>133</v>
      </c>
      <c r="Z186" s="2796">
        <v>0</v>
      </c>
      <c r="AA186" s="2796">
        <v>142</v>
      </c>
      <c r="AB186" s="2796">
        <v>97</v>
      </c>
      <c r="AC186" s="2796">
        <v>123</v>
      </c>
      <c r="AD186" s="2796">
        <v>77</v>
      </c>
      <c r="AE186" s="2796">
        <v>205</v>
      </c>
      <c r="AF186" s="2796">
        <v>196</v>
      </c>
      <c r="AG186" s="2796">
        <v>170</v>
      </c>
      <c r="AH186" s="2796">
        <v>134</v>
      </c>
      <c r="AI186" s="2796">
        <v>44</v>
      </c>
      <c r="AJ186" s="2790">
        <f t="shared" si="9"/>
        <v>3247</v>
      </c>
      <c r="AK186" s="2790" t="e">
        <f>VLOOKUP(B186,'Mủ CN (TT)'!C204:AK380,36,0)+VLOOKUP(B186,'Mủ CN (tam ung)'!C165:AL343,36,0)</f>
        <v>#REF!</v>
      </c>
      <c r="AL186" s="2828" t="s">
        <v>141</v>
      </c>
      <c r="AM186" s="2798"/>
      <c r="AN186" t="e">
        <f>+VLOOKUP(B186,'[30]MỦ TẠP'!$B$9:$AH$37,33,0)</f>
        <v>#N/A</v>
      </c>
      <c r="AO186" s="2793" t="e">
        <f>+AN186-AJ186</f>
        <v>#N/A</v>
      </c>
    </row>
    <row r="187" spans="1:43" ht="18.75">
      <c r="A187" s="2821">
        <v>27</v>
      </c>
      <c r="B187" s="2826" t="s">
        <v>1520</v>
      </c>
      <c r="C187" s="2827"/>
      <c r="D187" s="2827" t="s">
        <v>453</v>
      </c>
      <c r="E187" s="2796">
        <v>57</v>
      </c>
      <c r="F187" s="2796">
        <v>43</v>
      </c>
      <c r="G187" s="2796">
        <v>27</v>
      </c>
      <c r="H187" s="2796">
        <v>53</v>
      </c>
      <c r="I187" s="2796">
        <v>71</v>
      </c>
      <c r="J187" s="2796">
        <v>93</v>
      </c>
      <c r="K187" s="2796">
        <v>76</v>
      </c>
      <c r="L187" s="2796">
        <v>138</v>
      </c>
      <c r="M187" s="2796">
        <v>60</v>
      </c>
      <c r="N187" s="2796">
        <v>39</v>
      </c>
      <c r="O187" s="2796">
        <v>61</v>
      </c>
      <c r="P187" s="2796">
        <v>104</v>
      </c>
      <c r="Q187" s="2796">
        <v>70</v>
      </c>
      <c r="R187" s="2796">
        <v>130</v>
      </c>
      <c r="S187" s="2796">
        <v>0</v>
      </c>
      <c r="T187" s="2796">
        <v>216</v>
      </c>
      <c r="U187" s="2796">
        <v>69</v>
      </c>
      <c r="V187" s="2796">
        <v>0</v>
      </c>
      <c r="W187" s="2796">
        <v>100</v>
      </c>
      <c r="X187" s="2796">
        <v>137</v>
      </c>
      <c r="Y187" s="2796">
        <v>70</v>
      </c>
      <c r="Z187" s="2796">
        <v>0</v>
      </c>
      <c r="AA187" s="2796">
        <v>80</v>
      </c>
      <c r="AB187" s="2796">
        <v>97</v>
      </c>
      <c r="AC187" s="2796">
        <v>76</v>
      </c>
      <c r="AD187" s="2796">
        <v>0</v>
      </c>
      <c r="AE187" s="2796">
        <v>165</v>
      </c>
      <c r="AF187" s="2796">
        <v>128</v>
      </c>
      <c r="AG187" s="2796">
        <v>69</v>
      </c>
      <c r="AH187" s="2796">
        <v>173</v>
      </c>
      <c r="AI187" s="2796">
        <v>104</v>
      </c>
      <c r="AJ187" s="2790">
        <f t="shared" si="9"/>
        <v>2506</v>
      </c>
      <c r="AK187" s="2790" t="e">
        <f>VLOOKUP(B187,'Mủ CN (TT)'!C205:AK381,36,0)+VLOOKUP(B187,'Mủ CN (tam ung)'!C166:AL344,36,0)</f>
        <v>#REF!</v>
      </c>
      <c r="AL187" s="2828" t="s">
        <v>138</v>
      </c>
      <c r="AM187" s="2798"/>
      <c r="AN187" t="e">
        <f>+VLOOKUP(B187,'[30]MỦ TẠP'!$B$9:$AH$37,33,0)</f>
        <v>#N/A</v>
      </c>
      <c r="AO187" s="2793" t="e">
        <f>+AN187-AJ187</f>
        <v>#N/A</v>
      </c>
    </row>
    <row r="188" spans="1:43" ht="18.75">
      <c r="A188" s="1169">
        <v>28</v>
      </c>
      <c r="B188" s="2826" t="s">
        <v>1521</v>
      </c>
      <c r="C188" s="2827"/>
      <c r="D188" s="2827" t="s">
        <v>453</v>
      </c>
      <c r="E188" s="2796">
        <v>90</v>
      </c>
      <c r="F188" s="2796">
        <v>75</v>
      </c>
      <c r="G188" s="2796">
        <v>69</v>
      </c>
      <c r="H188" s="2796">
        <v>113</v>
      </c>
      <c r="I188" s="2796">
        <v>102</v>
      </c>
      <c r="J188" s="2796">
        <v>64</v>
      </c>
      <c r="K188" s="2796">
        <v>66</v>
      </c>
      <c r="L188" s="2796">
        <v>113</v>
      </c>
      <c r="M188" s="2796">
        <v>44</v>
      </c>
      <c r="N188" s="2796">
        <v>40</v>
      </c>
      <c r="O188" s="2796">
        <v>80</v>
      </c>
      <c r="P188" s="2796">
        <v>112</v>
      </c>
      <c r="Q188" s="2796">
        <v>83</v>
      </c>
      <c r="R188" s="2796">
        <v>69</v>
      </c>
      <c r="S188" s="2796">
        <v>0</v>
      </c>
      <c r="T188" s="2796">
        <v>177</v>
      </c>
      <c r="U188" s="2796">
        <v>82</v>
      </c>
      <c r="V188" s="2796">
        <v>0</v>
      </c>
      <c r="W188" s="2796">
        <v>67</v>
      </c>
      <c r="X188" s="2796">
        <v>111</v>
      </c>
      <c r="Y188" s="2796">
        <v>56</v>
      </c>
      <c r="Z188" s="2796">
        <v>0</v>
      </c>
      <c r="AA188" s="2796">
        <v>70</v>
      </c>
      <c r="AB188" s="2796">
        <v>103</v>
      </c>
      <c r="AC188" s="2796">
        <v>90</v>
      </c>
      <c r="AD188" s="2796">
        <v>69</v>
      </c>
      <c r="AE188" s="2796">
        <v>143</v>
      </c>
      <c r="AF188" s="2796">
        <v>113</v>
      </c>
      <c r="AG188" s="2796">
        <v>93</v>
      </c>
      <c r="AH188" s="2796">
        <v>81</v>
      </c>
      <c r="AI188" s="2796">
        <v>90</v>
      </c>
      <c r="AJ188" s="2790">
        <f t="shared" si="9"/>
        <v>2465</v>
      </c>
      <c r="AK188" s="2790" t="e">
        <f>VLOOKUP(B188,'Mủ CN (TT)'!C206:AK382,36,0)+VLOOKUP(B188,'Mủ CN (tam ung)'!C167:AL345,36,0)</f>
        <v>#REF!</v>
      </c>
      <c r="AL188" s="2828" t="s">
        <v>141</v>
      </c>
      <c r="AM188" s="2798"/>
      <c r="AN188" t="e">
        <f>+VLOOKUP(B188,'[30]MỦ TẠP'!$B$9:$AH$37,33,0)</f>
        <v>#N/A</v>
      </c>
      <c r="AO188" s="2793" t="e">
        <f>+AN188-AJ188</f>
        <v>#N/A</v>
      </c>
    </row>
    <row r="189" spans="1:43" ht="18.75">
      <c r="A189" s="2821">
        <v>29</v>
      </c>
      <c r="B189" s="2826" t="s">
        <v>1522</v>
      </c>
      <c r="C189" s="2827"/>
      <c r="D189" s="2827" t="s">
        <v>453</v>
      </c>
      <c r="E189" s="2796">
        <v>175</v>
      </c>
      <c r="F189" s="2796">
        <v>65</v>
      </c>
      <c r="G189" s="2796">
        <v>116</v>
      </c>
      <c r="H189" s="2796">
        <v>139</v>
      </c>
      <c r="I189" s="2796">
        <v>194</v>
      </c>
      <c r="J189" s="2796">
        <v>62</v>
      </c>
      <c r="K189" s="2796">
        <v>116</v>
      </c>
      <c r="L189" s="2796">
        <v>131</v>
      </c>
      <c r="M189" s="2796">
        <v>71</v>
      </c>
      <c r="N189" s="2796">
        <v>90</v>
      </c>
      <c r="O189" s="2796">
        <v>119</v>
      </c>
      <c r="P189" s="2796">
        <v>128</v>
      </c>
      <c r="Q189" s="2796">
        <v>178</v>
      </c>
      <c r="R189" s="2796">
        <v>60</v>
      </c>
      <c r="S189" s="2796">
        <v>0</v>
      </c>
      <c r="T189" s="2796">
        <v>213</v>
      </c>
      <c r="U189" s="2796">
        <v>154</v>
      </c>
      <c r="V189" s="2796">
        <v>0</v>
      </c>
      <c r="W189" s="2796">
        <v>98</v>
      </c>
      <c r="X189" s="2796">
        <v>122</v>
      </c>
      <c r="Y189" s="2796">
        <v>183</v>
      </c>
      <c r="Z189" s="2796">
        <v>0</v>
      </c>
      <c r="AA189" s="2796">
        <v>53</v>
      </c>
      <c r="AB189" s="2796">
        <v>66</v>
      </c>
      <c r="AC189" s="2796">
        <v>197</v>
      </c>
      <c r="AD189" s="2796">
        <v>60</v>
      </c>
      <c r="AE189" s="2796">
        <v>141</v>
      </c>
      <c r="AF189" s="2796">
        <v>127</v>
      </c>
      <c r="AG189" s="2796">
        <v>203</v>
      </c>
      <c r="AH189" s="2796">
        <v>67</v>
      </c>
      <c r="AI189" s="2796">
        <v>108</v>
      </c>
      <c r="AJ189" s="2790">
        <f t="shared" si="9"/>
        <v>3436</v>
      </c>
      <c r="AK189" s="2790" t="e">
        <f>VLOOKUP(B189,'Mủ CN (TT)'!C207:AK383,36,0)+VLOOKUP(B189,'Mủ CN (tam ung)'!C168:AL346,36,0)</f>
        <v>#REF!</v>
      </c>
      <c r="AL189" s="2828" t="s">
        <v>141</v>
      </c>
      <c r="AM189" s="2798"/>
      <c r="AN189" t="e">
        <f>+VLOOKUP(B189,'[30]MỦ TẠP'!$B$9:$AH$37,33,0)</f>
        <v>#N/A</v>
      </c>
      <c r="AO189" s="2793" t="e">
        <f>+AN189-AJ189</f>
        <v>#N/A</v>
      </c>
    </row>
    <row r="190" spans="1:43" ht="18.75">
      <c r="A190" s="2904">
        <v>30</v>
      </c>
      <c r="B190" s="2905" t="s">
        <v>1230</v>
      </c>
      <c r="C190" s="2906"/>
      <c r="D190" s="2906" t="s">
        <v>453</v>
      </c>
      <c r="E190" s="2901">
        <v>21</v>
      </c>
      <c r="F190" s="2901">
        <v>45</v>
      </c>
      <c r="G190" s="2901">
        <v>80</v>
      </c>
      <c r="H190" s="2901">
        <v>73</v>
      </c>
      <c r="I190" s="2901">
        <v>29</v>
      </c>
      <c r="J190" s="2901">
        <v>55</v>
      </c>
      <c r="K190" s="2901">
        <v>75</v>
      </c>
      <c r="L190" s="2901">
        <v>70</v>
      </c>
      <c r="M190" s="2901">
        <v>27</v>
      </c>
      <c r="N190" s="2901">
        <v>54</v>
      </c>
      <c r="O190" s="2901">
        <v>78</v>
      </c>
      <c r="P190" s="2901">
        <v>66</v>
      </c>
      <c r="Q190" s="2901">
        <v>100</v>
      </c>
      <c r="R190" s="2901">
        <v>61</v>
      </c>
      <c r="S190" s="2901">
        <v>0</v>
      </c>
      <c r="T190" s="2901">
        <v>83</v>
      </c>
      <c r="U190" s="2901">
        <v>29</v>
      </c>
      <c r="V190" s="2901">
        <v>0</v>
      </c>
      <c r="W190" s="2901">
        <v>86</v>
      </c>
      <c r="X190" s="2901">
        <v>79</v>
      </c>
      <c r="Y190" s="2901">
        <v>46</v>
      </c>
      <c r="Z190" s="2901">
        <v>0</v>
      </c>
      <c r="AA190" s="2901">
        <v>101</v>
      </c>
      <c r="AB190" s="2901">
        <v>63</v>
      </c>
      <c r="AC190" s="2901">
        <v>0</v>
      </c>
      <c r="AD190" s="2901">
        <v>72</v>
      </c>
      <c r="AE190" s="2901">
        <v>131</v>
      </c>
      <c r="AF190" s="2901">
        <v>125</v>
      </c>
      <c r="AG190" s="2901">
        <v>51</v>
      </c>
      <c r="AH190" s="2901">
        <v>72</v>
      </c>
      <c r="AI190" s="2901">
        <v>89</v>
      </c>
      <c r="AJ190" s="2902">
        <f>+SUM(E190:AI190)</f>
        <v>1861</v>
      </c>
      <c r="AK190" s="2790" t="e">
        <f>VLOOKUP(B190,'Mủ CN (TT)'!C208:AK384,36,0)+VLOOKUP(B190,'Mủ CN (tam ung)'!C169:AL347,36,0)</f>
        <v>#REF!</v>
      </c>
      <c r="AL190" s="2907" t="s">
        <v>141</v>
      </c>
      <c r="AM190" s="2908"/>
      <c r="AN190">
        <f>+VLOOKUP(B190,'[30]MỦ TẠP'!$B$9:$AH$37,33,0)</f>
        <v>0</v>
      </c>
      <c r="AO190" s="2793">
        <f>+AN190-AJ190</f>
        <v>-1861</v>
      </c>
    </row>
    <row r="191" spans="1:43" ht="18.75">
      <c r="A191" s="4790" t="s">
        <v>453</v>
      </c>
      <c r="B191" s="4790"/>
      <c r="C191" s="4790"/>
      <c r="D191" s="4790"/>
      <c r="E191" s="2909">
        <f t="shared" ref="E191:AL191" si="10">SUBTOTAL(9,E161:E190)</f>
        <v>2082</v>
      </c>
      <c r="F191" s="2909">
        <f t="shared" si="10"/>
        <v>1937</v>
      </c>
      <c r="G191" s="2909">
        <f t="shared" si="10"/>
        <v>1699</v>
      </c>
      <c r="H191" s="2909">
        <f t="shared" si="10"/>
        <v>2086</v>
      </c>
      <c r="I191" s="2909">
        <f t="shared" si="10"/>
        <v>2287</v>
      </c>
      <c r="J191" s="2909">
        <f t="shared" si="10"/>
        <v>2079</v>
      </c>
      <c r="K191" s="2909">
        <f t="shared" si="10"/>
        <v>1931</v>
      </c>
      <c r="L191" s="2909">
        <f t="shared" si="10"/>
        <v>2003</v>
      </c>
      <c r="M191" s="2909">
        <f t="shared" si="10"/>
        <v>1978</v>
      </c>
      <c r="N191" s="2909">
        <f t="shared" si="10"/>
        <v>2034</v>
      </c>
      <c r="O191" s="2909">
        <f t="shared" si="10"/>
        <v>1824</v>
      </c>
      <c r="P191" s="2909">
        <f t="shared" si="10"/>
        <v>2170</v>
      </c>
      <c r="Q191" s="2909">
        <f t="shared" si="10"/>
        <v>2077</v>
      </c>
      <c r="R191" s="2909">
        <f t="shared" si="10"/>
        <v>2217</v>
      </c>
      <c r="S191" s="2909">
        <f t="shared" si="10"/>
        <v>0</v>
      </c>
      <c r="T191" s="2909">
        <f t="shared" si="10"/>
        <v>3672</v>
      </c>
      <c r="U191" s="2909">
        <f t="shared" si="10"/>
        <v>1730</v>
      </c>
      <c r="V191" s="2909">
        <f t="shared" si="10"/>
        <v>1513</v>
      </c>
      <c r="W191" s="2909">
        <f t="shared" si="10"/>
        <v>1900</v>
      </c>
      <c r="X191" s="2909">
        <f t="shared" si="10"/>
        <v>2015</v>
      </c>
      <c r="Y191" s="2909">
        <f t="shared" si="10"/>
        <v>2066</v>
      </c>
      <c r="Z191" s="2909">
        <f t="shared" si="10"/>
        <v>1193</v>
      </c>
      <c r="AA191" s="2909">
        <f t="shared" si="10"/>
        <v>2038</v>
      </c>
      <c r="AB191" s="2909">
        <f t="shared" si="10"/>
        <v>1856</v>
      </c>
      <c r="AC191" s="2909">
        <f t="shared" si="10"/>
        <v>1916</v>
      </c>
      <c r="AD191" s="2909">
        <f t="shared" si="10"/>
        <v>1783</v>
      </c>
      <c r="AE191" s="2909">
        <f t="shared" si="10"/>
        <v>2245</v>
      </c>
      <c r="AF191" s="2909">
        <f t="shared" si="10"/>
        <v>2018</v>
      </c>
      <c r="AG191" s="2909">
        <f t="shared" si="10"/>
        <v>1910</v>
      </c>
      <c r="AH191" s="2909">
        <f t="shared" si="10"/>
        <v>2124</v>
      </c>
      <c r="AI191" s="2909">
        <f t="shared" si="10"/>
        <v>1700</v>
      </c>
      <c r="AJ191" s="2909">
        <f t="shared" si="10"/>
        <v>60083</v>
      </c>
      <c r="AK191" s="2909" t="e">
        <f t="shared" si="10"/>
        <v>#REF!</v>
      </c>
      <c r="AL191" s="2909">
        <f t="shared" si="10"/>
        <v>0</v>
      </c>
      <c r="AM191" s="2910"/>
      <c r="AQ191" s="2900">
        <f>129669+5698</f>
        <v>135367</v>
      </c>
    </row>
    <row r="192" spans="1:43" ht="18.75">
      <c r="A192" s="4797" t="s">
        <v>61</v>
      </c>
      <c r="B192" s="4797"/>
      <c r="C192" s="4797"/>
      <c r="D192" s="4797"/>
      <c r="E192" s="2909">
        <f t="shared" ref="E192:AH192" si="11">+E45+E73+E136+E160+E191</f>
        <v>9947</v>
      </c>
      <c r="F192" s="2909">
        <f t="shared" si="11"/>
        <v>10069</v>
      </c>
      <c r="G192" s="2909">
        <f t="shared" si="11"/>
        <v>9661</v>
      </c>
      <c r="H192" s="2909">
        <f t="shared" si="11"/>
        <v>11960</v>
      </c>
      <c r="I192" s="2909">
        <f t="shared" si="11"/>
        <v>10739</v>
      </c>
      <c r="J192" s="2909">
        <f t="shared" si="11"/>
        <v>10451</v>
      </c>
      <c r="K192" s="2909">
        <f t="shared" si="11"/>
        <v>9984</v>
      </c>
      <c r="L192" s="2909">
        <f t="shared" si="11"/>
        <v>12323</v>
      </c>
      <c r="M192" s="2909">
        <f t="shared" si="11"/>
        <v>9979</v>
      </c>
      <c r="N192" s="2909">
        <f t="shared" si="11"/>
        <v>9916</v>
      </c>
      <c r="O192" s="2909">
        <f t="shared" si="11"/>
        <v>9696</v>
      </c>
      <c r="P192" s="2909">
        <f t="shared" si="11"/>
        <v>12030</v>
      </c>
      <c r="Q192" s="2909">
        <f t="shared" si="11"/>
        <v>10664</v>
      </c>
      <c r="R192" s="2909">
        <f t="shared" si="11"/>
        <v>12012</v>
      </c>
      <c r="S192" s="2909">
        <f t="shared" si="11"/>
        <v>6199</v>
      </c>
      <c r="T192" s="2909">
        <f t="shared" si="11"/>
        <v>14640</v>
      </c>
      <c r="U192" s="2909">
        <f t="shared" si="11"/>
        <v>7178</v>
      </c>
      <c r="V192" s="2909">
        <f t="shared" si="11"/>
        <v>8705</v>
      </c>
      <c r="W192" s="2909">
        <f t="shared" si="11"/>
        <v>9941</v>
      </c>
      <c r="X192" s="2909">
        <f t="shared" si="11"/>
        <v>10610</v>
      </c>
      <c r="Y192" s="2909">
        <f t="shared" si="11"/>
        <v>9370</v>
      </c>
      <c r="Z192" s="2909">
        <f t="shared" si="11"/>
        <v>9411</v>
      </c>
      <c r="AA192" s="2909">
        <f t="shared" si="11"/>
        <v>8924</v>
      </c>
      <c r="AB192" s="2909">
        <f t="shared" si="11"/>
        <v>10050</v>
      </c>
      <c r="AC192" s="2909">
        <f t="shared" si="11"/>
        <v>9801</v>
      </c>
      <c r="AD192" s="2909">
        <f t="shared" si="11"/>
        <v>10419</v>
      </c>
      <c r="AE192" s="2909">
        <f t="shared" si="11"/>
        <v>11392</v>
      </c>
      <c r="AF192" s="2909">
        <f t="shared" si="11"/>
        <v>11818</v>
      </c>
      <c r="AG192" s="2909">
        <f>+AG45+AG73+AG136+AG160+AG191</f>
        <v>10784</v>
      </c>
      <c r="AH192" s="2909">
        <f t="shared" si="11"/>
        <v>10772</v>
      </c>
      <c r="AI192" s="2909">
        <f>+AI45+AI73+AI136+AI160+AI191</f>
        <v>11287</v>
      </c>
      <c r="AJ192" s="2909">
        <f>+AJ45+AJ73+AJ136+AJ160+AJ191</f>
        <v>320732</v>
      </c>
      <c r="AK192" s="2909" t="e">
        <f>+AK45+AK73+AK136+AK160+AK191</f>
        <v>#N/A</v>
      </c>
      <c r="AL192" s="2909"/>
      <c r="AM192" s="2910"/>
    </row>
    <row r="193" spans="1:39" ht="15.75">
      <c r="A193" s="2830"/>
      <c r="B193" s="2830"/>
      <c r="C193" s="2830"/>
      <c r="D193" s="2830"/>
      <c r="E193" s="2831"/>
      <c r="F193" s="2831"/>
      <c r="G193" s="2831"/>
      <c r="H193" s="2831"/>
      <c r="I193" s="2831"/>
      <c r="J193" s="2831"/>
      <c r="K193" s="2831"/>
      <c r="L193" s="2831"/>
      <c r="M193" s="2831"/>
      <c r="N193" s="2831"/>
      <c r="O193" s="2831"/>
      <c r="P193" s="2831"/>
      <c r="Q193" s="2831"/>
      <c r="R193" s="2831"/>
      <c r="S193" s="2831"/>
      <c r="T193" s="2831"/>
      <c r="U193" s="2831"/>
      <c r="V193" s="2831"/>
      <c r="W193" s="2831"/>
      <c r="X193" s="2831"/>
      <c r="Y193" s="2831"/>
      <c r="Z193" s="2831"/>
      <c r="AA193" s="2831"/>
      <c r="AB193" s="2831"/>
      <c r="AC193" s="2893"/>
      <c r="AD193" s="2831"/>
      <c r="AE193" s="2831"/>
      <c r="AF193" s="2831"/>
      <c r="AG193" s="2831"/>
      <c r="AH193" s="2831"/>
      <c r="AI193" s="2831"/>
      <c r="AJ193" s="2894"/>
      <c r="AK193" s="2895"/>
      <c r="AL193" s="2895"/>
      <c r="AM193" s="2896"/>
    </row>
    <row r="194" spans="1:39" ht="15.75">
      <c r="A194" s="2830"/>
      <c r="B194" s="2830"/>
      <c r="C194" s="2830"/>
      <c r="D194" s="4799" t="s">
        <v>0</v>
      </c>
      <c r="E194" s="4800"/>
      <c r="F194" s="4801"/>
      <c r="G194" s="4802" t="s">
        <v>1866</v>
      </c>
      <c r="H194" s="4803"/>
      <c r="I194" s="4803"/>
      <c r="J194" s="4803"/>
      <c r="K194" s="4803"/>
      <c r="L194" s="4803"/>
      <c r="M194" s="4804"/>
      <c r="N194" s="4802" t="s">
        <v>1867</v>
      </c>
      <c r="O194" s="4803"/>
      <c r="P194" s="4803"/>
      <c r="Q194" s="4803"/>
      <c r="R194" s="4803"/>
      <c r="S194" s="4803"/>
      <c r="T194" s="4803"/>
      <c r="U194" s="4804"/>
      <c r="V194" s="4802" t="s">
        <v>1868</v>
      </c>
      <c r="W194" s="4803"/>
      <c r="X194" s="4803"/>
      <c r="Y194" s="4803"/>
      <c r="Z194" s="4803"/>
      <c r="AA194" s="4803"/>
      <c r="AB194" s="4804"/>
      <c r="AC194" s="4805" t="s">
        <v>1869</v>
      </c>
      <c r="AD194" s="4806"/>
      <c r="AE194" s="4806"/>
      <c r="AF194" s="4806"/>
      <c r="AG194" s="4806"/>
      <c r="AH194" s="4806"/>
      <c r="AI194" s="4807"/>
      <c r="AJ194" s="4793" t="s">
        <v>1311</v>
      </c>
      <c r="AK194" s="4794"/>
      <c r="AL194" s="4794"/>
      <c r="AM194" s="4795"/>
    </row>
    <row r="195" spans="1:39" ht="15.75">
      <c r="A195" s="2830"/>
      <c r="B195" s="2830"/>
      <c r="C195" s="2830"/>
      <c r="D195" s="4799" t="s">
        <v>140</v>
      </c>
      <c r="E195" s="4800"/>
      <c r="F195" s="4801"/>
      <c r="G195" s="4798" t="s">
        <v>1870</v>
      </c>
      <c r="H195" s="4798"/>
      <c r="I195" s="4798"/>
      <c r="J195" s="4798"/>
      <c r="K195" s="4798"/>
      <c r="L195" s="4798"/>
      <c r="M195" s="4798"/>
      <c r="N195" s="4798"/>
      <c r="O195" s="4798"/>
      <c r="P195" s="4798"/>
      <c r="Q195" s="4798"/>
      <c r="R195" s="4798"/>
      <c r="S195" s="4798"/>
      <c r="T195" s="4798"/>
      <c r="U195" s="4798"/>
      <c r="V195" s="4798">
        <f>+SUM(V196:AB199)</f>
        <v>319384</v>
      </c>
      <c r="W195" s="4798"/>
      <c r="X195" s="4798"/>
      <c r="Y195" s="4798"/>
      <c r="Z195" s="4798"/>
      <c r="AA195" s="4798"/>
      <c r="AB195" s="4798"/>
      <c r="AC195" s="4798" t="e">
        <f>+SUM(AC196:AI199)</f>
        <v>#N/A</v>
      </c>
      <c r="AD195" s="4798"/>
      <c r="AE195" s="4798"/>
      <c r="AF195" s="4798"/>
      <c r="AG195" s="4798"/>
      <c r="AH195" s="4798"/>
      <c r="AI195" s="4798"/>
      <c r="AJ195" s="4808"/>
      <c r="AK195" s="4808"/>
      <c r="AL195" s="4808"/>
      <c r="AM195" s="4808"/>
    </row>
    <row r="196" spans="1:39" ht="15.75">
      <c r="A196" s="2830"/>
      <c r="B196" s="2830"/>
      <c r="C196" s="2830"/>
      <c r="D196" s="4809">
        <v>1</v>
      </c>
      <c r="E196" s="4810"/>
      <c r="F196" s="4811"/>
      <c r="G196" s="4812">
        <f>+COUNTIF(AL11:$AL$190,"A")</f>
        <v>128</v>
      </c>
      <c r="H196" s="4813"/>
      <c r="I196" s="4813"/>
      <c r="J196" s="4813"/>
      <c r="K196" s="4813"/>
      <c r="L196" s="4813"/>
      <c r="M196" s="4814"/>
      <c r="N196" s="4815" t="s">
        <v>141</v>
      </c>
      <c r="O196" s="4816"/>
      <c r="P196" s="4816"/>
      <c r="Q196" s="4816"/>
      <c r="R196" s="4816"/>
      <c r="S196" s="4816"/>
      <c r="T196" s="4816"/>
      <c r="U196" s="4817"/>
      <c r="V196" s="4815">
        <f>+SUMIF($AL$11:$AL$190,N196,$AJ$11:$AJ$190)</f>
        <v>251683</v>
      </c>
      <c r="W196" s="4816"/>
      <c r="X196" s="4816"/>
      <c r="Y196" s="4816"/>
      <c r="Z196" s="4816"/>
      <c r="AA196" s="4816"/>
      <c r="AB196" s="4817"/>
      <c r="AC196" s="4818" t="e">
        <f>+SUMIF($AL$11:$AL$190,N196,AK11:$AK$190)</f>
        <v>#N/A</v>
      </c>
      <c r="AD196" s="4819"/>
      <c r="AE196" s="4819"/>
      <c r="AF196" s="4819"/>
      <c r="AG196" s="4819"/>
      <c r="AH196" s="4819"/>
      <c r="AI196" s="4820"/>
      <c r="AJ196" s="4793"/>
      <c r="AK196" s="4794"/>
      <c r="AL196" s="4794"/>
      <c r="AM196" s="4795"/>
    </row>
    <row r="197" spans="1:39" ht="15.75">
      <c r="A197" s="2830"/>
      <c r="B197" s="2830"/>
      <c r="C197" s="2830"/>
      <c r="D197" s="4809">
        <v>2</v>
      </c>
      <c r="E197" s="4810"/>
      <c r="F197" s="4811"/>
      <c r="G197" s="4812">
        <f>+COUNTIF(AL12:$AL$190,"B")</f>
        <v>44</v>
      </c>
      <c r="H197" s="4813"/>
      <c r="I197" s="4813"/>
      <c r="J197" s="4813"/>
      <c r="K197" s="4813"/>
      <c r="L197" s="4813"/>
      <c r="M197" s="4814"/>
      <c r="N197" s="4815" t="s">
        <v>138</v>
      </c>
      <c r="O197" s="4816"/>
      <c r="P197" s="4816"/>
      <c r="Q197" s="4816"/>
      <c r="R197" s="4816"/>
      <c r="S197" s="4816"/>
      <c r="T197" s="4816"/>
      <c r="U197" s="4817"/>
      <c r="V197" s="4815">
        <f>+SUMIF($AL$11:$AL$190,N197,$AJ$11:$AJ$190)</f>
        <v>67701</v>
      </c>
      <c r="W197" s="4816"/>
      <c r="X197" s="4816"/>
      <c r="Y197" s="4816"/>
      <c r="Z197" s="4816"/>
      <c r="AA197" s="4816"/>
      <c r="AB197" s="4817"/>
      <c r="AC197" s="4818" t="e">
        <f>+SUMIF($AL$11:$AL$190,N197,AK11:$AK$190)</f>
        <v>#N/A</v>
      </c>
      <c r="AD197" s="4819"/>
      <c r="AE197" s="4819"/>
      <c r="AF197" s="4819"/>
      <c r="AG197" s="4819"/>
      <c r="AH197" s="4819"/>
      <c r="AI197" s="4820"/>
      <c r="AJ197" s="4793"/>
      <c r="AK197" s="4794"/>
      <c r="AL197" s="4794"/>
      <c r="AM197" s="4795"/>
    </row>
    <row r="198" spans="1:39" ht="15.75">
      <c r="A198" s="2830"/>
      <c r="B198" s="2830"/>
      <c r="C198" s="2830"/>
      <c r="D198" s="4809">
        <v>3</v>
      </c>
      <c r="E198" s="4810"/>
      <c r="F198" s="4811"/>
      <c r="G198" s="4812">
        <v>0</v>
      </c>
      <c r="H198" s="4813"/>
      <c r="I198" s="4813"/>
      <c r="J198" s="4813"/>
      <c r="K198" s="4813"/>
      <c r="L198" s="4813"/>
      <c r="M198" s="4814"/>
      <c r="N198" s="4815" t="s">
        <v>168</v>
      </c>
      <c r="O198" s="4816"/>
      <c r="P198" s="4816"/>
      <c r="Q198" s="4816"/>
      <c r="R198" s="4816"/>
      <c r="S198" s="4816"/>
      <c r="T198" s="4816"/>
      <c r="U198" s="4817"/>
      <c r="V198" s="4815">
        <v>0</v>
      </c>
      <c r="W198" s="4816"/>
      <c r="X198" s="4816"/>
      <c r="Y198" s="4816"/>
      <c r="Z198" s="4816"/>
      <c r="AA198" s="4816"/>
      <c r="AB198" s="4817"/>
      <c r="AC198" s="4805">
        <v>0</v>
      </c>
      <c r="AD198" s="4806"/>
      <c r="AE198" s="4806"/>
      <c r="AF198" s="4806"/>
      <c r="AG198" s="4806"/>
      <c r="AH198" s="4806"/>
      <c r="AI198" s="4807"/>
      <c r="AJ198" s="4793"/>
      <c r="AK198" s="4794"/>
      <c r="AL198" s="4794"/>
      <c r="AM198" s="4795"/>
    </row>
    <row r="199" spans="1:39" ht="15.75">
      <c r="A199" s="2830"/>
      <c r="B199" s="2830"/>
      <c r="C199" s="2830"/>
      <c r="D199" s="4809">
        <v>4</v>
      </c>
      <c r="E199" s="4810"/>
      <c r="F199" s="4811"/>
      <c r="G199" s="4802">
        <f>+COUNTIF(AL14:$AL$190,"D")</f>
        <v>0</v>
      </c>
      <c r="H199" s="4803"/>
      <c r="I199" s="4803"/>
      <c r="J199" s="4803"/>
      <c r="K199" s="4803"/>
      <c r="L199" s="4803"/>
      <c r="M199" s="4804"/>
      <c r="N199" s="4815" t="s">
        <v>224</v>
      </c>
      <c r="O199" s="4816"/>
      <c r="P199" s="4816"/>
      <c r="Q199" s="4816"/>
      <c r="R199" s="4816"/>
      <c r="S199" s="4816"/>
      <c r="T199" s="4816"/>
      <c r="U199" s="4817"/>
      <c r="V199" s="4802">
        <f>+SUMIF($AL$11:$AL$190,N199,$AJ$11:$AJ$190)</f>
        <v>0</v>
      </c>
      <c r="W199" s="4803"/>
      <c r="X199" s="4803"/>
      <c r="Y199" s="4803"/>
      <c r="Z199" s="4803"/>
      <c r="AA199" s="4803"/>
      <c r="AB199" s="4804"/>
      <c r="AC199" s="4805">
        <f ca="1">+SUMIF($AL$11:$AL$190,N199,AK14:$AK$190)</f>
        <v>0</v>
      </c>
      <c r="AD199" s="4806"/>
      <c r="AE199" s="4806"/>
      <c r="AF199" s="4806"/>
      <c r="AG199" s="4806"/>
      <c r="AH199" s="4806"/>
      <c r="AI199" s="4807"/>
      <c r="AJ199" s="4793"/>
      <c r="AK199" s="4794"/>
      <c r="AL199" s="4794"/>
      <c r="AM199" s="4795"/>
    </row>
    <row r="200" spans="1:39" ht="15.75">
      <c r="A200" s="2830"/>
      <c r="B200" s="2830"/>
      <c r="C200" s="2830"/>
      <c r="D200" s="4821" t="s">
        <v>143</v>
      </c>
      <c r="E200" s="4821"/>
      <c r="F200" s="4821"/>
      <c r="G200" s="4822" t="s">
        <v>1871</v>
      </c>
      <c r="H200" s="4822"/>
      <c r="I200" s="4822"/>
      <c r="J200" s="4822"/>
      <c r="K200" s="4822"/>
      <c r="L200" s="4822"/>
      <c r="M200" s="4822"/>
      <c r="N200" s="4822"/>
      <c r="O200" s="4822"/>
      <c r="P200" s="4822"/>
      <c r="Q200" s="4822"/>
      <c r="R200" s="4822"/>
      <c r="S200" s="4822"/>
      <c r="T200" s="4822"/>
      <c r="U200" s="4822"/>
      <c r="V200" s="4822">
        <f>+V202</f>
        <v>1348</v>
      </c>
      <c r="W200" s="4822"/>
      <c r="X200" s="4822"/>
      <c r="Y200" s="4822"/>
      <c r="Z200" s="4822"/>
      <c r="AA200" s="4822"/>
      <c r="AB200" s="4822"/>
      <c r="AC200" s="4822" t="e">
        <f>+AC202</f>
        <v>#N/A</v>
      </c>
      <c r="AD200" s="4822"/>
      <c r="AE200" s="4822"/>
      <c r="AF200" s="4822"/>
      <c r="AG200" s="4822"/>
      <c r="AH200" s="4822"/>
      <c r="AI200" s="4822"/>
      <c r="AJ200" s="4823"/>
      <c r="AK200" s="4823"/>
      <c r="AL200" s="4823"/>
      <c r="AM200" s="4823"/>
    </row>
    <row r="201" spans="1:39" ht="15.75">
      <c r="A201" s="2830"/>
      <c r="B201" s="2830"/>
      <c r="C201" s="2830"/>
      <c r="D201" s="4809">
        <v>1</v>
      </c>
      <c r="E201" s="4810"/>
      <c r="F201" s="4811"/>
      <c r="G201" s="4802"/>
      <c r="H201" s="4803"/>
      <c r="I201" s="4803"/>
      <c r="J201" s="4803"/>
      <c r="K201" s="4803"/>
      <c r="L201" s="4803"/>
      <c r="M201" s="4804"/>
      <c r="N201" s="4815" t="s">
        <v>138</v>
      </c>
      <c r="O201" s="4816"/>
      <c r="P201" s="4816"/>
      <c r="Q201" s="4816"/>
      <c r="R201" s="4816"/>
      <c r="S201" s="4816"/>
      <c r="T201" s="4816"/>
      <c r="U201" s="4817"/>
      <c r="V201" s="4802"/>
      <c r="W201" s="4803"/>
      <c r="X201" s="4803"/>
      <c r="Y201" s="4803"/>
      <c r="Z201" s="4803"/>
      <c r="AA201" s="4803"/>
      <c r="AB201" s="4804"/>
      <c r="AC201" s="4805"/>
      <c r="AD201" s="4806"/>
      <c r="AE201" s="4806"/>
      <c r="AF201" s="4806"/>
      <c r="AG201" s="4806"/>
      <c r="AH201" s="4806"/>
      <c r="AI201" s="4807"/>
      <c r="AJ201" s="4793"/>
      <c r="AK201" s="4794"/>
      <c r="AL201" s="4794"/>
      <c r="AM201" s="4795"/>
    </row>
    <row r="202" spans="1:39" ht="15.75">
      <c r="A202" s="2830"/>
      <c r="B202" s="2830"/>
      <c r="C202" s="2830"/>
      <c r="D202" s="4809">
        <v>2</v>
      </c>
      <c r="E202" s="4810"/>
      <c r="F202" s="4811"/>
      <c r="G202" s="4812">
        <v>4</v>
      </c>
      <c r="H202" s="4813"/>
      <c r="I202" s="4813"/>
      <c r="J202" s="4813"/>
      <c r="K202" s="4813"/>
      <c r="L202" s="4813"/>
      <c r="M202" s="4814"/>
      <c r="N202" s="4815" t="s">
        <v>168</v>
      </c>
      <c r="O202" s="4816"/>
      <c r="P202" s="4816"/>
      <c r="Q202" s="4816"/>
      <c r="R202" s="4816"/>
      <c r="S202" s="4816"/>
      <c r="T202" s="4816"/>
      <c r="U202" s="4817"/>
      <c r="V202" s="4815">
        <v>1348</v>
      </c>
      <c r="W202" s="4816"/>
      <c r="X202" s="4816"/>
      <c r="Y202" s="4816"/>
      <c r="Z202" s="4816"/>
      <c r="AA202" s="4816"/>
      <c r="AB202" s="4817"/>
      <c r="AC202" s="4818" t="e">
        <f>+SUMIF(AL11:AL190,N202,AK11:AK190)</f>
        <v>#N/A</v>
      </c>
      <c r="AD202" s="4819"/>
      <c r="AE202" s="4819"/>
      <c r="AF202" s="4819"/>
      <c r="AG202" s="4819"/>
      <c r="AH202" s="4819"/>
      <c r="AI202" s="4820"/>
      <c r="AJ202" s="4793"/>
      <c r="AK202" s="4794"/>
      <c r="AL202" s="4794"/>
      <c r="AM202" s="4795"/>
    </row>
    <row r="203" spans="1:39" ht="15.75">
      <c r="A203" s="2830"/>
      <c r="B203" s="2830"/>
      <c r="C203" s="2830"/>
      <c r="D203" s="4799" t="s">
        <v>434</v>
      </c>
      <c r="E203" s="4800"/>
      <c r="F203" s="4801"/>
      <c r="G203" s="4824">
        <f>+G202+G197+G196</f>
        <v>176</v>
      </c>
      <c r="H203" s="4825"/>
      <c r="I203" s="4825"/>
      <c r="J203" s="4825"/>
      <c r="K203" s="4825"/>
      <c r="L203" s="4825"/>
      <c r="M203" s="4826"/>
      <c r="N203" s="4802"/>
      <c r="O203" s="4803"/>
      <c r="P203" s="4803"/>
      <c r="Q203" s="4803"/>
      <c r="R203" s="4803"/>
      <c r="S203" s="4803"/>
      <c r="T203" s="4803"/>
      <c r="U203" s="4804"/>
      <c r="V203" s="4802">
        <f>+V200+V195</f>
        <v>320732</v>
      </c>
      <c r="W203" s="4803"/>
      <c r="X203" s="4803"/>
      <c r="Y203" s="4803"/>
      <c r="Z203" s="4803"/>
      <c r="AA203" s="4803"/>
      <c r="AB203" s="4804"/>
      <c r="AC203" s="4805" t="e">
        <f>+AC200+AC195</f>
        <v>#N/A</v>
      </c>
      <c r="AD203" s="4806"/>
      <c r="AE203" s="4806"/>
      <c r="AF203" s="4806"/>
      <c r="AG203" s="4806"/>
      <c r="AH203" s="4806"/>
      <c r="AI203" s="4807"/>
      <c r="AJ203" s="4793"/>
      <c r="AK203" s="4794"/>
      <c r="AL203" s="4794"/>
      <c r="AM203" s="4795"/>
    </row>
    <row r="204" spans="1:39" s="2778" customFormat="1" ht="15.75">
      <c r="A204" s="2832"/>
      <c r="B204" s="2832"/>
      <c r="C204" s="2832"/>
      <c r="D204" s="2832"/>
      <c r="E204" s="2833"/>
      <c r="F204" s="2833"/>
      <c r="G204" s="2833"/>
      <c r="H204" s="2833"/>
      <c r="I204" s="2833"/>
      <c r="J204" s="2833"/>
      <c r="K204" s="2833"/>
      <c r="L204" s="2833"/>
      <c r="M204" s="2833"/>
      <c r="N204" s="2833"/>
      <c r="O204" s="2833"/>
      <c r="P204" s="2833"/>
      <c r="Q204" s="2833"/>
      <c r="R204" s="2833"/>
      <c r="S204" s="2833"/>
      <c r="T204" s="2833"/>
      <c r="U204" s="2833"/>
      <c r="V204" s="2833"/>
      <c r="W204" s="2833"/>
      <c r="X204" s="2833"/>
      <c r="Y204" s="2833"/>
      <c r="Z204" s="2833"/>
      <c r="AA204" s="2833"/>
      <c r="AB204" s="2833"/>
      <c r="AC204" s="4827" t="s">
        <v>1872</v>
      </c>
      <c r="AD204" s="4827"/>
      <c r="AE204" s="4827"/>
      <c r="AF204" s="4827"/>
      <c r="AG204" s="4827"/>
      <c r="AH204" s="4827"/>
      <c r="AI204" s="4827"/>
      <c r="AJ204" s="4827"/>
      <c r="AK204" s="4827"/>
      <c r="AL204" s="4827"/>
      <c r="AM204" s="4827"/>
    </row>
    <row r="205" spans="1:39" ht="18.75">
      <c r="A205" s="4828" t="s">
        <v>84</v>
      </c>
      <c r="B205" s="4828"/>
      <c r="C205" s="4828"/>
      <c r="D205" s="4828"/>
      <c r="E205" s="4828"/>
      <c r="F205" s="2834"/>
      <c r="G205" s="4829" t="s">
        <v>1873</v>
      </c>
      <c r="H205" s="4829"/>
      <c r="I205" s="4829"/>
      <c r="J205" s="4829"/>
      <c r="K205" s="4829"/>
      <c r="L205" s="4829"/>
      <c r="M205" s="4829"/>
      <c r="N205" s="4829"/>
      <c r="O205" s="2835"/>
      <c r="P205" s="4829" t="s">
        <v>20</v>
      </c>
      <c r="Q205" s="4829"/>
      <c r="R205" s="4829"/>
      <c r="S205" s="4829"/>
      <c r="T205" s="4829"/>
      <c r="U205" s="4829"/>
      <c r="V205" s="4829"/>
      <c r="W205" s="4829"/>
      <c r="X205" s="4829" t="s">
        <v>1874</v>
      </c>
      <c r="Y205" s="4829"/>
      <c r="Z205" s="4829"/>
      <c r="AA205" s="4829"/>
      <c r="AB205" s="4829"/>
      <c r="AC205" s="4829"/>
      <c r="AD205" s="4829"/>
      <c r="AE205" s="4830" t="s">
        <v>1875</v>
      </c>
      <c r="AF205" s="4830"/>
      <c r="AG205" s="4830"/>
      <c r="AH205" s="4830"/>
      <c r="AI205" s="4830"/>
      <c r="AJ205" s="4829" t="s">
        <v>1876</v>
      </c>
      <c r="AK205" s="4829"/>
      <c r="AL205" s="4829"/>
      <c r="AM205" s="4829"/>
    </row>
    <row r="206" spans="1:39" ht="18.75">
      <c r="A206" s="2784"/>
      <c r="B206" s="2778"/>
      <c r="C206" s="2778"/>
      <c r="D206" s="2778"/>
      <c r="E206" s="2778"/>
      <c r="F206" s="2778"/>
      <c r="G206" s="2836"/>
      <c r="H206" s="2836"/>
      <c r="I206" s="2836"/>
      <c r="J206" s="2836"/>
      <c r="K206" s="2836"/>
      <c r="L206" s="2836"/>
      <c r="M206" s="2836"/>
      <c r="N206" s="2836"/>
      <c r="O206" s="2836"/>
      <c r="P206" s="2836"/>
      <c r="Q206" s="2836"/>
      <c r="R206" s="2836"/>
      <c r="S206" s="2836"/>
      <c r="T206" s="2836"/>
      <c r="U206" s="2836"/>
      <c r="V206" s="2836"/>
      <c r="W206" s="2836"/>
      <c r="X206" s="2836"/>
      <c r="Y206" s="2836"/>
      <c r="Z206" s="2836"/>
      <c r="AA206" s="2836"/>
      <c r="AB206" s="2836"/>
      <c r="AC206" s="2837"/>
      <c r="AD206" s="2836"/>
      <c r="AE206" s="2836"/>
      <c r="AF206" s="2836"/>
      <c r="AG206" s="2836"/>
      <c r="AH206" s="2836"/>
      <c r="AI206" s="2836"/>
      <c r="AJ206" s="2836"/>
      <c r="AK206" s="2838"/>
      <c r="AL206" s="2839"/>
      <c r="AM206" s="2778"/>
    </row>
    <row r="207" spans="1:39" ht="18.75">
      <c r="A207" s="2784"/>
      <c r="B207" s="2778"/>
      <c r="C207" s="2778"/>
      <c r="D207" s="2778"/>
      <c r="E207" s="2778"/>
      <c r="F207" s="2778"/>
      <c r="G207" s="2836"/>
      <c r="H207" s="2836"/>
      <c r="I207" s="2836"/>
      <c r="J207" s="2836"/>
      <c r="K207" s="2836"/>
      <c r="L207" s="2836"/>
      <c r="M207" s="2836"/>
      <c r="N207" s="2836"/>
      <c r="O207" s="2836"/>
      <c r="P207" s="2836"/>
      <c r="Q207" s="2836"/>
      <c r="R207" s="2836"/>
      <c r="S207" s="2836"/>
      <c r="T207" s="2836"/>
      <c r="U207" s="2836"/>
      <c r="V207" s="2836"/>
      <c r="W207" s="2836"/>
      <c r="X207" s="2836"/>
      <c r="Y207" s="2836"/>
      <c r="Z207" s="2836"/>
      <c r="AA207" s="2836"/>
      <c r="AB207" s="2836"/>
      <c r="AC207" s="2837"/>
      <c r="AD207" s="2836"/>
      <c r="AE207" s="2836"/>
      <c r="AF207" s="2836"/>
      <c r="AG207" s="2836"/>
      <c r="AH207" s="2836"/>
      <c r="AI207" s="2836"/>
      <c r="AJ207" s="2836"/>
      <c r="AK207" s="2838"/>
      <c r="AL207" s="2839"/>
      <c r="AM207" s="2778"/>
    </row>
    <row r="208" spans="1:39" ht="18.75">
      <c r="A208" s="2784"/>
      <c r="B208" s="2778"/>
      <c r="C208" s="2778"/>
      <c r="D208" s="2778"/>
      <c r="E208" s="2778"/>
      <c r="F208" s="2778"/>
      <c r="G208" s="2836"/>
      <c r="H208" s="2836"/>
      <c r="I208" s="2836"/>
      <c r="J208" s="2836"/>
      <c r="K208" s="2836"/>
      <c r="L208" s="2836"/>
      <c r="M208" s="2836"/>
      <c r="N208" s="2836"/>
      <c r="O208" s="2836"/>
      <c r="P208" s="2836"/>
      <c r="Q208" s="2836"/>
      <c r="R208" s="2836"/>
      <c r="S208" s="2836"/>
      <c r="T208" s="2836"/>
      <c r="U208" s="2836"/>
      <c r="V208" s="2836"/>
      <c r="W208" s="2836"/>
      <c r="X208" s="2836"/>
      <c r="Y208" s="2836"/>
      <c r="Z208" s="2836"/>
      <c r="AA208" s="2836"/>
      <c r="AB208" s="2836"/>
      <c r="AC208" s="2837"/>
      <c r="AD208" s="2836"/>
      <c r="AE208" s="2836"/>
      <c r="AF208" s="2836"/>
      <c r="AG208" s="2836"/>
      <c r="AH208" s="2836"/>
      <c r="AI208" s="2836"/>
      <c r="AJ208" s="2840"/>
      <c r="AK208" s="2838"/>
      <c r="AL208" s="2841" t="e">
        <f>+V203+#REF!</f>
        <v>#REF!</v>
      </c>
      <c r="AM208" s="2778"/>
    </row>
    <row r="209" spans="1:39" ht="18.75">
      <c r="A209" s="2784"/>
      <c r="B209" s="2778"/>
      <c r="C209" s="2778"/>
      <c r="D209" s="2778"/>
      <c r="E209" s="2778"/>
      <c r="F209" s="2778"/>
      <c r="G209" s="2836"/>
      <c r="H209" s="2836"/>
      <c r="I209" s="2836"/>
      <c r="J209" s="2836"/>
      <c r="K209" s="2836"/>
      <c r="L209" s="2836"/>
      <c r="M209" s="2836"/>
      <c r="N209" s="2836"/>
      <c r="O209" s="2836"/>
      <c r="P209" s="2836"/>
      <c r="Q209" s="2836"/>
      <c r="R209" s="2836"/>
      <c r="S209" s="2836"/>
      <c r="T209" s="2836"/>
      <c r="U209" s="2836"/>
      <c r="V209" s="2836"/>
      <c r="W209" s="2836"/>
      <c r="X209" s="2836"/>
      <c r="Y209" s="2836"/>
      <c r="Z209" s="2836"/>
      <c r="AA209" s="2836"/>
      <c r="AB209" s="2836"/>
      <c r="AC209" s="2837"/>
      <c r="AD209" s="2836"/>
      <c r="AE209" s="2836"/>
      <c r="AF209" s="4831" t="e">
        <f>+AC203+'Mủ CN (TT)'!AC218:AF218+'Mủ CN (tam ung)'!AD181:AJ181+#REF!</f>
        <v>#N/A</v>
      </c>
      <c r="AG209" s="4832"/>
      <c r="AH209" s="4832"/>
      <c r="AI209" s="4832"/>
      <c r="AJ209" s="2836"/>
      <c r="AK209" s="2838"/>
      <c r="AL209" s="2842"/>
      <c r="AM209" s="2778"/>
    </row>
    <row r="210" spans="1:39" ht="18.75">
      <c r="A210" s="2784"/>
      <c r="B210" s="2778"/>
      <c r="C210" s="2778"/>
      <c r="D210" s="2778"/>
      <c r="E210" s="2778"/>
      <c r="F210" s="2778"/>
      <c r="G210" s="2836"/>
      <c r="H210" s="2836"/>
      <c r="I210" s="2836"/>
      <c r="J210" s="2836"/>
      <c r="K210" s="2836"/>
      <c r="L210" s="2836"/>
      <c r="M210" s="2836"/>
      <c r="N210" s="2836"/>
      <c r="O210" s="2836"/>
      <c r="P210" s="2836"/>
      <c r="Q210" s="2836"/>
      <c r="R210" s="2836"/>
      <c r="S210" s="2836"/>
      <c r="T210" s="2836"/>
      <c r="U210" s="2836"/>
      <c r="V210" s="2836"/>
      <c r="W210" s="2836"/>
      <c r="X210" s="2836"/>
      <c r="Y210" s="2836"/>
      <c r="Z210" s="2836"/>
      <c r="AA210" s="2836"/>
      <c r="AB210" s="2836"/>
      <c r="AC210" s="2837"/>
      <c r="AD210" s="2836"/>
      <c r="AE210" s="2836"/>
      <c r="AF210" s="2836"/>
      <c r="AG210" s="2836"/>
      <c r="AH210" s="2836"/>
      <c r="AI210" s="2836"/>
      <c r="AJ210" s="2843"/>
      <c r="AK210" s="2838"/>
      <c r="AL210" s="2839"/>
      <c r="AM210" s="2778"/>
    </row>
    <row r="211" spans="1:39" ht="18.75">
      <c r="A211" s="2784"/>
      <c r="B211" s="2778"/>
      <c r="C211" s="2778"/>
      <c r="D211" s="2778"/>
      <c r="E211" s="2778"/>
      <c r="F211" s="2778"/>
      <c r="G211" s="2836"/>
      <c r="H211" s="2836"/>
      <c r="I211" s="2836"/>
      <c r="J211" s="2836"/>
      <c r="K211" s="2836"/>
      <c r="L211" s="2836"/>
      <c r="M211" s="2836"/>
      <c r="N211" s="2836"/>
      <c r="O211" s="2836"/>
      <c r="P211" s="2836"/>
      <c r="Q211" s="2836"/>
      <c r="R211" s="2836"/>
      <c r="S211" s="2836"/>
      <c r="T211" s="2836"/>
      <c r="U211" s="2836"/>
      <c r="V211" s="2836"/>
      <c r="W211" s="2836"/>
      <c r="X211" s="2836"/>
      <c r="Y211" s="2836"/>
      <c r="Z211" s="2836"/>
      <c r="AA211" s="2836"/>
      <c r="AB211" s="2836"/>
      <c r="AC211" s="2837"/>
      <c r="AD211" s="2836"/>
      <c r="AE211" s="2836"/>
      <c r="AF211" s="4831" t="e">
        <f>+AC203+#REF!</f>
        <v>#N/A</v>
      </c>
      <c r="AG211" s="4832"/>
      <c r="AH211" s="4832"/>
      <c r="AI211" s="4832"/>
      <c r="AJ211" s="2844"/>
      <c r="AK211" s="2838"/>
      <c r="AL211" s="2845"/>
      <c r="AM211" s="2778"/>
    </row>
    <row r="212" spans="1:39" ht="18.75">
      <c r="A212" s="2784"/>
      <c r="B212" s="2778"/>
      <c r="C212" s="2778"/>
      <c r="D212" s="2778"/>
      <c r="E212" s="2778"/>
      <c r="F212" s="2778"/>
      <c r="G212" s="2836"/>
      <c r="H212" s="2836"/>
      <c r="I212" s="2836"/>
      <c r="J212" s="2836"/>
      <c r="K212" s="2836"/>
      <c r="L212" s="2836"/>
      <c r="M212" s="2836"/>
      <c r="N212" s="2836"/>
      <c r="O212" s="2836"/>
      <c r="P212" s="2836"/>
      <c r="Q212" s="2836"/>
      <c r="R212" s="2836"/>
      <c r="S212" s="2836"/>
      <c r="T212" s="2836"/>
      <c r="U212" s="2836"/>
      <c r="V212" s="2836"/>
      <c r="W212" s="2836"/>
      <c r="X212" s="2836"/>
      <c r="Y212" s="2836"/>
      <c r="Z212" s="2836"/>
      <c r="AA212" s="2836"/>
      <c r="AB212" s="2836"/>
      <c r="AC212" s="2837"/>
      <c r="AD212" s="2836"/>
      <c r="AE212" s="2836"/>
      <c r="AF212" s="2836"/>
      <c r="AG212" s="2836"/>
      <c r="AH212" s="2836"/>
      <c r="AI212" s="2836"/>
      <c r="AJ212" s="2836"/>
      <c r="AK212" s="2838"/>
      <c r="AL212" s="2839"/>
      <c r="AM212" s="2778"/>
    </row>
    <row r="213" spans="1:39" ht="18.75" hidden="1">
      <c r="A213" s="2784"/>
      <c r="B213" s="2778"/>
      <c r="C213" s="2778"/>
      <c r="D213" s="2778"/>
      <c r="E213" s="2778"/>
      <c r="F213" s="2778"/>
      <c r="G213" s="2836"/>
      <c r="H213" s="4829" t="s">
        <v>1372</v>
      </c>
      <c r="I213" s="4829"/>
      <c r="J213" s="4829"/>
      <c r="K213" s="4829"/>
      <c r="L213" s="4829"/>
      <c r="M213" s="4829"/>
      <c r="N213" s="2835"/>
      <c r="O213" s="2835"/>
      <c r="P213" s="4829" t="s">
        <v>1877</v>
      </c>
      <c r="Q213" s="4829"/>
      <c r="R213" s="4829"/>
      <c r="S213" s="4829"/>
      <c r="T213" s="4829"/>
      <c r="U213" s="4829"/>
      <c r="V213" s="4829"/>
      <c r="W213" s="4829" t="s">
        <v>1864</v>
      </c>
      <c r="X213" s="4829"/>
      <c r="Y213" s="4829"/>
      <c r="Z213" s="4829"/>
      <c r="AA213" s="4829"/>
      <c r="AB213" s="4829"/>
      <c r="AC213" s="4829"/>
      <c r="AD213" s="4829"/>
      <c r="AE213" s="4829"/>
      <c r="AF213" s="4829" t="s">
        <v>1878</v>
      </c>
      <c r="AG213" s="4829"/>
      <c r="AH213" s="4829"/>
      <c r="AI213" s="4829"/>
      <c r="AJ213" s="4829" t="s">
        <v>1879</v>
      </c>
      <c r="AK213" s="4829"/>
      <c r="AL213" s="4829"/>
      <c r="AM213" s="4829"/>
    </row>
    <row r="214" spans="1:39" ht="15.75">
      <c r="A214" s="2784"/>
      <c r="B214" s="2778"/>
      <c r="C214" s="2778"/>
      <c r="D214" s="2778"/>
      <c r="E214" s="2778"/>
      <c r="F214" s="2778"/>
      <c r="G214" s="2778"/>
      <c r="H214" s="2778"/>
      <c r="I214" s="2778"/>
      <c r="J214" s="2778"/>
      <c r="K214" s="2778"/>
      <c r="L214" s="2778"/>
      <c r="M214" s="2778"/>
      <c r="N214" s="2778"/>
      <c r="O214" s="2778"/>
      <c r="P214" s="2778"/>
      <c r="Q214" s="2778"/>
      <c r="R214" s="2778"/>
      <c r="S214" s="2778"/>
      <c r="T214" s="2778"/>
      <c r="U214" s="2778"/>
      <c r="V214" s="2778"/>
      <c r="W214" s="2778"/>
      <c r="X214" s="2778"/>
      <c r="Y214" s="2778"/>
      <c r="Z214" s="2778"/>
      <c r="AA214" s="2778"/>
      <c r="AB214" s="2778"/>
      <c r="AC214" s="2783"/>
      <c r="AD214" s="2778"/>
      <c r="AE214" s="2778"/>
      <c r="AF214" s="2778"/>
      <c r="AG214" s="2778"/>
      <c r="AH214" s="2778"/>
      <c r="AI214" s="2778"/>
      <c r="AJ214" s="2778"/>
      <c r="AK214" s="2784"/>
      <c r="AL214" s="2777"/>
      <c r="AM214" s="2778"/>
    </row>
  </sheetData>
  <mergeCells count="91">
    <mergeCell ref="H213:M213"/>
    <mergeCell ref="P213:V213"/>
    <mergeCell ref="W213:AE213"/>
    <mergeCell ref="AF213:AI213"/>
    <mergeCell ref="AJ213:AM213"/>
    <mergeCell ref="AC204:AM204"/>
    <mergeCell ref="A205:E205"/>
    <mergeCell ref="G205:N205"/>
    <mergeCell ref="P205:W205"/>
    <mergeCell ref="X205:AD205"/>
    <mergeCell ref="AE205:AI205"/>
    <mergeCell ref="AJ205:AM205"/>
    <mergeCell ref="AJ203:AM203"/>
    <mergeCell ref="D202:F202"/>
    <mergeCell ref="G202:M202"/>
    <mergeCell ref="N202:U202"/>
    <mergeCell ref="V202:AB202"/>
    <mergeCell ref="AC202:AI202"/>
    <mergeCell ref="AJ202:AM202"/>
    <mergeCell ref="D203:F203"/>
    <mergeCell ref="G203:M203"/>
    <mergeCell ref="N203:U203"/>
    <mergeCell ref="V203:AB203"/>
    <mergeCell ref="AC203:AI203"/>
    <mergeCell ref="AJ201:AM201"/>
    <mergeCell ref="D200:F200"/>
    <mergeCell ref="G200:M200"/>
    <mergeCell ref="N200:U200"/>
    <mergeCell ref="V200:AB200"/>
    <mergeCell ref="AC200:AI200"/>
    <mergeCell ref="AJ200:AM200"/>
    <mergeCell ref="D201:F201"/>
    <mergeCell ref="G201:M201"/>
    <mergeCell ref="N201:U201"/>
    <mergeCell ref="V201:AB201"/>
    <mergeCell ref="AC201:AI201"/>
    <mergeCell ref="AJ199:AM199"/>
    <mergeCell ref="D198:F198"/>
    <mergeCell ref="G198:M198"/>
    <mergeCell ref="N198:U198"/>
    <mergeCell ref="V198:AB198"/>
    <mergeCell ref="AC198:AI198"/>
    <mergeCell ref="AJ198:AM198"/>
    <mergeCell ref="D199:F199"/>
    <mergeCell ref="G199:M199"/>
    <mergeCell ref="N199:U199"/>
    <mergeCell ref="V199:AB199"/>
    <mergeCell ref="AC199:AI199"/>
    <mergeCell ref="AJ197:AM197"/>
    <mergeCell ref="D196:F196"/>
    <mergeCell ref="G196:M196"/>
    <mergeCell ref="N196:U196"/>
    <mergeCell ref="V196:AB196"/>
    <mergeCell ref="AC196:AI196"/>
    <mergeCell ref="AJ196:AM196"/>
    <mergeCell ref="D197:F197"/>
    <mergeCell ref="G197:M197"/>
    <mergeCell ref="N197:U197"/>
    <mergeCell ref="V197:AB197"/>
    <mergeCell ref="AC197:AI197"/>
    <mergeCell ref="D9:D10"/>
    <mergeCell ref="E9:AI9"/>
    <mergeCell ref="AJ9:AJ10"/>
    <mergeCell ref="AJ194:AM194"/>
    <mergeCell ref="D195:F195"/>
    <mergeCell ref="G195:M195"/>
    <mergeCell ref="N195:U195"/>
    <mergeCell ref="V195:AB195"/>
    <mergeCell ref="AC195:AI195"/>
    <mergeCell ref="AJ195:AM195"/>
    <mergeCell ref="D194:F194"/>
    <mergeCell ref="G194:M194"/>
    <mergeCell ref="N194:U194"/>
    <mergeCell ref="V194:AB194"/>
    <mergeCell ref="AC194:AI194"/>
    <mergeCell ref="A7:AK7"/>
    <mergeCell ref="AF209:AI209"/>
    <mergeCell ref="AF211:AI211"/>
    <mergeCell ref="A1:AM1"/>
    <mergeCell ref="A2:AM2"/>
    <mergeCell ref="A3:AM3"/>
    <mergeCell ref="A4:G4"/>
    <mergeCell ref="A5:G5"/>
    <mergeCell ref="AK9:AK10"/>
    <mergeCell ref="AL9:AL10"/>
    <mergeCell ref="AM9:AM10"/>
    <mergeCell ref="A191:D191"/>
    <mergeCell ref="A192:D192"/>
    <mergeCell ref="A9:A10"/>
    <mergeCell ref="B9:B10"/>
    <mergeCell ref="C9:C10"/>
  </mergeCells>
  <pageMargins left="0.19685039370078741" right="0.19685039370078741" top="0.39370078740157483" bottom="0.47244094488188981" header="0.31496062992125984" footer="0.31496062992125984"/>
  <pageSetup paperSize="9" scale="63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125"/>
  <sheetViews>
    <sheetView topLeftCell="A10" zoomScale="55" zoomScaleNormal="55" workbookViewId="0">
      <selection activeCell="U51" sqref="U51"/>
    </sheetView>
  </sheetViews>
  <sheetFormatPr defaultColWidth="9.42578125" defaultRowHeight="23.25"/>
  <cols>
    <col min="1" max="1" width="7.140625" style="2516" customWidth="1"/>
    <col min="2" max="2" width="13.28515625" style="3382" hidden="1" customWidth="1"/>
    <col min="3" max="3" width="23.28515625" style="2518" customWidth="1"/>
    <col min="4" max="4" width="13.28515625" style="2519" hidden="1" customWidth="1"/>
    <col min="5" max="5" width="19.85546875" style="2519" hidden="1" customWidth="1"/>
    <col min="6" max="6" width="18" style="2520" customWidth="1"/>
    <col min="7" max="7" width="17.85546875" style="2519" customWidth="1"/>
    <col min="8" max="8" width="14" style="2519" customWidth="1"/>
    <col min="9" max="9" width="14" style="3019" customWidth="1"/>
    <col min="10" max="10" width="9.140625" style="2522" customWidth="1"/>
    <col min="11" max="11" width="16.42578125" style="2523" customWidth="1"/>
    <col min="12" max="13" width="12.28515625" style="2519" customWidth="1"/>
    <col min="14" max="14" width="12.5703125" style="2519" hidden="1" customWidth="1"/>
    <col min="15" max="15" width="11.5703125" style="2519" customWidth="1"/>
    <col min="16" max="16" width="16.28515625" style="2519" hidden="1" customWidth="1"/>
    <col min="17" max="17" width="13.28515625" style="2519" customWidth="1"/>
    <col min="18" max="18" width="17.140625" style="2519" customWidth="1"/>
    <col min="19" max="19" width="18.140625" style="2519" customWidth="1"/>
    <col min="20" max="20" width="18.5703125" style="2519" customWidth="1"/>
    <col min="21" max="22" width="19" style="2519" customWidth="1"/>
    <col min="23" max="23" width="23.42578125" style="2519" customWidth="1"/>
    <col min="24" max="24" width="9.42578125" style="2519"/>
    <col min="25" max="25" width="9.5703125" style="2519" bestFit="1" customWidth="1"/>
    <col min="26" max="16384" width="9.42578125" style="2519"/>
  </cols>
  <sheetData>
    <row r="1" spans="1:23" hidden="1"/>
    <row r="2" spans="1:23" hidden="1">
      <c r="A2" s="3958" t="s">
        <v>23</v>
      </c>
      <c r="B2" s="3958"/>
      <c r="C2" s="3958"/>
      <c r="D2" s="3958"/>
      <c r="E2" s="3958"/>
      <c r="F2" s="3958"/>
      <c r="G2" s="3958"/>
      <c r="H2" s="3958"/>
      <c r="I2" s="3958"/>
      <c r="J2" s="3958"/>
      <c r="K2" s="3958"/>
      <c r="L2" s="3958"/>
      <c r="M2" s="3958"/>
      <c r="N2" s="3958"/>
      <c r="O2" s="3958"/>
      <c r="P2" s="3958"/>
      <c r="Q2" s="3958"/>
      <c r="R2" s="3958"/>
      <c r="S2" s="3958"/>
    </row>
    <row r="3" spans="1:23" hidden="1">
      <c r="A3" s="3958" t="s">
        <v>170</v>
      </c>
      <c r="B3" s="3958"/>
      <c r="C3" s="3958"/>
      <c r="D3" s="3958"/>
      <c r="E3" s="3958"/>
      <c r="F3" s="3958"/>
      <c r="G3" s="3958"/>
      <c r="H3" s="3958"/>
      <c r="I3" s="3958"/>
      <c r="J3" s="3958"/>
      <c r="K3" s="3958"/>
      <c r="L3" s="3958"/>
      <c r="M3" s="3958"/>
      <c r="N3" s="3958"/>
      <c r="O3" s="3958"/>
      <c r="P3" s="3958"/>
      <c r="Q3" s="3958"/>
      <c r="R3" s="3958"/>
      <c r="S3" s="3958"/>
    </row>
    <row r="4" spans="1:23" ht="21" hidden="1" customHeight="1">
      <c r="A4" s="3959" t="s">
        <v>1573</v>
      </c>
      <c r="B4" s="3960"/>
      <c r="C4" s="3960"/>
      <c r="D4" s="3960"/>
      <c r="E4" s="3960"/>
      <c r="F4" s="3960"/>
      <c r="G4" s="3960"/>
      <c r="H4" s="3960"/>
      <c r="I4" s="3960"/>
      <c r="J4" s="3960"/>
      <c r="K4" s="3960"/>
      <c r="L4" s="3960"/>
      <c r="M4" s="3960"/>
      <c r="N4" s="3960"/>
      <c r="O4" s="3960"/>
      <c r="P4" s="3960"/>
      <c r="Q4" s="3960"/>
      <c r="R4" s="3960"/>
      <c r="S4" s="3960"/>
    </row>
    <row r="5" spans="1:23" hidden="1">
      <c r="A5" s="3381"/>
      <c r="B5" s="3381"/>
      <c r="C5" s="3381"/>
      <c r="D5" s="3381"/>
      <c r="E5" s="3381"/>
      <c r="F5" s="3381"/>
      <c r="G5" s="3381"/>
      <c r="H5" s="3381"/>
      <c r="I5" s="3014"/>
      <c r="J5" s="3381"/>
      <c r="K5" s="3381"/>
      <c r="L5" s="3381"/>
      <c r="M5" s="3381"/>
      <c r="N5" s="3381"/>
      <c r="O5" s="3381"/>
      <c r="P5" s="3381"/>
      <c r="Q5" s="3381"/>
      <c r="R5" s="3381"/>
      <c r="S5" s="3381"/>
    </row>
    <row r="6" spans="1:23" hidden="1">
      <c r="A6" s="3961" t="s">
        <v>922</v>
      </c>
      <c r="B6" s="3961"/>
      <c r="C6" s="3961"/>
      <c r="D6" s="3961"/>
      <c r="E6" s="3961"/>
      <c r="F6" s="3961"/>
      <c r="G6" s="3961"/>
      <c r="H6" s="3961"/>
      <c r="I6" s="3961"/>
      <c r="J6" s="2525"/>
      <c r="K6" s="2525"/>
      <c r="L6" s="2525"/>
      <c r="M6" s="2525"/>
      <c r="N6" s="2525"/>
      <c r="O6" s="2525"/>
      <c r="P6" s="2525"/>
      <c r="Q6" s="2525"/>
      <c r="R6" s="2526"/>
      <c r="S6" s="2526"/>
    </row>
    <row r="7" spans="1:23" hidden="1">
      <c r="A7" s="3962" t="s">
        <v>1893</v>
      </c>
      <c r="B7" s="3962"/>
      <c r="C7" s="3962"/>
      <c r="D7" s="3962"/>
      <c r="E7" s="3962"/>
      <c r="F7" s="3962"/>
      <c r="G7" s="3962"/>
      <c r="H7" s="3962"/>
      <c r="I7" s="3962"/>
      <c r="J7" s="2525"/>
      <c r="K7" s="2525"/>
      <c r="L7" s="2525"/>
      <c r="M7" s="2525"/>
      <c r="N7" s="2525"/>
      <c r="O7" s="2525"/>
      <c r="P7" s="2525"/>
      <c r="Q7" s="2525"/>
      <c r="R7" s="2526"/>
      <c r="S7" s="2526"/>
    </row>
    <row r="8" spans="1:23" hidden="1">
      <c r="A8" s="3379"/>
      <c r="B8" s="3379"/>
      <c r="C8" s="3379"/>
      <c r="D8" s="3379"/>
      <c r="E8" s="3379"/>
      <c r="F8" s="3379"/>
      <c r="G8" s="3379"/>
      <c r="H8" s="3379"/>
      <c r="I8" s="3014"/>
      <c r="J8" s="2525"/>
      <c r="K8" s="2525"/>
      <c r="L8" s="2525"/>
      <c r="M8" s="2525"/>
      <c r="N8" s="2525"/>
      <c r="O8" s="2525"/>
      <c r="P8" s="2525"/>
      <c r="Q8" s="2525"/>
      <c r="R8" s="2526"/>
      <c r="S8" s="2526"/>
    </row>
    <row r="9" spans="1:23" s="2528" customFormat="1" ht="27.75" hidden="1" customHeight="1">
      <c r="A9" s="3963" t="s">
        <v>2002</v>
      </c>
      <c r="B9" s="3963"/>
      <c r="C9" s="3963"/>
      <c r="D9" s="3963"/>
      <c r="E9" s="3963"/>
      <c r="F9" s="3963"/>
      <c r="G9" s="3963"/>
      <c r="H9" s="3963"/>
      <c r="I9" s="3963"/>
      <c r="J9" s="3963"/>
      <c r="K9" s="3963"/>
      <c r="L9" s="3963"/>
      <c r="M9" s="3963"/>
      <c r="N9" s="3963"/>
      <c r="O9" s="3963"/>
      <c r="P9" s="3963"/>
      <c r="Q9" s="3963"/>
      <c r="R9" s="3963"/>
      <c r="S9" s="3963"/>
    </row>
    <row r="10" spans="1:23" s="2528" customFormat="1" ht="12.75" customHeight="1">
      <c r="A10" s="3962"/>
      <c r="B10" s="3962"/>
      <c r="C10" s="3962"/>
      <c r="D10" s="3962"/>
      <c r="E10" s="3962"/>
      <c r="F10" s="3962"/>
      <c r="G10" s="3962"/>
      <c r="H10" s="3962"/>
      <c r="I10" s="3962"/>
      <c r="J10" s="3962"/>
      <c r="K10" s="3962"/>
      <c r="L10" s="3962"/>
      <c r="M10" s="3962"/>
      <c r="N10" s="3962"/>
      <c r="O10" s="3962"/>
      <c r="P10" s="3962"/>
      <c r="Q10" s="3962"/>
      <c r="R10" s="3962"/>
      <c r="S10" s="3962"/>
    </row>
    <row r="11" spans="1:23" s="2528" customFormat="1" ht="28.5" customHeight="1">
      <c r="A11" s="3991" t="s">
        <v>2059</v>
      </c>
      <c r="B11" s="3991"/>
      <c r="C11" s="3991"/>
      <c r="D11" s="3991"/>
      <c r="E11" s="3991"/>
      <c r="F11" s="3991"/>
      <c r="G11" s="3991"/>
      <c r="H11" s="3991"/>
      <c r="I11" s="3991"/>
      <c r="J11" s="3991"/>
      <c r="K11" s="3991"/>
      <c r="L11" s="3991"/>
      <c r="M11" s="3991"/>
      <c r="N11" s="3991"/>
      <c r="O11" s="3991"/>
      <c r="P11" s="3991"/>
      <c r="Q11" s="3991"/>
      <c r="R11" s="3991"/>
      <c r="S11" s="3991"/>
      <c r="T11" s="3991"/>
      <c r="U11" s="3991"/>
      <c r="V11" s="3991"/>
      <c r="W11" s="3991"/>
    </row>
    <row r="12" spans="1:23" ht="31.5" customHeight="1">
      <c r="A12" s="2532"/>
      <c r="B12" s="2932"/>
      <c r="C12" s="3301" t="s">
        <v>1589</v>
      </c>
      <c r="D12" s="3301"/>
      <c r="E12" s="3300">
        <v>657.39</v>
      </c>
      <c r="F12" s="3301"/>
      <c r="H12" s="2534"/>
      <c r="I12" s="3015"/>
      <c r="J12" s="2536"/>
      <c r="K12" s="2537"/>
      <c r="L12" s="2538"/>
      <c r="M12" s="2538"/>
      <c r="N12" s="2538"/>
      <c r="O12" s="2538"/>
      <c r="P12" s="2538"/>
      <c r="Q12" s="2538"/>
      <c r="R12" s="2538"/>
      <c r="S12" s="2538"/>
      <c r="T12" s="3394"/>
    </row>
    <row r="13" spans="1:23" s="3379" customFormat="1" ht="26.25" customHeight="1">
      <c r="A13" s="3965" t="s">
        <v>1989</v>
      </c>
      <c r="B13" s="3965" t="s">
        <v>1591</v>
      </c>
      <c r="C13" s="3966" t="s">
        <v>1</v>
      </c>
      <c r="D13" s="3965" t="s">
        <v>2</v>
      </c>
      <c r="E13" s="3950" t="s">
        <v>10</v>
      </c>
      <c r="F13" s="3967" t="s">
        <v>4</v>
      </c>
      <c r="G13" s="3967"/>
      <c r="H13" s="3967"/>
      <c r="I13" s="3967"/>
      <c r="J13" s="3967"/>
      <c r="K13" s="3967"/>
      <c r="L13" s="3967"/>
      <c r="M13" s="3967"/>
      <c r="N13" s="3967"/>
      <c r="O13" s="3967"/>
      <c r="P13" s="3967"/>
      <c r="Q13" s="3967"/>
      <c r="R13" s="3967"/>
      <c r="S13" s="3968" t="s">
        <v>1650</v>
      </c>
      <c r="T13" s="3965" t="s">
        <v>2012</v>
      </c>
      <c r="U13" s="3965" t="s">
        <v>2013</v>
      </c>
      <c r="V13" s="3970" t="s">
        <v>2076</v>
      </c>
      <c r="W13" s="3965" t="s">
        <v>2050</v>
      </c>
    </row>
    <row r="14" spans="1:23" s="3379" customFormat="1" ht="52.5" customHeight="1">
      <c r="A14" s="3965"/>
      <c r="B14" s="3965"/>
      <c r="C14" s="3966"/>
      <c r="D14" s="3965"/>
      <c r="E14" s="3950"/>
      <c r="F14" s="3980" t="s">
        <v>1660</v>
      </c>
      <c r="G14" s="3981"/>
      <c r="H14" s="3953" t="s">
        <v>183</v>
      </c>
      <c r="I14" s="3953"/>
      <c r="J14" s="3953"/>
      <c r="K14" s="3954"/>
      <c r="L14" s="3984" t="s">
        <v>1900</v>
      </c>
      <c r="M14" s="3953"/>
      <c r="N14" s="3953"/>
      <c r="O14" s="3953"/>
      <c r="P14" s="3953"/>
      <c r="Q14" s="3953"/>
      <c r="R14" s="3954"/>
      <c r="S14" s="3968"/>
      <c r="T14" s="3950"/>
      <c r="U14" s="3950"/>
      <c r="V14" s="4834"/>
      <c r="W14" s="3950"/>
    </row>
    <row r="15" spans="1:23" s="3379" customFormat="1" ht="39" customHeight="1">
      <c r="A15" s="3965"/>
      <c r="B15" s="3965"/>
      <c r="C15" s="3966"/>
      <c r="D15" s="3965"/>
      <c r="E15" s="3950"/>
      <c r="F15" s="3982"/>
      <c r="G15" s="3983"/>
      <c r="H15" s="3955"/>
      <c r="I15" s="3955"/>
      <c r="J15" s="3955"/>
      <c r="K15" s="3956"/>
      <c r="L15" s="3985"/>
      <c r="M15" s="3955"/>
      <c r="N15" s="3955"/>
      <c r="O15" s="3955"/>
      <c r="P15" s="3955"/>
      <c r="Q15" s="3955"/>
      <c r="R15" s="3956"/>
      <c r="S15" s="3968"/>
      <c r="T15" s="3950"/>
      <c r="U15" s="3950"/>
      <c r="V15" s="4834"/>
      <c r="W15" s="3950"/>
    </row>
    <row r="16" spans="1:23" s="3379" customFormat="1" ht="36" customHeight="1">
      <c r="A16" s="3965"/>
      <c r="B16" s="3965"/>
      <c r="C16" s="3966"/>
      <c r="D16" s="3965"/>
      <c r="E16" s="3950"/>
      <c r="F16" s="3987" t="s">
        <v>1593</v>
      </c>
      <c r="G16" s="3965" t="s">
        <v>14</v>
      </c>
      <c r="H16" s="3965" t="s">
        <v>1964</v>
      </c>
      <c r="I16" s="3957" t="s">
        <v>1963</v>
      </c>
      <c r="J16" s="3968" t="s">
        <v>1595</v>
      </c>
      <c r="K16" s="3954" t="s">
        <v>1254</v>
      </c>
      <c r="L16" s="3968" t="s">
        <v>1596</v>
      </c>
      <c r="M16" s="3968" t="s">
        <v>1651</v>
      </c>
      <c r="N16" s="3951" t="s">
        <v>1972</v>
      </c>
      <c r="O16" s="3968" t="s">
        <v>1652</v>
      </c>
      <c r="P16" s="3951" t="s">
        <v>1931</v>
      </c>
      <c r="Q16" s="3951" t="s">
        <v>2004</v>
      </c>
      <c r="R16" s="3968" t="s">
        <v>1254</v>
      </c>
      <c r="S16" s="3968"/>
      <c r="T16" s="3950"/>
      <c r="U16" s="3950"/>
      <c r="V16" s="4834"/>
      <c r="W16" s="3950"/>
    </row>
    <row r="17" spans="1:23" s="3383" customFormat="1" ht="110.25" customHeight="1">
      <c r="A17" s="3965"/>
      <c r="B17" s="3965"/>
      <c r="C17" s="3966"/>
      <c r="D17" s="3965"/>
      <c r="E17" s="3950"/>
      <c r="F17" s="3988"/>
      <c r="G17" s="3965"/>
      <c r="H17" s="3965"/>
      <c r="I17" s="3957"/>
      <c r="J17" s="3968"/>
      <c r="K17" s="3956"/>
      <c r="L17" s="3968"/>
      <c r="M17" s="3968"/>
      <c r="N17" s="3952"/>
      <c r="O17" s="3968"/>
      <c r="P17" s="3952"/>
      <c r="Q17" s="3952"/>
      <c r="R17" s="3968"/>
      <c r="S17" s="3968"/>
      <c r="T17" s="3950"/>
      <c r="U17" s="3950"/>
      <c r="V17" s="3971"/>
      <c r="W17" s="3950"/>
    </row>
    <row r="18" spans="1:23" s="3383" customFormat="1" ht="57.75" customHeight="1">
      <c r="A18" s="3341">
        <v>1</v>
      </c>
      <c r="B18" s="3219"/>
      <c r="C18" s="3217" t="s">
        <v>1993</v>
      </c>
      <c r="D18" s="3217" t="s">
        <v>167</v>
      </c>
      <c r="E18" s="3217"/>
      <c r="F18" s="3220"/>
      <c r="G18" s="3217"/>
      <c r="H18" s="3217" t="e">
        <f>+VLOOKUP(C18,'Đội 1'!#REF!,6,0)</f>
        <v>#REF!</v>
      </c>
      <c r="I18" s="3221" t="e">
        <f>+VLOOKUP(C18,'Đội 1'!#REF!,7,0)</f>
        <v>#REF!</v>
      </c>
      <c r="J18" s="3219" t="e">
        <f>+VLOOKUP(C18,'Đội 1'!#REF!,8,0)</f>
        <v>#REF!</v>
      </c>
      <c r="K18" s="3218">
        <v>172371.62432750495</v>
      </c>
      <c r="L18" s="3218">
        <v>26</v>
      </c>
      <c r="M18" s="3218">
        <v>5</v>
      </c>
      <c r="N18" s="3218"/>
      <c r="O18" s="3218">
        <f>+L18+M18</f>
        <v>31</v>
      </c>
      <c r="P18" s="3222"/>
      <c r="Q18" s="3222">
        <f>+O18</f>
        <v>31</v>
      </c>
      <c r="R18" s="3389">
        <v>2159577.6</v>
      </c>
      <c r="S18" s="3219">
        <f>+G18+K18+R18</f>
        <v>2331949.2243275051</v>
      </c>
      <c r="T18" s="3395" t="e">
        <f>+'Phu cấp người Việt '!#REF!</f>
        <v>#REF!</v>
      </c>
      <c r="U18" s="3395" t="e">
        <f>+T18+S18</f>
        <v>#REF!</v>
      </c>
      <c r="V18" s="3395" t="e">
        <f>+U18*1.18</f>
        <v>#REF!</v>
      </c>
      <c r="W18" s="3380"/>
    </row>
    <row r="19" spans="1:23" s="3383" customFormat="1" ht="57.75" customHeight="1">
      <c r="A19" s="3341">
        <v>2</v>
      </c>
      <c r="B19" s="3219"/>
      <c r="C19" s="3217" t="s">
        <v>1994</v>
      </c>
      <c r="D19" s="3217" t="s">
        <v>167</v>
      </c>
      <c r="E19" s="3217"/>
      <c r="F19" s="3220"/>
      <c r="G19" s="3217"/>
      <c r="H19" s="3217" t="e">
        <f>+VLOOKUP(C19,'Đội 1'!#REF!,6,0)</f>
        <v>#REF!</v>
      </c>
      <c r="I19" s="3221" t="e">
        <f>+VLOOKUP(C19,'Đội 1'!#REF!,7,0)</f>
        <v>#REF!</v>
      </c>
      <c r="J19" s="3219" t="e">
        <f>+VLOOKUP(C19,'Đội 1'!#REF!,8,0)</f>
        <v>#REF!</v>
      </c>
      <c r="K19" s="3218">
        <v>431817.57434622379</v>
      </c>
      <c r="L19" s="3218">
        <v>26</v>
      </c>
      <c r="M19" s="3218">
        <v>5</v>
      </c>
      <c r="N19" s="3218"/>
      <c r="O19" s="3218">
        <f t="shared" ref="O19:O28" si="0">+L19+M19</f>
        <v>31</v>
      </c>
      <c r="P19" s="3222"/>
      <c r="Q19" s="3222">
        <f t="shared" ref="Q19:Q28" si="1">+O19</f>
        <v>31</v>
      </c>
      <c r="R19" s="3389">
        <v>2340339.2000000002</v>
      </c>
      <c r="S19" s="3219">
        <f t="shared" ref="S19:S28" si="2">+G19+K19+R19</f>
        <v>2772156.774346224</v>
      </c>
      <c r="T19" s="3395" t="e">
        <f>+'Phu cấp người Việt '!#REF!</f>
        <v>#REF!</v>
      </c>
      <c r="U19" s="3395" t="e">
        <f t="shared" ref="U19:U28" si="3">+T19+S19</f>
        <v>#REF!</v>
      </c>
      <c r="V19" s="3395" t="e">
        <f t="shared" ref="V19:V28" si="4">+U19*1.18</f>
        <v>#REF!</v>
      </c>
      <c r="W19" s="3380"/>
    </row>
    <row r="20" spans="1:23" s="3383" customFormat="1" ht="57.75" customHeight="1">
      <c r="A20" s="3341">
        <v>3</v>
      </c>
      <c r="B20" s="3219"/>
      <c r="C20" s="3217" t="s">
        <v>1995</v>
      </c>
      <c r="D20" s="3217" t="s">
        <v>167</v>
      </c>
      <c r="E20" s="3217"/>
      <c r="F20" s="3220"/>
      <c r="G20" s="3217"/>
      <c r="H20" s="3217" t="e">
        <f>+VLOOKUP(C20,'Đội 1'!C95:H95,6,0)</f>
        <v>#N/A</v>
      </c>
      <c r="I20" s="3221" t="e">
        <f>+VLOOKUP(C20,'Đội 1'!C95:J95,7,0)</f>
        <v>#N/A</v>
      </c>
      <c r="J20" s="3219" t="e">
        <f>+VLOOKUP(C20,'Đội 1'!C95:L95,8,0)</f>
        <v>#N/A</v>
      </c>
      <c r="K20" s="3218">
        <v>446033.79078560561</v>
      </c>
      <c r="L20" s="3218">
        <v>26</v>
      </c>
      <c r="M20" s="3218">
        <v>5</v>
      </c>
      <c r="N20" s="3218"/>
      <c r="O20" s="3218">
        <f t="shared" si="0"/>
        <v>31</v>
      </c>
      <c r="P20" s="3222"/>
      <c r="Q20" s="3222">
        <f t="shared" si="1"/>
        <v>31</v>
      </c>
      <c r="R20" s="3389">
        <v>2340339.2000000002</v>
      </c>
      <c r="S20" s="3219">
        <f t="shared" si="2"/>
        <v>2786372.9907856057</v>
      </c>
      <c r="T20" s="3395" t="e">
        <f>+'Phu cấp người Việt '!#REF!</f>
        <v>#REF!</v>
      </c>
      <c r="U20" s="3395" t="e">
        <f t="shared" si="3"/>
        <v>#REF!</v>
      </c>
      <c r="V20" s="3395" t="e">
        <f t="shared" si="4"/>
        <v>#REF!</v>
      </c>
      <c r="W20" s="3380"/>
    </row>
    <row r="21" spans="1:23" s="3383" customFormat="1" ht="57.75" customHeight="1">
      <c r="A21" s="3341">
        <v>4</v>
      </c>
      <c r="B21" s="3219"/>
      <c r="C21" s="3217" t="str">
        <f>+'Mủ CN (TT)'!C83</f>
        <v>Nàng Lun</v>
      </c>
      <c r="D21" s="3217" t="s">
        <v>167</v>
      </c>
      <c r="E21" s="3217"/>
      <c r="F21" s="3220"/>
      <c r="G21" s="3217"/>
      <c r="H21" s="3217" t="e">
        <f>+VLOOKUP(C21,'Đội 1'!C95:H96,6,0)</f>
        <v>#N/A</v>
      </c>
      <c r="I21" s="3221" t="e">
        <f>+VLOOKUP(C21,'Đội 1'!C95:J96,7,0)</f>
        <v>#N/A</v>
      </c>
      <c r="J21" s="3219" t="e">
        <f>+VLOOKUP(C21,'Đội 1'!C95:L96,8,0)</f>
        <v>#N/A</v>
      </c>
      <c r="K21" s="3218">
        <v>412270.27674207371</v>
      </c>
      <c r="L21" s="3218">
        <v>26</v>
      </c>
      <c r="M21" s="3218">
        <v>5</v>
      </c>
      <c r="N21" s="3218"/>
      <c r="O21" s="3218">
        <f t="shared" si="0"/>
        <v>31</v>
      </c>
      <c r="P21" s="3222"/>
      <c r="Q21" s="3222">
        <f t="shared" si="1"/>
        <v>31</v>
      </c>
      <c r="R21" s="3389">
        <v>2048992</v>
      </c>
      <c r="S21" s="3219">
        <f t="shared" si="2"/>
        <v>2461262.2767420737</v>
      </c>
      <c r="T21" s="3395" t="e">
        <f>+'Phu cấp người Việt '!#REF!</f>
        <v>#REF!</v>
      </c>
      <c r="U21" s="3395" t="e">
        <f t="shared" si="3"/>
        <v>#REF!</v>
      </c>
      <c r="V21" s="3395" t="e">
        <f t="shared" si="4"/>
        <v>#REF!</v>
      </c>
      <c r="W21" s="3380"/>
    </row>
    <row r="22" spans="1:23" s="3383" customFormat="1" ht="57.75" customHeight="1">
      <c r="A22" s="3341">
        <v>5</v>
      </c>
      <c r="B22" s="3219"/>
      <c r="C22" s="3217" t="s">
        <v>1996</v>
      </c>
      <c r="D22" s="3217" t="s">
        <v>167</v>
      </c>
      <c r="E22" s="3217"/>
      <c r="F22" s="3220"/>
      <c r="G22" s="3217"/>
      <c r="H22" s="3217" t="e">
        <f>+VLOOKUP(C22,'Đội 1'!C95:H97,6,0)</f>
        <v>#N/A</v>
      </c>
      <c r="I22" s="3221" t="e">
        <f>+VLOOKUP(C22,'Đội 1'!C95:J97,7,0)</f>
        <v>#N/A</v>
      </c>
      <c r="J22" s="3219" t="e">
        <f>+VLOOKUP(C22,'Đội 1'!C95:L97,8,0)</f>
        <v>#N/A</v>
      </c>
      <c r="K22" s="3218">
        <v>540216.22469651035</v>
      </c>
      <c r="L22" s="3218">
        <v>26</v>
      </c>
      <c r="M22" s="3218">
        <v>5</v>
      </c>
      <c r="N22" s="3218"/>
      <c r="O22" s="3218">
        <f t="shared" si="0"/>
        <v>31</v>
      </c>
      <c r="P22" s="3222"/>
      <c r="Q22" s="3222">
        <f t="shared" si="1"/>
        <v>31</v>
      </c>
      <c r="R22" s="3389">
        <v>2340339.2000000002</v>
      </c>
      <c r="S22" s="3219">
        <f t="shared" si="2"/>
        <v>2880555.4246965107</v>
      </c>
      <c r="T22" s="3395" t="e">
        <f>+'Phu cấp người Việt '!#REF!</f>
        <v>#REF!</v>
      </c>
      <c r="U22" s="3395" t="e">
        <f t="shared" si="3"/>
        <v>#REF!</v>
      </c>
      <c r="V22" s="3395" t="e">
        <f t="shared" si="4"/>
        <v>#REF!</v>
      </c>
      <c r="W22" s="3380"/>
    </row>
    <row r="23" spans="1:23" s="3383" customFormat="1" ht="57.75" customHeight="1">
      <c r="A23" s="3341">
        <v>6</v>
      </c>
      <c r="B23" s="3219"/>
      <c r="C23" s="3217" t="str">
        <f>+'Mủ CN (TT)'!C85</f>
        <v>Nàng Veng</v>
      </c>
      <c r="D23" s="3217" t="s">
        <v>167</v>
      </c>
      <c r="E23" s="3217"/>
      <c r="F23" s="3220"/>
      <c r="G23" s="3217"/>
      <c r="H23" s="3217" t="e">
        <f>+VLOOKUP(C23,'Đội 1'!C95:H98,6,0)</f>
        <v>#N/A</v>
      </c>
      <c r="I23" s="3221" t="e">
        <f>+VLOOKUP(C23,'Đội 1'!C95:J98,7,0)</f>
        <v>#N/A</v>
      </c>
      <c r="J23" s="3219" t="e">
        <f>+VLOOKUP(C23,'Đội 1'!C95:L98,8,0)</f>
        <v>#N/A</v>
      </c>
      <c r="K23" s="3218">
        <v>437148.65551099199</v>
      </c>
      <c r="L23" s="3218">
        <v>26</v>
      </c>
      <c r="M23" s="3218">
        <v>5</v>
      </c>
      <c r="N23" s="3218"/>
      <c r="O23" s="3218">
        <f t="shared" si="0"/>
        <v>31</v>
      </c>
      <c r="P23" s="3222"/>
      <c r="Q23" s="3222">
        <f t="shared" si="1"/>
        <v>31</v>
      </c>
      <c r="R23" s="3389">
        <v>1958611.2</v>
      </c>
      <c r="S23" s="3219">
        <f t="shared" si="2"/>
        <v>2395759.855510992</v>
      </c>
      <c r="T23" s="3395" t="e">
        <f>+'Phu cấp người Việt '!#REF!</f>
        <v>#REF!</v>
      </c>
      <c r="U23" s="3395" t="e">
        <f t="shared" si="3"/>
        <v>#REF!</v>
      </c>
      <c r="V23" s="3395" t="e">
        <f t="shared" si="4"/>
        <v>#REF!</v>
      </c>
      <c r="W23" s="3380"/>
    </row>
    <row r="24" spans="1:23" s="3383" customFormat="1" ht="57.75" customHeight="1">
      <c r="A24" s="3341">
        <v>7</v>
      </c>
      <c r="B24" s="3219"/>
      <c r="C24" s="3217" t="s">
        <v>1997</v>
      </c>
      <c r="D24" s="3217" t="s">
        <v>167</v>
      </c>
      <c r="E24" s="3217"/>
      <c r="F24" s="3220"/>
      <c r="G24" s="3217"/>
      <c r="H24" s="3217" t="e">
        <f>+VLOOKUP(C24,'Đội 1'!C95:H99,6,0)</f>
        <v>#N/A</v>
      </c>
      <c r="I24" s="3221" t="e">
        <f>+VLOOKUP(C24,'Đội 1'!C95:J99,7,0)</f>
        <v>#N/A</v>
      </c>
      <c r="J24" s="3219" t="e">
        <f>+VLOOKUP(C24,'Đội 1'!C95:L99,8,0)</f>
        <v>#N/A</v>
      </c>
      <c r="K24" s="3218">
        <v>385614.87091823277</v>
      </c>
      <c r="L24" s="3218">
        <v>26</v>
      </c>
      <c r="M24" s="3218">
        <v>5</v>
      </c>
      <c r="N24" s="3218"/>
      <c r="O24" s="3218">
        <f t="shared" si="0"/>
        <v>31</v>
      </c>
      <c r="P24" s="3222"/>
      <c r="Q24" s="3222">
        <f t="shared" si="1"/>
        <v>31</v>
      </c>
      <c r="R24" s="3389">
        <v>1958611.2</v>
      </c>
      <c r="S24" s="3219">
        <f t="shared" si="2"/>
        <v>2344226.0709182327</v>
      </c>
      <c r="T24" s="3395" t="e">
        <f>+'Phu cấp người Việt '!#REF!</f>
        <v>#REF!</v>
      </c>
      <c r="U24" s="3395" t="e">
        <f t="shared" si="3"/>
        <v>#REF!</v>
      </c>
      <c r="V24" s="3395" t="e">
        <f t="shared" si="4"/>
        <v>#REF!</v>
      </c>
      <c r="W24" s="3380"/>
    </row>
    <row r="25" spans="1:23" s="3383" customFormat="1" ht="57.75" customHeight="1">
      <c r="A25" s="3341">
        <v>8</v>
      </c>
      <c r="B25" s="3219"/>
      <c r="C25" s="3217" t="s">
        <v>1998</v>
      </c>
      <c r="D25" s="3217" t="s">
        <v>167</v>
      </c>
      <c r="E25" s="3217"/>
      <c r="F25" s="3220"/>
      <c r="G25" s="3217"/>
      <c r="H25" s="3217" t="e">
        <f>+VLOOKUP(C25,'Đội 1'!C95:H100,6,0)</f>
        <v>#N/A</v>
      </c>
      <c r="I25" s="3221" t="e">
        <f>+VLOOKUP(C25,'Đội 1'!C95:J100,7,0)</f>
        <v>#N/A</v>
      </c>
      <c r="J25" s="3219" t="e">
        <f>+VLOOKUP(C25,'Đội 1'!C95:L100,8,0)</f>
        <v>#N/A</v>
      </c>
      <c r="K25" s="3218">
        <v>385614.87091823277</v>
      </c>
      <c r="L25" s="3218">
        <v>26</v>
      </c>
      <c r="M25" s="3218">
        <v>5</v>
      </c>
      <c r="N25" s="3218"/>
      <c r="O25" s="3218">
        <f t="shared" si="0"/>
        <v>31</v>
      </c>
      <c r="P25" s="3222"/>
      <c r="Q25" s="3222">
        <f t="shared" si="1"/>
        <v>31</v>
      </c>
      <c r="R25" s="3389">
        <v>1958611.2</v>
      </c>
      <c r="S25" s="3219">
        <f t="shared" si="2"/>
        <v>2344226.0709182327</v>
      </c>
      <c r="T25" s="3395" t="e">
        <f>+'Phu cấp người Việt '!#REF!</f>
        <v>#REF!</v>
      </c>
      <c r="U25" s="3395" t="e">
        <f t="shared" si="3"/>
        <v>#REF!</v>
      </c>
      <c r="V25" s="3395" t="e">
        <f t="shared" si="4"/>
        <v>#REF!</v>
      </c>
      <c r="W25" s="3380"/>
    </row>
    <row r="26" spans="1:23" s="3383" customFormat="1" ht="57.75" customHeight="1">
      <c r="A26" s="3341">
        <v>9</v>
      </c>
      <c r="B26" s="3219"/>
      <c r="C26" s="3217" t="s">
        <v>1999</v>
      </c>
      <c r="D26" s="3217" t="s">
        <v>167</v>
      </c>
      <c r="E26" s="3217"/>
      <c r="F26" s="3220"/>
      <c r="G26" s="3217"/>
      <c r="H26" s="3217" t="e">
        <f>+VLOOKUP(C26,'Đội 1'!C95:H101,6,0)</f>
        <v>#N/A</v>
      </c>
      <c r="I26" s="3221" t="e">
        <f>+VLOOKUP(C26,'Đội 1'!C95:J101,7,0)</f>
        <v>#N/A</v>
      </c>
      <c r="J26" s="3219" t="e">
        <f>+VLOOKUP(C26,'Đội 1'!C95:L101,8,0)</f>
        <v>#N/A</v>
      </c>
      <c r="K26" s="3218">
        <v>536662.17058666504</v>
      </c>
      <c r="L26" s="3218">
        <v>26</v>
      </c>
      <c r="M26" s="3218">
        <v>5</v>
      </c>
      <c r="N26" s="3218"/>
      <c r="O26" s="3218">
        <f t="shared" si="0"/>
        <v>31</v>
      </c>
      <c r="P26" s="3222"/>
      <c r="Q26" s="3222">
        <f t="shared" si="1"/>
        <v>31</v>
      </c>
      <c r="R26" s="3389">
        <v>2159577.6</v>
      </c>
      <c r="S26" s="3219">
        <f t="shared" si="2"/>
        <v>2696239.7705866653</v>
      </c>
      <c r="T26" s="3395" t="e">
        <f>+'Phu cấp người Việt '!#REF!</f>
        <v>#REF!</v>
      </c>
      <c r="U26" s="3395" t="e">
        <f t="shared" si="3"/>
        <v>#REF!</v>
      </c>
      <c r="V26" s="3395" t="e">
        <f t="shared" si="4"/>
        <v>#REF!</v>
      </c>
      <c r="W26" s="3380"/>
    </row>
    <row r="27" spans="1:23" s="3383" customFormat="1" ht="57.75" customHeight="1">
      <c r="A27" s="3341">
        <v>10</v>
      </c>
      <c r="B27" s="3219"/>
      <c r="C27" s="3217" t="s">
        <v>2000</v>
      </c>
      <c r="D27" s="3217" t="s">
        <v>167</v>
      </c>
      <c r="E27" s="3217"/>
      <c r="F27" s="3220"/>
      <c r="G27" s="3217"/>
      <c r="H27" s="3217" t="e">
        <f>+VLOOKUP(C27,'Đội 1'!C95:H102,6,0)</f>
        <v>#N/A</v>
      </c>
      <c r="I27" s="3221" t="e">
        <f>+VLOOKUP(C27,'Đội 1'!C95:J102,7,0)</f>
        <v>#N/A</v>
      </c>
      <c r="J27" s="3219" t="e">
        <f>+VLOOKUP(C27,'Đội 1'!C95:L102,8,0)</f>
        <v>#N/A</v>
      </c>
      <c r="K27" s="3218">
        <v>239898.65241456876</v>
      </c>
      <c r="L27" s="3218">
        <v>26</v>
      </c>
      <c r="M27" s="3218">
        <v>5</v>
      </c>
      <c r="N27" s="3218"/>
      <c r="O27" s="3218">
        <f t="shared" si="0"/>
        <v>31</v>
      </c>
      <c r="P27" s="3222"/>
      <c r="Q27" s="3222">
        <f t="shared" si="1"/>
        <v>31</v>
      </c>
      <c r="R27" s="3389">
        <v>2048992</v>
      </c>
      <c r="S27" s="3219">
        <f t="shared" si="2"/>
        <v>2288890.6524145687</v>
      </c>
      <c r="T27" s="3395" t="e">
        <f>+'Phu cấp người Việt '!#REF!</f>
        <v>#REF!</v>
      </c>
      <c r="U27" s="3395" t="e">
        <f t="shared" si="3"/>
        <v>#REF!</v>
      </c>
      <c r="V27" s="3395" t="e">
        <f t="shared" si="4"/>
        <v>#REF!</v>
      </c>
      <c r="W27" s="3380"/>
    </row>
    <row r="28" spans="1:23" s="3383" customFormat="1" ht="57.75" customHeight="1">
      <c r="A28" s="3341">
        <v>11</v>
      </c>
      <c r="B28" s="3219"/>
      <c r="C28" s="3217" t="s">
        <v>2001</v>
      </c>
      <c r="D28" s="3217" t="s">
        <v>167</v>
      </c>
      <c r="E28" s="3217"/>
      <c r="F28" s="3220"/>
      <c r="G28" s="3217"/>
      <c r="H28" s="3217" t="e">
        <f>+VLOOKUP(C28,'Đội 1'!C95:H103,6,0)</f>
        <v>#N/A</v>
      </c>
      <c r="I28" s="3221" t="e">
        <f>+VLOOKUP(C28,'Đội 1'!C95:J103,7,0)</f>
        <v>#N/A</v>
      </c>
      <c r="J28" s="3219" t="e">
        <f>+VLOOKUP(C28,'Đội 1'!C95:L103,8,0)</f>
        <v>#N/A</v>
      </c>
      <c r="K28" s="3218">
        <v>257668.92296379607</v>
      </c>
      <c r="L28" s="3218">
        <v>26</v>
      </c>
      <c r="M28" s="3218">
        <v>5</v>
      </c>
      <c r="N28" s="3218"/>
      <c r="O28" s="3218">
        <f t="shared" si="0"/>
        <v>31</v>
      </c>
      <c r="P28" s="3222"/>
      <c r="Q28" s="3222">
        <f t="shared" si="1"/>
        <v>31</v>
      </c>
      <c r="R28" s="3389">
        <v>2048992</v>
      </c>
      <c r="S28" s="3219">
        <f t="shared" si="2"/>
        <v>2306660.9229637962</v>
      </c>
      <c r="T28" s="3395" t="e">
        <f>+'Phu cấp người Việt '!#REF!</f>
        <v>#REF!</v>
      </c>
      <c r="U28" s="3395" t="e">
        <f t="shared" si="3"/>
        <v>#REF!</v>
      </c>
      <c r="V28" s="3395" t="e">
        <f t="shared" si="4"/>
        <v>#REF!</v>
      </c>
      <c r="W28" s="3380"/>
    </row>
    <row r="29" spans="1:23" s="3383" customFormat="1" ht="57.75" customHeight="1">
      <c r="A29" s="3973" t="s">
        <v>61</v>
      </c>
      <c r="B29" s="3974"/>
      <c r="C29" s="3974"/>
      <c r="D29" s="3975"/>
      <c r="E29" s="3384"/>
      <c r="F29" s="3177">
        <f t="shared" ref="F29:S29" si="5">+SUBTOTAL(9,F18:F28)</f>
        <v>0</v>
      </c>
      <c r="G29" s="3176">
        <f t="shared" si="5"/>
        <v>0</v>
      </c>
      <c r="H29" s="3176" t="e">
        <f t="shared" si="5"/>
        <v>#REF!</v>
      </c>
      <c r="I29" s="3177" t="e">
        <f t="shared" si="5"/>
        <v>#REF!</v>
      </c>
      <c r="J29" s="3177" t="e">
        <f t="shared" si="5"/>
        <v>#REF!</v>
      </c>
      <c r="K29" s="3176">
        <f t="shared" si="5"/>
        <v>4245317.6342104059</v>
      </c>
      <c r="L29" s="3176">
        <f t="shared" si="5"/>
        <v>286</v>
      </c>
      <c r="M29" s="3176">
        <f t="shared" si="5"/>
        <v>55</v>
      </c>
      <c r="N29" s="3176">
        <f t="shared" si="5"/>
        <v>0</v>
      </c>
      <c r="O29" s="3176">
        <f t="shared" si="5"/>
        <v>341</v>
      </c>
      <c r="P29" s="3176">
        <f t="shared" si="5"/>
        <v>0</v>
      </c>
      <c r="Q29" s="3176">
        <f t="shared" si="5"/>
        <v>341</v>
      </c>
      <c r="R29" s="3176">
        <f t="shared" si="5"/>
        <v>23362982.399999999</v>
      </c>
      <c r="S29" s="3176">
        <f t="shared" si="5"/>
        <v>27608300.034210406</v>
      </c>
      <c r="T29" s="3176" t="e">
        <f>+SUBTOTAL(9,T18:T28)</f>
        <v>#REF!</v>
      </c>
      <c r="U29" s="3176" t="e">
        <f>+SUBTOTAL(9,U18:U28)</f>
        <v>#REF!</v>
      </c>
      <c r="V29" s="3176" t="e">
        <f>+SUBTOTAL(9,V18:V28)</f>
        <v>#REF!</v>
      </c>
      <c r="W29" s="3176"/>
    </row>
    <row r="30" spans="1:23" ht="42" hidden="1" customHeight="1">
      <c r="A30" s="3976" t="s">
        <v>1973</v>
      </c>
      <c r="B30" s="3976"/>
      <c r="C30" s="3976"/>
      <c r="D30" s="3976"/>
      <c r="E30" s="3976"/>
      <c r="F30" s="3976"/>
      <c r="G30" s="3976"/>
      <c r="H30" s="3976"/>
      <c r="I30" s="3976"/>
      <c r="J30" s="3976"/>
      <c r="K30" s="3976"/>
      <c r="L30" s="3976"/>
      <c r="M30" s="3976"/>
      <c r="N30" s="3976"/>
      <c r="O30" s="3976"/>
      <c r="P30" s="3976"/>
      <c r="Q30" s="3976"/>
      <c r="R30" s="3976"/>
      <c r="S30" s="3976"/>
    </row>
    <row r="31" spans="1:23" ht="25.5" hidden="1">
      <c r="A31" s="2553"/>
      <c r="B31" s="2553"/>
      <c r="C31" s="2553"/>
      <c r="D31" s="2553"/>
      <c r="E31" s="2553"/>
      <c r="F31" s="2553"/>
      <c r="G31" s="2553"/>
      <c r="H31" s="2553"/>
      <c r="I31" s="3017"/>
      <c r="J31" s="2553"/>
      <c r="K31" s="2553"/>
      <c r="L31" s="2553"/>
      <c r="M31" s="2553"/>
      <c r="N31" s="2553"/>
      <c r="O31" s="2553"/>
      <c r="P31" s="2553"/>
      <c r="Q31" s="2553"/>
      <c r="R31" s="2553"/>
      <c r="S31" s="2553"/>
    </row>
    <row r="32" spans="1:23" ht="26.25" hidden="1" customHeight="1">
      <c r="A32" s="2554"/>
      <c r="B32" s="2555"/>
      <c r="C32" s="2556"/>
      <c r="D32" s="2557"/>
      <c r="E32" s="2557"/>
      <c r="F32" s="2558"/>
      <c r="G32" s="2559"/>
      <c r="H32" s="2559"/>
      <c r="I32" s="3018"/>
      <c r="J32" s="2561"/>
      <c r="K32" s="2562"/>
      <c r="L32" s="2563"/>
      <c r="M32" s="2563"/>
      <c r="N32" s="2563"/>
      <c r="O32" s="2563"/>
      <c r="P32" s="2563"/>
      <c r="Q32" s="2563"/>
      <c r="R32" s="2559"/>
      <c r="S32" s="3474" t="s">
        <v>1981</v>
      </c>
    </row>
    <row r="33" spans="1:23" ht="12" hidden="1" customHeight="1">
      <c r="D33" s="2564"/>
      <c r="E33" s="2564"/>
      <c r="F33" s="2565"/>
      <c r="L33" s="2566"/>
      <c r="M33" s="2566"/>
      <c r="N33" s="2566"/>
      <c r="O33" s="2566"/>
      <c r="P33" s="2566"/>
      <c r="Q33" s="2566"/>
      <c r="T33" s="2568"/>
      <c r="U33" s="2568"/>
      <c r="V33" s="2568"/>
    </row>
    <row r="34" spans="1:23" ht="7.5" hidden="1" customHeight="1">
      <c r="D34" s="2564"/>
      <c r="E34" s="2564"/>
      <c r="F34" s="2565"/>
      <c r="L34" s="2566"/>
      <c r="M34" s="2566"/>
      <c r="N34" s="2566"/>
      <c r="O34" s="2566"/>
      <c r="P34" s="2566"/>
      <c r="Q34" s="2566"/>
      <c r="T34" s="2568"/>
      <c r="U34" s="2568"/>
      <c r="V34" s="2568"/>
    </row>
    <row r="35" spans="1:23" s="2568" customFormat="1" ht="22.5" hidden="1" customHeight="1">
      <c r="A35" s="3962" t="s">
        <v>502</v>
      </c>
      <c r="B35" s="3962"/>
      <c r="C35" s="3962"/>
      <c r="D35" s="3962"/>
      <c r="E35" s="3962"/>
      <c r="F35" s="3962"/>
      <c r="G35" s="3962" t="s">
        <v>1598</v>
      </c>
      <c r="H35" s="3962"/>
      <c r="I35" s="3962"/>
      <c r="J35" s="3962"/>
      <c r="K35" s="3962"/>
      <c r="L35" s="3962" t="s">
        <v>513</v>
      </c>
      <c r="M35" s="3962"/>
      <c r="N35" s="3962"/>
      <c r="O35" s="3962"/>
      <c r="P35" s="3962"/>
      <c r="Q35" s="3962"/>
      <c r="R35" s="3962"/>
      <c r="S35" s="3473" t="s">
        <v>1599</v>
      </c>
    </row>
    <row r="36" spans="1:23" s="2568" customFormat="1" ht="22.5" hidden="1">
      <c r="A36" s="2529"/>
      <c r="C36" s="3379"/>
      <c r="D36" s="3379"/>
      <c r="E36" s="3379"/>
      <c r="F36" s="3379"/>
      <c r="G36" s="3379"/>
      <c r="H36" s="3379"/>
      <c r="I36" s="3020"/>
      <c r="J36" s="3379"/>
      <c r="K36" s="2528"/>
      <c r="M36" s="2528"/>
      <c r="N36" s="2528"/>
      <c r="O36" s="2528"/>
      <c r="P36" s="2528"/>
      <c r="Q36" s="2528"/>
      <c r="R36" s="2570"/>
      <c r="S36" s="3379"/>
    </row>
    <row r="37" spans="1:23" s="2568" customFormat="1" ht="22.5" hidden="1">
      <c r="A37" s="2529"/>
      <c r="C37" s="3379"/>
      <c r="D37" s="3379"/>
      <c r="E37" s="3379"/>
      <c r="F37" s="3014"/>
      <c r="G37" s="3379"/>
      <c r="H37" s="3379"/>
      <c r="I37" s="3020"/>
      <c r="J37" s="3379"/>
      <c r="K37" s="2528"/>
      <c r="M37" s="2528"/>
      <c r="N37" s="2528"/>
      <c r="O37" s="2528"/>
      <c r="P37" s="2528"/>
      <c r="Q37" s="2528"/>
      <c r="R37" s="2570"/>
      <c r="S37" s="3379"/>
    </row>
    <row r="38" spans="1:23" s="2568" customFormat="1" ht="22.5" hidden="1">
      <c r="A38" s="2529"/>
      <c r="C38" s="3379"/>
      <c r="D38" s="3379"/>
      <c r="E38" s="3379"/>
      <c r="F38" s="3379"/>
      <c r="G38" s="3379"/>
      <c r="H38" s="3379"/>
      <c r="I38" s="3020"/>
      <c r="J38" s="3379"/>
      <c r="K38" s="2528"/>
      <c r="M38" s="2528"/>
      <c r="N38" s="2528"/>
      <c r="O38" s="2528"/>
      <c r="P38" s="2528"/>
      <c r="Q38" s="2528"/>
      <c r="R38" s="2570"/>
      <c r="S38" s="3379"/>
    </row>
    <row r="39" spans="1:23" s="2568" customFormat="1" ht="22.5" hidden="1">
      <c r="A39" s="2529"/>
      <c r="C39" s="3379"/>
      <c r="D39" s="3379"/>
      <c r="E39" s="3379"/>
      <c r="F39" s="3379"/>
      <c r="G39" s="3379"/>
      <c r="H39" s="3379"/>
      <c r="I39" s="3379"/>
      <c r="J39" s="3379"/>
      <c r="K39" s="2571"/>
      <c r="M39" s="2528"/>
      <c r="N39" s="2528"/>
      <c r="O39" s="2528"/>
      <c r="P39" s="2528"/>
      <c r="Q39" s="2528"/>
      <c r="R39" s="2528"/>
      <c r="S39" s="3379"/>
    </row>
    <row r="40" spans="1:23" s="2568" customFormat="1" ht="22.5" hidden="1">
      <c r="A40" s="2529"/>
      <c r="C40" s="3379"/>
      <c r="D40" s="3379"/>
      <c r="E40" s="3379"/>
      <c r="F40" s="3385"/>
      <c r="G40" s="3379"/>
      <c r="H40" s="3379"/>
      <c r="I40" s="3020"/>
      <c r="J40" s="3379"/>
      <c r="K40" s="2528"/>
      <c r="M40" s="2528"/>
      <c r="N40" s="2528"/>
      <c r="O40" s="2528"/>
      <c r="P40" s="2528"/>
      <c r="Q40" s="2528"/>
      <c r="R40" s="2570"/>
      <c r="S40" s="3379"/>
    </row>
    <row r="41" spans="1:23" s="2568" customFormat="1" ht="22.5" hidden="1">
      <c r="A41" s="2529"/>
      <c r="C41" s="3379"/>
      <c r="D41" s="3385"/>
      <c r="E41" s="3385"/>
      <c r="F41" s="3383"/>
      <c r="G41" s="3379"/>
      <c r="H41" s="3379"/>
      <c r="I41" s="3020"/>
      <c r="J41" s="3379"/>
      <c r="K41" s="2528"/>
      <c r="M41" s="2528"/>
      <c r="N41" s="2528"/>
      <c r="O41" s="2528"/>
      <c r="P41" s="2528"/>
      <c r="Q41" s="2528"/>
      <c r="R41" s="2570"/>
      <c r="S41" s="3379"/>
    </row>
    <row r="42" spans="1:23" s="2568" customFormat="1" ht="22.5" hidden="1">
      <c r="A42" s="2529"/>
      <c r="C42" s="3379"/>
      <c r="D42" s="3379"/>
      <c r="E42" s="3379"/>
      <c r="F42" s="3379"/>
      <c r="I42" s="3021"/>
      <c r="J42" s="2528"/>
      <c r="K42" s="2528"/>
      <c r="L42" s="3962"/>
      <c r="M42" s="3962"/>
      <c r="N42" s="3962"/>
      <c r="O42" s="3962"/>
      <c r="P42" s="3962"/>
      <c r="Q42" s="3962"/>
      <c r="R42" s="3962"/>
    </row>
    <row r="43" spans="1:23" s="2568" customFormat="1" ht="23.25" hidden="1" customHeight="1">
      <c r="A43" s="3991"/>
      <c r="B43" s="3991"/>
      <c r="C43" s="3991"/>
      <c r="D43" s="3991"/>
      <c r="E43" s="3991"/>
      <c r="F43" s="3991"/>
      <c r="G43" s="3379"/>
      <c r="H43" s="3962"/>
      <c r="I43" s="3962"/>
      <c r="J43" s="3962"/>
      <c r="K43" s="3962"/>
      <c r="L43" s="3962"/>
      <c r="M43" s="3962"/>
      <c r="N43" s="3962"/>
      <c r="O43" s="3962"/>
      <c r="P43" s="3962"/>
      <c r="Q43" s="3962"/>
      <c r="R43" s="3962"/>
      <c r="S43" s="3475" t="s">
        <v>533</v>
      </c>
      <c r="T43" s="2519"/>
      <c r="U43" s="2519"/>
      <c r="V43" s="2519"/>
    </row>
    <row r="44" spans="1:23" s="2568" customFormat="1" hidden="1">
      <c r="A44" s="2529"/>
      <c r="C44" s="3379"/>
      <c r="D44" s="3385"/>
      <c r="E44" s="3385"/>
      <c r="F44" s="2571"/>
      <c r="G44" s="3388"/>
      <c r="H44" s="3388"/>
      <c r="I44" s="3020"/>
      <c r="J44" s="3379"/>
      <c r="K44" s="2571"/>
      <c r="M44" s="2528"/>
      <c r="N44" s="2528"/>
      <c r="O44" s="2528"/>
      <c r="P44" s="2528"/>
      <c r="Q44" s="2528"/>
      <c r="R44" s="2519"/>
      <c r="S44" s="2571"/>
      <c r="T44" s="2519"/>
      <c r="U44" s="2519"/>
      <c r="V44" s="2519"/>
    </row>
    <row r="45" spans="1:23" hidden="1">
      <c r="B45" s="2519"/>
      <c r="C45" s="2519"/>
      <c r="F45" s="2566"/>
      <c r="G45" s="2566"/>
      <c r="H45" s="2566"/>
      <c r="I45" s="3007"/>
      <c r="J45" s="2574"/>
      <c r="K45" s="2566"/>
    </row>
    <row r="46" spans="1:23" hidden="1">
      <c r="B46" s="2519"/>
      <c r="C46" s="2519"/>
      <c r="F46" s="2566"/>
      <c r="G46" s="2575"/>
      <c r="H46" s="2575"/>
      <c r="I46" s="3007"/>
      <c r="J46" s="2574"/>
      <c r="K46" s="2576"/>
      <c r="L46" s="3986"/>
      <c r="M46" s="3986"/>
      <c r="N46" s="3386"/>
      <c r="O46" s="3386"/>
      <c r="P46" s="3386"/>
      <c r="Q46" s="3386"/>
      <c r="R46" s="2577"/>
      <c r="S46" s="2577"/>
    </row>
    <row r="47" spans="1:23">
      <c r="B47" s="2519"/>
      <c r="C47" s="2519"/>
      <c r="F47" s="2566"/>
      <c r="G47" s="2575"/>
      <c r="H47" s="2575"/>
      <c r="I47" s="3007"/>
      <c r="J47" s="2574"/>
      <c r="K47" s="2576"/>
      <c r="L47" s="3386"/>
      <c r="M47" s="3386"/>
      <c r="N47" s="3386"/>
      <c r="O47" s="3386"/>
      <c r="P47" s="3386"/>
      <c r="Q47" s="3386"/>
      <c r="R47" s="2577"/>
      <c r="S47" s="2577"/>
      <c r="U47" s="3961"/>
      <c r="V47" s="3961"/>
      <c r="W47" s="3961"/>
    </row>
    <row r="48" spans="1:23">
      <c r="A48" s="4835"/>
      <c r="B48" s="4835"/>
      <c r="C48" s="4835"/>
      <c r="D48" s="4835"/>
      <c r="E48" s="4835"/>
      <c r="F48" s="4835"/>
      <c r="G48" s="4835"/>
      <c r="H48" s="2575"/>
      <c r="I48" s="3007"/>
      <c r="J48" s="2574"/>
      <c r="K48" s="2576"/>
      <c r="L48" s="3386"/>
      <c r="M48" s="4833" t="s">
        <v>513</v>
      </c>
      <c r="N48" s="4833"/>
      <c r="O48" s="4833"/>
      <c r="P48" s="4833"/>
      <c r="Q48" s="4833"/>
      <c r="R48" s="4833"/>
      <c r="S48" s="4833"/>
      <c r="T48" s="2568"/>
      <c r="U48" s="3962"/>
      <c r="V48" s="3962"/>
      <c r="W48" s="3962"/>
    </row>
    <row r="49" spans="1:21">
      <c r="B49" s="2519"/>
      <c r="C49" s="2519"/>
      <c r="F49" s="2566"/>
      <c r="G49" s="2575"/>
      <c r="H49" s="2575"/>
      <c r="I49" s="3007"/>
      <c r="J49" s="2574"/>
      <c r="K49" s="2576"/>
      <c r="L49" s="3386"/>
      <c r="M49" s="3386"/>
      <c r="N49" s="3386"/>
      <c r="O49" s="3386"/>
      <c r="P49" s="3386"/>
      <c r="Q49" s="3386"/>
      <c r="R49" s="2577"/>
      <c r="S49" s="2577"/>
    </row>
    <row r="50" spans="1:21">
      <c r="B50" s="2519"/>
      <c r="C50" s="2519"/>
      <c r="F50" s="2566"/>
      <c r="G50" s="2575"/>
      <c r="H50" s="2575"/>
      <c r="I50" s="3007"/>
      <c r="J50" s="2574"/>
      <c r="K50" s="2576"/>
      <c r="L50" s="3386"/>
      <c r="M50" s="3386"/>
      <c r="N50" s="3386"/>
      <c r="O50" s="3386"/>
      <c r="P50" s="3386"/>
      <c r="Q50" s="3386"/>
      <c r="R50" s="2577"/>
      <c r="S50" s="2577"/>
      <c r="U50" s="2519" t="e">
        <f>+U29/11</f>
        <v>#REF!</v>
      </c>
    </row>
    <row r="51" spans="1:21">
      <c r="B51" s="2519"/>
      <c r="C51" s="2519"/>
      <c r="F51" s="2566"/>
      <c r="G51" s="2575"/>
      <c r="H51" s="2575"/>
      <c r="I51" s="3007"/>
      <c r="J51" s="2574"/>
      <c r="K51" s="2576"/>
      <c r="L51" s="3386"/>
      <c r="M51" s="3386"/>
      <c r="N51" s="3386"/>
      <c r="O51" s="3386"/>
      <c r="P51" s="3386"/>
      <c r="Q51" s="3386"/>
      <c r="R51" s="2577"/>
      <c r="S51" s="2577"/>
    </row>
    <row r="52" spans="1:21">
      <c r="B52" s="2519"/>
      <c r="C52" s="2519"/>
      <c r="F52" s="2566"/>
      <c r="G52" s="2575"/>
      <c r="H52" s="2575"/>
      <c r="I52" s="3007"/>
      <c r="J52" s="2574"/>
      <c r="K52" s="2576"/>
      <c r="L52" s="3386"/>
      <c r="M52" s="3386"/>
      <c r="N52" s="3386"/>
      <c r="O52" s="3386"/>
      <c r="P52" s="3386"/>
      <c r="Q52" s="3386"/>
      <c r="R52" s="2577"/>
      <c r="S52" s="2577"/>
    </row>
    <row r="53" spans="1:21">
      <c r="B53" s="2519"/>
      <c r="C53" s="2519"/>
      <c r="F53" s="2566"/>
      <c r="G53" s="2575"/>
      <c r="H53" s="2575"/>
      <c r="I53" s="3007"/>
      <c r="J53" s="2574"/>
      <c r="K53" s="2576"/>
      <c r="L53" s="3386"/>
      <c r="M53" s="3386"/>
      <c r="N53" s="3386"/>
      <c r="O53" s="3386"/>
      <c r="P53" s="3386"/>
      <c r="Q53" s="3386"/>
      <c r="R53" s="2577"/>
      <c r="S53" s="2577"/>
    </row>
    <row r="54" spans="1:21">
      <c r="B54" s="2519"/>
      <c r="C54" s="2519"/>
      <c r="F54" s="2566"/>
      <c r="G54" s="2575"/>
      <c r="H54" s="2575"/>
      <c r="I54" s="3007"/>
      <c r="J54" s="2574"/>
      <c r="K54" s="2576"/>
      <c r="L54" s="3386"/>
      <c r="M54" s="3386"/>
      <c r="N54" s="3386"/>
      <c r="O54" s="3386"/>
      <c r="P54" s="3386"/>
      <c r="Q54" s="3386"/>
      <c r="R54" s="2577"/>
      <c r="S54" s="2577"/>
    </row>
    <row r="55" spans="1:21">
      <c r="B55" s="2519"/>
      <c r="C55" s="2519"/>
      <c r="F55" s="2566"/>
      <c r="G55" s="2575"/>
      <c r="H55" s="2575"/>
      <c r="I55" s="3007"/>
      <c r="J55" s="2574"/>
      <c r="K55" s="2576"/>
      <c r="L55" s="3386"/>
      <c r="M55" s="3386"/>
      <c r="N55" s="3386"/>
      <c r="O55" s="3386"/>
      <c r="P55" s="3386"/>
      <c r="Q55" s="3386"/>
      <c r="R55" s="2577"/>
      <c r="S55" s="2577"/>
    </row>
    <row r="56" spans="1:21">
      <c r="B56" s="2519"/>
      <c r="C56" s="2519"/>
      <c r="F56" s="2566"/>
      <c r="G56" s="2575"/>
      <c r="H56" s="2575"/>
      <c r="I56" s="3007"/>
      <c r="J56" s="2574"/>
      <c r="K56" s="2576"/>
      <c r="L56" s="3386"/>
      <c r="M56" s="3386"/>
      <c r="N56" s="3386"/>
      <c r="O56" s="3386"/>
      <c r="P56" s="3386"/>
      <c r="Q56" s="3386"/>
      <c r="R56" s="2577"/>
      <c r="S56" s="2577"/>
    </row>
    <row r="57" spans="1:21">
      <c r="B57" s="2519"/>
      <c r="C57" s="2519"/>
      <c r="F57" s="2566"/>
      <c r="G57" s="2575"/>
      <c r="H57" s="2575"/>
      <c r="I57" s="3007"/>
      <c r="J57" s="2574"/>
      <c r="K57" s="2576"/>
      <c r="L57" s="3386"/>
      <c r="M57" s="3386"/>
      <c r="N57" s="3386"/>
      <c r="O57" s="3386"/>
      <c r="P57" s="3386"/>
      <c r="Q57" s="3386"/>
      <c r="R57" s="2577"/>
      <c r="S57" s="2577"/>
    </row>
    <row r="58" spans="1:21">
      <c r="B58" s="2519"/>
      <c r="C58" s="2519"/>
      <c r="F58" s="2566"/>
      <c r="G58" s="2575"/>
      <c r="H58" s="2575"/>
      <c r="I58" s="3007"/>
      <c r="J58" s="2574"/>
      <c r="K58" s="2576"/>
      <c r="L58" s="3386"/>
      <c r="M58" s="3386"/>
      <c r="N58" s="3386"/>
      <c r="O58" s="3386"/>
      <c r="P58" s="3386"/>
      <c r="Q58" s="3386"/>
      <c r="R58" s="2577"/>
      <c r="S58" s="2577"/>
    </row>
    <row r="59" spans="1:21">
      <c r="B59" s="2519"/>
      <c r="C59" s="2519"/>
      <c r="F59" s="2566"/>
      <c r="G59" s="2575"/>
      <c r="H59" s="2575"/>
      <c r="I59" s="3007"/>
      <c r="J59" s="2574"/>
      <c r="K59" s="2576"/>
      <c r="L59" s="3386"/>
      <c r="M59" s="3386"/>
      <c r="N59" s="3386"/>
      <c r="O59" s="3386"/>
      <c r="P59" s="3386"/>
      <c r="Q59" s="3386"/>
      <c r="R59" s="2577"/>
      <c r="S59" s="2577"/>
    </row>
    <row r="60" spans="1:21">
      <c r="A60" s="2519"/>
      <c r="B60" s="2519"/>
      <c r="C60" s="2519"/>
      <c r="F60" s="2566"/>
      <c r="G60" s="2575"/>
      <c r="H60" s="2575"/>
      <c r="I60" s="3007"/>
      <c r="J60" s="2574"/>
      <c r="K60" s="2576"/>
      <c r="L60" s="3386"/>
      <c r="M60" s="3386"/>
      <c r="N60" s="3386"/>
      <c r="O60" s="3386"/>
      <c r="P60" s="3386"/>
      <c r="Q60" s="3386"/>
      <c r="R60" s="2577"/>
      <c r="S60" s="2577"/>
    </row>
    <row r="61" spans="1:21">
      <c r="A61" s="2519"/>
      <c r="B61" s="2519"/>
      <c r="C61" s="2519"/>
      <c r="F61" s="2566"/>
      <c r="G61" s="2575"/>
      <c r="H61" s="2575"/>
      <c r="I61" s="3007"/>
      <c r="J61" s="2574"/>
      <c r="K61" s="2576"/>
      <c r="L61" s="3386"/>
      <c r="M61" s="3386"/>
      <c r="N61" s="3386"/>
      <c r="O61" s="3386"/>
      <c r="P61" s="3386"/>
      <c r="Q61" s="3386"/>
      <c r="R61" s="2577"/>
      <c r="S61" s="2577"/>
    </row>
    <row r="62" spans="1:21">
      <c r="A62" s="2519"/>
      <c r="B62" s="2519"/>
      <c r="C62" s="2519"/>
      <c r="F62" s="2566"/>
      <c r="G62" s="2575"/>
      <c r="H62" s="2575"/>
      <c r="I62" s="3007"/>
      <c r="J62" s="2574"/>
      <c r="K62" s="2576"/>
      <c r="L62" s="3386"/>
      <c r="M62" s="3386"/>
      <c r="N62" s="3386"/>
      <c r="O62" s="3386"/>
      <c r="P62" s="3386"/>
      <c r="Q62" s="3386"/>
      <c r="R62" s="2577"/>
      <c r="S62" s="2577"/>
    </row>
    <row r="63" spans="1:21">
      <c r="A63" s="2519"/>
      <c r="B63" s="2519"/>
      <c r="C63" s="2519"/>
      <c r="F63" s="2566"/>
      <c r="G63" s="2575"/>
      <c r="H63" s="2575"/>
      <c r="I63" s="3007"/>
      <c r="J63" s="2574"/>
      <c r="K63" s="2576"/>
      <c r="L63" s="3386"/>
      <c r="M63" s="3386"/>
      <c r="N63" s="3386"/>
      <c r="O63" s="3386"/>
      <c r="P63" s="3386"/>
      <c r="Q63" s="3386"/>
      <c r="R63" s="2577"/>
      <c r="S63" s="2577"/>
    </row>
    <row r="64" spans="1:21">
      <c r="A64" s="2519"/>
      <c r="B64" s="2519"/>
      <c r="C64" s="2519"/>
      <c r="F64" s="2566"/>
      <c r="G64" s="2575"/>
      <c r="H64" s="2575"/>
      <c r="I64" s="3007"/>
      <c r="J64" s="2574"/>
      <c r="K64" s="2576"/>
      <c r="L64" s="3386"/>
      <c r="M64" s="3386"/>
      <c r="N64" s="3386"/>
      <c r="O64" s="3386"/>
      <c r="P64" s="3386"/>
      <c r="Q64" s="3386"/>
      <c r="R64" s="2577"/>
      <c r="S64" s="2577"/>
    </row>
    <row r="65" spans="1:19">
      <c r="A65" s="2519"/>
      <c r="B65" s="2519"/>
      <c r="C65" s="2519"/>
      <c r="F65" s="2566"/>
      <c r="G65" s="2575"/>
      <c r="H65" s="2575"/>
      <c r="I65" s="3007"/>
      <c r="J65" s="2574"/>
      <c r="K65" s="2576"/>
      <c r="L65" s="3386"/>
      <c r="M65" s="3386"/>
      <c r="N65" s="3386"/>
      <c r="O65" s="3386"/>
      <c r="P65" s="3386"/>
      <c r="Q65" s="3386"/>
      <c r="R65" s="2577"/>
      <c r="S65" s="2577"/>
    </row>
    <row r="66" spans="1:19">
      <c r="A66" s="2519"/>
      <c r="B66" s="2519"/>
      <c r="C66" s="2519"/>
      <c r="F66" s="2566"/>
      <c r="G66" s="2575"/>
      <c r="H66" s="2575"/>
      <c r="I66" s="3007"/>
      <c r="J66" s="2574"/>
      <c r="K66" s="2576"/>
      <c r="L66" s="3386"/>
      <c r="M66" s="3386"/>
      <c r="N66" s="3386"/>
      <c r="O66" s="3386"/>
      <c r="P66" s="3386"/>
      <c r="Q66" s="3386"/>
      <c r="R66" s="2577"/>
      <c r="S66" s="2577"/>
    </row>
    <row r="67" spans="1:19">
      <c r="A67" s="2519"/>
      <c r="B67" s="2519"/>
      <c r="C67" s="2519"/>
      <c r="F67" s="2566"/>
      <c r="G67" s="2575"/>
      <c r="H67" s="2575"/>
      <c r="I67" s="3007"/>
      <c r="J67" s="2574"/>
      <c r="K67" s="2576"/>
      <c r="L67" s="3386"/>
      <c r="M67" s="3386"/>
      <c r="N67" s="3386"/>
      <c r="O67" s="3386"/>
      <c r="P67" s="3386"/>
      <c r="Q67" s="3386"/>
      <c r="R67" s="2577"/>
      <c r="S67" s="2577"/>
    </row>
    <row r="68" spans="1:19">
      <c r="A68" s="2519"/>
      <c r="B68" s="2519"/>
      <c r="C68" s="2519"/>
      <c r="F68" s="2566"/>
      <c r="G68" s="2575"/>
      <c r="H68" s="2575"/>
      <c r="I68" s="3007"/>
      <c r="J68" s="2574"/>
      <c r="K68" s="2576"/>
      <c r="L68" s="3386"/>
      <c r="M68" s="3386"/>
      <c r="N68" s="3386"/>
      <c r="O68" s="3386"/>
      <c r="P68" s="3386"/>
      <c r="Q68" s="3386"/>
      <c r="R68" s="2577"/>
      <c r="S68" s="2577"/>
    </row>
    <row r="69" spans="1:19">
      <c r="A69" s="2519"/>
      <c r="B69" s="2519"/>
      <c r="C69" s="2519"/>
      <c r="F69" s="2566"/>
      <c r="G69" s="2575"/>
      <c r="H69" s="2575"/>
      <c r="I69" s="3007"/>
      <c r="J69" s="2574"/>
      <c r="K69" s="2576"/>
      <c r="L69" s="3386"/>
      <c r="M69" s="3386"/>
      <c r="N69" s="3386"/>
      <c r="O69" s="3386"/>
      <c r="P69" s="3386"/>
      <c r="Q69" s="3386"/>
      <c r="R69" s="2577"/>
      <c r="S69" s="2577"/>
    </row>
    <row r="70" spans="1:19">
      <c r="A70" s="2519"/>
      <c r="B70" s="2519"/>
      <c r="C70" s="2519"/>
      <c r="F70" s="2566"/>
      <c r="G70" s="2575"/>
      <c r="H70" s="2575"/>
      <c r="I70" s="3007"/>
      <c r="J70" s="2574"/>
      <c r="K70" s="2576"/>
      <c r="L70" s="3386"/>
      <c r="M70" s="3386"/>
      <c r="N70" s="3386"/>
      <c r="O70" s="3386"/>
      <c r="P70" s="3386"/>
      <c r="Q70" s="3386"/>
      <c r="R70" s="2577"/>
      <c r="S70" s="2577"/>
    </row>
    <row r="71" spans="1:19">
      <c r="A71" s="2519"/>
      <c r="B71" s="2519"/>
      <c r="C71" s="2519"/>
      <c r="F71" s="2566"/>
      <c r="G71" s="2575"/>
      <c r="H71" s="2575"/>
      <c r="I71" s="3007"/>
      <c r="J71" s="2574"/>
      <c r="K71" s="2576"/>
      <c r="L71" s="3386"/>
      <c r="M71" s="3386"/>
      <c r="N71" s="3386"/>
      <c r="O71" s="3386"/>
      <c r="P71" s="3386"/>
      <c r="Q71" s="3386"/>
      <c r="R71" s="2577"/>
      <c r="S71" s="2577"/>
    </row>
    <row r="72" spans="1:19">
      <c r="A72" s="2519"/>
      <c r="B72" s="2519"/>
      <c r="C72" s="2519"/>
      <c r="F72" s="2566"/>
      <c r="G72" s="2575"/>
      <c r="H72" s="2575"/>
      <c r="I72" s="3007"/>
      <c r="J72" s="2574"/>
      <c r="K72" s="2576"/>
      <c r="L72" s="3386"/>
      <c r="M72" s="3386"/>
      <c r="N72" s="3386"/>
      <c r="O72" s="3386"/>
      <c r="P72" s="3386"/>
      <c r="Q72" s="3386"/>
      <c r="R72" s="2577"/>
      <c r="S72" s="2577"/>
    </row>
    <row r="73" spans="1:19">
      <c r="A73" s="2519"/>
      <c r="B73" s="2519"/>
      <c r="C73" s="2519"/>
      <c r="F73" s="2566"/>
      <c r="G73" s="2575"/>
      <c r="H73" s="2575"/>
      <c r="I73" s="3007"/>
      <c r="J73" s="2574"/>
      <c r="K73" s="2576"/>
      <c r="L73" s="3386"/>
      <c r="M73" s="3386"/>
      <c r="N73" s="3386"/>
      <c r="O73" s="3386"/>
      <c r="P73" s="3386"/>
      <c r="Q73" s="3386"/>
      <c r="R73" s="2577"/>
      <c r="S73" s="2577"/>
    </row>
    <row r="74" spans="1:19">
      <c r="A74" s="2519"/>
      <c r="B74" s="2519"/>
      <c r="C74" s="2519"/>
      <c r="F74" s="2566"/>
      <c r="G74" s="2575"/>
      <c r="H74" s="2575"/>
      <c r="I74" s="3007"/>
      <c r="J74" s="2574"/>
      <c r="K74" s="2576"/>
      <c r="L74" s="3386"/>
      <c r="M74" s="3386"/>
      <c r="N74" s="3386"/>
      <c r="O74" s="3386"/>
      <c r="P74" s="3386"/>
      <c r="Q74" s="3386"/>
      <c r="R74" s="2577"/>
      <c r="S74" s="2577"/>
    </row>
    <row r="75" spans="1:19">
      <c r="A75" s="2519"/>
      <c r="B75" s="2519"/>
      <c r="C75" s="2519"/>
      <c r="F75" s="2566"/>
      <c r="G75" s="2575"/>
      <c r="H75" s="2575"/>
      <c r="I75" s="3007"/>
      <c r="J75" s="2574"/>
      <c r="K75" s="2576"/>
      <c r="L75" s="3386"/>
      <c r="M75" s="3386"/>
      <c r="N75" s="3386"/>
      <c r="O75" s="3386"/>
      <c r="P75" s="3386"/>
      <c r="Q75" s="3386"/>
      <c r="R75" s="2577"/>
      <c r="S75" s="2577"/>
    </row>
    <row r="76" spans="1:19">
      <c r="A76" s="2519"/>
      <c r="B76" s="2519"/>
      <c r="C76" s="2519"/>
      <c r="F76" s="2566"/>
      <c r="G76" s="2575"/>
      <c r="H76" s="2575"/>
      <c r="I76" s="3007"/>
      <c r="J76" s="2574"/>
      <c r="K76" s="2576"/>
      <c r="L76" s="3386"/>
      <c r="M76" s="3386"/>
      <c r="N76" s="3386"/>
      <c r="O76" s="3386"/>
      <c r="P76" s="3386"/>
      <c r="Q76" s="3386"/>
      <c r="R76" s="2577"/>
      <c r="S76" s="2577"/>
    </row>
    <row r="77" spans="1:19">
      <c r="A77" s="2519"/>
      <c r="B77" s="2519"/>
      <c r="C77" s="2519"/>
      <c r="F77" s="2566"/>
      <c r="G77" s="2575"/>
      <c r="H77" s="2575"/>
      <c r="I77" s="3007"/>
      <c r="J77" s="2574"/>
      <c r="K77" s="2576"/>
      <c r="L77" s="3386"/>
      <c r="M77" s="3386"/>
      <c r="N77" s="3386"/>
      <c r="O77" s="3386"/>
      <c r="P77" s="3386"/>
      <c r="Q77" s="3386"/>
      <c r="R77" s="2577"/>
      <c r="S77" s="2577"/>
    </row>
    <row r="78" spans="1:19">
      <c r="A78" s="2519"/>
      <c r="B78" s="2519"/>
      <c r="C78" s="2519"/>
      <c r="F78" s="2566"/>
      <c r="G78" s="2575"/>
      <c r="H78" s="2575"/>
      <c r="I78" s="3007"/>
      <c r="J78" s="2574"/>
      <c r="K78" s="2576"/>
      <c r="L78" s="3386"/>
      <c r="M78" s="3386"/>
      <c r="N78" s="3386"/>
      <c r="O78" s="3386"/>
      <c r="P78" s="3386"/>
      <c r="Q78" s="3386"/>
      <c r="R78" s="2577"/>
      <c r="S78" s="2577"/>
    </row>
    <row r="79" spans="1:19">
      <c r="A79" s="2519"/>
      <c r="B79" s="2519"/>
      <c r="C79" s="2519"/>
      <c r="F79" s="2566"/>
      <c r="I79" s="3007"/>
      <c r="J79" s="2574"/>
      <c r="K79" s="2519"/>
      <c r="R79" s="2579"/>
    </row>
    <row r="80" spans="1:19">
      <c r="A80" s="2519"/>
      <c r="B80" s="2519"/>
      <c r="C80" s="2566"/>
      <c r="F80" s="2580"/>
      <c r="I80" s="3007"/>
      <c r="J80" s="2574"/>
      <c r="K80" s="2519"/>
      <c r="L80" s="2577"/>
      <c r="M80" s="2577"/>
      <c r="N80" s="2577"/>
      <c r="O80" s="2577"/>
      <c r="P80" s="2577"/>
      <c r="Q80" s="2577"/>
    </row>
    <row r="81" spans="1:18">
      <c r="A81" s="2519"/>
      <c r="B81" s="2519"/>
      <c r="C81" s="2519"/>
      <c r="D81" s="2566"/>
      <c r="E81" s="2566"/>
      <c r="F81" s="2566"/>
      <c r="J81" s="3382"/>
      <c r="K81" s="2519"/>
    </row>
    <row r="82" spans="1:18">
      <c r="A82" s="2519"/>
      <c r="B82" s="2519"/>
      <c r="C82" s="2566" t="e">
        <f>#REF!+#REF!+#REF!+#REF!</f>
        <v>#REF!</v>
      </c>
      <c r="D82" s="2581"/>
      <c r="E82" s="2581"/>
      <c r="F82" s="3989" t="s">
        <v>1600</v>
      </c>
      <c r="G82" s="2566">
        <f>SUMIF(J18:J29,"A",I18:I29)</f>
        <v>0</v>
      </c>
      <c r="H82" s="2566"/>
      <c r="I82" s="3007">
        <f>G82*2500</f>
        <v>0</v>
      </c>
      <c r="J82" s="2574"/>
      <c r="K82" s="2575"/>
      <c r="M82" s="2519">
        <f>7.2+0.6+21+5+70</f>
        <v>103.8</v>
      </c>
    </row>
    <row r="83" spans="1:18">
      <c r="A83" s="2519"/>
      <c r="B83" s="2519"/>
      <c r="C83" s="2519"/>
      <c r="F83" s="3989"/>
      <c r="G83" s="2566">
        <f>SUMIF(J18:J29,"B",I18:I29)</f>
        <v>0</v>
      </c>
      <c r="H83" s="2566"/>
      <c r="I83" s="3007">
        <f>G83*2400</f>
        <v>0</v>
      </c>
      <c r="J83" s="2574"/>
      <c r="K83" s="2566"/>
    </row>
    <row r="84" spans="1:18">
      <c r="A84" s="2519"/>
      <c r="B84" s="2519"/>
      <c r="C84" s="2519"/>
      <c r="F84" s="3989"/>
      <c r="G84" s="2566">
        <f>SUMIF(J18:J29,"C",I18:I29)</f>
        <v>0</v>
      </c>
      <c r="H84" s="2566"/>
      <c r="I84" s="3007">
        <f>G84*2300</f>
        <v>0</v>
      </c>
      <c r="J84" s="2574"/>
      <c r="K84" s="2519"/>
      <c r="L84" s="2576"/>
      <c r="M84" s="2576"/>
      <c r="N84" s="2576"/>
      <c r="O84" s="2576"/>
      <c r="P84" s="2576"/>
      <c r="Q84" s="2576"/>
      <c r="R84" s="2576"/>
    </row>
    <row r="85" spans="1:18">
      <c r="A85" s="2519"/>
      <c r="B85" s="2519"/>
      <c r="C85" s="2519"/>
      <c r="F85" s="3989"/>
      <c r="G85" s="2566">
        <f>SUMIF(J18:J29,"D",I18:I29)</f>
        <v>0</v>
      </c>
      <c r="H85" s="2566"/>
      <c r="I85" s="3007">
        <f>G85*2200</f>
        <v>0</v>
      </c>
      <c r="J85" s="2574"/>
      <c r="K85" s="2519"/>
      <c r="L85" s="3386"/>
      <c r="M85" s="3386"/>
      <c r="N85" s="3386"/>
      <c r="O85" s="3386"/>
      <c r="P85" s="3386"/>
      <c r="Q85" s="3386"/>
      <c r="R85" s="3386"/>
    </row>
    <row r="86" spans="1:18">
      <c r="A86" s="2519"/>
      <c r="B86" s="2519"/>
      <c r="C86" s="2519"/>
      <c r="F86" s="2566"/>
      <c r="G86" s="2566"/>
      <c r="H86" s="2566"/>
      <c r="I86" s="3007"/>
      <c r="J86" s="2574"/>
      <c r="K86" s="2519"/>
      <c r="L86" s="3386"/>
      <c r="M86" s="3386"/>
      <c r="N86" s="3386"/>
      <c r="O86" s="3386"/>
      <c r="P86" s="3386"/>
      <c r="Q86" s="3386"/>
      <c r="R86" s="3386"/>
    </row>
    <row r="87" spans="1:18">
      <c r="A87" s="2519"/>
      <c r="B87" s="2519"/>
      <c r="C87" s="2519"/>
      <c r="F87" s="2566"/>
      <c r="G87" s="2566"/>
      <c r="H87" s="2566"/>
      <c r="I87" s="3007"/>
      <c r="J87" s="2574"/>
      <c r="K87" s="2519"/>
      <c r="L87" s="3386"/>
      <c r="M87" s="3386"/>
      <c r="N87" s="3386"/>
      <c r="O87" s="3386"/>
      <c r="P87" s="3386"/>
      <c r="Q87" s="3386"/>
      <c r="R87" s="3386"/>
    </row>
    <row r="88" spans="1:18">
      <c r="A88" s="2519"/>
      <c r="B88" s="2519"/>
      <c r="C88" s="2519"/>
      <c r="F88" s="2566"/>
      <c r="G88" s="2566"/>
      <c r="H88" s="2566"/>
      <c r="I88" s="3007"/>
      <c r="J88" s="2574"/>
      <c r="K88" s="2519"/>
      <c r="L88" s="3386"/>
      <c r="M88" s="3386"/>
      <c r="N88" s="3386"/>
      <c r="O88" s="3386"/>
      <c r="P88" s="3386"/>
      <c r="Q88" s="3386"/>
      <c r="R88" s="3386"/>
    </row>
    <row r="89" spans="1:18">
      <c r="A89" s="2519"/>
      <c r="B89" s="2519"/>
      <c r="C89" s="2519"/>
      <c r="F89" s="2566"/>
      <c r="G89" s="2566"/>
      <c r="H89" s="2566"/>
      <c r="I89" s="3007"/>
      <c r="J89" s="2574"/>
      <c r="K89" s="2519"/>
      <c r="L89" s="3386"/>
      <c r="M89" s="3386"/>
      <c r="N89" s="3386"/>
      <c r="O89" s="3386"/>
      <c r="P89" s="3386"/>
      <c r="Q89" s="3386"/>
      <c r="R89" s="3386"/>
    </row>
    <row r="90" spans="1:18">
      <c r="A90" s="2519"/>
      <c r="B90" s="2519"/>
      <c r="C90" s="2519"/>
      <c r="F90" s="2566"/>
      <c r="G90" s="2566"/>
      <c r="H90" s="2566"/>
      <c r="I90" s="3007"/>
      <c r="J90" s="2574"/>
      <c r="K90" s="2519"/>
      <c r="L90" s="3386"/>
      <c r="M90" s="3386"/>
      <c r="N90" s="3386"/>
      <c r="O90" s="3386"/>
      <c r="P90" s="3386"/>
      <c r="Q90" s="3386"/>
      <c r="R90" s="3386"/>
    </row>
    <row r="91" spans="1:18">
      <c r="A91" s="2519"/>
      <c r="B91" s="2519"/>
      <c r="C91" s="2519"/>
      <c r="F91" s="2566"/>
      <c r="G91" s="2566"/>
      <c r="H91" s="2566"/>
      <c r="I91" s="3007"/>
      <c r="J91" s="2574"/>
      <c r="K91" s="2519"/>
      <c r="L91" s="3386"/>
      <c r="M91" s="3386"/>
      <c r="N91" s="3386"/>
      <c r="O91" s="3386"/>
      <c r="P91" s="3386"/>
      <c r="Q91" s="3386"/>
      <c r="R91" s="3386"/>
    </row>
    <row r="92" spans="1:18">
      <c r="B92" s="2519"/>
      <c r="C92" s="2519"/>
      <c r="F92" s="2519"/>
      <c r="G92" s="2519">
        <f>SUM(G82:G90)</f>
        <v>0</v>
      </c>
      <c r="I92" s="3007">
        <f>SUM(I82:I90)</f>
        <v>0</v>
      </c>
      <c r="J92" s="2574"/>
      <c r="K92" s="2519"/>
      <c r="L92" s="3961" t="e">
        <f>I92+I102+G107</f>
        <v>#REF!</v>
      </c>
      <c r="M92" s="3961"/>
      <c r="N92" s="3382"/>
      <c r="O92" s="3382"/>
      <c r="P92" s="3382"/>
      <c r="Q92" s="3382"/>
      <c r="R92" s="2519" t="e">
        <f>L92-#REF!</f>
        <v>#REF!</v>
      </c>
    </row>
    <row r="93" spans="1:18">
      <c r="B93" s="2519"/>
      <c r="C93" s="2519"/>
      <c r="F93" s="2519"/>
      <c r="I93" s="3022"/>
      <c r="J93" s="3387"/>
      <c r="K93" s="2519"/>
      <c r="M93" s="2577"/>
      <c r="N93" s="2577"/>
      <c r="O93" s="2577"/>
      <c r="P93" s="2577"/>
      <c r="Q93" s="2577"/>
      <c r="R93" s="2577"/>
    </row>
    <row r="94" spans="1:18">
      <c r="B94" s="2519"/>
      <c r="C94" s="2519"/>
      <c r="F94" s="2566"/>
      <c r="G94" s="2519">
        <v>5422</v>
      </c>
      <c r="I94" s="3007">
        <f>G94*30000</f>
        <v>162660000</v>
      </c>
      <c r="J94" s="2574"/>
      <c r="K94" s="2519"/>
    </row>
    <row r="95" spans="1:18">
      <c r="B95" s="2519"/>
      <c r="C95" s="2519"/>
      <c r="F95" s="2566"/>
      <c r="G95" s="2519">
        <v>20</v>
      </c>
      <c r="I95" s="3007">
        <f>G95*60000</f>
        <v>1200000</v>
      </c>
      <c r="J95" s="2574"/>
      <c r="K95" s="2519"/>
    </row>
    <row r="96" spans="1:18">
      <c r="B96" s="2519"/>
      <c r="C96" s="2519"/>
      <c r="F96" s="2566"/>
      <c r="G96" s="2519">
        <v>230</v>
      </c>
      <c r="I96" s="3007">
        <f>G96*80000</f>
        <v>18400000</v>
      </c>
      <c r="J96" s="2574"/>
      <c r="K96" s="2519"/>
    </row>
    <row r="97" spans="1:19">
      <c r="A97" s="2519"/>
      <c r="G97" s="2519">
        <v>998</v>
      </c>
      <c r="I97" s="3007">
        <f>G97*50000</f>
        <v>49900000</v>
      </c>
      <c r="J97" s="2574"/>
    </row>
    <row r="98" spans="1:19">
      <c r="A98" s="2519"/>
      <c r="G98" s="2519">
        <v>2</v>
      </c>
      <c r="I98" s="3007">
        <f>G98*80000</f>
        <v>160000</v>
      </c>
      <c r="J98" s="2574"/>
    </row>
    <row r="99" spans="1:19">
      <c r="A99" s="2519"/>
      <c r="G99" s="2519">
        <v>89</v>
      </c>
      <c r="I99" s="3007">
        <f>G99*100000</f>
        <v>8900000</v>
      </c>
      <c r="J99" s="2574"/>
    </row>
    <row r="100" spans="1:19">
      <c r="A100" s="2519"/>
      <c r="G100" s="2519">
        <v>301.56000000000006</v>
      </c>
      <c r="I100" s="3007">
        <f>G100*25000</f>
        <v>7539000.0000000019</v>
      </c>
      <c r="J100" s="2574"/>
    </row>
    <row r="101" spans="1:19">
      <c r="A101" s="2519"/>
      <c r="G101" s="2519">
        <v>2965</v>
      </c>
      <c r="I101" s="3007">
        <f>G101*20000</f>
        <v>59300000</v>
      </c>
      <c r="J101" s="2574"/>
    </row>
    <row r="102" spans="1:19">
      <c r="A102" s="2519"/>
      <c r="B102" s="2926"/>
      <c r="G102" s="2519">
        <f>SUM(G94:G101)</f>
        <v>10027.560000000001</v>
      </c>
      <c r="I102" s="3990">
        <f>SUM(I94:I101)</f>
        <v>308059000</v>
      </c>
      <c r="J102" s="3990"/>
      <c r="R102" s="3382"/>
      <c r="S102" s="2577"/>
    </row>
    <row r="103" spans="1:19">
      <c r="A103" s="2519"/>
      <c r="B103" s="2584"/>
      <c r="G103" s="2566" t="e">
        <f>#REF!+#REF!+#REF!+F29</f>
        <v>#REF!</v>
      </c>
      <c r="H103" s="2566"/>
      <c r="I103" s="3007" t="e">
        <f>G103*25000</f>
        <v>#REF!</v>
      </c>
      <c r="J103" s="2574"/>
    </row>
    <row r="104" spans="1:19">
      <c r="A104" s="2519"/>
      <c r="B104" s="2584"/>
      <c r="F104" s="2577" t="s">
        <v>1601</v>
      </c>
      <c r="G104" s="2519" t="e">
        <f>#REF!+#REF!</f>
        <v>#REF!</v>
      </c>
      <c r="I104" s="3007" t="e">
        <f>#REF!+#REF!</f>
        <v>#REF!</v>
      </c>
      <c r="J104" s="2585"/>
    </row>
    <row r="105" spans="1:19">
      <c r="A105" s="2519"/>
      <c r="B105" s="2584"/>
      <c r="G105" s="2519" t="e">
        <f>#REF!</f>
        <v>#REF!</v>
      </c>
      <c r="I105" s="3007" t="e">
        <f>#REF!</f>
        <v>#REF!</v>
      </c>
      <c r="J105" s="2585"/>
    </row>
    <row r="106" spans="1:19">
      <c r="A106" s="2519"/>
      <c r="G106" s="2519" t="e">
        <f>#REF!+#REF!+#REF!+#REF!</f>
        <v>#REF!</v>
      </c>
      <c r="I106" s="3007" t="e">
        <f>#REF!+#REF!+#REF!+#REF!</f>
        <v>#REF!</v>
      </c>
      <c r="J106" s="2585"/>
    </row>
    <row r="107" spans="1:19">
      <c r="A107" s="2519"/>
      <c r="G107" s="3990" t="e">
        <f>SUM(I103:J106)</f>
        <v>#REF!</v>
      </c>
      <c r="H107" s="3990"/>
      <c r="I107" s="3990"/>
      <c r="J107" s="2585"/>
      <c r="K107" s="2523" t="e">
        <f>G107-#REF!</f>
        <v>#REF!</v>
      </c>
    </row>
    <row r="109" spans="1:19">
      <c r="A109" s="2519"/>
      <c r="I109" s="3979" t="e">
        <f>+#REF!+#REF!+#REF!+#REF!+1000000</f>
        <v>#REF!</v>
      </c>
      <c r="J109" s="3979"/>
    </row>
    <row r="111" spans="1:19">
      <c r="A111" s="2519"/>
      <c r="G111" s="2566"/>
      <c r="H111" s="2566"/>
      <c r="I111" s="3007"/>
    </row>
    <row r="112" spans="1:19">
      <c r="A112" s="2519"/>
      <c r="L112" s="2566"/>
    </row>
    <row r="116" spans="1:18">
      <c r="A116" s="2519"/>
      <c r="G116" s="2566">
        <v>2551.8899999999994</v>
      </c>
      <c r="H116" s="2566"/>
    </row>
    <row r="117" spans="1:18">
      <c r="A117" s="2519"/>
      <c r="B117" s="2519"/>
      <c r="C117" s="2519"/>
      <c r="F117" s="2519"/>
      <c r="G117" s="2566" t="e">
        <f>+G103-G116</f>
        <v>#REF!</v>
      </c>
      <c r="H117" s="2566"/>
    </row>
    <row r="123" spans="1:18">
      <c r="A123" s="2519"/>
      <c r="B123" s="2519"/>
      <c r="C123" s="2519"/>
      <c r="F123" s="2519"/>
      <c r="J123" s="2522">
        <v>1678</v>
      </c>
      <c r="K123" s="2523">
        <v>1573</v>
      </c>
      <c r="L123" s="2519">
        <v>1187</v>
      </c>
      <c r="M123" s="2519">
        <v>1183</v>
      </c>
      <c r="R123" s="2519">
        <f>SUM(J123:M123)</f>
        <v>5621</v>
      </c>
    </row>
    <row r="124" spans="1:18">
      <c r="A124" s="2519"/>
      <c r="B124" s="2519"/>
      <c r="C124" s="2519"/>
      <c r="F124" s="2519"/>
      <c r="J124" s="2522">
        <v>257</v>
      </c>
      <c r="K124" s="2523">
        <v>244</v>
      </c>
      <c r="L124" s="2519">
        <v>183</v>
      </c>
      <c r="M124" s="2519">
        <v>182</v>
      </c>
      <c r="R124" s="2519">
        <f>SUM(J124:M124)</f>
        <v>866</v>
      </c>
    </row>
    <row r="125" spans="1:18">
      <c r="A125" s="2519"/>
      <c r="B125" s="2519"/>
      <c r="C125" s="2519"/>
      <c r="F125" s="2519"/>
      <c r="J125" s="2522">
        <v>1935</v>
      </c>
      <c r="K125" s="2523">
        <v>1817</v>
      </c>
      <c r="L125" s="2519">
        <v>1370</v>
      </c>
      <c r="M125" s="2519">
        <v>1365</v>
      </c>
      <c r="R125" s="2519">
        <f>SUM(J125:M125)</f>
        <v>6487</v>
      </c>
    </row>
  </sheetData>
  <autoFilter ref="A17:T30"/>
  <mergeCells count="54">
    <mergeCell ref="A2:S2"/>
    <mergeCell ref="A3:S3"/>
    <mergeCell ref="A4:S4"/>
    <mergeCell ref="A6:I6"/>
    <mergeCell ref="A7:I7"/>
    <mergeCell ref="A9:S9"/>
    <mergeCell ref="P16:P17"/>
    <mergeCell ref="Q16:Q17"/>
    <mergeCell ref="R16:R17"/>
    <mergeCell ref="A10:S10"/>
    <mergeCell ref="A13:A17"/>
    <mergeCell ref="B13:B17"/>
    <mergeCell ref="C13:C17"/>
    <mergeCell ref="D13:D17"/>
    <mergeCell ref="E13:E17"/>
    <mergeCell ref="F13:R13"/>
    <mergeCell ref="S13:S17"/>
    <mergeCell ref="F14:G15"/>
    <mergeCell ref="A11:W11"/>
    <mergeCell ref="U13:U17"/>
    <mergeCell ref="I16:I17"/>
    <mergeCell ref="I109:J109"/>
    <mergeCell ref="A35:F35"/>
    <mergeCell ref="G35:K35"/>
    <mergeCell ref="L35:R35"/>
    <mergeCell ref="L42:R42"/>
    <mergeCell ref="A43:F43"/>
    <mergeCell ref="H43:J43"/>
    <mergeCell ref="K43:R43"/>
    <mergeCell ref="L46:M46"/>
    <mergeCell ref="F82:F85"/>
    <mergeCell ref="L92:M92"/>
    <mergeCell ref="I102:J102"/>
    <mergeCell ref="G107:I107"/>
    <mergeCell ref="A48:G48"/>
    <mergeCell ref="A29:D29"/>
    <mergeCell ref="G16:G17"/>
    <mergeCell ref="H16:H17"/>
    <mergeCell ref="A30:S30"/>
    <mergeCell ref="H14:K15"/>
    <mergeCell ref="L14:R15"/>
    <mergeCell ref="F16:F17"/>
    <mergeCell ref="J16:J17"/>
    <mergeCell ref="K16:K17"/>
    <mergeCell ref="L16:L17"/>
    <mergeCell ref="M16:M17"/>
    <mergeCell ref="O16:O17"/>
    <mergeCell ref="U47:W47"/>
    <mergeCell ref="U48:W48"/>
    <mergeCell ref="M48:S48"/>
    <mergeCell ref="N16:N17"/>
    <mergeCell ref="W13:W17"/>
    <mergeCell ref="T13:T17"/>
    <mergeCell ref="V13:V17"/>
  </mergeCells>
  <printOptions horizontalCentered="1"/>
  <pageMargins left="0.23622047244094491" right="0.19685039370078741" top="0.41" bottom="0.74803149606299213" header="0.31496062992125984" footer="0.31496062992125984"/>
  <pageSetup paperSize="9" scale="51" fitToHeight="0" orientation="landscape" r:id="rId1"/>
  <colBreaks count="1" manualBreakCount="1">
    <brk id="19" max="1048575" man="1"/>
  </colBreak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1366"/>
  <sheetViews>
    <sheetView showWhiteSpace="0" view="pageBreakPreview" topLeftCell="A407" zoomScaleNormal="100" zoomScaleSheetLayoutView="100" workbookViewId="0">
      <selection activeCell="J396" sqref="J396"/>
    </sheetView>
  </sheetViews>
  <sheetFormatPr defaultRowHeight="12.75"/>
  <cols>
    <col min="1" max="1" width="18.140625" customWidth="1"/>
    <col min="2" max="2" width="16.85546875" customWidth="1"/>
    <col min="3" max="3" width="11.140625" bestFit="1" customWidth="1"/>
    <col min="4" max="4" width="16" customWidth="1"/>
    <col min="5" max="5" width="6.85546875" customWidth="1"/>
    <col min="6" max="6" width="7.85546875" customWidth="1"/>
    <col min="7" max="7" width="19.42578125" customWidth="1"/>
    <col min="8" max="8" width="15.85546875" customWidth="1"/>
    <col min="9" max="9" width="18.42578125" customWidth="1"/>
    <col min="10" max="10" width="23.42578125" customWidth="1"/>
    <col min="11" max="11" width="15" style="3347" bestFit="1" customWidth="1"/>
    <col min="12" max="12" width="12.7109375" style="3347" customWidth="1"/>
    <col min="13" max="13" width="12.28515625" style="3347" customWidth="1"/>
    <col min="14" max="14" width="14.85546875" style="3347" customWidth="1"/>
    <col min="15" max="23" width="9.140625" style="3347"/>
  </cols>
  <sheetData>
    <row r="1" spans="1:12">
      <c r="A1" s="1559"/>
      <c r="B1" s="4840" t="s">
        <v>1258</v>
      </c>
      <c r="C1" s="4840"/>
      <c r="D1" s="4840"/>
      <c r="E1" s="4840"/>
      <c r="F1" s="4840"/>
      <c r="G1" s="4840"/>
      <c r="H1" s="4840"/>
      <c r="I1" s="4840"/>
      <c r="J1" s="4840"/>
    </row>
    <row r="2" spans="1:12">
      <c r="A2" s="4836" t="str">
        <f>$K$2</f>
        <v>Tháng 12/24</v>
      </c>
      <c r="B2" s="4836"/>
      <c r="C2" s="4836"/>
      <c r="D2" s="4836"/>
      <c r="E2" s="1560"/>
      <c r="F2" s="1560"/>
      <c r="G2" s="4836" t="str">
        <f>$K$2</f>
        <v>Tháng 12/24</v>
      </c>
      <c r="H2" s="4836"/>
      <c r="I2" s="4836"/>
      <c r="J2" s="4836"/>
      <c r="K2" s="3348" t="s">
        <v>2077</v>
      </c>
    </row>
    <row r="3" spans="1:12" ht="18">
      <c r="A3" s="1561" t="s">
        <v>1</v>
      </c>
      <c r="B3" s="3343" t="e">
        <f>VLOOKUP(C3,'Đội 1'!$A$95:$C$99,3,0)</f>
        <v>#N/A</v>
      </c>
      <c r="C3" s="3342">
        <v>1</v>
      </c>
      <c r="D3" s="1563"/>
      <c r="E3" s="1564"/>
      <c r="F3" s="1565"/>
      <c r="G3" s="1561" t="s">
        <v>1</v>
      </c>
      <c r="H3" s="3343" t="e">
        <f>VLOOKUP(I3,'Đội 1'!$A$95:$C$99,3,0)</f>
        <v>#N/A</v>
      </c>
      <c r="I3" s="1563">
        <v>2</v>
      </c>
      <c r="J3" s="1563"/>
      <c r="L3" s="3347">
        <f>+'PHAN TOAN'!F25</f>
        <v>30232.379999999997</v>
      </c>
    </row>
    <row r="4" spans="1:12" ht="18">
      <c r="A4" s="1561" t="s">
        <v>205</v>
      </c>
      <c r="B4" s="1566" t="s">
        <v>206</v>
      </c>
      <c r="C4" s="1567" t="e">
        <f>VLOOKUP(C3,'Đội 1'!$A$95:$F$99,6,0)</f>
        <v>#N/A</v>
      </c>
      <c r="D4" s="1568" t="e">
        <f>C4*25000</f>
        <v>#N/A</v>
      </c>
      <c r="E4" s="1569"/>
      <c r="F4" s="1570"/>
      <c r="G4" s="1561" t="s">
        <v>205</v>
      </c>
      <c r="H4" s="1566" t="s">
        <v>206</v>
      </c>
      <c r="I4" s="1567" t="e">
        <f>VLOOKUP(I3,'Đội 1'!$A$95:$F$99,6,0)</f>
        <v>#N/A</v>
      </c>
      <c r="J4" s="1568" t="e">
        <f>I4*25000</f>
        <v>#N/A</v>
      </c>
      <c r="L4" s="3349">
        <f>+'PHAN TOAN'!F26</f>
        <v>50431.02</v>
      </c>
    </row>
    <row r="5" spans="1:12">
      <c r="A5" s="1561" t="s">
        <v>207</v>
      </c>
      <c r="B5" s="1571" t="s">
        <v>208</v>
      </c>
      <c r="C5" s="1567" t="e">
        <f>VLOOKUP(C3,'Đội 1'!$A$95:$N$99,12,0)</f>
        <v>#N/A</v>
      </c>
      <c r="D5" s="2374" t="e">
        <f>+C5*$L$3</f>
        <v>#N/A</v>
      </c>
      <c r="E5" s="1572"/>
      <c r="F5" s="1573"/>
      <c r="G5" s="1561" t="s">
        <v>207</v>
      </c>
      <c r="H5" s="1571" t="s">
        <v>208</v>
      </c>
      <c r="I5" s="1567" t="e">
        <f>VLOOKUP(I3,'Đội 1'!$A$95:$N$99,12,0)</f>
        <v>#N/A</v>
      </c>
      <c r="J5" s="2374" t="e">
        <f>+I5*$L$3</f>
        <v>#N/A</v>
      </c>
      <c r="L5" s="3347">
        <f>+'PHAN TOAN'!F27</f>
        <v>20000</v>
      </c>
    </row>
    <row r="6" spans="1:12">
      <c r="A6" s="1561" t="s">
        <v>1259</v>
      </c>
      <c r="B6" s="1571" t="s">
        <v>209</v>
      </c>
      <c r="C6" s="2369" t="e">
        <f>VLOOKUP(C3,'Đội 1'!$A$95:$O$99,13,0)</f>
        <v>#N/A</v>
      </c>
      <c r="D6" s="2374" t="e">
        <f>+C6*$L$4</f>
        <v>#N/A</v>
      </c>
      <c r="E6" s="1572"/>
      <c r="F6" s="1573"/>
      <c r="G6" s="1561" t="s">
        <v>1259</v>
      </c>
      <c r="H6" s="1571" t="s">
        <v>209</v>
      </c>
      <c r="I6" s="2369" t="e">
        <f>VLOOKUP(I3,'Đội 1'!$A$95:$O$99,13,0)</f>
        <v>#N/A</v>
      </c>
      <c r="J6" s="2374" t="e">
        <f>+I6*$L$4</f>
        <v>#N/A</v>
      </c>
      <c r="L6" s="3347">
        <f>+'PHAN TOAN'!F28</f>
        <v>20133.059999999998</v>
      </c>
    </row>
    <row r="7" spans="1:12">
      <c r="A7" s="1561" t="s">
        <v>1531</v>
      </c>
      <c r="B7" s="1571"/>
      <c r="C7" s="2369" t="e">
        <f>VLOOKUP(C3,'Đội 1'!$A$95:$P$99,15,0)</f>
        <v>#N/A</v>
      </c>
      <c r="D7" s="2374" t="e">
        <f>+C7*20000+VLOOKUP(C3,'Đội 1'!$A$95:$P$99,14,0)*$L$5</f>
        <v>#N/A</v>
      </c>
      <c r="E7" s="1572"/>
      <c r="F7" s="1573"/>
      <c r="G7" s="1561" t="s">
        <v>1531</v>
      </c>
      <c r="H7" s="1571"/>
      <c r="I7" s="2369" t="e">
        <f>VLOOKUP(I3,'Đội 1'!$A$95:$P$99,15,0)</f>
        <v>#N/A</v>
      </c>
      <c r="J7" s="2374" t="e">
        <f>+I7*20000+VLOOKUP(I3,'Đội 1'!$A$95:$P$99,14,0)*$L$5</f>
        <v>#N/A</v>
      </c>
    </row>
    <row r="8" spans="1:12" hidden="1">
      <c r="A8" s="1561" t="s">
        <v>1971</v>
      </c>
      <c r="B8" s="1571"/>
      <c r="C8" s="2369">
        <v>0</v>
      </c>
      <c r="D8" s="2374">
        <f>+C8*25000</f>
        <v>0</v>
      </c>
      <c r="E8" s="1572"/>
      <c r="F8" s="1573"/>
      <c r="G8" s="1561" t="s">
        <v>1971</v>
      </c>
      <c r="H8" s="1571"/>
      <c r="I8" s="2369">
        <v>0</v>
      </c>
      <c r="J8" s="2374">
        <f>+I8*25000</f>
        <v>0</v>
      </c>
    </row>
    <row r="9" spans="1:12">
      <c r="A9" s="1561" t="s">
        <v>210</v>
      </c>
      <c r="B9" s="1571" t="s">
        <v>211</v>
      </c>
      <c r="C9" s="1567" t="e">
        <f>VLOOKUP(C3,'Đội 1'!$A$95:$J$99,9,0)</f>
        <v>#N/A</v>
      </c>
      <c r="D9" s="2374" t="e">
        <f>VLOOKUP(C3,'Đội 1'!$A$95:$M$99,11,0)</f>
        <v>#N/A</v>
      </c>
      <c r="E9" s="1574"/>
      <c r="F9" s="1573"/>
      <c r="G9" s="1561" t="s">
        <v>210</v>
      </c>
      <c r="H9" s="1571" t="s">
        <v>211</v>
      </c>
      <c r="I9" s="1567" t="e">
        <f>VLOOKUP(I3,'Đội 1'!$A$95:$J$99,9,0)</f>
        <v>#N/A</v>
      </c>
      <c r="J9" s="2374" t="e">
        <f>VLOOKUP(I3,'Đội 1'!$A$95:$M$99,11,0)</f>
        <v>#N/A</v>
      </c>
    </row>
    <row r="10" spans="1:12">
      <c r="A10" s="1568" t="s">
        <v>212</v>
      </c>
      <c r="B10" s="1571" t="s">
        <v>213</v>
      </c>
      <c r="C10" s="1567"/>
      <c r="D10" s="1568"/>
      <c r="E10" s="1575"/>
      <c r="F10" s="1576"/>
      <c r="G10" s="1568" t="s">
        <v>212</v>
      </c>
      <c r="H10" s="1571" t="s">
        <v>213</v>
      </c>
      <c r="I10" s="1567"/>
      <c r="J10" s="1568"/>
    </row>
    <row r="11" spans="1:12">
      <c r="A11" s="1577" t="s">
        <v>214</v>
      </c>
      <c r="B11" s="1571" t="s">
        <v>215</v>
      </c>
      <c r="C11" s="1567"/>
      <c r="D11" s="1568" t="e">
        <f>+'Đội 1'!#REF!</f>
        <v>#REF!</v>
      </c>
      <c r="E11" s="1574"/>
      <c r="F11" s="1576"/>
      <c r="G11" s="1577" t="s">
        <v>214</v>
      </c>
      <c r="H11" s="1571" t="s">
        <v>215</v>
      </c>
      <c r="I11" s="1567"/>
      <c r="J11" s="1568" t="e">
        <f>+'Đội 1'!#REF!</f>
        <v>#REF!</v>
      </c>
    </row>
    <row r="12" spans="1:12">
      <c r="A12" s="1561" t="s">
        <v>216</v>
      </c>
      <c r="B12" s="1571" t="s">
        <v>217</v>
      </c>
      <c r="C12" s="1567"/>
      <c r="D12" s="1568" t="e">
        <f>VLOOKUP(C3,'Đội 1'!$A$95:$V$99,21,0)</f>
        <v>#N/A</v>
      </c>
      <c r="E12" s="1578"/>
      <c r="F12" s="1560"/>
      <c r="G12" s="1561" t="s">
        <v>216</v>
      </c>
      <c r="H12" s="1571" t="s">
        <v>217</v>
      </c>
      <c r="I12" s="1567"/>
      <c r="J12" s="1568" t="e">
        <f>VLOOKUP(I3,'Đội 1'!$A$95:$V$99,21,0)</f>
        <v>#N/A</v>
      </c>
    </row>
    <row r="13" spans="1:12">
      <c r="A13" s="1568" t="s">
        <v>218</v>
      </c>
      <c r="B13" s="1571" t="s">
        <v>219</v>
      </c>
      <c r="C13" s="1579"/>
      <c r="D13" s="1580" t="e">
        <f>SUM(D4:D9)-D12</f>
        <v>#N/A</v>
      </c>
      <c r="E13" s="1581"/>
      <c r="F13" s="1582"/>
      <c r="G13" s="1568" t="s">
        <v>218</v>
      </c>
      <c r="H13" s="1571" t="s">
        <v>219</v>
      </c>
      <c r="I13" s="1579"/>
      <c r="J13" s="1580" t="e">
        <f>SUM(J4:J9)-J12</f>
        <v>#N/A</v>
      </c>
      <c r="K13" s="3350" t="e">
        <f>D13+J13</f>
        <v>#N/A</v>
      </c>
    </row>
    <row r="14" spans="1:12">
      <c r="A14" s="1583"/>
      <c r="B14" s="1584"/>
      <c r="C14" s="1585"/>
      <c r="D14" s="1586"/>
      <c r="E14" s="1582"/>
      <c r="F14" s="1586"/>
      <c r="G14" s="1583"/>
      <c r="H14" s="1584"/>
      <c r="I14" s="1585"/>
      <c r="J14" s="1582"/>
    </row>
    <row r="15" spans="1:12">
      <c r="A15" s="1587"/>
      <c r="B15" s="1587"/>
      <c r="C15" s="1588"/>
      <c r="D15" s="1589"/>
      <c r="E15" s="1590"/>
      <c r="F15" s="1587"/>
      <c r="G15" s="1587"/>
      <c r="H15" s="1587"/>
      <c r="I15" s="1588"/>
      <c r="J15" s="1591"/>
    </row>
    <row r="16" spans="1:12">
      <c r="A16" s="4836" t="str">
        <f>$K$2</f>
        <v>Tháng 12/24</v>
      </c>
      <c r="B16" s="4836"/>
      <c r="C16" s="4836"/>
      <c r="D16" s="4836"/>
      <c r="E16" s="1560"/>
      <c r="F16" s="1560"/>
      <c r="G16" s="4836" t="str">
        <f>$K$2</f>
        <v>Tháng 12/24</v>
      </c>
      <c r="H16" s="4836"/>
      <c r="I16" s="4836"/>
      <c r="J16" s="4836"/>
    </row>
    <row r="17" spans="1:11" ht="18">
      <c r="A17" s="1561" t="s">
        <v>1</v>
      </c>
      <c r="B17" s="3343" t="e">
        <f>VLOOKUP(C17,'Đội 1'!$A$95:$C$99,3,0)</f>
        <v>#N/A</v>
      </c>
      <c r="C17" s="1563">
        <v>3</v>
      </c>
      <c r="D17" s="1563"/>
      <c r="E17" s="1564"/>
      <c r="F17" s="1565"/>
      <c r="G17" s="1561" t="s">
        <v>1</v>
      </c>
      <c r="H17" s="3343" t="e">
        <f>VLOOKUP(I17,'Đội 1'!$A$95:$C$99,3,0)</f>
        <v>#N/A</v>
      </c>
      <c r="I17" s="1563">
        <v>4</v>
      </c>
      <c r="J17" s="1563"/>
    </row>
    <row r="18" spans="1:11" ht="18">
      <c r="A18" s="1561" t="s">
        <v>205</v>
      </c>
      <c r="B18" s="1566" t="s">
        <v>206</v>
      </c>
      <c r="C18" s="1567" t="e">
        <f>VLOOKUP(C17,'Đội 1'!$A$95:$F$99,6,0)</f>
        <v>#N/A</v>
      </c>
      <c r="D18" s="1568" t="e">
        <f>C18*25000</f>
        <v>#N/A</v>
      </c>
      <c r="E18" s="1569"/>
      <c r="F18" s="1570"/>
      <c r="G18" s="1561" t="s">
        <v>205</v>
      </c>
      <c r="H18" s="1566" t="s">
        <v>206</v>
      </c>
      <c r="I18" s="1567" t="e">
        <f>VLOOKUP(I17,'Đội 1'!$A$95:$F$99,6,0)</f>
        <v>#N/A</v>
      </c>
      <c r="J18" s="1568" t="e">
        <f>I18*25000</f>
        <v>#N/A</v>
      </c>
    </row>
    <row r="19" spans="1:11">
      <c r="A19" s="1561" t="s">
        <v>207</v>
      </c>
      <c r="B19" s="1571" t="s">
        <v>208</v>
      </c>
      <c r="C19" s="1567" t="e">
        <f>VLOOKUP(C17,'Đội 1'!$A$95:$N$99,12,0)</f>
        <v>#N/A</v>
      </c>
      <c r="D19" s="2374" t="e">
        <f>+C19*$L$3</f>
        <v>#N/A</v>
      </c>
      <c r="E19" s="1572"/>
      <c r="F19" s="1573"/>
      <c r="G19" s="1561" t="s">
        <v>207</v>
      </c>
      <c r="H19" s="1571" t="s">
        <v>208</v>
      </c>
      <c r="I19" s="1567" t="e">
        <f>VLOOKUP(I17,'Đội 1'!$A$95:$N$99,12,0)</f>
        <v>#N/A</v>
      </c>
      <c r="J19" s="2374" t="e">
        <f>+I19*$L$3</f>
        <v>#N/A</v>
      </c>
    </row>
    <row r="20" spans="1:11">
      <c r="A20" s="1561" t="s">
        <v>1259</v>
      </c>
      <c r="B20" s="1571" t="s">
        <v>209</v>
      </c>
      <c r="C20" s="2369" t="e">
        <f>VLOOKUP(C17,'Đội 1'!$A$95:$O$99,13,0)</f>
        <v>#N/A</v>
      </c>
      <c r="D20" s="2374" t="e">
        <f>+C20*$L$4</f>
        <v>#N/A</v>
      </c>
      <c r="E20" s="1572"/>
      <c r="F20" s="1573"/>
      <c r="G20" s="1561" t="s">
        <v>1259</v>
      </c>
      <c r="H20" s="1571" t="s">
        <v>209</v>
      </c>
      <c r="I20" s="2369" t="e">
        <f>VLOOKUP(I17,'Đội 1'!$A$95:$O$99,13,0)</f>
        <v>#N/A</v>
      </c>
      <c r="J20" s="2374" t="e">
        <f>+I20*$L$4</f>
        <v>#N/A</v>
      </c>
    </row>
    <row r="21" spans="1:11">
      <c r="A21" s="1561" t="s">
        <v>1531</v>
      </c>
      <c r="B21" s="1571"/>
      <c r="C21" s="2369" t="e">
        <f>VLOOKUP(C17,'Đội 1'!$A$95:$P$99,15,0)</f>
        <v>#N/A</v>
      </c>
      <c r="D21" s="2374" t="e">
        <f>+C21*20000+VLOOKUP(C17,'Đội 1'!$A$95:$P$99,14,0)*$L$5</f>
        <v>#N/A</v>
      </c>
      <c r="E21" s="1572"/>
      <c r="F21" s="1573"/>
      <c r="G21" s="1561" t="s">
        <v>1531</v>
      </c>
      <c r="H21" s="1571"/>
      <c r="I21" s="2369" t="e">
        <f>VLOOKUP(I17,'Đội 1'!$A$95:$P$99,15,0)</f>
        <v>#N/A</v>
      </c>
      <c r="J21" s="2374" t="e">
        <f>+I21*20000+VLOOKUP(I17,'Đội 1'!$A$95:$P$99,14,0)*$L$5</f>
        <v>#N/A</v>
      </c>
    </row>
    <row r="22" spans="1:11" hidden="1">
      <c r="A22" s="1561" t="s">
        <v>1971</v>
      </c>
      <c r="B22" s="1571"/>
      <c r="C22" s="2369">
        <v>0</v>
      </c>
      <c r="D22" s="2374">
        <f>+C22*25000</f>
        <v>0</v>
      </c>
      <c r="E22" s="1572"/>
      <c r="F22" s="1573"/>
      <c r="G22" s="1561" t="s">
        <v>1971</v>
      </c>
      <c r="H22" s="1571"/>
      <c r="I22" s="2369">
        <v>0</v>
      </c>
      <c r="J22" s="2374">
        <f>+I22*25000</f>
        <v>0</v>
      </c>
    </row>
    <row r="23" spans="1:11">
      <c r="A23" s="1561" t="s">
        <v>210</v>
      </c>
      <c r="B23" s="1571" t="s">
        <v>211</v>
      </c>
      <c r="C23" s="1567" t="e">
        <f>VLOOKUP(C17,'Đội 1'!$A$95:$J$99,9,0)</f>
        <v>#N/A</v>
      </c>
      <c r="D23" s="2374" t="e">
        <f>VLOOKUP(C17,'Đội 1'!$A$95:$M$99,11,0)</f>
        <v>#N/A</v>
      </c>
      <c r="E23" s="1574"/>
      <c r="F23" s="1573"/>
      <c r="G23" s="1561" t="s">
        <v>210</v>
      </c>
      <c r="H23" s="1571" t="s">
        <v>211</v>
      </c>
      <c r="I23" s="1567" t="e">
        <f>VLOOKUP(I17,'Đội 1'!$A$95:$J$99,9,0)</f>
        <v>#N/A</v>
      </c>
      <c r="J23" s="2374" t="e">
        <f>VLOOKUP(I17,'Đội 1'!$A$95:$M$99,11,0)</f>
        <v>#N/A</v>
      </c>
    </row>
    <row r="24" spans="1:11">
      <c r="A24" s="1568" t="s">
        <v>212</v>
      </c>
      <c r="B24" s="1571" t="s">
        <v>213</v>
      </c>
      <c r="C24" s="1567"/>
      <c r="D24" s="1568"/>
      <c r="E24" s="1575"/>
      <c r="F24" s="1576"/>
      <c r="G24" s="1568" t="s">
        <v>212</v>
      </c>
      <c r="H24" s="1571" t="s">
        <v>213</v>
      </c>
      <c r="I24" s="1567"/>
      <c r="J24" s="1568"/>
    </row>
    <row r="25" spans="1:11">
      <c r="A25" s="1577" t="s">
        <v>214</v>
      </c>
      <c r="B25" s="1571" t="s">
        <v>215</v>
      </c>
      <c r="C25" s="1567"/>
      <c r="D25" s="1568"/>
      <c r="E25" s="1574"/>
      <c r="F25" s="1576"/>
      <c r="G25" s="1577" t="s">
        <v>214</v>
      </c>
      <c r="H25" s="1571" t="s">
        <v>215</v>
      </c>
      <c r="I25" s="1567"/>
      <c r="J25" s="1568" t="e">
        <f>+'Đội 1'!#REF!</f>
        <v>#REF!</v>
      </c>
    </row>
    <row r="26" spans="1:11">
      <c r="A26" s="1561" t="s">
        <v>216</v>
      </c>
      <c r="B26" s="1571" t="s">
        <v>217</v>
      </c>
      <c r="C26" s="1567"/>
      <c r="D26" s="1568" t="e">
        <f>VLOOKUP(C17,'Đội 1'!$A$95:$V$99,21,0)</f>
        <v>#N/A</v>
      </c>
      <c r="E26" s="1578"/>
      <c r="F26" s="1560"/>
      <c r="G26" s="1561" t="s">
        <v>216</v>
      </c>
      <c r="H26" s="1571" t="s">
        <v>217</v>
      </c>
      <c r="I26" s="1567"/>
      <c r="J26" s="1568" t="e">
        <f>VLOOKUP(I17,'Đội 1'!$A$95:$V$99,21,0)</f>
        <v>#N/A</v>
      </c>
    </row>
    <row r="27" spans="1:11">
      <c r="A27" s="1568" t="s">
        <v>218</v>
      </c>
      <c r="B27" s="1571" t="s">
        <v>219</v>
      </c>
      <c r="C27" s="1579"/>
      <c r="D27" s="1580" t="e">
        <f>SUM(D18:D23)-D26</f>
        <v>#N/A</v>
      </c>
      <c r="E27" s="1581"/>
      <c r="F27" s="1582"/>
      <c r="G27" s="1568" t="s">
        <v>218</v>
      </c>
      <c r="H27" s="1571" t="s">
        <v>219</v>
      </c>
      <c r="I27" s="1579"/>
      <c r="J27" s="1580" t="e">
        <f>SUM(J18:J23)-J26</f>
        <v>#N/A</v>
      </c>
      <c r="K27" s="3350" t="e">
        <f>D27+J27</f>
        <v>#N/A</v>
      </c>
    </row>
    <row r="28" spans="1:11">
      <c r="A28" s="1583"/>
      <c r="B28" s="1584"/>
      <c r="C28" s="1585"/>
      <c r="D28" s="1586"/>
      <c r="E28" s="1582"/>
      <c r="F28" s="1586"/>
      <c r="G28" s="1583"/>
      <c r="H28" s="1584"/>
      <c r="I28" s="1585"/>
      <c r="J28" s="1582"/>
    </row>
    <row r="29" spans="1:11">
      <c r="A29" s="1587"/>
      <c r="B29" s="1587"/>
      <c r="C29" s="1588"/>
      <c r="D29" s="1589"/>
      <c r="E29" s="1590"/>
      <c r="F29" s="1587"/>
      <c r="G29" s="1587"/>
      <c r="H29" s="1587"/>
      <c r="I29" s="1588"/>
      <c r="J29" s="1591"/>
    </row>
    <row r="30" spans="1:11">
      <c r="A30" s="4836" t="str">
        <f>$K$2</f>
        <v>Tháng 12/24</v>
      </c>
      <c r="B30" s="4836"/>
      <c r="C30" s="4836"/>
      <c r="D30" s="4836"/>
      <c r="E30" s="1560"/>
      <c r="F30" s="1560"/>
      <c r="G30" s="4836" t="str">
        <f>$K$2</f>
        <v>Tháng 12/24</v>
      </c>
      <c r="H30" s="4836"/>
      <c r="I30" s="4836"/>
      <c r="J30" s="4836"/>
    </row>
    <row r="31" spans="1:11" ht="18">
      <c r="A31" s="1561" t="s">
        <v>1</v>
      </c>
      <c r="B31" s="3343" t="e">
        <f>VLOOKUP(C31,'Đội 1'!$A$95:$C$99,3,0)</f>
        <v>#N/A</v>
      </c>
      <c r="C31" s="1563">
        <v>5</v>
      </c>
      <c r="D31" s="1563"/>
      <c r="E31" s="1564"/>
      <c r="F31" s="1565"/>
      <c r="G31" s="1561" t="s">
        <v>1</v>
      </c>
      <c r="H31" s="3343" t="e">
        <f>VLOOKUP(I31,'Đội 1'!$A$95:$C$99,3,0)</f>
        <v>#N/A</v>
      </c>
      <c r="I31" s="1563">
        <v>6</v>
      </c>
      <c r="J31" s="1563"/>
    </row>
    <row r="32" spans="1:11" ht="18">
      <c r="A32" s="1561" t="s">
        <v>205</v>
      </c>
      <c r="B32" s="1566" t="s">
        <v>206</v>
      </c>
      <c r="C32" s="1567" t="e">
        <f>VLOOKUP(C31,'Đội 1'!$A$95:$F$99,6,0)</f>
        <v>#N/A</v>
      </c>
      <c r="D32" s="1568" t="e">
        <f>C32*25000</f>
        <v>#N/A</v>
      </c>
      <c r="E32" s="1569"/>
      <c r="F32" s="1570"/>
      <c r="G32" s="1561" t="s">
        <v>205</v>
      </c>
      <c r="H32" s="1566" t="s">
        <v>206</v>
      </c>
      <c r="I32" s="1567" t="e">
        <f>VLOOKUP(I31,'Đội 1'!$A$95:$F$99,6,0)</f>
        <v>#N/A</v>
      </c>
      <c r="J32" s="1568" t="e">
        <f>I32*25000</f>
        <v>#N/A</v>
      </c>
    </row>
    <row r="33" spans="1:11">
      <c r="A33" s="1561" t="s">
        <v>207</v>
      </c>
      <c r="B33" s="1571" t="s">
        <v>208</v>
      </c>
      <c r="C33" s="1567" t="e">
        <f>VLOOKUP(C31,'Đội 1'!$A$95:$N$99,12,0)</f>
        <v>#N/A</v>
      </c>
      <c r="D33" s="2374" t="e">
        <f>+C33*$L$3</f>
        <v>#N/A</v>
      </c>
      <c r="E33" s="1572"/>
      <c r="F33" s="1573"/>
      <c r="G33" s="1561" t="s">
        <v>207</v>
      </c>
      <c r="H33" s="1571" t="s">
        <v>208</v>
      </c>
      <c r="I33" s="1567" t="e">
        <f>VLOOKUP(I31,'Đội 1'!$A$95:$N$99,12,0)</f>
        <v>#N/A</v>
      </c>
      <c r="J33" s="2374" t="e">
        <f>+I33*$L$3</f>
        <v>#N/A</v>
      </c>
    </row>
    <row r="34" spans="1:11">
      <c r="A34" s="1561" t="s">
        <v>1259</v>
      </c>
      <c r="B34" s="1571" t="s">
        <v>209</v>
      </c>
      <c r="C34" s="2369" t="e">
        <f>VLOOKUP(C31,'Đội 1'!$A$95:$O$99,13,0)</f>
        <v>#N/A</v>
      </c>
      <c r="D34" s="2374" t="e">
        <f>+C34*$L$4</f>
        <v>#N/A</v>
      </c>
      <c r="E34" s="1572"/>
      <c r="F34" s="1573"/>
      <c r="G34" s="1561" t="s">
        <v>1259</v>
      </c>
      <c r="H34" s="1571" t="s">
        <v>209</v>
      </c>
      <c r="I34" s="2369" t="e">
        <f>VLOOKUP(I31,'Đội 1'!$A$95:$O$99,13,0)</f>
        <v>#N/A</v>
      </c>
      <c r="J34" s="2374" t="e">
        <f>+I34*$L$4</f>
        <v>#N/A</v>
      </c>
    </row>
    <row r="35" spans="1:11">
      <c r="A35" s="1561" t="s">
        <v>1531</v>
      </c>
      <c r="B35" s="1571"/>
      <c r="C35" s="2369" t="e">
        <f>VLOOKUP(C31,'Đội 1'!$A$95:$P$99,15,0)</f>
        <v>#N/A</v>
      </c>
      <c r="D35" s="2374" t="e">
        <f>+C35*20000+VLOOKUP(C31,'Đội 1'!$A$95:$P$99,14,0)*$L$5</f>
        <v>#N/A</v>
      </c>
      <c r="E35" s="1572"/>
      <c r="F35" s="1573"/>
      <c r="G35" s="1561" t="s">
        <v>1531</v>
      </c>
      <c r="H35" s="1571"/>
      <c r="I35" s="2369" t="e">
        <f>VLOOKUP(I31,'Đội 1'!$A$95:$P$99,15,0)</f>
        <v>#N/A</v>
      </c>
      <c r="J35" s="2374" t="e">
        <f>+I35*20000+VLOOKUP(I31,'Đội 1'!$A$95:$P$99,14,0)*$L$5</f>
        <v>#N/A</v>
      </c>
    </row>
    <row r="36" spans="1:11" hidden="1">
      <c r="A36" s="1561" t="s">
        <v>1971</v>
      </c>
      <c r="B36" s="1571"/>
      <c r="C36" s="2369">
        <v>0</v>
      </c>
      <c r="D36" s="2374">
        <f>+C36*25000</f>
        <v>0</v>
      </c>
      <c r="E36" s="1572"/>
      <c r="F36" s="1573"/>
      <c r="G36" s="1561" t="s">
        <v>1971</v>
      </c>
      <c r="H36" s="1571"/>
      <c r="I36" s="2369">
        <v>0</v>
      </c>
      <c r="J36" s="2374">
        <f>+I36*25000</f>
        <v>0</v>
      </c>
    </row>
    <row r="37" spans="1:11">
      <c r="A37" s="1561" t="s">
        <v>210</v>
      </c>
      <c r="B37" s="1571" t="s">
        <v>211</v>
      </c>
      <c r="C37" s="1567" t="e">
        <f>VLOOKUP(C31,'Đội 1'!$A$95:$J$99,9,0)</f>
        <v>#N/A</v>
      </c>
      <c r="D37" s="2374" t="e">
        <f>VLOOKUP(C31,'Đội 1'!$A$95:$M$99,11,0)</f>
        <v>#N/A</v>
      </c>
      <c r="E37" s="1574"/>
      <c r="F37" s="1573"/>
      <c r="G37" s="1561" t="s">
        <v>210</v>
      </c>
      <c r="H37" s="1571" t="s">
        <v>211</v>
      </c>
      <c r="I37" s="1567" t="e">
        <f>VLOOKUP(I31,'Đội 1'!$A$95:$J$99,9,0)</f>
        <v>#N/A</v>
      </c>
      <c r="J37" s="2374" t="e">
        <f>VLOOKUP(I31,'Đội 1'!$A$95:$M$99,11,0)</f>
        <v>#N/A</v>
      </c>
    </row>
    <row r="38" spans="1:11">
      <c r="A38" s="1568" t="s">
        <v>212</v>
      </c>
      <c r="B38" s="1571" t="s">
        <v>213</v>
      </c>
      <c r="C38" s="1567"/>
      <c r="D38" s="1568"/>
      <c r="E38" s="1575"/>
      <c r="F38" s="1576"/>
      <c r="G38" s="1568" t="s">
        <v>212</v>
      </c>
      <c r="H38" s="1571" t="s">
        <v>213</v>
      </c>
      <c r="I38" s="1567"/>
      <c r="J38" s="1568"/>
    </row>
    <row r="39" spans="1:11">
      <c r="A39" s="1577" t="s">
        <v>214</v>
      </c>
      <c r="B39" s="1571" t="s">
        <v>215</v>
      </c>
      <c r="C39" s="1567"/>
      <c r="D39" s="1568"/>
      <c r="E39" s="1574"/>
      <c r="F39" s="1576"/>
      <c r="G39" s="1577" t="s">
        <v>214</v>
      </c>
      <c r="H39" s="1571" t="s">
        <v>215</v>
      </c>
      <c r="I39" s="1567"/>
      <c r="J39" s="1568" t="e">
        <f>+'Đội 1'!#REF!</f>
        <v>#REF!</v>
      </c>
    </row>
    <row r="40" spans="1:11">
      <c r="A40" s="1561" t="s">
        <v>216</v>
      </c>
      <c r="B40" s="1571" t="s">
        <v>217</v>
      </c>
      <c r="C40" s="1567"/>
      <c r="D40" s="1568" t="e">
        <f>VLOOKUP(C31,'Đội 1'!$A$95:$V$99,21,0)</f>
        <v>#N/A</v>
      </c>
      <c r="E40" s="1578"/>
      <c r="F40" s="1560"/>
      <c r="G40" s="1561" t="s">
        <v>216</v>
      </c>
      <c r="H40" s="1571" t="s">
        <v>217</v>
      </c>
      <c r="I40" s="1567"/>
      <c r="J40" s="1568" t="e">
        <f>VLOOKUP(I31,'Đội 1'!$A$95:$V$99,21,0)</f>
        <v>#N/A</v>
      </c>
    </row>
    <row r="41" spans="1:11">
      <c r="A41" s="1568" t="s">
        <v>218</v>
      </c>
      <c r="B41" s="1571" t="s">
        <v>219</v>
      </c>
      <c r="C41" s="1579"/>
      <c r="D41" s="1580" t="e">
        <f>SUM(D32:D37)-D40</f>
        <v>#N/A</v>
      </c>
      <c r="E41" s="1581"/>
      <c r="F41" s="1582"/>
      <c r="G41" s="1568" t="s">
        <v>218</v>
      </c>
      <c r="H41" s="1571" t="s">
        <v>219</v>
      </c>
      <c r="I41" s="1579"/>
      <c r="J41" s="1580" t="e">
        <f>SUM(J32:J37)-J40</f>
        <v>#N/A</v>
      </c>
      <c r="K41" s="3350" t="e">
        <f>D41+J41</f>
        <v>#N/A</v>
      </c>
    </row>
    <row r="42" spans="1:11" ht="3" customHeight="1">
      <c r="A42" s="1583"/>
      <c r="B42" s="1584"/>
      <c r="C42" s="1585"/>
      <c r="D42" s="1586"/>
      <c r="E42" s="1582"/>
      <c r="F42" s="1586"/>
      <c r="G42" s="1583"/>
      <c r="H42" s="1584"/>
      <c r="I42" s="1585"/>
      <c r="J42" s="1582"/>
    </row>
    <row r="43" spans="1:11">
      <c r="A43" s="1583"/>
      <c r="B43" s="1584"/>
      <c r="C43" s="1585"/>
      <c r="D43" s="1586"/>
      <c r="E43" s="1582"/>
      <c r="F43" s="1586"/>
      <c r="G43" s="1583"/>
      <c r="H43" s="1584"/>
      <c r="I43" s="1585"/>
      <c r="J43" s="1582"/>
    </row>
    <row r="44" spans="1:11" ht="8.25" customHeight="1">
      <c r="A44" s="1583"/>
      <c r="B44" s="1584"/>
      <c r="C44" s="1585"/>
      <c r="D44" s="1586"/>
      <c r="E44" s="1582"/>
      <c r="F44" s="1586"/>
      <c r="G44" s="1583"/>
      <c r="H44" s="1584"/>
      <c r="I44" s="1585"/>
      <c r="J44" s="1582"/>
    </row>
    <row r="45" spans="1:11">
      <c r="A45" s="1587"/>
      <c r="B45" s="1587"/>
      <c r="C45" s="1588"/>
      <c r="D45" s="1589"/>
      <c r="E45" s="1590"/>
      <c r="F45" s="1587"/>
      <c r="G45" s="1587"/>
      <c r="H45" s="1587"/>
      <c r="I45" s="1588"/>
      <c r="J45" s="1591"/>
    </row>
    <row r="46" spans="1:11">
      <c r="A46" s="4836" t="str">
        <f>$K$2</f>
        <v>Tháng 12/24</v>
      </c>
      <c r="B46" s="4836"/>
      <c r="C46" s="4836"/>
      <c r="D46" s="4836"/>
      <c r="E46" s="1560"/>
      <c r="F46" s="1560"/>
      <c r="G46" s="4836" t="str">
        <f>$K$2</f>
        <v>Tháng 12/24</v>
      </c>
      <c r="H46" s="4836"/>
      <c r="I46" s="4836"/>
      <c r="J46" s="4836"/>
    </row>
    <row r="47" spans="1:11" ht="18">
      <c r="A47" s="1561" t="s">
        <v>1</v>
      </c>
      <c r="B47" s="3343" t="e">
        <f>VLOOKUP(C47,'Đội 1'!$A$95:$C$99,3,0)</f>
        <v>#N/A</v>
      </c>
      <c r="C47" s="1563">
        <v>7</v>
      </c>
      <c r="D47" s="1563"/>
      <c r="E47" s="1564"/>
      <c r="F47" s="1565"/>
      <c r="G47" s="1561" t="s">
        <v>1</v>
      </c>
      <c r="H47" s="3343" t="e">
        <f>VLOOKUP(I47,'Đội 1'!$A$95:$C$99,3,0)</f>
        <v>#N/A</v>
      </c>
      <c r="I47" s="1563">
        <v>8</v>
      </c>
      <c r="J47" s="1563"/>
    </row>
    <row r="48" spans="1:11" ht="18">
      <c r="A48" s="1561" t="s">
        <v>205</v>
      </c>
      <c r="B48" s="1566" t="s">
        <v>206</v>
      </c>
      <c r="C48" s="1567" t="e">
        <f>VLOOKUP(C47,'Đội 1'!$A$95:$F$99,6,0)</f>
        <v>#N/A</v>
      </c>
      <c r="D48" s="1568" t="e">
        <f>C48*25000</f>
        <v>#N/A</v>
      </c>
      <c r="E48" s="1569"/>
      <c r="F48" s="1570"/>
      <c r="G48" s="1561" t="s">
        <v>205</v>
      </c>
      <c r="H48" s="1566" t="s">
        <v>206</v>
      </c>
      <c r="I48" s="1567" t="e">
        <f>VLOOKUP(I47,'Đội 1'!$A$95:$F$99,6,0)</f>
        <v>#N/A</v>
      </c>
      <c r="J48" s="1568" t="e">
        <f>I48*25000</f>
        <v>#N/A</v>
      </c>
    </row>
    <row r="49" spans="1:11">
      <c r="A49" s="1561" t="s">
        <v>207</v>
      </c>
      <c r="B49" s="1571" t="s">
        <v>208</v>
      </c>
      <c r="C49" s="1567" t="e">
        <f>VLOOKUP(C47,'Đội 1'!$A$95:$N$99,12,0)</f>
        <v>#N/A</v>
      </c>
      <c r="D49" s="2374" t="e">
        <f>+C49*$L$3</f>
        <v>#N/A</v>
      </c>
      <c r="E49" s="1572"/>
      <c r="F49" s="1573"/>
      <c r="G49" s="1561" t="s">
        <v>207</v>
      </c>
      <c r="H49" s="1571" t="s">
        <v>208</v>
      </c>
      <c r="I49" s="1567" t="e">
        <f>VLOOKUP(I47,'Đội 1'!$A$95:$N$99,12,0)</f>
        <v>#N/A</v>
      </c>
      <c r="J49" s="2374" t="e">
        <f>+I49*$L$3</f>
        <v>#N/A</v>
      </c>
    </row>
    <row r="50" spans="1:11">
      <c r="A50" s="1561" t="s">
        <v>1259</v>
      </c>
      <c r="B50" s="1571" t="s">
        <v>209</v>
      </c>
      <c r="C50" s="2369" t="e">
        <f>VLOOKUP(C47,'Đội 1'!$A$95:$O$99,13,0)</f>
        <v>#N/A</v>
      </c>
      <c r="D50" s="2374" t="e">
        <f>+C50*$L$4</f>
        <v>#N/A</v>
      </c>
      <c r="E50" s="1572"/>
      <c r="F50" s="1573"/>
      <c r="G50" s="1561" t="s">
        <v>1259</v>
      </c>
      <c r="H50" s="1571" t="s">
        <v>209</v>
      </c>
      <c r="I50" s="2369" t="e">
        <f>VLOOKUP(I47,'Đội 1'!$A$95:$O$99,13,0)</f>
        <v>#N/A</v>
      </c>
      <c r="J50" s="2374" t="e">
        <f>+I50*$L$4</f>
        <v>#N/A</v>
      </c>
    </row>
    <row r="51" spans="1:11">
      <c r="A51" s="1561" t="s">
        <v>1531</v>
      </c>
      <c r="B51" s="1571"/>
      <c r="C51" s="2369" t="e">
        <f>VLOOKUP(C47,'Đội 1'!$A$95:$P$99,15,0)</f>
        <v>#N/A</v>
      </c>
      <c r="D51" s="2374" t="e">
        <f>+C51*20000+VLOOKUP(C47,'Đội 1'!$A$95:$P$99,14,0)*$L$5</f>
        <v>#N/A</v>
      </c>
      <c r="E51" s="1572"/>
      <c r="F51" s="1573"/>
      <c r="G51" s="1561" t="s">
        <v>1531</v>
      </c>
      <c r="H51" s="1571"/>
      <c r="I51" s="2369" t="e">
        <f>VLOOKUP(I47,'Đội 1'!$A$95:$P$99,15,0)</f>
        <v>#N/A</v>
      </c>
      <c r="J51" s="2374" t="e">
        <f>+I51*20000+VLOOKUP(I47,'Đội 1'!$A$95:$P$99,14,0)*$L$5</f>
        <v>#N/A</v>
      </c>
    </row>
    <row r="52" spans="1:11" hidden="1">
      <c r="A52" s="1561" t="s">
        <v>1971</v>
      </c>
      <c r="B52" s="1571"/>
      <c r="C52" s="2369">
        <v>0</v>
      </c>
      <c r="D52" s="2374">
        <f>+C52*25000</f>
        <v>0</v>
      </c>
      <c r="E52" s="1572"/>
      <c r="F52" s="1573"/>
      <c r="G52" s="1561" t="s">
        <v>1971</v>
      </c>
      <c r="H52" s="1571"/>
      <c r="I52" s="2369">
        <v>0</v>
      </c>
      <c r="J52" s="2374">
        <f>+I52*25000</f>
        <v>0</v>
      </c>
    </row>
    <row r="53" spans="1:11">
      <c r="A53" s="1561" t="s">
        <v>210</v>
      </c>
      <c r="B53" s="1571" t="s">
        <v>211</v>
      </c>
      <c r="C53" s="1567" t="e">
        <f>VLOOKUP(C47,'Đội 1'!$A$95:$J$99,9,0)</f>
        <v>#N/A</v>
      </c>
      <c r="D53" s="2374" t="e">
        <f>VLOOKUP(C47,'Đội 1'!$A$95:$M$99,11,0)</f>
        <v>#N/A</v>
      </c>
      <c r="E53" s="1574"/>
      <c r="F53" s="1573"/>
      <c r="G53" s="1561" t="s">
        <v>210</v>
      </c>
      <c r="H53" s="1571" t="s">
        <v>211</v>
      </c>
      <c r="I53" s="1567" t="e">
        <f>VLOOKUP(I47,'Đội 1'!$A$95:$J$99,9,0)</f>
        <v>#N/A</v>
      </c>
      <c r="J53" s="2374" t="e">
        <f>VLOOKUP(I47,'Đội 1'!$A$95:$M$99,11,0)</f>
        <v>#N/A</v>
      </c>
    </row>
    <row r="54" spans="1:11">
      <c r="A54" s="1568" t="s">
        <v>212</v>
      </c>
      <c r="B54" s="1571" t="s">
        <v>213</v>
      </c>
      <c r="C54" s="1567"/>
      <c r="D54" s="1568"/>
      <c r="E54" s="1575"/>
      <c r="F54" s="1576"/>
      <c r="G54" s="1568" t="s">
        <v>212</v>
      </c>
      <c r="H54" s="1571" t="s">
        <v>213</v>
      </c>
      <c r="I54" s="1567"/>
      <c r="J54" s="1568"/>
    </row>
    <row r="55" spans="1:11">
      <c r="A55" s="1577" t="s">
        <v>214</v>
      </c>
      <c r="B55" s="1571" t="s">
        <v>215</v>
      </c>
      <c r="C55" s="1567"/>
      <c r="D55" s="1568" t="e">
        <f>+'Đội 1'!#REF!</f>
        <v>#REF!</v>
      </c>
      <c r="E55" s="1574"/>
      <c r="F55" s="1576"/>
      <c r="G55" s="1577" t="s">
        <v>214</v>
      </c>
      <c r="H55" s="1571" t="s">
        <v>215</v>
      </c>
      <c r="I55" s="1567"/>
      <c r="J55" s="1568" t="e">
        <f>+'Đội 1'!#REF!</f>
        <v>#REF!</v>
      </c>
    </row>
    <row r="56" spans="1:11">
      <c r="A56" s="1561" t="s">
        <v>216</v>
      </c>
      <c r="B56" s="1571" t="s">
        <v>217</v>
      </c>
      <c r="C56" s="1567"/>
      <c r="D56" s="1568" t="e">
        <f>VLOOKUP(C47,'Đội 1'!$A$95:$V$99,21,0)</f>
        <v>#N/A</v>
      </c>
      <c r="E56" s="1578"/>
      <c r="F56" s="1560"/>
      <c r="G56" s="1561" t="s">
        <v>216</v>
      </c>
      <c r="H56" s="1571" t="s">
        <v>217</v>
      </c>
      <c r="I56" s="1567"/>
      <c r="J56" s="1568" t="e">
        <f>VLOOKUP(I47,'Đội 1'!$A$95:$V$99,21,0)</f>
        <v>#N/A</v>
      </c>
    </row>
    <row r="57" spans="1:11">
      <c r="A57" s="1568" t="s">
        <v>218</v>
      </c>
      <c r="B57" s="1571" t="s">
        <v>219</v>
      </c>
      <c r="C57" s="1579"/>
      <c r="D57" s="1580" t="e">
        <f>SUM(D48:D53)-D56</f>
        <v>#N/A</v>
      </c>
      <c r="E57" s="1581"/>
      <c r="F57" s="1582"/>
      <c r="G57" s="1568" t="s">
        <v>218</v>
      </c>
      <c r="H57" s="1571" t="s">
        <v>219</v>
      </c>
      <c r="I57" s="1579"/>
      <c r="J57" s="1580" t="e">
        <f>SUM(J48:J53)-J56</f>
        <v>#N/A</v>
      </c>
      <c r="K57" s="3350" t="e">
        <f>D57+J57</f>
        <v>#N/A</v>
      </c>
    </row>
    <row r="58" spans="1:11" ht="9" customHeight="1">
      <c r="A58" s="1583"/>
      <c r="B58" s="1584"/>
      <c r="C58" s="1585"/>
      <c r="D58" s="1586"/>
      <c r="E58" s="1582"/>
      <c r="F58" s="1586"/>
      <c r="G58" s="1583"/>
      <c r="H58" s="1584"/>
      <c r="I58" s="1585"/>
      <c r="J58" s="1582"/>
    </row>
    <row r="59" spans="1:11">
      <c r="A59" s="1587"/>
      <c r="B59" s="1587"/>
      <c r="C59" s="1588"/>
      <c r="D59" s="3335"/>
      <c r="E59" s="1590"/>
      <c r="F59" s="1587"/>
      <c r="G59" s="1587"/>
      <c r="H59" s="1587"/>
      <c r="I59" s="1588"/>
      <c r="J59" s="1591"/>
    </row>
    <row r="60" spans="1:11">
      <c r="A60" s="4836" t="str">
        <f>$K$2</f>
        <v>Tháng 12/24</v>
      </c>
      <c r="B60" s="4836"/>
      <c r="C60" s="4836"/>
      <c r="D60" s="4836"/>
      <c r="E60" s="1560"/>
      <c r="F60" s="1560"/>
      <c r="G60" s="4836" t="str">
        <f>$K$2</f>
        <v>Tháng 12/24</v>
      </c>
      <c r="H60" s="4836"/>
      <c r="I60" s="4836"/>
      <c r="J60" s="4836"/>
    </row>
    <row r="61" spans="1:11" ht="18">
      <c r="A61" s="1561" t="s">
        <v>1</v>
      </c>
      <c r="B61" s="3343" t="e">
        <f>VLOOKUP(C61,'Đội 1'!$A$95:$C$99,3,0)</f>
        <v>#N/A</v>
      </c>
      <c r="C61" s="1563">
        <v>9</v>
      </c>
      <c r="D61" s="1563"/>
      <c r="E61" s="1564"/>
      <c r="F61" s="1565"/>
      <c r="G61" s="1561" t="s">
        <v>1</v>
      </c>
      <c r="H61" s="3343" t="e">
        <f>VLOOKUP(I61,'Đội 1'!$A$95:$C$99,3,0)</f>
        <v>#N/A</v>
      </c>
      <c r="I61" s="1563">
        <v>10</v>
      </c>
      <c r="J61" s="1563"/>
    </row>
    <row r="62" spans="1:11" ht="18">
      <c r="A62" s="1561" t="s">
        <v>205</v>
      </c>
      <c r="B62" s="1566" t="s">
        <v>206</v>
      </c>
      <c r="C62" s="1567" t="e">
        <f>VLOOKUP(C61,'Đội 1'!$A$95:$F$99,6,0)</f>
        <v>#N/A</v>
      </c>
      <c r="D62" s="1568" t="e">
        <f>C62*25000</f>
        <v>#N/A</v>
      </c>
      <c r="E62" s="1569"/>
      <c r="F62" s="1570"/>
      <c r="G62" s="1561" t="s">
        <v>205</v>
      </c>
      <c r="H62" s="1566" t="s">
        <v>206</v>
      </c>
      <c r="I62" s="1567" t="e">
        <f>VLOOKUP(I61,'Đội 1'!$A$95:$F$99,6,0)</f>
        <v>#N/A</v>
      </c>
      <c r="J62" s="1568" t="e">
        <f>I62*25000</f>
        <v>#N/A</v>
      </c>
    </row>
    <row r="63" spans="1:11">
      <c r="A63" s="1561" t="s">
        <v>207</v>
      </c>
      <c r="B63" s="1571" t="s">
        <v>208</v>
      </c>
      <c r="C63" s="1567" t="e">
        <f>VLOOKUP(C61,'Đội 1'!$A$95:$N$99,12,0)</f>
        <v>#N/A</v>
      </c>
      <c r="D63" s="2374" t="e">
        <f>+C63*$L$3</f>
        <v>#N/A</v>
      </c>
      <c r="E63" s="1572"/>
      <c r="F63" s="1573"/>
      <c r="G63" s="1561" t="s">
        <v>207</v>
      </c>
      <c r="H63" s="1571" t="s">
        <v>208</v>
      </c>
      <c r="I63" s="1567" t="e">
        <f>VLOOKUP(I61,'Đội 1'!$A$95:$N$99,12,0)</f>
        <v>#N/A</v>
      </c>
      <c r="J63" s="2374" t="e">
        <f>+I63*$L$3</f>
        <v>#N/A</v>
      </c>
    </row>
    <row r="64" spans="1:11">
      <c r="A64" s="1561" t="s">
        <v>1259</v>
      </c>
      <c r="B64" s="1571" t="s">
        <v>209</v>
      </c>
      <c r="C64" s="2369" t="e">
        <f>VLOOKUP(C61,'Đội 1'!$A$95:$O$99,13,0)</f>
        <v>#N/A</v>
      </c>
      <c r="D64" s="2374" t="e">
        <f>+C64*$L$4</f>
        <v>#N/A</v>
      </c>
      <c r="E64" s="1572"/>
      <c r="F64" s="1573"/>
      <c r="G64" s="1561" t="s">
        <v>1259</v>
      </c>
      <c r="H64" s="1571" t="s">
        <v>209</v>
      </c>
      <c r="I64" s="2369" t="e">
        <f>VLOOKUP(I61,'Đội 1'!$A$95:$O$99,13,0)</f>
        <v>#N/A</v>
      </c>
      <c r="J64" s="2374" t="e">
        <f>+I64*$L$4</f>
        <v>#N/A</v>
      </c>
    </row>
    <row r="65" spans="1:11">
      <c r="A65" s="1561" t="s">
        <v>1531</v>
      </c>
      <c r="B65" s="1571"/>
      <c r="C65" s="2369" t="e">
        <f>VLOOKUP(C61,'Đội 1'!$A$95:$P$99,15,0)</f>
        <v>#N/A</v>
      </c>
      <c r="D65" s="2374" t="e">
        <f>+C65*20000+VLOOKUP(C61,'Đội 1'!$A$95:$P$99,14,0)*$L$5</f>
        <v>#N/A</v>
      </c>
      <c r="E65" s="1572"/>
      <c r="F65" s="1573"/>
      <c r="G65" s="1561" t="s">
        <v>1531</v>
      </c>
      <c r="H65" s="1571"/>
      <c r="I65" s="2369" t="e">
        <f>VLOOKUP(I61,'Đội 1'!$A$95:$P$99,15,0)</f>
        <v>#N/A</v>
      </c>
      <c r="J65" s="2374" t="e">
        <f>+I65*20000+VLOOKUP(I61,'Đội 1'!$A$95:$P$99,14,0)*$L$5</f>
        <v>#N/A</v>
      </c>
    </row>
    <row r="66" spans="1:11" hidden="1">
      <c r="A66" s="1561" t="s">
        <v>1971</v>
      </c>
      <c r="B66" s="1571"/>
      <c r="C66" s="2369">
        <v>0</v>
      </c>
      <c r="D66" s="2374">
        <f>+C66*25000</f>
        <v>0</v>
      </c>
      <c r="E66" s="1572"/>
      <c r="F66" s="1573"/>
      <c r="G66" s="1561" t="s">
        <v>1971</v>
      </c>
      <c r="H66" s="1571"/>
      <c r="I66" s="2369">
        <v>0</v>
      </c>
      <c r="J66" s="2374">
        <f>+I66*25000</f>
        <v>0</v>
      </c>
    </row>
    <row r="67" spans="1:11">
      <c r="A67" s="1561" t="s">
        <v>210</v>
      </c>
      <c r="B67" s="1571" t="s">
        <v>211</v>
      </c>
      <c r="C67" s="1567" t="e">
        <f>VLOOKUP(C61,'Đội 1'!$A$95:$J$99,9,0)</f>
        <v>#N/A</v>
      </c>
      <c r="D67" s="2374" t="e">
        <f>VLOOKUP(C61,'Đội 1'!$A$95:$M$99,11,0)</f>
        <v>#N/A</v>
      </c>
      <c r="E67" s="1574"/>
      <c r="F67" s="1573"/>
      <c r="G67" s="1561" t="s">
        <v>210</v>
      </c>
      <c r="H67" s="1571" t="s">
        <v>211</v>
      </c>
      <c r="I67" s="1567" t="e">
        <f>VLOOKUP(I61,'Đội 1'!$A$95:$J$99,9,0)</f>
        <v>#N/A</v>
      </c>
      <c r="J67" s="2374" t="e">
        <f>VLOOKUP(I61,'Đội 1'!$A$95:$M$99,11,0)</f>
        <v>#N/A</v>
      </c>
    </row>
    <row r="68" spans="1:11">
      <c r="A68" s="1568" t="s">
        <v>212</v>
      </c>
      <c r="B68" s="1571" t="s">
        <v>213</v>
      </c>
      <c r="C68" s="1567"/>
      <c r="D68" s="1568"/>
      <c r="E68" s="1575"/>
      <c r="F68" s="1576"/>
      <c r="G68" s="1568" t="s">
        <v>212</v>
      </c>
      <c r="H68" s="1571" t="s">
        <v>213</v>
      </c>
      <c r="I68" s="1567"/>
      <c r="J68" s="1568"/>
    </row>
    <row r="69" spans="1:11">
      <c r="A69" s="1577" t="s">
        <v>214</v>
      </c>
      <c r="B69" s="1571" t="s">
        <v>215</v>
      </c>
      <c r="C69" s="1567"/>
      <c r="D69" s="1568"/>
      <c r="E69" s="1574"/>
      <c r="F69" s="1576"/>
      <c r="G69" s="1577" t="s">
        <v>214</v>
      </c>
      <c r="H69" s="1571" t="s">
        <v>215</v>
      </c>
      <c r="I69" s="1567"/>
      <c r="J69" s="1568" t="e">
        <f>+'Đội 1'!#REF!</f>
        <v>#REF!</v>
      </c>
    </row>
    <row r="70" spans="1:11">
      <c r="A70" s="1561" t="s">
        <v>216</v>
      </c>
      <c r="B70" s="1571" t="s">
        <v>217</v>
      </c>
      <c r="C70" s="1567"/>
      <c r="D70" s="1568" t="e">
        <f>VLOOKUP(C61,'Đội 1'!$A$95:$V$99,21,0)</f>
        <v>#N/A</v>
      </c>
      <c r="E70" s="1578"/>
      <c r="F70" s="1560"/>
      <c r="G70" s="1561" t="s">
        <v>216</v>
      </c>
      <c r="H70" s="1571" t="s">
        <v>217</v>
      </c>
      <c r="I70" s="1567"/>
      <c r="J70" s="1568" t="e">
        <f>VLOOKUP(I61,'Đội 1'!$A$95:$V$99,21,0)</f>
        <v>#N/A</v>
      </c>
    </row>
    <row r="71" spans="1:11">
      <c r="A71" s="1568" t="s">
        <v>218</v>
      </c>
      <c r="B71" s="1571" t="s">
        <v>219</v>
      </c>
      <c r="C71" s="1579"/>
      <c r="D71" s="1580" t="e">
        <f>SUM(D62:D67)-D70</f>
        <v>#N/A</v>
      </c>
      <c r="E71" s="1581"/>
      <c r="F71" s="1582"/>
      <c r="G71" s="1568" t="s">
        <v>218</v>
      </c>
      <c r="H71" s="1571" t="s">
        <v>219</v>
      </c>
      <c r="I71" s="1579"/>
      <c r="J71" s="1580" t="e">
        <f>SUM(J62:J67)-J70</f>
        <v>#N/A</v>
      </c>
      <c r="K71" s="3350" t="e">
        <f>D71+J71</f>
        <v>#N/A</v>
      </c>
    </row>
    <row r="72" spans="1:11" ht="9" customHeight="1">
      <c r="A72" s="1583"/>
      <c r="B72" s="1584"/>
      <c r="C72" s="1585"/>
      <c r="D72" s="1586"/>
      <c r="E72" s="1582"/>
      <c r="F72" s="1586"/>
      <c r="G72" s="1583"/>
      <c r="H72" s="1584"/>
      <c r="I72" s="1585"/>
      <c r="J72" s="1582"/>
    </row>
    <row r="73" spans="1:11">
      <c r="A73" s="1587"/>
      <c r="B73" s="1587"/>
      <c r="C73" s="1588"/>
      <c r="D73" s="3335"/>
      <c r="E73" s="1590"/>
      <c r="F73" s="1587"/>
      <c r="G73" s="1587"/>
      <c r="H73" s="1587"/>
      <c r="I73" s="1588"/>
      <c r="J73" s="1591"/>
    </row>
    <row r="74" spans="1:11">
      <c r="A74" s="4836" t="str">
        <f>$K$2</f>
        <v>Tháng 12/24</v>
      </c>
      <c r="B74" s="4836"/>
      <c r="C74" s="4836"/>
      <c r="D74" s="4836"/>
      <c r="E74" s="1560"/>
      <c r="F74" s="1560"/>
      <c r="G74" s="4836" t="str">
        <f>$K$2</f>
        <v>Tháng 12/24</v>
      </c>
      <c r="H74" s="4836"/>
      <c r="I74" s="4836"/>
      <c r="J74" s="4836"/>
    </row>
    <row r="75" spans="1:11" ht="18">
      <c r="A75" s="1561" t="s">
        <v>1</v>
      </c>
      <c r="B75" s="3343" t="e">
        <f>VLOOKUP(C75,'Đội 1'!$A$95:$C$99,3,0)</f>
        <v>#N/A</v>
      </c>
      <c r="C75" s="1563">
        <v>11</v>
      </c>
      <c r="D75" s="1563"/>
      <c r="E75" s="1564"/>
      <c r="F75" s="1565"/>
      <c r="G75" s="1561" t="s">
        <v>1</v>
      </c>
      <c r="H75" s="3343" t="e">
        <f>VLOOKUP(I75,'Đội 1'!$A$95:$C$99,3,0)</f>
        <v>#N/A</v>
      </c>
      <c r="I75" s="1563">
        <v>12</v>
      </c>
      <c r="J75" s="1563"/>
    </row>
    <row r="76" spans="1:11" ht="18">
      <c r="A76" s="1561" t="s">
        <v>205</v>
      </c>
      <c r="B76" s="1566" t="s">
        <v>206</v>
      </c>
      <c r="C76" s="1567" t="e">
        <f>VLOOKUP(C75,'Đội 1'!$A$95:$F$99,6,0)</f>
        <v>#N/A</v>
      </c>
      <c r="D76" s="1568" t="e">
        <f>C76*25000</f>
        <v>#N/A</v>
      </c>
      <c r="E76" s="1569"/>
      <c r="F76" s="1570"/>
      <c r="G76" s="1561" t="s">
        <v>205</v>
      </c>
      <c r="H76" s="1566" t="s">
        <v>206</v>
      </c>
      <c r="I76" s="1567" t="e">
        <f>VLOOKUP(I75,'Đội 1'!$A$95:$F$99,6,0)</f>
        <v>#N/A</v>
      </c>
      <c r="J76" s="1568" t="e">
        <f>I76*25000</f>
        <v>#N/A</v>
      </c>
    </row>
    <row r="77" spans="1:11">
      <c r="A77" s="1561" t="s">
        <v>207</v>
      </c>
      <c r="B77" s="1571" t="s">
        <v>208</v>
      </c>
      <c r="C77" s="1567" t="e">
        <f>VLOOKUP(C75,'Đội 1'!$A$95:$N$99,12,0)</f>
        <v>#N/A</v>
      </c>
      <c r="D77" s="2374" t="e">
        <f>+C77*$L$3</f>
        <v>#N/A</v>
      </c>
      <c r="E77" s="1572"/>
      <c r="F77" s="1573"/>
      <c r="G77" s="1561" t="s">
        <v>207</v>
      </c>
      <c r="H77" s="1571" t="s">
        <v>208</v>
      </c>
      <c r="I77" s="1567" t="e">
        <f>VLOOKUP(I75,'Đội 1'!$A$95:$N$99,12,0)</f>
        <v>#N/A</v>
      </c>
      <c r="J77" s="2374" t="e">
        <f>+I77*$L$3</f>
        <v>#N/A</v>
      </c>
    </row>
    <row r="78" spans="1:11">
      <c r="A78" s="1561" t="s">
        <v>1259</v>
      </c>
      <c r="B78" s="1571" t="s">
        <v>209</v>
      </c>
      <c r="C78" s="2369" t="e">
        <f>VLOOKUP(C75,'Đội 1'!$A$95:$O$99,13,0)</f>
        <v>#N/A</v>
      </c>
      <c r="D78" s="2374" t="e">
        <f>+C78*$L$4</f>
        <v>#N/A</v>
      </c>
      <c r="E78" s="1572"/>
      <c r="F78" s="1573"/>
      <c r="G78" s="1561" t="s">
        <v>1259</v>
      </c>
      <c r="H78" s="1571" t="s">
        <v>209</v>
      </c>
      <c r="I78" s="2369" t="e">
        <f>VLOOKUP(I75,'Đội 1'!$A$95:$O$99,13,0)</f>
        <v>#N/A</v>
      </c>
      <c r="J78" s="2374" t="e">
        <f>+I78*$L$4</f>
        <v>#N/A</v>
      </c>
    </row>
    <row r="79" spans="1:11">
      <c r="A79" s="1561" t="s">
        <v>1531</v>
      </c>
      <c r="B79" s="1571"/>
      <c r="C79" s="2369" t="e">
        <f>VLOOKUP(C75,'Đội 1'!$A$95:$P$99,15,0)</f>
        <v>#N/A</v>
      </c>
      <c r="D79" s="2374" t="e">
        <f>+C79*20000+VLOOKUP(C75,'Đội 1'!$A$95:$P$99,14,0)*$L$5</f>
        <v>#N/A</v>
      </c>
      <c r="E79" s="1572"/>
      <c r="F79" s="1573"/>
      <c r="G79" s="1561" t="s">
        <v>1531</v>
      </c>
      <c r="H79" s="1571"/>
      <c r="I79" s="2369" t="e">
        <f>VLOOKUP(I75,'Đội 1'!$A$95:$P$99,15,0)</f>
        <v>#N/A</v>
      </c>
      <c r="J79" s="2374" t="e">
        <f>+I79*20000+VLOOKUP(I75,'Đội 1'!$A$95:$P$99,14,0)*$L$5</f>
        <v>#N/A</v>
      </c>
    </row>
    <row r="80" spans="1:11" hidden="1">
      <c r="A80" s="1561" t="s">
        <v>1971</v>
      </c>
      <c r="B80" s="1571"/>
      <c r="C80" s="2369">
        <v>0</v>
      </c>
      <c r="D80" s="2374">
        <f>+C80*25000</f>
        <v>0</v>
      </c>
      <c r="E80" s="1572"/>
      <c r="F80" s="1573"/>
      <c r="G80" s="1561" t="s">
        <v>1971</v>
      </c>
      <c r="H80" s="1571"/>
      <c r="I80" s="2369">
        <v>0</v>
      </c>
      <c r="J80" s="2374">
        <f>+I80*25000</f>
        <v>0</v>
      </c>
    </row>
    <row r="81" spans="1:11">
      <c r="A81" s="1561" t="s">
        <v>210</v>
      </c>
      <c r="B81" s="1571" t="s">
        <v>211</v>
      </c>
      <c r="C81" s="1567" t="e">
        <f>VLOOKUP(C75,'Đội 1'!$A$95:$J$99,9,0)</f>
        <v>#N/A</v>
      </c>
      <c r="D81" s="2374" t="e">
        <f>VLOOKUP(C75,'Đội 1'!$A$95:$M$99,11,0)</f>
        <v>#N/A</v>
      </c>
      <c r="E81" s="1574"/>
      <c r="F81" s="1573"/>
      <c r="G81" s="1561" t="s">
        <v>210</v>
      </c>
      <c r="H81" s="1571" t="s">
        <v>211</v>
      </c>
      <c r="I81" s="1567" t="e">
        <f>VLOOKUP(I75,'Đội 1'!$A$95:$J$99,9,0)</f>
        <v>#N/A</v>
      </c>
      <c r="J81" s="2374" t="e">
        <f>VLOOKUP(I75,'Đội 1'!$A$95:$M$99,11,0)</f>
        <v>#N/A</v>
      </c>
    </row>
    <row r="82" spans="1:11" ht="18.75" customHeight="1">
      <c r="A82" s="1568" t="s">
        <v>212</v>
      </c>
      <c r="B82" s="1571" t="s">
        <v>213</v>
      </c>
      <c r="C82" s="1567"/>
      <c r="D82" s="1568"/>
      <c r="E82" s="1575"/>
      <c r="F82" s="1576"/>
      <c r="G82" s="1568" t="s">
        <v>212</v>
      </c>
      <c r="H82" s="1571" t="s">
        <v>213</v>
      </c>
      <c r="I82" s="1567"/>
      <c r="J82" s="1568"/>
    </row>
    <row r="83" spans="1:11">
      <c r="A83" s="1577" t="s">
        <v>214</v>
      </c>
      <c r="B83" s="1571" t="s">
        <v>215</v>
      </c>
      <c r="C83" s="1567"/>
      <c r="D83" s="1568">
        <f>+'Đội 1'!V106</f>
        <v>0</v>
      </c>
      <c r="E83" s="1574"/>
      <c r="F83" s="1576"/>
      <c r="G83" s="1577" t="s">
        <v>214</v>
      </c>
      <c r="H83" s="1571" t="s">
        <v>215</v>
      </c>
      <c r="I83" s="1567"/>
      <c r="J83" s="1568">
        <f>+'Đội 1'!AC106</f>
        <v>0</v>
      </c>
    </row>
    <row r="84" spans="1:11">
      <c r="A84" s="1561" t="s">
        <v>216</v>
      </c>
      <c r="B84" s="1571" t="s">
        <v>217</v>
      </c>
      <c r="C84" s="1567"/>
      <c r="D84" s="1568" t="e">
        <f>VLOOKUP(C75,'Đội 1'!$A$95:$V$99,21,0)</f>
        <v>#N/A</v>
      </c>
      <c r="E84" s="1578"/>
      <c r="F84" s="1560"/>
      <c r="G84" s="1561" t="s">
        <v>216</v>
      </c>
      <c r="H84" s="1571" t="s">
        <v>217</v>
      </c>
      <c r="I84" s="1567"/>
      <c r="J84" s="1568" t="e">
        <f>VLOOKUP(I75,'Đội 1'!$A$95:$V$99,21,0)</f>
        <v>#N/A</v>
      </c>
    </row>
    <row r="85" spans="1:11">
      <c r="A85" s="1568" t="s">
        <v>218</v>
      </c>
      <c r="B85" s="1571" t="s">
        <v>219</v>
      </c>
      <c r="C85" s="1579"/>
      <c r="D85" s="1580" t="e">
        <f>SUM(D76:D81)-D84</f>
        <v>#N/A</v>
      </c>
      <c r="E85" s="1581"/>
      <c r="F85" s="1582"/>
      <c r="G85" s="1568" t="s">
        <v>218</v>
      </c>
      <c r="H85" s="1571" t="s">
        <v>219</v>
      </c>
      <c r="I85" s="1579"/>
      <c r="J85" s="1580" t="e">
        <f>SUM(J76:J81)-J84</f>
        <v>#N/A</v>
      </c>
      <c r="K85" s="3350" t="e">
        <f>D85+J85</f>
        <v>#N/A</v>
      </c>
    </row>
    <row r="86" spans="1:11">
      <c r="A86" s="4836" t="str">
        <f>$K$2</f>
        <v>Tháng 12/24</v>
      </c>
      <c r="B86" s="4836"/>
      <c r="C86" s="4836"/>
      <c r="D86" s="4836"/>
      <c r="E86" s="1560"/>
      <c r="F86" s="1560"/>
      <c r="G86" s="4836" t="str">
        <f>$K$2</f>
        <v>Tháng 12/24</v>
      </c>
      <c r="H86" s="4836"/>
      <c r="I86" s="4836"/>
      <c r="J86" s="4836"/>
    </row>
    <row r="87" spans="1:11" ht="18">
      <c r="A87" s="1561" t="s">
        <v>1</v>
      </c>
      <c r="B87" s="3343" t="e">
        <f>VLOOKUP(C87,'Đội 1'!$A$95:$C$99,3,0)</f>
        <v>#N/A</v>
      </c>
      <c r="C87" s="1563">
        <v>13</v>
      </c>
      <c r="D87" s="1563"/>
      <c r="E87" s="1564"/>
      <c r="F87" s="1565"/>
      <c r="G87" s="1561" t="s">
        <v>1</v>
      </c>
      <c r="H87" s="3343" t="e">
        <f>VLOOKUP(I87,'Đội 1'!$A$95:$C$99,3,0)</f>
        <v>#N/A</v>
      </c>
      <c r="I87" s="1563">
        <v>14</v>
      </c>
      <c r="J87" s="1563"/>
    </row>
    <row r="88" spans="1:11" ht="18">
      <c r="A88" s="1561" t="s">
        <v>205</v>
      </c>
      <c r="B88" s="1566" t="s">
        <v>206</v>
      </c>
      <c r="C88" s="1567" t="e">
        <f>VLOOKUP(C87,'Đội 1'!$A$95:$F$99,6,0)</f>
        <v>#N/A</v>
      </c>
      <c r="D88" s="1568" t="e">
        <f>C88*25000</f>
        <v>#N/A</v>
      </c>
      <c r="E88" s="1569"/>
      <c r="F88" s="1570"/>
      <c r="G88" s="1561" t="s">
        <v>205</v>
      </c>
      <c r="H88" s="1566" t="s">
        <v>206</v>
      </c>
      <c r="I88" s="1567" t="e">
        <f>VLOOKUP(I87,'Đội 1'!$A$95:$F$99,6,0)</f>
        <v>#N/A</v>
      </c>
      <c r="J88" s="1568" t="e">
        <f>I88*25000</f>
        <v>#N/A</v>
      </c>
    </row>
    <row r="89" spans="1:11">
      <c r="A89" s="1561" t="s">
        <v>207</v>
      </c>
      <c r="B89" s="1571" t="s">
        <v>208</v>
      </c>
      <c r="C89" s="1567" t="e">
        <f>VLOOKUP(C87,'Đội 1'!$A$95:$N$99,12,0)</f>
        <v>#N/A</v>
      </c>
      <c r="D89" s="2374" t="e">
        <f>+C89*$L$3</f>
        <v>#N/A</v>
      </c>
      <c r="E89" s="1572"/>
      <c r="F89" s="1573"/>
      <c r="G89" s="1561" t="s">
        <v>207</v>
      </c>
      <c r="H89" s="1571" t="s">
        <v>208</v>
      </c>
      <c r="I89" s="1567" t="e">
        <f>VLOOKUP(I87,'Đội 1'!$A$95:$N$99,12,0)</f>
        <v>#N/A</v>
      </c>
      <c r="J89" s="2374" t="e">
        <f>+I89*$L$3</f>
        <v>#N/A</v>
      </c>
    </row>
    <row r="90" spans="1:11">
      <c r="A90" s="1561" t="s">
        <v>1259</v>
      </c>
      <c r="B90" s="1571" t="s">
        <v>209</v>
      </c>
      <c r="C90" s="2369" t="e">
        <f>VLOOKUP(C87,'Đội 1'!$A$95:$O$99,13,0)</f>
        <v>#N/A</v>
      </c>
      <c r="D90" s="2374" t="e">
        <f>+C90*$L$4</f>
        <v>#N/A</v>
      </c>
      <c r="E90" s="1572"/>
      <c r="F90" s="1573"/>
      <c r="G90" s="1561" t="s">
        <v>1259</v>
      </c>
      <c r="H90" s="1571" t="s">
        <v>209</v>
      </c>
      <c r="I90" s="2369" t="e">
        <f>VLOOKUP(I87,'Đội 1'!$A$95:$O$99,13,0)</f>
        <v>#N/A</v>
      </c>
      <c r="J90" s="2374" t="e">
        <f>+I90*$L$4</f>
        <v>#N/A</v>
      </c>
    </row>
    <row r="91" spans="1:11">
      <c r="A91" s="1561" t="s">
        <v>1531</v>
      </c>
      <c r="B91" s="1571"/>
      <c r="C91" s="2369" t="e">
        <f>VLOOKUP(C87,'Đội 1'!$A$95:$P$99,15,0)</f>
        <v>#N/A</v>
      </c>
      <c r="D91" s="2374" t="e">
        <f>+C91*20000+VLOOKUP(C87,'Đội 1'!$A$95:$P$99,14,0)*$L$5</f>
        <v>#N/A</v>
      </c>
      <c r="E91" s="1572"/>
      <c r="F91" s="1573"/>
      <c r="G91" s="1561" t="s">
        <v>1531</v>
      </c>
      <c r="H91" s="1571"/>
      <c r="I91" s="2369" t="e">
        <f>VLOOKUP(I87,'Đội 1'!$A$95:$P$99,15,0)</f>
        <v>#N/A</v>
      </c>
      <c r="J91" s="2374" t="e">
        <f>+I91*20000+VLOOKUP(I87,'Đội 1'!$A$95:$P$99,14,0)*$L$5</f>
        <v>#N/A</v>
      </c>
    </row>
    <row r="92" spans="1:11" hidden="1">
      <c r="A92" s="1561" t="s">
        <v>1971</v>
      </c>
      <c r="B92" s="1571"/>
      <c r="C92" s="2369">
        <v>0</v>
      </c>
      <c r="D92" s="2374">
        <f>+C92*25000</f>
        <v>0</v>
      </c>
      <c r="E92" s="1572"/>
      <c r="F92" s="1573"/>
      <c r="G92" s="1561" t="s">
        <v>1971</v>
      </c>
      <c r="H92" s="1571"/>
      <c r="I92" s="2369">
        <v>0</v>
      </c>
      <c r="J92" s="2374">
        <f>+I92*25000</f>
        <v>0</v>
      </c>
    </row>
    <row r="93" spans="1:11">
      <c r="A93" s="1561" t="s">
        <v>210</v>
      </c>
      <c r="B93" s="1571" t="s">
        <v>211</v>
      </c>
      <c r="C93" s="1567" t="e">
        <f>VLOOKUP(C87,'Đội 1'!$A$95:$J$99,9,0)</f>
        <v>#N/A</v>
      </c>
      <c r="D93" s="2374" t="e">
        <f>VLOOKUP(C87,'Đội 1'!$A$95:$M$99,11,0)</f>
        <v>#N/A</v>
      </c>
      <c r="E93" s="1574"/>
      <c r="F93" s="1573"/>
      <c r="G93" s="1561" t="s">
        <v>210</v>
      </c>
      <c r="H93" s="1571" t="s">
        <v>211</v>
      </c>
      <c r="I93" s="1567" t="e">
        <f>VLOOKUP(I87,'Đội 1'!$A$95:$J$99,9,0)</f>
        <v>#N/A</v>
      </c>
      <c r="J93" s="2374" t="e">
        <f>VLOOKUP(I87,'Đội 1'!$A$95:$M$99,11,0)</f>
        <v>#N/A</v>
      </c>
    </row>
    <row r="94" spans="1:11">
      <c r="A94" s="1568" t="s">
        <v>212</v>
      </c>
      <c r="B94" s="1571" t="s">
        <v>213</v>
      </c>
      <c r="C94" s="1567"/>
      <c r="D94" s="1568"/>
      <c r="E94" s="1575"/>
      <c r="F94" s="1576"/>
      <c r="G94" s="1568" t="s">
        <v>212</v>
      </c>
      <c r="H94" s="1571" t="s">
        <v>213</v>
      </c>
      <c r="I94" s="1567"/>
      <c r="J94" s="1568"/>
    </row>
    <row r="95" spans="1:11">
      <c r="A95" s="1577" t="s">
        <v>214</v>
      </c>
      <c r="B95" s="1571" t="s">
        <v>215</v>
      </c>
      <c r="C95" s="1567"/>
      <c r="D95" s="1568">
        <f>+'Đội 1'!V118</f>
        <v>0</v>
      </c>
      <c r="E95" s="1574"/>
      <c r="F95" s="1576"/>
      <c r="G95" s="1577" t="s">
        <v>214</v>
      </c>
      <c r="H95" s="1571" t="s">
        <v>215</v>
      </c>
      <c r="I95" s="1567"/>
      <c r="J95" s="1568">
        <f>+'Đội 1'!AC118</f>
        <v>0</v>
      </c>
    </row>
    <row r="96" spans="1:11">
      <c r="A96" s="1561" t="s">
        <v>216</v>
      </c>
      <c r="B96" s="1571" t="s">
        <v>217</v>
      </c>
      <c r="C96" s="1567"/>
      <c r="D96" s="1568" t="e">
        <f>VLOOKUP(C87,'Đội 1'!$A$95:$V$99,21,0)</f>
        <v>#N/A</v>
      </c>
      <c r="E96" s="1578"/>
      <c r="F96" s="1560"/>
      <c r="G96" s="1561" t="s">
        <v>216</v>
      </c>
      <c r="H96" s="1571" t="s">
        <v>217</v>
      </c>
      <c r="I96" s="1567"/>
      <c r="J96" s="1568" t="e">
        <f>VLOOKUP(I87,'Đội 1'!$A$95:$V$99,21,0)</f>
        <v>#N/A</v>
      </c>
    </row>
    <row r="97" spans="1:11">
      <c r="A97" s="1568" t="s">
        <v>218</v>
      </c>
      <c r="B97" s="1571" t="s">
        <v>219</v>
      </c>
      <c r="C97" s="1579"/>
      <c r="D97" s="1580" t="e">
        <f>SUM(D88:D93)-D96</f>
        <v>#N/A</v>
      </c>
      <c r="E97" s="1581"/>
      <c r="F97" s="1582"/>
      <c r="G97" s="1568" t="s">
        <v>218</v>
      </c>
      <c r="H97" s="1571" t="s">
        <v>219</v>
      </c>
      <c r="I97" s="1579"/>
      <c r="J97" s="1580" t="e">
        <f>SUM(J88:J93)-J96</f>
        <v>#N/A</v>
      </c>
      <c r="K97" s="3350" t="e">
        <f>D97+J97</f>
        <v>#N/A</v>
      </c>
    </row>
    <row r="98" spans="1:11">
      <c r="A98" s="1583"/>
      <c r="B98" s="1584"/>
      <c r="C98" s="1585"/>
      <c r="D98" s="1586"/>
      <c r="E98" s="1582"/>
      <c r="F98" s="1586"/>
      <c r="G98" s="1583"/>
      <c r="H98" s="1584"/>
      <c r="I98" s="1585"/>
      <c r="J98" s="1582"/>
    </row>
    <row r="99" spans="1:11">
      <c r="A99" s="1587"/>
      <c r="B99" s="1587"/>
      <c r="C99" s="1588"/>
      <c r="D99" s="3335"/>
      <c r="E99" s="1590"/>
      <c r="F99" s="1587"/>
      <c r="G99" s="1587"/>
      <c r="H99" s="1587"/>
      <c r="I99" s="1588"/>
      <c r="J99" s="1591"/>
    </row>
    <row r="100" spans="1:11">
      <c r="A100" s="4836" t="str">
        <f>$K$2</f>
        <v>Tháng 12/24</v>
      </c>
      <c r="B100" s="4836"/>
      <c r="C100" s="4836"/>
      <c r="D100" s="4836"/>
      <c r="E100" s="1560"/>
      <c r="F100" s="1560"/>
      <c r="G100" s="4836" t="str">
        <f>$K$2</f>
        <v>Tháng 12/24</v>
      </c>
      <c r="H100" s="4836"/>
      <c r="I100" s="4836"/>
      <c r="J100" s="4836"/>
    </row>
    <row r="101" spans="1:11" ht="18">
      <c r="A101" s="1561" t="s">
        <v>1</v>
      </c>
      <c r="B101" s="3343" t="e">
        <f>VLOOKUP(C101,'Đội 1'!$A$95:$C$99,3,0)</f>
        <v>#N/A</v>
      </c>
      <c r="C101" s="1563">
        <v>15</v>
      </c>
      <c r="D101" s="1563"/>
      <c r="E101" s="1564"/>
      <c r="F101" s="1565"/>
      <c r="G101" s="1561" t="s">
        <v>1</v>
      </c>
      <c r="H101" s="3343" t="e">
        <f>VLOOKUP(I101,'Đội 1'!$A$95:$C$99,3,0)</f>
        <v>#N/A</v>
      </c>
      <c r="I101" s="1563">
        <v>16</v>
      </c>
      <c r="J101" s="1563"/>
    </row>
    <row r="102" spans="1:11" ht="18">
      <c r="A102" s="1561" t="s">
        <v>205</v>
      </c>
      <c r="B102" s="1566" t="s">
        <v>206</v>
      </c>
      <c r="C102" s="1567" t="e">
        <f>VLOOKUP(C101,'Đội 1'!$A$95:$F$99,6,0)</f>
        <v>#N/A</v>
      </c>
      <c r="D102" s="1568" t="e">
        <f>C102*25000</f>
        <v>#N/A</v>
      </c>
      <c r="E102" s="1569"/>
      <c r="F102" s="1570"/>
      <c r="G102" s="1561" t="s">
        <v>205</v>
      </c>
      <c r="H102" s="1566" t="s">
        <v>206</v>
      </c>
      <c r="I102" s="1567" t="e">
        <f>VLOOKUP(I101,'Đội 1'!$A$95:$F$99,6,0)</f>
        <v>#N/A</v>
      </c>
      <c r="J102" s="1568" t="e">
        <f>I102*25000</f>
        <v>#N/A</v>
      </c>
    </row>
    <row r="103" spans="1:11">
      <c r="A103" s="1561" t="s">
        <v>207</v>
      </c>
      <c r="B103" s="1571" t="s">
        <v>208</v>
      </c>
      <c r="C103" s="1567" t="e">
        <f>VLOOKUP(C101,'Đội 1'!$A$95:$N$99,12,0)</f>
        <v>#N/A</v>
      </c>
      <c r="D103" s="2374" t="e">
        <f>+C103*$L$3</f>
        <v>#N/A</v>
      </c>
      <c r="E103" s="1572"/>
      <c r="F103" s="1573"/>
      <c r="G103" s="1561" t="s">
        <v>207</v>
      </c>
      <c r="H103" s="1571" t="s">
        <v>208</v>
      </c>
      <c r="I103" s="1567" t="e">
        <f>VLOOKUP(I101,'Đội 1'!$A$95:$N$99,12,0)</f>
        <v>#N/A</v>
      </c>
      <c r="J103" s="2374" t="e">
        <f>+I103*$L$3</f>
        <v>#N/A</v>
      </c>
    </row>
    <row r="104" spans="1:11">
      <c r="A104" s="1561" t="s">
        <v>1259</v>
      </c>
      <c r="B104" s="1571" t="s">
        <v>209</v>
      </c>
      <c r="C104" s="2369" t="e">
        <f>VLOOKUP(C101,'Đội 1'!$A$95:$O$99,13,0)</f>
        <v>#N/A</v>
      </c>
      <c r="D104" s="2374" t="e">
        <f>+C104*$L$4</f>
        <v>#N/A</v>
      </c>
      <c r="E104" s="1572"/>
      <c r="F104" s="1573"/>
      <c r="G104" s="1561" t="s">
        <v>1259</v>
      </c>
      <c r="H104" s="1571" t="s">
        <v>209</v>
      </c>
      <c r="I104" s="2369" t="e">
        <f>VLOOKUP(I101,'Đội 1'!$A$95:$O$99,13,0)</f>
        <v>#N/A</v>
      </c>
      <c r="J104" s="2374" t="e">
        <f>+I104*$L$4</f>
        <v>#N/A</v>
      </c>
    </row>
    <row r="105" spans="1:11">
      <c r="A105" s="1561" t="s">
        <v>1531</v>
      </c>
      <c r="B105" s="1571"/>
      <c r="C105" s="2369" t="e">
        <f>VLOOKUP(C101,'Đội 1'!$A$95:$P$99,15,0)</f>
        <v>#N/A</v>
      </c>
      <c r="D105" s="2374" t="e">
        <f>+C105*20000+VLOOKUP(C101,'Đội 1'!$A$95:$P$99,14,0)*$L$5</f>
        <v>#N/A</v>
      </c>
      <c r="E105" s="1572"/>
      <c r="F105" s="1573"/>
      <c r="G105" s="1561" t="s">
        <v>1531</v>
      </c>
      <c r="H105" s="1571"/>
      <c r="I105" s="2369" t="e">
        <f>VLOOKUP(I101,'Đội 1'!$A$95:$P$99,15,0)</f>
        <v>#N/A</v>
      </c>
      <c r="J105" s="2374" t="e">
        <f>+I105*20000+VLOOKUP(I101,'Đội 1'!$A$95:$P$99,14,0)*$L$5</f>
        <v>#N/A</v>
      </c>
    </row>
    <row r="106" spans="1:11" hidden="1">
      <c r="A106" s="1561" t="s">
        <v>1971</v>
      </c>
      <c r="B106" s="1571"/>
      <c r="C106" s="2369">
        <v>0</v>
      </c>
      <c r="D106" s="2374">
        <f>+C106*25000</f>
        <v>0</v>
      </c>
      <c r="E106" s="1572"/>
      <c r="F106" s="1573"/>
      <c r="G106" s="1561" t="s">
        <v>1971</v>
      </c>
      <c r="H106" s="1571"/>
      <c r="I106" s="2369">
        <v>0</v>
      </c>
      <c r="J106" s="2374">
        <f>+I106*25000</f>
        <v>0</v>
      </c>
    </row>
    <row r="107" spans="1:11">
      <c r="A107" s="1561" t="s">
        <v>210</v>
      </c>
      <c r="B107" s="1571" t="s">
        <v>211</v>
      </c>
      <c r="C107" s="1567" t="e">
        <f>VLOOKUP(C101,'Đội 1'!$A$95:$J$99,9,0)</f>
        <v>#N/A</v>
      </c>
      <c r="D107" s="2374" t="e">
        <f>VLOOKUP(C101,'Đội 1'!$A$95:$M$99,11,0)</f>
        <v>#N/A</v>
      </c>
      <c r="E107" s="1574"/>
      <c r="F107" s="1573"/>
      <c r="G107" s="1561" t="s">
        <v>210</v>
      </c>
      <c r="H107" s="1571" t="s">
        <v>211</v>
      </c>
      <c r="I107" s="1567" t="e">
        <f>VLOOKUP(I101,'Đội 1'!$A$95:$J$99,9,0)</f>
        <v>#N/A</v>
      </c>
      <c r="J107" s="2374" t="e">
        <f>VLOOKUP(I101,'Đội 1'!$A$95:$M$99,11,0)</f>
        <v>#N/A</v>
      </c>
    </row>
    <row r="108" spans="1:11" ht="18.75" customHeight="1">
      <c r="A108" s="1568" t="s">
        <v>212</v>
      </c>
      <c r="B108" s="1571" t="s">
        <v>213</v>
      </c>
      <c r="C108" s="1567"/>
      <c r="D108" s="1568"/>
      <c r="E108" s="1575"/>
      <c r="F108" s="1576"/>
      <c r="G108" s="1568" t="s">
        <v>212</v>
      </c>
      <c r="H108" s="1571" t="s">
        <v>213</v>
      </c>
      <c r="I108" s="1567"/>
      <c r="J108" s="1568"/>
    </row>
    <row r="109" spans="1:11">
      <c r="A109" s="1577" t="s">
        <v>214</v>
      </c>
      <c r="B109" s="1571" t="s">
        <v>215</v>
      </c>
      <c r="C109" s="1567"/>
      <c r="D109" s="1568">
        <f>+'Đội 1'!V132</f>
        <v>0</v>
      </c>
      <c r="E109" s="1574"/>
      <c r="F109" s="1576"/>
      <c r="G109" s="1577" t="s">
        <v>214</v>
      </c>
      <c r="H109" s="1571" t="s">
        <v>215</v>
      </c>
      <c r="I109" s="1567"/>
      <c r="J109" s="1568">
        <f>+'Đội 1'!AC132</f>
        <v>0</v>
      </c>
    </row>
    <row r="110" spans="1:11">
      <c r="A110" s="1561" t="s">
        <v>216</v>
      </c>
      <c r="B110" s="1571" t="s">
        <v>217</v>
      </c>
      <c r="C110" s="1567"/>
      <c r="D110" s="1568" t="e">
        <f>VLOOKUP(C101,'Đội 1'!$A$95:$V$99,21,0)</f>
        <v>#N/A</v>
      </c>
      <c r="E110" s="1578"/>
      <c r="F110" s="1560"/>
      <c r="G110" s="1561" t="s">
        <v>216</v>
      </c>
      <c r="H110" s="1571" t="s">
        <v>217</v>
      </c>
      <c r="I110" s="1567"/>
      <c r="J110" s="1568" t="e">
        <f>VLOOKUP(I101,'Đội 1'!$A$95:$V$99,21,0)</f>
        <v>#N/A</v>
      </c>
    </row>
    <row r="111" spans="1:11">
      <c r="A111" s="1568" t="s">
        <v>218</v>
      </c>
      <c r="B111" s="1571" t="s">
        <v>219</v>
      </c>
      <c r="C111" s="1579"/>
      <c r="D111" s="1580" t="e">
        <f>SUM(D102:D107)-D110</f>
        <v>#N/A</v>
      </c>
      <c r="E111" s="1581"/>
      <c r="F111" s="1582"/>
      <c r="G111" s="1568" t="s">
        <v>218</v>
      </c>
      <c r="H111" s="1571" t="s">
        <v>219</v>
      </c>
      <c r="I111" s="1579"/>
      <c r="J111" s="1580" t="e">
        <f>SUM(J102:J107)-J110</f>
        <v>#N/A</v>
      </c>
      <c r="K111" s="3350" t="e">
        <f>D111+J111</f>
        <v>#N/A</v>
      </c>
    </row>
    <row r="112" spans="1:11">
      <c r="A112" s="1583"/>
      <c r="B112" s="1584"/>
      <c r="C112" s="1585"/>
      <c r="D112" s="1586"/>
      <c r="E112" s="1582"/>
      <c r="F112" s="1586"/>
      <c r="G112" s="1583"/>
      <c r="H112" s="1584"/>
      <c r="I112" s="1585"/>
      <c r="J112" s="1582"/>
    </row>
    <row r="113" spans="1:11">
      <c r="A113" s="1587"/>
      <c r="B113" s="1587"/>
      <c r="C113" s="1588"/>
      <c r="D113" s="3335"/>
      <c r="E113" s="1590"/>
      <c r="F113" s="1587"/>
      <c r="G113" s="1587"/>
      <c r="H113" s="1587"/>
      <c r="I113" s="1588"/>
      <c r="J113" s="1591"/>
    </row>
    <row r="114" spans="1:11">
      <c r="A114" s="4836" t="str">
        <f>$K$2</f>
        <v>Tháng 12/24</v>
      </c>
      <c r="B114" s="4836"/>
      <c r="C114" s="4836"/>
      <c r="D114" s="4836"/>
      <c r="E114" s="1560"/>
      <c r="F114" s="1560"/>
      <c r="G114" s="4836" t="str">
        <f>$K$2</f>
        <v>Tháng 12/24</v>
      </c>
      <c r="H114" s="4836"/>
      <c r="I114" s="4836"/>
      <c r="J114" s="4836"/>
    </row>
    <row r="115" spans="1:11" ht="18">
      <c r="A115" s="1561" t="s">
        <v>1</v>
      </c>
      <c r="B115" s="3343" t="e">
        <f>VLOOKUP(C115,'Đội 1'!$A$95:$C$99,3,0)</f>
        <v>#N/A</v>
      </c>
      <c r="C115" s="1563">
        <v>17</v>
      </c>
      <c r="D115" s="1563"/>
      <c r="E115" s="1564"/>
      <c r="F115" s="1565"/>
      <c r="G115" s="1561" t="s">
        <v>1</v>
      </c>
      <c r="H115" s="3343" t="e">
        <f>VLOOKUP(I115,'Đội 1'!$A$95:$C$99,3,0)</f>
        <v>#N/A</v>
      </c>
      <c r="I115" s="1563">
        <v>18</v>
      </c>
      <c r="J115" s="1563"/>
    </row>
    <row r="116" spans="1:11" ht="18">
      <c r="A116" s="1561" t="s">
        <v>205</v>
      </c>
      <c r="B116" s="1566" t="s">
        <v>206</v>
      </c>
      <c r="C116" s="1567" t="e">
        <f>VLOOKUP(C115,'Đội 1'!$A$95:$F$99,6,0)</f>
        <v>#N/A</v>
      </c>
      <c r="D116" s="1568" t="e">
        <f>C116*25000</f>
        <v>#N/A</v>
      </c>
      <c r="E116" s="1569"/>
      <c r="F116" s="1570"/>
      <c r="G116" s="1561" t="s">
        <v>205</v>
      </c>
      <c r="H116" s="1566" t="s">
        <v>206</v>
      </c>
      <c r="I116" s="1567" t="e">
        <f>VLOOKUP(I115,'Đội 1'!$A$95:$F$99,6,0)</f>
        <v>#N/A</v>
      </c>
      <c r="J116" s="1568" t="e">
        <f>I116*25000</f>
        <v>#N/A</v>
      </c>
    </row>
    <row r="117" spans="1:11">
      <c r="A117" s="1561" t="s">
        <v>207</v>
      </c>
      <c r="B117" s="1571" t="s">
        <v>208</v>
      </c>
      <c r="C117" s="1567" t="e">
        <f>VLOOKUP(C115,'Đội 1'!$A$95:$N$99,12,0)</f>
        <v>#N/A</v>
      </c>
      <c r="D117" s="2374" t="e">
        <f>+C117*$L$3</f>
        <v>#N/A</v>
      </c>
      <c r="E117" s="1572"/>
      <c r="F117" s="1573"/>
      <c r="G117" s="1561" t="s">
        <v>207</v>
      </c>
      <c r="H117" s="1571" t="s">
        <v>208</v>
      </c>
      <c r="I117" s="1567" t="e">
        <f>VLOOKUP(I115,'Đội 1'!$A$95:$N$99,12,0)</f>
        <v>#N/A</v>
      </c>
      <c r="J117" s="2374" t="e">
        <f>+I117*$L$3</f>
        <v>#N/A</v>
      </c>
    </row>
    <row r="118" spans="1:11">
      <c r="A118" s="1561" t="s">
        <v>1259</v>
      </c>
      <c r="B118" s="1571" t="s">
        <v>209</v>
      </c>
      <c r="C118" s="2369" t="e">
        <f>VLOOKUP(C115,'Đội 1'!$A$95:$O$99,13,0)</f>
        <v>#N/A</v>
      </c>
      <c r="D118" s="2374" t="e">
        <f>+C118*$L$4</f>
        <v>#N/A</v>
      </c>
      <c r="E118" s="1572"/>
      <c r="F118" s="1573"/>
      <c r="G118" s="1561" t="s">
        <v>1259</v>
      </c>
      <c r="H118" s="1571" t="s">
        <v>209</v>
      </c>
      <c r="I118" s="2369" t="e">
        <f>VLOOKUP(I115,'Đội 1'!$A$95:$O$99,13,0)</f>
        <v>#N/A</v>
      </c>
      <c r="J118" s="2374" t="e">
        <f>+I118*$L$4</f>
        <v>#N/A</v>
      </c>
    </row>
    <row r="119" spans="1:11">
      <c r="A119" s="1561" t="s">
        <v>1531</v>
      </c>
      <c r="B119" s="1571"/>
      <c r="C119" s="2369" t="e">
        <f>VLOOKUP(C115,'Đội 1'!$A$95:$P$99,15,0)</f>
        <v>#N/A</v>
      </c>
      <c r="D119" s="2374" t="e">
        <f>+C119*20000+VLOOKUP(C115,'Đội 1'!$A$95:$P$99,14,0)*$L$5</f>
        <v>#N/A</v>
      </c>
      <c r="E119" s="1572"/>
      <c r="F119" s="1573"/>
      <c r="G119" s="1561" t="s">
        <v>1531</v>
      </c>
      <c r="H119" s="1571"/>
      <c r="I119" s="2369" t="e">
        <f>VLOOKUP(I115,'Đội 1'!$A$95:$P$99,15,0)</f>
        <v>#N/A</v>
      </c>
      <c r="J119" s="2374" t="e">
        <f>+I119*20000+VLOOKUP(I115,'Đội 1'!$A$95:$P$99,14,0)*$L$5</f>
        <v>#N/A</v>
      </c>
    </row>
    <row r="120" spans="1:11" hidden="1">
      <c r="A120" s="1561" t="s">
        <v>1971</v>
      </c>
      <c r="B120" s="1571"/>
      <c r="C120" s="2369">
        <v>0</v>
      </c>
      <c r="D120" s="2374">
        <f>+C120*25000</f>
        <v>0</v>
      </c>
      <c r="E120" s="1572"/>
      <c r="F120" s="1573"/>
      <c r="G120" s="1561" t="s">
        <v>1971</v>
      </c>
      <c r="H120" s="1571"/>
      <c r="I120" s="2369">
        <v>0</v>
      </c>
      <c r="J120" s="2374">
        <f>+I120*25000</f>
        <v>0</v>
      </c>
    </row>
    <row r="121" spans="1:11" ht="12.75" customHeight="1">
      <c r="A121" s="1561" t="s">
        <v>210</v>
      </c>
      <c r="B121" s="1571" t="s">
        <v>211</v>
      </c>
      <c r="C121" s="1567" t="e">
        <f>VLOOKUP(C115,'Đội 1'!$A$95:$J$99,9,0)</f>
        <v>#N/A</v>
      </c>
      <c r="D121" s="2374" t="e">
        <f>VLOOKUP(C115,'Đội 1'!$A$95:$M$99,11,0)</f>
        <v>#N/A</v>
      </c>
      <c r="E121" s="1574"/>
      <c r="F121" s="1573"/>
      <c r="G121" s="1561" t="s">
        <v>210</v>
      </c>
      <c r="H121" s="1571" t="s">
        <v>211</v>
      </c>
      <c r="I121" s="1567" t="e">
        <f>VLOOKUP(I115,'Đội 1'!$A$95:$J$99,9,0)</f>
        <v>#N/A</v>
      </c>
      <c r="J121" s="2374" t="e">
        <f>VLOOKUP(I115,'Đội 1'!$A$95:$M$99,11,0)</f>
        <v>#N/A</v>
      </c>
    </row>
    <row r="122" spans="1:11">
      <c r="A122" s="1568" t="s">
        <v>212</v>
      </c>
      <c r="B122" s="1571" t="s">
        <v>213</v>
      </c>
      <c r="C122" s="1567"/>
      <c r="D122" s="1568"/>
      <c r="E122" s="1575"/>
      <c r="F122" s="1576"/>
      <c r="G122" s="1568" t="s">
        <v>212</v>
      </c>
      <c r="H122" s="1571" t="s">
        <v>213</v>
      </c>
      <c r="I122" s="1567"/>
      <c r="J122" s="1568"/>
    </row>
    <row r="123" spans="1:11">
      <c r="A123" s="1577" t="s">
        <v>214</v>
      </c>
      <c r="B123" s="1571" t="s">
        <v>215</v>
      </c>
      <c r="C123" s="1567"/>
      <c r="D123" s="1568">
        <f>+'Đội 1'!V146</f>
        <v>0</v>
      </c>
      <c r="E123" s="1574"/>
      <c r="F123" s="1576"/>
      <c r="G123" s="1577" t="s">
        <v>214</v>
      </c>
      <c r="H123" s="1571" t="s">
        <v>215</v>
      </c>
      <c r="I123" s="1567"/>
      <c r="J123" s="1568">
        <f>+'Đội 1'!AC146</f>
        <v>0</v>
      </c>
    </row>
    <row r="124" spans="1:11">
      <c r="A124" s="1561" t="s">
        <v>216</v>
      </c>
      <c r="B124" s="1571" t="s">
        <v>217</v>
      </c>
      <c r="C124" s="1567"/>
      <c r="D124" s="1568" t="e">
        <f>VLOOKUP(C115,'Đội 1'!$A$95:$V$99,21,0)</f>
        <v>#N/A</v>
      </c>
      <c r="E124" s="1578"/>
      <c r="F124" s="1560"/>
      <c r="G124" s="1561" t="s">
        <v>216</v>
      </c>
      <c r="H124" s="1571" t="s">
        <v>217</v>
      </c>
      <c r="I124" s="1567"/>
      <c r="J124" s="1568" t="e">
        <f>VLOOKUP(I115,'Đội 1'!$A$95:$V$99,21,0)</f>
        <v>#N/A</v>
      </c>
    </row>
    <row r="125" spans="1:11">
      <c r="A125" s="1568" t="s">
        <v>218</v>
      </c>
      <c r="B125" s="1571" t="s">
        <v>219</v>
      </c>
      <c r="C125" s="1579"/>
      <c r="D125" s="1580" t="e">
        <f>SUM(D116:D121)-D124</f>
        <v>#N/A</v>
      </c>
      <c r="E125" s="1581"/>
      <c r="F125" s="1582"/>
      <c r="G125" s="1568" t="s">
        <v>218</v>
      </c>
      <c r="H125" s="1571" t="s">
        <v>219</v>
      </c>
      <c r="I125" s="1579"/>
      <c r="J125" s="1580" t="e">
        <f>SUM(J116:J121)-J124</f>
        <v>#N/A</v>
      </c>
      <c r="K125" s="3350" t="e">
        <f>D125+J125</f>
        <v>#N/A</v>
      </c>
    </row>
    <row r="126" spans="1:11">
      <c r="A126" s="1583"/>
      <c r="B126" s="1584"/>
      <c r="C126" s="1592"/>
      <c r="D126" s="1593"/>
      <c r="E126" s="1586"/>
      <c r="F126" s="1586"/>
      <c r="G126" s="1583"/>
      <c r="H126" s="1584"/>
      <c r="I126" s="1592"/>
      <c r="J126" s="1593"/>
    </row>
    <row r="127" spans="1:11" ht="15" customHeight="1">
      <c r="A127" s="4836" t="str">
        <f>$K$2</f>
        <v>Tháng 12/24</v>
      </c>
      <c r="B127" s="4836"/>
      <c r="C127" s="4836"/>
      <c r="D127" s="4836"/>
      <c r="E127" s="1560"/>
      <c r="F127" s="1560"/>
      <c r="G127" s="4836" t="str">
        <f>$K$2</f>
        <v>Tháng 12/24</v>
      </c>
      <c r="H127" s="4836"/>
      <c r="I127" s="4836"/>
      <c r="J127" s="4836"/>
    </row>
    <row r="128" spans="1:11" ht="18">
      <c r="A128" s="1561" t="s">
        <v>1</v>
      </c>
      <c r="B128" s="3343" t="e">
        <f>VLOOKUP(C128,'Đội 1'!$A$95:$C$99,3,0)</f>
        <v>#N/A</v>
      </c>
      <c r="C128" s="1563">
        <v>19</v>
      </c>
      <c r="D128" s="1563"/>
      <c r="E128" s="1564"/>
      <c r="F128" s="1565"/>
      <c r="G128" s="1561" t="s">
        <v>1</v>
      </c>
      <c r="H128" s="3343" t="e">
        <f>VLOOKUP(I128,'Đội 1'!$A$95:$C$99,3,0)</f>
        <v>#N/A</v>
      </c>
      <c r="I128" s="1563">
        <v>20</v>
      </c>
      <c r="J128" s="1563"/>
    </row>
    <row r="129" spans="1:11" ht="18">
      <c r="A129" s="1561" t="s">
        <v>205</v>
      </c>
      <c r="B129" s="1566" t="s">
        <v>206</v>
      </c>
      <c r="C129" s="1567" t="e">
        <f>VLOOKUP(C128,'Đội 1'!$A$95:$F$99,6,0)</f>
        <v>#N/A</v>
      </c>
      <c r="D129" s="1568" t="e">
        <f>C129*25000</f>
        <v>#N/A</v>
      </c>
      <c r="E129" s="1569"/>
      <c r="F129" s="1570"/>
      <c r="G129" s="1561" t="s">
        <v>205</v>
      </c>
      <c r="H129" s="1566" t="s">
        <v>206</v>
      </c>
      <c r="I129" s="1567" t="e">
        <f>VLOOKUP(I128,'Đội 1'!$A$95:$F$99,6,0)</f>
        <v>#N/A</v>
      </c>
      <c r="J129" s="1568" t="e">
        <f>I129*25000</f>
        <v>#N/A</v>
      </c>
    </row>
    <row r="130" spans="1:11">
      <c r="A130" s="1561" t="s">
        <v>207</v>
      </c>
      <c r="B130" s="1571" t="s">
        <v>208</v>
      </c>
      <c r="C130" s="1567" t="e">
        <f>VLOOKUP(C128,'Đội 1'!$A$95:$N$99,12,0)</f>
        <v>#N/A</v>
      </c>
      <c r="D130" s="2374" t="e">
        <f>+C130*$L$3</f>
        <v>#N/A</v>
      </c>
      <c r="E130" s="1572"/>
      <c r="F130" s="1573"/>
      <c r="G130" s="1561" t="s">
        <v>207</v>
      </c>
      <c r="H130" s="1571" t="s">
        <v>208</v>
      </c>
      <c r="I130" s="1567" t="e">
        <f>VLOOKUP(I128,'Đội 1'!$A$95:$N$99,12,0)</f>
        <v>#N/A</v>
      </c>
      <c r="J130" s="2374" t="e">
        <f>+I130*$L$3</f>
        <v>#N/A</v>
      </c>
    </row>
    <row r="131" spans="1:11">
      <c r="A131" s="1561" t="s">
        <v>1259</v>
      </c>
      <c r="B131" s="1571" t="s">
        <v>209</v>
      </c>
      <c r="C131" s="2369" t="e">
        <f>VLOOKUP(C128,'Đội 1'!$A$95:$O$99,13,0)</f>
        <v>#N/A</v>
      </c>
      <c r="D131" s="2374" t="e">
        <f>+C131*$L$4</f>
        <v>#N/A</v>
      </c>
      <c r="E131" s="1572"/>
      <c r="F131" s="1573"/>
      <c r="G131" s="1561" t="s">
        <v>1259</v>
      </c>
      <c r="H131" s="1571" t="s">
        <v>209</v>
      </c>
      <c r="I131" s="2369" t="e">
        <f>VLOOKUP(I128,'Đội 1'!$A$95:$O$99,13,0)</f>
        <v>#N/A</v>
      </c>
      <c r="J131" s="2374" t="e">
        <f>+I131*$L$4</f>
        <v>#N/A</v>
      </c>
    </row>
    <row r="132" spans="1:11">
      <c r="A132" s="1561" t="s">
        <v>1531</v>
      </c>
      <c r="B132" s="1571"/>
      <c r="C132" s="2369" t="e">
        <f>VLOOKUP(C128,'Đội 1'!$A$95:$P$99,15,0)</f>
        <v>#N/A</v>
      </c>
      <c r="D132" s="2374" t="e">
        <f>+C132*20000+VLOOKUP(C128,'Đội 1'!$A$95:$P$99,14,0)*$L$5</f>
        <v>#N/A</v>
      </c>
      <c r="E132" s="1572"/>
      <c r="F132" s="1573"/>
      <c r="G132" s="1561" t="s">
        <v>1531</v>
      </c>
      <c r="H132" s="1571"/>
      <c r="I132" s="2369" t="e">
        <f>VLOOKUP(I128,'Đội 1'!$A$95:$P$99,15,0)</f>
        <v>#N/A</v>
      </c>
      <c r="J132" s="2374" t="e">
        <f>+I132*20000+VLOOKUP(I128,'Đội 1'!$A$95:$P$99,14,0)*$L$5</f>
        <v>#N/A</v>
      </c>
    </row>
    <row r="133" spans="1:11" hidden="1">
      <c r="A133" s="1561" t="s">
        <v>1971</v>
      </c>
      <c r="B133" s="1571"/>
      <c r="C133" s="2369">
        <v>0</v>
      </c>
      <c r="D133" s="2374">
        <f>+C133*25000</f>
        <v>0</v>
      </c>
      <c r="E133" s="1572"/>
      <c r="F133" s="1573"/>
      <c r="G133" s="1561" t="s">
        <v>1971</v>
      </c>
      <c r="H133" s="1571"/>
      <c r="I133" s="2369">
        <v>0</v>
      </c>
      <c r="J133" s="2374">
        <f>+I133*25000</f>
        <v>0</v>
      </c>
    </row>
    <row r="134" spans="1:11">
      <c r="A134" s="1561" t="s">
        <v>210</v>
      </c>
      <c r="B134" s="1571" t="s">
        <v>211</v>
      </c>
      <c r="C134" s="1567" t="e">
        <f>VLOOKUP(C128,'Đội 1'!$A$95:$J$99,9,0)</f>
        <v>#N/A</v>
      </c>
      <c r="D134" s="2374" t="e">
        <f>VLOOKUP(C128,'Đội 1'!$A$95:$M$99,11,0)</f>
        <v>#N/A</v>
      </c>
      <c r="E134" s="1574"/>
      <c r="F134" s="1573"/>
      <c r="G134" s="1561" t="s">
        <v>210</v>
      </c>
      <c r="H134" s="1571" t="s">
        <v>211</v>
      </c>
      <c r="I134" s="1567" t="e">
        <f>VLOOKUP(I128,'Đội 1'!$A$95:$J$99,9,0)</f>
        <v>#N/A</v>
      </c>
      <c r="J134" s="2374" t="e">
        <f>VLOOKUP(I128,'Đội 1'!$A$95:$M$99,11,0)</f>
        <v>#N/A</v>
      </c>
    </row>
    <row r="135" spans="1:11">
      <c r="A135" s="1568" t="s">
        <v>212</v>
      </c>
      <c r="B135" s="1571" t="s">
        <v>213</v>
      </c>
      <c r="C135" s="1567"/>
      <c r="D135" s="1568"/>
      <c r="E135" s="1575"/>
      <c r="F135" s="1576"/>
      <c r="G135" s="1568" t="s">
        <v>212</v>
      </c>
      <c r="H135" s="1571" t="s">
        <v>213</v>
      </c>
      <c r="I135" s="1567"/>
      <c r="J135" s="1568"/>
    </row>
    <row r="136" spans="1:11">
      <c r="A136" s="1577" t="s">
        <v>214</v>
      </c>
      <c r="B136" s="1571" t="s">
        <v>215</v>
      </c>
      <c r="C136" s="1567"/>
      <c r="D136" s="1568">
        <f>+'Đội 1'!V159</f>
        <v>0</v>
      </c>
      <c r="E136" s="1574"/>
      <c r="F136" s="1576"/>
      <c r="G136" s="1577" t="s">
        <v>214</v>
      </c>
      <c r="H136" s="1571" t="s">
        <v>215</v>
      </c>
      <c r="I136" s="1567"/>
      <c r="J136" s="1568">
        <f>+'Đội 1'!AC159</f>
        <v>0</v>
      </c>
    </row>
    <row r="137" spans="1:11">
      <c r="A137" s="1561" t="s">
        <v>216</v>
      </c>
      <c r="B137" s="1571" t="s">
        <v>217</v>
      </c>
      <c r="C137" s="1567"/>
      <c r="D137" s="1568" t="e">
        <f>VLOOKUP(C128,'Đội 1'!$A$95:$V$99,21,0)</f>
        <v>#N/A</v>
      </c>
      <c r="E137" s="1578"/>
      <c r="F137" s="1560"/>
      <c r="G137" s="1561" t="s">
        <v>216</v>
      </c>
      <c r="H137" s="1571" t="s">
        <v>217</v>
      </c>
      <c r="I137" s="1567"/>
      <c r="J137" s="1568" t="e">
        <f>VLOOKUP(I128,'Đội 1'!$A$95:$V$99,21,0)</f>
        <v>#N/A</v>
      </c>
    </row>
    <row r="138" spans="1:11">
      <c r="A138" s="1568" t="s">
        <v>218</v>
      </c>
      <c r="B138" s="1571" t="s">
        <v>219</v>
      </c>
      <c r="C138" s="1579"/>
      <c r="D138" s="1580" t="e">
        <f>SUM(D129:D134)-D137</f>
        <v>#N/A</v>
      </c>
      <c r="E138" s="1581"/>
      <c r="F138" s="1582"/>
      <c r="G138" s="1568" t="s">
        <v>218</v>
      </c>
      <c r="H138" s="1571" t="s">
        <v>219</v>
      </c>
      <c r="I138" s="1579"/>
      <c r="J138" s="1580" t="e">
        <f>SUM(J129:J134)-J137</f>
        <v>#N/A</v>
      </c>
      <c r="K138" s="3350" t="e">
        <f>D138+J138</f>
        <v>#N/A</v>
      </c>
    </row>
    <row r="139" spans="1:11">
      <c r="A139" s="1583"/>
      <c r="B139" s="1584"/>
      <c r="C139" s="1585"/>
      <c r="D139" s="1586"/>
      <c r="E139" s="1582"/>
      <c r="F139" s="1586"/>
      <c r="G139" s="1583"/>
      <c r="H139" s="1584"/>
      <c r="I139" s="1585"/>
      <c r="J139" s="1582"/>
    </row>
    <row r="140" spans="1:11">
      <c r="A140" s="1587"/>
      <c r="B140" s="1587"/>
      <c r="C140" s="1588"/>
      <c r="D140" s="3335"/>
      <c r="E140" s="1590"/>
      <c r="F140" s="1587"/>
      <c r="G140" s="1587"/>
      <c r="H140" s="1587"/>
      <c r="I140" s="1588"/>
      <c r="J140" s="1591"/>
    </row>
    <row r="141" spans="1:11">
      <c r="A141" s="4836" t="str">
        <f>$K$2</f>
        <v>Tháng 12/24</v>
      </c>
      <c r="B141" s="4836"/>
      <c r="C141" s="4836"/>
      <c r="D141" s="4836"/>
      <c r="E141" s="1560"/>
      <c r="F141" s="1560"/>
      <c r="G141" s="4836" t="str">
        <f>$K$2</f>
        <v>Tháng 12/24</v>
      </c>
      <c r="H141" s="4836"/>
      <c r="I141" s="4836"/>
      <c r="J141" s="4836"/>
    </row>
    <row r="142" spans="1:11" ht="18">
      <c r="A142" s="1561" t="s">
        <v>1</v>
      </c>
      <c r="B142" s="3343" t="e">
        <f>VLOOKUP(C142,'Đội 1'!$A$95:$C$99,3,0)</f>
        <v>#N/A</v>
      </c>
      <c r="C142" s="1563">
        <v>21</v>
      </c>
      <c r="D142" s="1563"/>
      <c r="E142" s="1564"/>
      <c r="F142" s="1565"/>
      <c r="G142" s="1561" t="s">
        <v>1</v>
      </c>
      <c r="H142" s="3343" t="e">
        <f>VLOOKUP(I142,'Đội 1'!$A$95:$C$99,3,0)</f>
        <v>#N/A</v>
      </c>
      <c r="I142" s="1563">
        <v>22</v>
      </c>
      <c r="J142" s="1563"/>
    </row>
    <row r="143" spans="1:11" ht="18">
      <c r="A143" s="1561" t="s">
        <v>205</v>
      </c>
      <c r="B143" s="1566" t="s">
        <v>206</v>
      </c>
      <c r="C143" s="1567" t="e">
        <f>VLOOKUP(C142,'Đội 1'!$A$95:$F$99,6,0)</f>
        <v>#N/A</v>
      </c>
      <c r="D143" s="1568" t="e">
        <f>C143*25000</f>
        <v>#N/A</v>
      </c>
      <c r="E143" s="1569"/>
      <c r="F143" s="1570"/>
      <c r="G143" s="1561" t="s">
        <v>205</v>
      </c>
      <c r="H143" s="1566" t="s">
        <v>206</v>
      </c>
      <c r="I143" s="1567" t="e">
        <f>VLOOKUP(I142,'Đội 1'!$A$95:$F$99,6,0)</f>
        <v>#N/A</v>
      </c>
      <c r="J143" s="1568" t="e">
        <f>I143*25000</f>
        <v>#N/A</v>
      </c>
    </row>
    <row r="144" spans="1:11">
      <c r="A144" s="1561" t="s">
        <v>207</v>
      </c>
      <c r="B144" s="1571" t="s">
        <v>208</v>
      </c>
      <c r="C144" s="1567" t="e">
        <f>VLOOKUP(C142,'Đội 1'!$A$95:$N$99,12,0)</f>
        <v>#N/A</v>
      </c>
      <c r="D144" s="2374" t="e">
        <f>+C144*$L$3</f>
        <v>#N/A</v>
      </c>
      <c r="E144" s="1572"/>
      <c r="F144" s="1573"/>
      <c r="G144" s="1561" t="s">
        <v>207</v>
      </c>
      <c r="H144" s="1571" t="s">
        <v>208</v>
      </c>
      <c r="I144" s="1567" t="e">
        <f>VLOOKUP(I142,'Đội 1'!$A$95:$N$99,12,0)</f>
        <v>#N/A</v>
      </c>
      <c r="J144" s="2374" t="e">
        <f>+I144*$L$3</f>
        <v>#N/A</v>
      </c>
    </row>
    <row r="145" spans="1:11">
      <c r="A145" s="1561" t="s">
        <v>1259</v>
      </c>
      <c r="B145" s="1571" t="s">
        <v>209</v>
      </c>
      <c r="C145" s="2369" t="e">
        <f>VLOOKUP(C142,'Đội 1'!$A$95:$O$99,13,0)</f>
        <v>#N/A</v>
      </c>
      <c r="D145" s="2374" t="e">
        <f>+C145*$L$4</f>
        <v>#N/A</v>
      </c>
      <c r="E145" s="1572"/>
      <c r="F145" s="1573"/>
      <c r="G145" s="1561" t="s">
        <v>1259</v>
      </c>
      <c r="H145" s="1571" t="s">
        <v>209</v>
      </c>
      <c r="I145" s="2369" t="e">
        <f>VLOOKUP(I142,'Đội 1'!$A$95:$O$99,13,0)</f>
        <v>#N/A</v>
      </c>
      <c r="J145" s="2374" t="e">
        <f>+I145*$L$4</f>
        <v>#N/A</v>
      </c>
    </row>
    <row r="146" spans="1:11">
      <c r="A146" s="1561" t="s">
        <v>1531</v>
      </c>
      <c r="B146" s="1571"/>
      <c r="C146" s="2369" t="e">
        <f>VLOOKUP(C142,'Đội 1'!$A$95:$P$99,15,0)</f>
        <v>#N/A</v>
      </c>
      <c r="D146" s="2374" t="e">
        <f>+C146*20000+VLOOKUP(C142,'Đội 1'!$A$95:$P$99,14,0)*$L$5</f>
        <v>#N/A</v>
      </c>
      <c r="E146" s="1572"/>
      <c r="F146" s="1573"/>
      <c r="G146" s="1561" t="s">
        <v>1531</v>
      </c>
      <c r="H146" s="1571"/>
      <c r="I146" s="2369" t="e">
        <f>VLOOKUP(I142,'Đội 1'!$A$95:$P$99,15,0)</f>
        <v>#N/A</v>
      </c>
      <c r="J146" s="2374" t="e">
        <f>+I146*20000+VLOOKUP(I142,'Đội 1'!$A$95:$P$99,14,0)*$L$5</f>
        <v>#N/A</v>
      </c>
    </row>
    <row r="147" spans="1:11" hidden="1">
      <c r="A147" s="1561" t="s">
        <v>1971</v>
      </c>
      <c r="B147" s="1571"/>
      <c r="C147" s="2369">
        <v>0</v>
      </c>
      <c r="D147" s="2374">
        <f>+C147*25000</f>
        <v>0</v>
      </c>
      <c r="E147" s="1572"/>
      <c r="F147" s="1573"/>
      <c r="G147" s="1561" t="s">
        <v>1971</v>
      </c>
      <c r="H147" s="1571"/>
      <c r="I147" s="2369">
        <v>0</v>
      </c>
      <c r="J147" s="2374">
        <f>+I147*25000</f>
        <v>0</v>
      </c>
    </row>
    <row r="148" spans="1:11">
      <c r="A148" s="1561" t="s">
        <v>210</v>
      </c>
      <c r="B148" s="1571" t="s">
        <v>211</v>
      </c>
      <c r="C148" s="1567" t="e">
        <f>VLOOKUP(C142,'Đội 1'!$A$95:$J$99,9,0)</f>
        <v>#N/A</v>
      </c>
      <c r="D148" s="2374" t="e">
        <f>VLOOKUP(C142,'Đội 1'!$A$95:$M$99,11,0)</f>
        <v>#N/A</v>
      </c>
      <c r="E148" s="1574"/>
      <c r="F148" s="1573"/>
      <c r="G148" s="1561" t="s">
        <v>210</v>
      </c>
      <c r="H148" s="1571" t="s">
        <v>211</v>
      </c>
      <c r="I148" s="1567" t="e">
        <f>VLOOKUP(I142,'Đội 1'!$A$95:$J$99,9,0)</f>
        <v>#N/A</v>
      </c>
      <c r="J148" s="2374" t="e">
        <f>VLOOKUP(I142,'Đội 1'!$A$95:$M$99,11,0)</f>
        <v>#N/A</v>
      </c>
    </row>
    <row r="149" spans="1:11">
      <c r="A149" s="1568" t="s">
        <v>212</v>
      </c>
      <c r="B149" s="1571" t="s">
        <v>213</v>
      </c>
      <c r="C149" s="1567"/>
      <c r="D149" s="1568"/>
      <c r="E149" s="1575"/>
      <c r="F149" s="1576"/>
      <c r="G149" s="1568" t="s">
        <v>212</v>
      </c>
      <c r="H149" s="1571" t="s">
        <v>213</v>
      </c>
      <c r="I149" s="1567"/>
      <c r="J149" s="1568"/>
    </row>
    <row r="150" spans="1:11">
      <c r="A150" s="1577" t="s">
        <v>214</v>
      </c>
      <c r="B150" s="1571" t="s">
        <v>215</v>
      </c>
      <c r="C150" s="1567"/>
      <c r="D150" s="1568">
        <f>+'Đội 1'!V173</f>
        <v>0</v>
      </c>
      <c r="E150" s="1574"/>
      <c r="F150" s="1576"/>
      <c r="G150" s="1577" t="s">
        <v>214</v>
      </c>
      <c r="H150" s="1571" t="s">
        <v>215</v>
      </c>
      <c r="I150" s="1567"/>
      <c r="J150" s="1568">
        <f>+'Đội 1'!AC173</f>
        <v>0</v>
      </c>
    </row>
    <row r="151" spans="1:11">
      <c r="A151" s="1561" t="s">
        <v>216</v>
      </c>
      <c r="B151" s="1571" t="s">
        <v>217</v>
      </c>
      <c r="C151" s="1567"/>
      <c r="D151" s="1568" t="e">
        <f>VLOOKUP(C142,'Đội 1'!$A$95:$V$99,21,0)</f>
        <v>#N/A</v>
      </c>
      <c r="E151" s="1578"/>
      <c r="F151" s="1560"/>
      <c r="G151" s="1561" t="s">
        <v>216</v>
      </c>
      <c r="H151" s="1571" t="s">
        <v>217</v>
      </c>
      <c r="I151" s="1567"/>
      <c r="J151" s="1568" t="e">
        <f>VLOOKUP(I142,'Đội 1'!$A$95:$V$99,21,0)</f>
        <v>#N/A</v>
      </c>
    </row>
    <row r="152" spans="1:11">
      <c r="A152" s="1568" t="s">
        <v>218</v>
      </c>
      <c r="B152" s="1571" t="s">
        <v>219</v>
      </c>
      <c r="C152" s="1579"/>
      <c r="D152" s="1580" t="e">
        <f>SUM(D143:D148)-D151</f>
        <v>#N/A</v>
      </c>
      <c r="E152" s="1581"/>
      <c r="F152" s="1582"/>
      <c r="G152" s="1568" t="s">
        <v>218</v>
      </c>
      <c r="H152" s="1571" t="s">
        <v>219</v>
      </c>
      <c r="I152" s="1579"/>
      <c r="J152" s="1580" t="e">
        <f>SUM(J143:J148)-J151</f>
        <v>#N/A</v>
      </c>
      <c r="K152" s="3350" t="e">
        <f>D152+J152</f>
        <v>#N/A</v>
      </c>
    </row>
    <row r="153" spans="1:11">
      <c r="A153" s="1583"/>
      <c r="B153" s="1584"/>
      <c r="C153" s="1585"/>
      <c r="D153" s="1586"/>
      <c r="E153" s="1582"/>
      <c r="F153" s="1586"/>
      <c r="G153" s="1583"/>
      <c r="H153" s="1584"/>
      <c r="I153" s="1585"/>
      <c r="J153" s="1582"/>
    </row>
    <row r="154" spans="1:11">
      <c r="A154" s="1587"/>
      <c r="B154" s="1587"/>
      <c r="C154" s="1588"/>
      <c r="D154" s="3335"/>
      <c r="E154" s="1590"/>
      <c r="F154" s="1587"/>
      <c r="G154" s="1587"/>
      <c r="H154" s="1587"/>
      <c r="I154" s="1588"/>
      <c r="J154" s="1591"/>
    </row>
    <row r="155" spans="1:11">
      <c r="A155" s="4836" t="str">
        <f>$K$2</f>
        <v>Tháng 12/24</v>
      </c>
      <c r="B155" s="4836"/>
      <c r="C155" s="4836"/>
      <c r="D155" s="4836"/>
      <c r="E155" s="1560"/>
      <c r="F155" s="1560"/>
      <c r="G155" s="4836" t="str">
        <f>$K$2</f>
        <v>Tháng 12/24</v>
      </c>
      <c r="H155" s="4836"/>
      <c r="I155" s="4836"/>
      <c r="J155" s="4836"/>
    </row>
    <row r="156" spans="1:11" ht="18">
      <c r="A156" s="1561" t="s">
        <v>1</v>
      </c>
      <c r="B156" s="3343" t="e">
        <f>VLOOKUP(C156,'Đội 1'!$A$95:$C$99,3,0)</f>
        <v>#N/A</v>
      </c>
      <c r="C156" s="1563">
        <v>23</v>
      </c>
      <c r="D156" s="1563"/>
      <c r="E156" s="1564"/>
      <c r="F156" s="1565"/>
      <c r="G156" s="1561" t="s">
        <v>1</v>
      </c>
      <c r="H156" s="3343" t="e">
        <f>VLOOKUP(I156,'Đội 1'!$A$95:$C$99,3,0)</f>
        <v>#N/A</v>
      </c>
      <c r="I156" s="1563">
        <v>24</v>
      </c>
      <c r="J156" s="1563"/>
    </row>
    <row r="157" spans="1:11" ht="18">
      <c r="A157" s="1561" t="s">
        <v>205</v>
      </c>
      <c r="B157" s="1566" t="s">
        <v>206</v>
      </c>
      <c r="C157" s="1567" t="e">
        <f>VLOOKUP(C156,'Đội 1'!$A$95:$F$99,6,0)</f>
        <v>#N/A</v>
      </c>
      <c r="D157" s="1568" t="e">
        <f>C157*25000</f>
        <v>#N/A</v>
      </c>
      <c r="E157" s="1569"/>
      <c r="F157" s="1570"/>
      <c r="G157" s="1561" t="s">
        <v>205</v>
      </c>
      <c r="H157" s="1566" t="s">
        <v>206</v>
      </c>
      <c r="I157" s="1567" t="e">
        <f>VLOOKUP(I156,'Đội 1'!$A$95:$F$99,6,0)</f>
        <v>#N/A</v>
      </c>
      <c r="J157" s="1568" t="e">
        <f>I157*25000</f>
        <v>#N/A</v>
      </c>
    </row>
    <row r="158" spans="1:11" ht="15" customHeight="1">
      <c r="A158" s="1561" t="s">
        <v>207</v>
      </c>
      <c r="B158" s="1571" t="s">
        <v>208</v>
      </c>
      <c r="C158" s="1567" t="e">
        <f>VLOOKUP(C156,'Đội 1'!$A$95:$N$99,12,0)</f>
        <v>#N/A</v>
      </c>
      <c r="D158" s="2374" t="e">
        <f>+C158*$L$3</f>
        <v>#N/A</v>
      </c>
      <c r="E158" s="1572"/>
      <c r="F158" s="1573"/>
      <c r="G158" s="1561" t="s">
        <v>207</v>
      </c>
      <c r="H158" s="1571" t="s">
        <v>208</v>
      </c>
      <c r="I158" s="1567" t="e">
        <f>VLOOKUP(I156,'Đội 1'!$A$95:$N$99,12,0)</f>
        <v>#N/A</v>
      </c>
      <c r="J158" s="2374" t="e">
        <f>+I158*$L$3</f>
        <v>#N/A</v>
      </c>
    </row>
    <row r="159" spans="1:11">
      <c r="A159" s="1561" t="s">
        <v>1259</v>
      </c>
      <c r="B159" s="1571" t="s">
        <v>209</v>
      </c>
      <c r="C159" s="2369" t="e">
        <f>VLOOKUP(C156,'Đội 1'!$A$95:$O$99,13,0)</f>
        <v>#N/A</v>
      </c>
      <c r="D159" s="2374" t="e">
        <f>+C159*$L$4</f>
        <v>#N/A</v>
      </c>
      <c r="E159" s="1572"/>
      <c r="F159" s="1573"/>
      <c r="G159" s="1561" t="s">
        <v>1259</v>
      </c>
      <c r="H159" s="1571" t="s">
        <v>209</v>
      </c>
      <c r="I159" s="2369" t="e">
        <f>VLOOKUP(I156,'Đội 1'!$A$95:$O$99,13,0)</f>
        <v>#N/A</v>
      </c>
      <c r="J159" s="2374" t="e">
        <f>+I159*$L$4</f>
        <v>#N/A</v>
      </c>
    </row>
    <row r="160" spans="1:11">
      <c r="A160" s="1561" t="s">
        <v>1531</v>
      </c>
      <c r="B160" s="1571"/>
      <c r="C160" s="2369" t="e">
        <f>VLOOKUP(C156,'Đội 1'!$A$95:$P$99,15,0)</f>
        <v>#N/A</v>
      </c>
      <c r="D160" s="2374" t="e">
        <f>+C160*20000+VLOOKUP(C156,'Đội 1'!$A$95:$P$99,14,0)*$L$5</f>
        <v>#N/A</v>
      </c>
      <c r="E160" s="1572"/>
      <c r="F160" s="1573"/>
      <c r="G160" s="1561" t="s">
        <v>1531</v>
      </c>
      <c r="H160" s="1571"/>
      <c r="I160" s="2369" t="e">
        <f>VLOOKUP(I156,'Đội 1'!$A$95:$P$99,15,0)</f>
        <v>#N/A</v>
      </c>
      <c r="J160" s="2374" t="e">
        <f>+I160*20000+VLOOKUP(I156,'Đội 1'!$A$95:$P$99,14,0)*$L$5</f>
        <v>#N/A</v>
      </c>
    </row>
    <row r="161" spans="1:11" hidden="1">
      <c r="A161" s="1561" t="s">
        <v>1971</v>
      </c>
      <c r="B161" s="1571"/>
      <c r="C161" s="2369">
        <v>0</v>
      </c>
      <c r="D161" s="2374">
        <f>+C161*25000</f>
        <v>0</v>
      </c>
      <c r="E161" s="1572"/>
      <c r="F161" s="1573"/>
      <c r="G161" s="1561" t="s">
        <v>1971</v>
      </c>
      <c r="H161" s="1571"/>
      <c r="I161" s="2369">
        <v>0</v>
      </c>
      <c r="J161" s="2374">
        <f>+I161*25000</f>
        <v>0</v>
      </c>
    </row>
    <row r="162" spans="1:11">
      <c r="A162" s="1561" t="s">
        <v>210</v>
      </c>
      <c r="B162" s="1571" t="s">
        <v>211</v>
      </c>
      <c r="C162" s="1567" t="e">
        <f>VLOOKUP(C156,'Đội 1'!$A$95:$J$99,9,0)</f>
        <v>#N/A</v>
      </c>
      <c r="D162" s="2374" t="e">
        <f>VLOOKUP(C156,'Đội 1'!$A$95:$M$99,11,0)</f>
        <v>#N/A</v>
      </c>
      <c r="E162" s="1574"/>
      <c r="F162" s="1573"/>
      <c r="G162" s="1561" t="s">
        <v>210</v>
      </c>
      <c r="H162" s="1571" t="s">
        <v>211</v>
      </c>
      <c r="I162" s="1567" t="e">
        <f>VLOOKUP(I156,'Đội 1'!$A$95:$J$99,9,0)</f>
        <v>#N/A</v>
      </c>
      <c r="J162" s="2374" t="e">
        <f>VLOOKUP(I156,'Đội 1'!$A$95:$M$99,11,0)</f>
        <v>#N/A</v>
      </c>
    </row>
    <row r="163" spans="1:11">
      <c r="A163" s="1568" t="s">
        <v>212</v>
      </c>
      <c r="B163" s="1571" t="s">
        <v>213</v>
      </c>
      <c r="C163" s="1567"/>
      <c r="D163" s="1568"/>
      <c r="E163" s="1575"/>
      <c r="F163" s="1576"/>
      <c r="G163" s="1568" t="s">
        <v>212</v>
      </c>
      <c r="H163" s="1571" t="s">
        <v>213</v>
      </c>
      <c r="I163" s="1567"/>
      <c r="J163" s="1568"/>
    </row>
    <row r="164" spans="1:11">
      <c r="A164" s="1577" t="s">
        <v>214</v>
      </c>
      <c r="B164" s="1571" t="s">
        <v>215</v>
      </c>
      <c r="C164" s="1567"/>
      <c r="D164" s="1568">
        <f>+'Đội 1'!V187</f>
        <v>0</v>
      </c>
      <c r="E164" s="1574"/>
      <c r="F164" s="1576"/>
      <c r="G164" s="1577" t="s">
        <v>214</v>
      </c>
      <c r="H164" s="1571" t="s">
        <v>215</v>
      </c>
      <c r="I164" s="1567"/>
      <c r="J164" s="1568">
        <f>+'Đội 1'!AC187</f>
        <v>0</v>
      </c>
    </row>
    <row r="165" spans="1:11">
      <c r="A165" s="1561" t="s">
        <v>216</v>
      </c>
      <c r="B165" s="1571" t="s">
        <v>217</v>
      </c>
      <c r="C165" s="1567"/>
      <c r="D165" s="1568" t="e">
        <f>VLOOKUP(C156,'Đội 1'!$A$95:$V$99,21,0)</f>
        <v>#N/A</v>
      </c>
      <c r="E165" s="1578"/>
      <c r="F165" s="1560"/>
      <c r="G165" s="1561" t="s">
        <v>216</v>
      </c>
      <c r="H165" s="1571" t="s">
        <v>217</v>
      </c>
      <c r="I165" s="1567"/>
      <c r="J165" s="1568" t="e">
        <f>VLOOKUP(I156,'Đội 1'!$A$95:$V$99,21,0)</f>
        <v>#N/A</v>
      </c>
    </row>
    <row r="166" spans="1:11">
      <c r="A166" s="1568" t="s">
        <v>218</v>
      </c>
      <c r="B166" s="1571" t="s">
        <v>219</v>
      </c>
      <c r="C166" s="1579"/>
      <c r="D166" s="1580" t="e">
        <f>SUM(D157:D162)-D165</f>
        <v>#N/A</v>
      </c>
      <c r="E166" s="1581"/>
      <c r="F166" s="1582"/>
      <c r="G166" s="1568" t="s">
        <v>218</v>
      </c>
      <c r="H166" s="1571" t="s">
        <v>219</v>
      </c>
      <c r="I166" s="1579"/>
      <c r="J166" s="1580" t="e">
        <f>SUM(J157:J162)-J165</f>
        <v>#N/A</v>
      </c>
      <c r="K166" s="3350" t="e">
        <f>D166+J166</f>
        <v>#N/A</v>
      </c>
    </row>
    <row r="167" spans="1:11">
      <c r="A167" s="1583"/>
      <c r="B167" s="1584"/>
      <c r="C167" s="1592"/>
      <c r="D167" s="1593"/>
      <c r="E167" s="1586"/>
      <c r="F167" s="1586"/>
      <c r="G167" s="1583"/>
      <c r="H167" s="1584"/>
      <c r="I167" s="1592"/>
      <c r="J167" s="1593"/>
    </row>
    <row r="168" spans="1:11">
      <c r="A168" s="4841" t="str">
        <f>$K$2</f>
        <v>Tháng 12/24</v>
      </c>
      <c r="B168" s="4841"/>
      <c r="C168" s="4841"/>
      <c r="D168" s="4841"/>
      <c r="E168" s="1560"/>
      <c r="F168" s="1560"/>
      <c r="G168" s="4841" t="str">
        <f>$K$2</f>
        <v>Tháng 12/24</v>
      </c>
      <c r="H168" s="4841"/>
      <c r="I168" s="4841"/>
      <c r="J168" s="4841"/>
    </row>
    <row r="169" spans="1:11" ht="18">
      <c r="A169" s="1561" t="s">
        <v>1</v>
      </c>
      <c r="B169" s="3343" t="e">
        <f>VLOOKUP(C169,'Đội 1'!$A$95:$C$99,3,0)</f>
        <v>#N/A</v>
      </c>
      <c r="C169" s="1563">
        <v>25</v>
      </c>
      <c r="D169" s="1563"/>
      <c r="E169" s="1564"/>
      <c r="F169" s="1565"/>
      <c r="G169" s="1561" t="s">
        <v>1</v>
      </c>
      <c r="H169" s="3343" t="e">
        <f>VLOOKUP(I169,'Đội 1'!$A$95:$C$99,3,0)</f>
        <v>#N/A</v>
      </c>
      <c r="I169" s="1563">
        <v>26</v>
      </c>
      <c r="J169" s="1563"/>
    </row>
    <row r="170" spans="1:11" ht="18">
      <c r="A170" s="1561" t="s">
        <v>205</v>
      </c>
      <c r="B170" s="1566" t="s">
        <v>206</v>
      </c>
      <c r="C170" s="1567" t="e">
        <f>VLOOKUP(C169,'Đội 1'!$A$95:$F$99,6,0)</f>
        <v>#N/A</v>
      </c>
      <c r="D170" s="1568" t="e">
        <f>C170*25000</f>
        <v>#N/A</v>
      </c>
      <c r="E170" s="1569"/>
      <c r="F170" s="1570"/>
      <c r="G170" s="1561" t="s">
        <v>205</v>
      </c>
      <c r="H170" s="1566" t="s">
        <v>206</v>
      </c>
      <c r="I170" s="1567" t="e">
        <f>VLOOKUP(I169,'Đội 1'!$A$95:$F$99,6,0)</f>
        <v>#N/A</v>
      </c>
      <c r="J170" s="1568" t="e">
        <f>I170*25000</f>
        <v>#N/A</v>
      </c>
    </row>
    <row r="171" spans="1:11">
      <c r="A171" s="1561" t="s">
        <v>207</v>
      </c>
      <c r="B171" s="1571" t="s">
        <v>208</v>
      </c>
      <c r="C171" s="1567" t="e">
        <f>VLOOKUP(C169,'Đội 1'!$A$95:$N$99,12,0)</f>
        <v>#N/A</v>
      </c>
      <c r="D171" s="2374" t="e">
        <f>+C171*$L$3</f>
        <v>#N/A</v>
      </c>
      <c r="E171" s="1572"/>
      <c r="F171" s="1573"/>
      <c r="G171" s="1561" t="s">
        <v>207</v>
      </c>
      <c r="H171" s="1571" t="s">
        <v>208</v>
      </c>
      <c r="I171" s="1567" t="e">
        <f>VLOOKUP(I169,'Đội 1'!$A$95:$N$99,12,0)</f>
        <v>#N/A</v>
      </c>
      <c r="J171" s="2374" t="e">
        <f>+I171*$L$3</f>
        <v>#N/A</v>
      </c>
    </row>
    <row r="172" spans="1:11">
      <c r="A172" s="1561" t="s">
        <v>1259</v>
      </c>
      <c r="B172" s="1571" t="s">
        <v>209</v>
      </c>
      <c r="C172" s="2369" t="e">
        <f>VLOOKUP(C169,'Đội 1'!$A$95:$O$99,13,0)</f>
        <v>#N/A</v>
      </c>
      <c r="D172" s="2374" t="e">
        <f>+C172*$L$4</f>
        <v>#N/A</v>
      </c>
      <c r="E172" s="1572"/>
      <c r="F172" s="1573"/>
      <c r="G172" s="1561" t="s">
        <v>1259</v>
      </c>
      <c r="H172" s="1571" t="s">
        <v>209</v>
      </c>
      <c r="I172" s="2369" t="e">
        <f>VLOOKUP(I169,'Đội 1'!$A$95:$O$99,13,0)</f>
        <v>#N/A</v>
      </c>
      <c r="J172" s="2374" t="e">
        <f>+I172*$L$4</f>
        <v>#N/A</v>
      </c>
    </row>
    <row r="173" spans="1:11">
      <c r="A173" s="1561" t="s">
        <v>1531</v>
      </c>
      <c r="B173" s="1571"/>
      <c r="C173" s="2369" t="e">
        <f>VLOOKUP(C169,'Đội 1'!$A$95:$P$99,15,0)</f>
        <v>#N/A</v>
      </c>
      <c r="D173" s="2374" t="e">
        <f>+C173*20000+VLOOKUP(C169,'Đội 1'!$A$95:$P$99,14,0)*$L$5</f>
        <v>#N/A</v>
      </c>
      <c r="E173" s="1572"/>
      <c r="F173" s="1573"/>
      <c r="G173" s="1561" t="s">
        <v>1531</v>
      </c>
      <c r="H173" s="1571"/>
      <c r="I173" s="2369" t="e">
        <f>VLOOKUP(I169,'Đội 1'!$A$95:$P$99,15,0)</f>
        <v>#N/A</v>
      </c>
      <c r="J173" s="2374" t="e">
        <f>+I173*20000+VLOOKUP(I169,'Đội 1'!$A$95:$P$99,14,0)*$L$5</f>
        <v>#N/A</v>
      </c>
    </row>
    <row r="174" spans="1:11" hidden="1">
      <c r="A174" s="1561" t="s">
        <v>1971</v>
      </c>
      <c r="B174" s="1571"/>
      <c r="C174" s="2369">
        <v>0</v>
      </c>
      <c r="D174" s="2374">
        <f>+C174*25000</f>
        <v>0</v>
      </c>
      <c r="E174" s="1572"/>
      <c r="F174" s="1573"/>
      <c r="G174" s="1561" t="s">
        <v>1971</v>
      </c>
      <c r="H174" s="1571"/>
      <c r="I174" s="2369">
        <v>0</v>
      </c>
      <c r="J174" s="2374">
        <f>+I174*25000</f>
        <v>0</v>
      </c>
    </row>
    <row r="175" spans="1:11">
      <c r="A175" s="1561" t="s">
        <v>210</v>
      </c>
      <c r="B175" s="1571" t="s">
        <v>211</v>
      </c>
      <c r="C175" s="1567" t="e">
        <f>VLOOKUP(C169,'Đội 1'!$A$95:$J$99,9,0)</f>
        <v>#N/A</v>
      </c>
      <c r="D175" s="2374" t="e">
        <f>VLOOKUP(C169,'Đội 1'!$A$95:$M$99,11,0)</f>
        <v>#N/A</v>
      </c>
      <c r="E175" s="1574"/>
      <c r="F175" s="1573"/>
      <c r="G175" s="1561" t="s">
        <v>210</v>
      </c>
      <c r="H175" s="1571" t="s">
        <v>211</v>
      </c>
      <c r="I175" s="1567" t="e">
        <f>VLOOKUP(I169,'Đội 1'!$A$95:$J$99,9,0)</f>
        <v>#N/A</v>
      </c>
      <c r="J175" s="2374" t="e">
        <f>VLOOKUP(I169,'Đội 1'!$A$95:$M$99,11,0)</f>
        <v>#N/A</v>
      </c>
    </row>
    <row r="176" spans="1:11">
      <c r="A176" s="1568" t="s">
        <v>212</v>
      </c>
      <c r="B176" s="1571" t="s">
        <v>213</v>
      </c>
      <c r="C176" s="1567"/>
      <c r="D176" s="1568"/>
      <c r="E176" s="1575"/>
      <c r="F176" s="1576"/>
      <c r="G176" s="1568" t="s">
        <v>212</v>
      </c>
      <c r="H176" s="1571" t="s">
        <v>213</v>
      </c>
      <c r="I176" s="1567"/>
      <c r="J176" s="1568"/>
    </row>
    <row r="177" spans="1:11">
      <c r="A177" s="1577" t="s">
        <v>214</v>
      </c>
      <c r="B177" s="1571" t="s">
        <v>215</v>
      </c>
      <c r="C177" s="1567"/>
      <c r="D177" s="1568">
        <f>+'Đội 1'!V200</f>
        <v>0</v>
      </c>
      <c r="E177" s="1574"/>
      <c r="F177" s="1576"/>
      <c r="G177" s="1577" t="s">
        <v>214</v>
      </c>
      <c r="H177" s="1571" t="s">
        <v>215</v>
      </c>
      <c r="I177" s="1567"/>
      <c r="J177" s="1568">
        <f>+'Đội 1'!AC200</f>
        <v>0</v>
      </c>
    </row>
    <row r="178" spans="1:11">
      <c r="A178" s="1561" t="s">
        <v>216</v>
      </c>
      <c r="B178" s="1571" t="s">
        <v>217</v>
      </c>
      <c r="C178" s="1567"/>
      <c r="D178" s="1568" t="e">
        <f>VLOOKUP(C169,'Đội 1'!$A$95:$V$99,21,0)</f>
        <v>#N/A</v>
      </c>
      <c r="E178" s="1578"/>
      <c r="F178" s="1560"/>
      <c r="G178" s="1561" t="s">
        <v>216</v>
      </c>
      <c r="H178" s="1571" t="s">
        <v>217</v>
      </c>
      <c r="I178" s="1567"/>
      <c r="J178" s="1568" t="e">
        <f>VLOOKUP(I169,'Đội 1'!$A$95:$V$99,21,0)</f>
        <v>#N/A</v>
      </c>
    </row>
    <row r="179" spans="1:11">
      <c r="A179" s="1568" t="s">
        <v>218</v>
      </c>
      <c r="B179" s="1571" t="s">
        <v>219</v>
      </c>
      <c r="C179" s="1579"/>
      <c r="D179" s="1580" t="e">
        <f>SUM(D170:D175)-D178</f>
        <v>#N/A</v>
      </c>
      <c r="E179" s="1581"/>
      <c r="F179" s="1582"/>
      <c r="G179" s="1568" t="s">
        <v>218</v>
      </c>
      <c r="H179" s="1571" t="s">
        <v>219</v>
      </c>
      <c r="I179" s="1579"/>
      <c r="J179" s="1580" t="e">
        <f>SUM(J170:J175)-J178</f>
        <v>#N/A</v>
      </c>
      <c r="K179" s="3350" t="e">
        <f>D179+J179</f>
        <v>#N/A</v>
      </c>
    </row>
    <row r="180" spans="1:11">
      <c r="A180" s="1583"/>
      <c r="B180" s="1584"/>
      <c r="C180" s="1585"/>
      <c r="D180" s="1586"/>
      <c r="E180" s="1582"/>
      <c r="F180" s="1586"/>
      <c r="G180" s="1583"/>
      <c r="H180" s="1584"/>
      <c r="I180" s="1585"/>
      <c r="J180" s="1582"/>
    </row>
    <row r="181" spans="1:11">
      <c r="A181" s="1587"/>
      <c r="B181" s="1587"/>
      <c r="C181" s="1588"/>
      <c r="D181" s="3335"/>
      <c r="E181" s="1590"/>
      <c r="F181" s="1587"/>
      <c r="G181" s="1587"/>
      <c r="H181" s="1587"/>
      <c r="I181" s="1588"/>
      <c r="J181" s="1591"/>
    </row>
    <row r="182" spans="1:11">
      <c r="A182" s="4836" t="str">
        <f>$K$2</f>
        <v>Tháng 12/24</v>
      </c>
      <c r="B182" s="4836"/>
      <c r="C182" s="4836"/>
      <c r="D182" s="4836"/>
      <c r="E182" s="1560"/>
      <c r="F182" s="1560"/>
      <c r="G182" s="4836" t="str">
        <f>$K$2</f>
        <v>Tháng 12/24</v>
      </c>
      <c r="H182" s="4836"/>
      <c r="I182" s="4836"/>
      <c r="J182" s="4836"/>
    </row>
    <row r="183" spans="1:11" ht="18">
      <c r="A183" s="1561" t="s">
        <v>1</v>
      </c>
      <c r="B183" s="3343" t="e">
        <f>VLOOKUP(C183,'Đội 1'!$A$95:$C$99,3,0)</f>
        <v>#N/A</v>
      </c>
      <c r="C183" s="1563">
        <v>27</v>
      </c>
      <c r="D183" s="1563"/>
      <c r="E183" s="1564"/>
      <c r="F183" s="1565"/>
      <c r="G183" s="1561" t="s">
        <v>1</v>
      </c>
      <c r="H183" s="3343" t="e">
        <f>VLOOKUP(I183,'Đội 1'!$A$95:$C$99,3,0)</f>
        <v>#N/A</v>
      </c>
      <c r="I183" s="1563">
        <v>28</v>
      </c>
      <c r="J183" s="1563"/>
    </row>
    <row r="184" spans="1:11" ht="18">
      <c r="A184" s="1561" t="s">
        <v>205</v>
      </c>
      <c r="B184" s="1566" t="s">
        <v>206</v>
      </c>
      <c r="C184" s="1567" t="e">
        <f>VLOOKUP(C183,'Đội 1'!$A$95:$F$99,6,0)</f>
        <v>#N/A</v>
      </c>
      <c r="D184" s="1568" t="e">
        <f>C184*25000</f>
        <v>#N/A</v>
      </c>
      <c r="E184" s="1569"/>
      <c r="F184" s="1570"/>
      <c r="G184" s="1561" t="s">
        <v>205</v>
      </c>
      <c r="H184" s="1566" t="s">
        <v>206</v>
      </c>
      <c r="I184" s="1567" t="e">
        <f>VLOOKUP(I183,'Đội 1'!$A$95:$F$99,6,0)</f>
        <v>#N/A</v>
      </c>
      <c r="J184" s="1568" t="e">
        <f>I184*25000</f>
        <v>#N/A</v>
      </c>
    </row>
    <row r="185" spans="1:11">
      <c r="A185" s="1561" t="s">
        <v>207</v>
      </c>
      <c r="B185" s="1571" t="s">
        <v>208</v>
      </c>
      <c r="C185" s="1567" t="e">
        <f>VLOOKUP(C183,'Đội 1'!$A$95:$N$99,12,0)</f>
        <v>#N/A</v>
      </c>
      <c r="D185" s="2374" t="e">
        <f>+C185*$L$3</f>
        <v>#N/A</v>
      </c>
      <c r="E185" s="1572"/>
      <c r="F185" s="1573"/>
      <c r="G185" s="1561" t="s">
        <v>207</v>
      </c>
      <c r="H185" s="1571" t="s">
        <v>208</v>
      </c>
      <c r="I185" s="1567" t="e">
        <f>VLOOKUP(I183,'Đội 1'!$A$95:$N$99,12,0)</f>
        <v>#N/A</v>
      </c>
      <c r="J185" s="2374" t="e">
        <f>+I185*$L$3</f>
        <v>#N/A</v>
      </c>
    </row>
    <row r="186" spans="1:11">
      <c r="A186" s="1561" t="s">
        <v>1259</v>
      </c>
      <c r="B186" s="1571" t="s">
        <v>209</v>
      </c>
      <c r="C186" s="2369" t="e">
        <f>VLOOKUP(C183,'Đội 1'!$A$95:$O$99,13,0)</f>
        <v>#N/A</v>
      </c>
      <c r="D186" s="2374" t="e">
        <f>+C186*$L$4</f>
        <v>#N/A</v>
      </c>
      <c r="E186" s="1572"/>
      <c r="F186" s="1573"/>
      <c r="G186" s="1561" t="s">
        <v>1259</v>
      </c>
      <c r="H186" s="1571" t="s">
        <v>209</v>
      </c>
      <c r="I186" s="2369" t="e">
        <f>VLOOKUP(I183,'Đội 1'!$A$95:$O$99,13,0)</f>
        <v>#N/A</v>
      </c>
      <c r="J186" s="2374" t="e">
        <f>+I186*$L$4</f>
        <v>#N/A</v>
      </c>
    </row>
    <row r="187" spans="1:11">
      <c r="A187" s="1561" t="s">
        <v>1531</v>
      </c>
      <c r="B187" s="1571"/>
      <c r="C187" s="2369" t="e">
        <f>VLOOKUP(C183,'Đội 1'!$A$95:$P$99,15,0)</f>
        <v>#N/A</v>
      </c>
      <c r="D187" s="2374" t="e">
        <f>+C187*20000+VLOOKUP(C183,'Đội 1'!$A$95:$P$99,14,0)*$L$5</f>
        <v>#N/A</v>
      </c>
      <c r="E187" s="1572"/>
      <c r="F187" s="1573"/>
      <c r="G187" s="1561" t="s">
        <v>1531</v>
      </c>
      <c r="H187" s="1571"/>
      <c r="I187" s="2369" t="e">
        <f>VLOOKUP(I183,'Đội 1'!$A$95:$P$99,15,0)</f>
        <v>#N/A</v>
      </c>
      <c r="J187" s="2374" t="e">
        <f>+I187*20000+VLOOKUP(I183,'Đội 1'!$A$95:$P$99,14,0)*$L$5</f>
        <v>#N/A</v>
      </c>
    </row>
    <row r="188" spans="1:11" hidden="1">
      <c r="A188" s="1561" t="s">
        <v>1971</v>
      </c>
      <c r="B188" s="1571"/>
      <c r="C188" s="2369">
        <v>0</v>
      </c>
      <c r="D188" s="2374">
        <f>+C188*25000</f>
        <v>0</v>
      </c>
      <c r="E188" s="1572"/>
      <c r="F188" s="1573"/>
      <c r="G188" s="1561" t="s">
        <v>1971</v>
      </c>
      <c r="H188" s="1571"/>
      <c r="I188" s="2369">
        <v>0</v>
      </c>
      <c r="J188" s="2374">
        <f>+I188*25000</f>
        <v>0</v>
      </c>
    </row>
    <row r="189" spans="1:11">
      <c r="A189" s="1561" t="s">
        <v>210</v>
      </c>
      <c r="B189" s="1571" t="s">
        <v>211</v>
      </c>
      <c r="C189" s="1567" t="e">
        <f>VLOOKUP(C183,'Đội 1'!$A$95:$J$99,9,0)</f>
        <v>#N/A</v>
      </c>
      <c r="D189" s="2374" t="e">
        <f>VLOOKUP(C183,'Đội 1'!$A$95:$M$99,11,0)</f>
        <v>#N/A</v>
      </c>
      <c r="E189" s="1574"/>
      <c r="F189" s="1573"/>
      <c r="G189" s="1561" t="s">
        <v>210</v>
      </c>
      <c r="H189" s="1571" t="s">
        <v>211</v>
      </c>
      <c r="I189" s="1567" t="e">
        <f>VLOOKUP(I183,'Đội 1'!$A$95:$J$99,9,0)</f>
        <v>#N/A</v>
      </c>
      <c r="J189" s="2374" t="e">
        <f>VLOOKUP(I183,'Đội 1'!$A$95:$M$99,11,0)</f>
        <v>#N/A</v>
      </c>
    </row>
    <row r="190" spans="1:11">
      <c r="A190" s="1568" t="s">
        <v>212</v>
      </c>
      <c r="B190" s="1571" t="s">
        <v>213</v>
      </c>
      <c r="C190" s="1567"/>
      <c r="D190" s="1568"/>
      <c r="E190" s="1575"/>
      <c r="F190" s="1576"/>
      <c r="G190" s="1568" t="s">
        <v>212</v>
      </c>
      <c r="H190" s="1571" t="s">
        <v>213</v>
      </c>
      <c r="I190" s="1567"/>
      <c r="J190" s="1568"/>
    </row>
    <row r="191" spans="1:11">
      <c r="A191" s="1577" t="s">
        <v>214</v>
      </c>
      <c r="B191" s="1571" t="s">
        <v>215</v>
      </c>
      <c r="C191" s="1567"/>
      <c r="D191" s="1568">
        <f>+'Đội 1'!V214</f>
        <v>0</v>
      </c>
      <c r="E191" s="1574"/>
      <c r="F191" s="1576"/>
      <c r="G191" s="1577" t="s">
        <v>214</v>
      </c>
      <c r="H191" s="1571" t="s">
        <v>215</v>
      </c>
      <c r="I191" s="1567"/>
      <c r="J191" s="1568">
        <f>+'Đội 1'!AC214</f>
        <v>0</v>
      </c>
    </row>
    <row r="192" spans="1:11">
      <c r="A192" s="1561" t="s">
        <v>216</v>
      </c>
      <c r="B192" s="1571" t="s">
        <v>217</v>
      </c>
      <c r="C192" s="1567"/>
      <c r="D192" s="1568" t="e">
        <f>VLOOKUP(C183,'Đội 1'!$A$95:$V$99,21,0)</f>
        <v>#N/A</v>
      </c>
      <c r="E192" s="1578"/>
      <c r="F192" s="1560"/>
      <c r="G192" s="1561" t="s">
        <v>216</v>
      </c>
      <c r="H192" s="1571" t="s">
        <v>217</v>
      </c>
      <c r="I192" s="1567"/>
      <c r="J192" s="1568" t="e">
        <f>VLOOKUP(I183,'Đội 1'!$A$95:$V$99,21,0)</f>
        <v>#N/A</v>
      </c>
    </row>
    <row r="193" spans="1:11">
      <c r="A193" s="1568" t="s">
        <v>218</v>
      </c>
      <c r="B193" s="1571" t="s">
        <v>219</v>
      </c>
      <c r="C193" s="1579"/>
      <c r="D193" s="1580" t="e">
        <f>SUM(D184:D189)-D192</f>
        <v>#N/A</v>
      </c>
      <c r="E193" s="1581"/>
      <c r="F193" s="1582"/>
      <c r="G193" s="1568" t="s">
        <v>218</v>
      </c>
      <c r="H193" s="1571" t="s">
        <v>219</v>
      </c>
      <c r="I193" s="1579"/>
      <c r="J193" s="1580" t="e">
        <f>SUM(J184:J189)-J192</f>
        <v>#N/A</v>
      </c>
      <c r="K193" s="3350" t="e">
        <f>D193+J193</f>
        <v>#N/A</v>
      </c>
    </row>
    <row r="194" spans="1:11">
      <c r="A194" s="1583"/>
      <c r="B194" s="1584"/>
      <c r="C194" s="1585"/>
      <c r="D194" s="1586"/>
      <c r="E194" s="1582"/>
      <c r="F194" s="1586"/>
      <c r="G194" s="1583"/>
      <c r="H194" s="1584"/>
      <c r="I194" s="1585"/>
      <c r="J194" s="1582"/>
    </row>
    <row r="195" spans="1:11">
      <c r="A195" s="1587"/>
      <c r="B195" s="1587"/>
      <c r="C195" s="1588"/>
      <c r="D195" s="3335"/>
      <c r="E195" s="1590"/>
      <c r="F195" s="1587"/>
      <c r="G195" s="1587"/>
      <c r="H195" s="1587"/>
      <c r="I195" s="1588"/>
      <c r="J195" s="1591"/>
    </row>
    <row r="196" spans="1:11">
      <c r="A196" s="4836" t="str">
        <f>$K$2</f>
        <v>Tháng 12/24</v>
      </c>
      <c r="B196" s="4836"/>
      <c r="C196" s="4836"/>
      <c r="D196" s="4836"/>
      <c r="E196" s="1560"/>
      <c r="F196" s="1560"/>
      <c r="G196" s="4836" t="str">
        <f>$K$2</f>
        <v>Tháng 12/24</v>
      </c>
      <c r="H196" s="4836"/>
      <c r="I196" s="4836"/>
      <c r="J196" s="4836"/>
    </row>
    <row r="197" spans="1:11" ht="21" customHeight="1">
      <c r="A197" s="1561" t="s">
        <v>1</v>
      </c>
      <c r="B197" s="3343" t="e">
        <f>VLOOKUP(C197,'Đội 1'!$A$95:$C$99,3,0)</f>
        <v>#N/A</v>
      </c>
      <c r="C197" s="1563">
        <v>29</v>
      </c>
      <c r="D197" s="1563"/>
      <c r="E197" s="1564"/>
      <c r="F197" s="1565"/>
      <c r="G197" s="1561" t="s">
        <v>1</v>
      </c>
      <c r="H197" s="3343" t="e">
        <f>VLOOKUP(I197,'Đội 1'!$A$95:$C$99,3,0)</f>
        <v>#N/A</v>
      </c>
      <c r="I197" s="1563">
        <v>30</v>
      </c>
      <c r="J197" s="1563"/>
    </row>
    <row r="198" spans="1:11" ht="18">
      <c r="A198" s="1561" t="s">
        <v>205</v>
      </c>
      <c r="B198" s="1566" t="s">
        <v>206</v>
      </c>
      <c r="C198" s="1567" t="e">
        <f>VLOOKUP(C197,'Đội 1'!$A$95:$F$99,6,0)</f>
        <v>#N/A</v>
      </c>
      <c r="D198" s="1568" t="e">
        <f>C198*25000</f>
        <v>#N/A</v>
      </c>
      <c r="E198" s="1569"/>
      <c r="F198" s="1570"/>
      <c r="G198" s="1561" t="s">
        <v>205</v>
      </c>
      <c r="H198" s="1566" t="s">
        <v>206</v>
      </c>
      <c r="I198" s="1567" t="e">
        <f>VLOOKUP(I197,'Đội 1'!$A$95:$F$99,6,0)</f>
        <v>#N/A</v>
      </c>
      <c r="J198" s="1568" t="e">
        <f>I198*25000</f>
        <v>#N/A</v>
      </c>
    </row>
    <row r="199" spans="1:11">
      <c r="A199" s="1561" t="s">
        <v>207</v>
      </c>
      <c r="B199" s="1571" t="s">
        <v>208</v>
      </c>
      <c r="C199" s="1567" t="e">
        <f>VLOOKUP(C197,'Đội 1'!$A$95:$N$99,12,0)</f>
        <v>#N/A</v>
      </c>
      <c r="D199" s="2374" t="e">
        <f>+C199*$L$3</f>
        <v>#N/A</v>
      </c>
      <c r="E199" s="1572"/>
      <c r="F199" s="1573"/>
      <c r="G199" s="1561" t="s">
        <v>207</v>
      </c>
      <c r="H199" s="1571" t="s">
        <v>208</v>
      </c>
      <c r="I199" s="1567" t="e">
        <f>VLOOKUP(I197,'Đội 1'!$A$95:$N$99,12,0)</f>
        <v>#N/A</v>
      </c>
      <c r="J199" s="2374" t="e">
        <f>+I199*$L$3</f>
        <v>#N/A</v>
      </c>
    </row>
    <row r="200" spans="1:11">
      <c r="A200" s="1561" t="s">
        <v>1259</v>
      </c>
      <c r="B200" s="1571" t="s">
        <v>209</v>
      </c>
      <c r="C200" s="2369" t="e">
        <f>VLOOKUP(C197,'Đội 1'!$A$95:$O$99,13,0)</f>
        <v>#N/A</v>
      </c>
      <c r="D200" s="2374" t="e">
        <f>+C200*$L$4</f>
        <v>#N/A</v>
      </c>
      <c r="E200" s="1572"/>
      <c r="F200" s="1573"/>
      <c r="G200" s="1561" t="s">
        <v>1259</v>
      </c>
      <c r="H200" s="1571" t="s">
        <v>209</v>
      </c>
      <c r="I200" s="2369" t="e">
        <f>VLOOKUP(I197,'Đội 1'!$A$95:$O$99,13,0)</f>
        <v>#N/A</v>
      </c>
      <c r="J200" s="2374" t="e">
        <f>+I200*$L$4</f>
        <v>#N/A</v>
      </c>
    </row>
    <row r="201" spans="1:11">
      <c r="A201" s="1561" t="s">
        <v>1531</v>
      </c>
      <c r="B201" s="1571"/>
      <c r="C201" s="2369" t="e">
        <f>VLOOKUP(C197,'Đội 1'!$A$95:$P$99,15,0)</f>
        <v>#N/A</v>
      </c>
      <c r="D201" s="2374" t="e">
        <f>+C201*20000+VLOOKUP(C197,'Đội 1'!$A$95:$P$99,14,0)*$L$5</f>
        <v>#N/A</v>
      </c>
      <c r="E201" s="1572"/>
      <c r="F201" s="1573"/>
      <c r="G201" s="1561" t="s">
        <v>1531</v>
      </c>
      <c r="H201" s="1571"/>
      <c r="I201" s="2369" t="e">
        <f>VLOOKUP(I197,'Đội 1'!$A$95:$P$99,15,0)</f>
        <v>#N/A</v>
      </c>
      <c r="J201" s="2374" t="e">
        <f>+I201*20000+VLOOKUP(I197,'Đội 1'!$A$95:$P$99,14,0)*$L$5</f>
        <v>#N/A</v>
      </c>
    </row>
    <row r="202" spans="1:11" hidden="1">
      <c r="A202" s="1561" t="s">
        <v>1971</v>
      </c>
      <c r="B202" s="1571"/>
      <c r="C202" s="2369">
        <v>0</v>
      </c>
      <c r="D202" s="2374">
        <f>+C202*25000</f>
        <v>0</v>
      </c>
      <c r="E202" s="1572"/>
      <c r="F202" s="1573"/>
      <c r="G202" s="1561" t="s">
        <v>1971</v>
      </c>
      <c r="H202" s="1571"/>
      <c r="I202" s="2369">
        <v>0</v>
      </c>
      <c r="J202" s="2374">
        <f>+I202*25000</f>
        <v>0</v>
      </c>
    </row>
    <row r="203" spans="1:11">
      <c r="A203" s="1561" t="s">
        <v>210</v>
      </c>
      <c r="B203" s="1571" t="s">
        <v>211</v>
      </c>
      <c r="C203" s="1567" t="e">
        <f>VLOOKUP(C197,'Đội 1'!$A$95:$J$99,9,0)</f>
        <v>#N/A</v>
      </c>
      <c r="D203" s="2374" t="e">
        <f>VLOOKUP(C197,'Đội 1'!$A$95:$M$99,11,0)</f>
        <v>#N/A</v>
      </c>
      <c r="E203" s="1574"/>
      <c r="F203" s="1573"/>
      <c r="G203" s="1561" t="s">
        <v>210</v>
      </c>
      <c r="H203" s="1571" t="s">
        <v>211</v>
      </c>
      <c r="I203" s="1567" t="e">
        <f>VLOOKUP(I197,'Đội 1'!$A$95:$J$99,9,0)</f>
        <v>#N/A</v>
      </c>
      <c r="J203" s="2374" t="e">
        <f>VLOOKUP(I197,'Đội 1'!$A$95:$M$99,11,0)</f>
        <v>#N/A</v>
      </c>
    </row>
    <row r="204" spans="1:11">
      <c r="A204" s="1568" t="s">
        <v>212</v>
      </c>
      <c r="B204" s="1571" t="s">
        <v>213</v>
      </c>
      <c r="C204" s="1567"/>
      <c r="D204" s="1568"/>
      <c r="E204" s="1575"/>
      <c r="F204" s="1576"/>
      <c r="G204" s="1568" t="s">
        <v>212</v>
      </c>
      <c r="H204" s="1571" t="s">
        <v>213</v>
      </c>
      <c r="I204" s="1567"/>
      <c r="J204" s="1568"/>
    </row>
    <row r="205" spans="1:11">
      <c r="A205" s="1577" t="s">
        <v>214</v>
      </c>
      <c r="B205" s="1571" t="s">
        <v>215</v>
      </c>
      <c r="C205" s="1567"/>
      <c r="D205" s="1568">
        <f>+'Đội 1'!V228</f>
        <v>0</v>
      </c>
      <c r="E205" s="1574"/>
      <c r="F205" s="1576"/>
      <c r="G205" s="1577" t="s">
        <v>214</v>
      </c>
      <c r="H205" s="1571" t="s">
        <v>215</v>
      </c>
      <c r="I205" s="1567"/>
      <c r="J205" s="1568">
        <f>+'Đội 1'!AC228</f>
        <v>0</v>
      </c>
    </row>
    <row r="206" spans="1:11">
      <c r="A206" s="1561" t="s">
        <v>216</v>
      </c>
      <c r="B206" s="1571" t="s">
        <v>217</v>
      </c>
      <c r="C206" s="1567"/>
      <c r="D206" s="1568" t="e">
        <f>VLOOKUP(C197,'Đội 1'!$A$95:$V$99,21,0)</f>
        <v>#N/A</v>
      </c>
      <c r="E206" s="1578"/>
      <c r="F206" s="1560"/>
      <c r="G206" s="1561" t="s">
        <v>216</v>
      </c>
      <c r="H206" s="1571" t="s">
        <v>217</v>
      </c>
      <c r="I206" s="1567"/>
      <c r="J206" s="1568" t="e">
        <f>VLOOKUP(I197,'Đội 1'!$A$95:$V$99,21,0)</f>
        <v>#N/A</v>
      </c>
    </row>
    <row r="207" spans="1:11">
      <c r="A207" s="1568" t="s">
        <v>218</v>
      </c>
      <c r="B207" s="1571" t="s">
        <v>219</v>
      </c>
      <c r="C207" s="1579"/>
      <c r="D207" s="1580" t="e">
        <f>SUM(D198:D203)-D206</f>
        <v>#N/A</v>
      </c>
      <c r="E207" s="1581"/>
      <c r="F207" s="1582"/>
      <c r="G207" s="1568" t="s">
        <v>218</v>
      </c>
      <c r="H207" s="1571" t="s">
        <v>219</v>
      </c>
      <c r="I207" s="1579"/>
      <c r="J207" s="1580" t="e">
        <f>SUM(J198:J203)-J206</f>
        <v>#N/A</v>
      </c>
      <c r="K207" s="3350" t="e">
        <f>D207+J207</f>
        <v>#N/A</v>
      </c>
    </row>
    <row r="208" spans="1:11">
      <c r="A208" s="4836" t="str">
        <f>$K$2</f>
        <v>Tháng 12/24</v>
      </c>
      <c r="B208" s="4836"/>
      <c r="C208" s="4836"/>
      <c r="D208" s="4836"/>
      <c r="E208" s="1560"/>
      <c r="F208" s="1560"/>
      <c r="G208" s="4836" t="str">
        <f>$K$2</f>
        <v>Tháng 12/24</v>
      </c>
      <c r="H208" s="4836"/>
      <c r="I208" s="4836"/>
      <c r="J208" s="4836"/>
    </row>
    <row r="209" spans="1:11" ht="18">
      <c r="A209" s="1561" t="s">
        <v>1</v>
      </c>
      <c r="B209" s="3343" t="e">
        <f>VLOOKUP(C209,'Đội 1'!$A$95:$C$99,3,0)</f>
        <v>#N/A</v>
      </c>
      <c r="C209" s="1563">
        <v>31</v>
      </c>
      <c r="D209" s="1563"/>
      <c r="E209" s="1564"/>
      <c r="F209" s="1565"/>
      <c r="G209" s="1561" t="s">
        <v>1</v>
      </c>
      <c r="H209" s="3343" t="e">
        <f>VLOOKUP(I209,'Đội 1'!$A$95:$C$99,3,0)</f>
        <v>#N/A</v>
      </c>
      <c r="I209" s="1563">
        <v>32</v>
      </c>
      <c r="J209" s="1563"/>
    </row>
    <row r="210" spans="1:11" ht="18">
      <c r="A210" s="1561" t="s">
        <v>205</v>
      </c>
      <c r="B210" s="1566" t="s">
        <v>206</v>
      </c>
      <c r="C210" s="1567" t="e">
        <f>VLOOKUP(C209,'Đội 1'!$A$95:$F$99,6,0)</f>
        <v>#N/A</v>
      </c>
      <c r="D210" s="1568" t="e">
        <f>C210*25000</f>
        <v>#N/A</v>
      </c>
      <c r="E210" s="1569"/>
      <c r="F210" s="1570"/>
      <c r="G210" s="1561" t="s">
        <v>205</v>
      </c>
      <c r="H210" s="1566" t="s">
        <v>206</v>
      </c>
      <c r="I210" s="1567" t="e">
        <f>VLOOKUP(I209,'Đội 1'!$A$95:$F$99,6,0)</f>
        <v>#N/A</v>
      </c>
      <c r="J210" s="1568" t="e">
        <f>I210*25000</f>
        <v>#N/A</v>
      </c>
    </row>
    <row r="211" spans="1:11" ht="12.75" customHeight="1">
      <c r="A211" s="1561" t="s">
        <v>207</v>
      </c>
      <c r="B211" s="1571" t="s">
        <v>208</v>
      </c>
      <c r="C211" s="1567" t="e">
        <f>VLOOKUP(C209,'Đội 1'!$A$95:$N$99,12,0)</f>
        <v>#N/A</v>
      </c>
      <c r="D211" s="2374" t="e">
        <f>+C211*$L$3</f>
        <v>#N/A</v>
      </c>
      <c r="E211" s="1572"/>
      <c r="F211" s="1573"/>
      <c r="G211" s="1561" t="s">
        <v>207</v>
      </c>
      <c r="H211" s="1571" t="s">
        <v>208</v>
      </c>
      <c r="I211" s="1567" t="e">
        <f>VLOOKUP(I209,'Đội 1'!$A$95:$N$99,12,0)</f>
        <v>#N/A</v>
      </c>
      <c r="J211" s="2374" t="e">
        <f>+I211*$L$3</f>
        <v>#N/A</v>
      </c>
    </row>
    <row r="212" spans="1:11">
      <c r="A212" s="1561" t="s">
        <v>1259</v>
      </c>
      <c r="B212" s="1571" t="s">
        <v>209</v>
      </c>
      <c r="C212" s="2369" t="e">
        <f>VLOOKUP(C209,'Đội 1'!$A$95:$O$99,13,0)</f>
        <v>#N/A</v>
      </c>
      <c r="D212" s="2374" t="e">
        <f>+C212*$L$4</f>
        <v>#N/A</v>
      </c>
      <c r="E212" s="1572"/>
      <c r="F212" s="1573"/>
      <c r="G212" s="1561" t="s">
        <v>1259</v>
      </c>
      <c r="H212" s="1571" t="s">
        <v>209</v>
      </c>
      <c r="I212" s="2369" t="e">
        <f>VLOOKUP(I209,'Đội 1'!$A$95:$O$99,13,0)</f>
        <v>#N/A</v>
      </c>
      <c r="J212" s="2374" t="e">
        <f>+I212*$L$4</f>
        <v>#N/A</v>
      </c>
    </row>
    <row r="213" spans="1:11">
      <c r="A213" s="1561" t="s">
        <v>1531</v>
      </c>
      <c r="B213" s="1571"/>
      <c r="C213" s="2369" t="e">
        <f>VLOOKUP(C209,'Đội 1'!$A$95:$P$99,15,0)</f>
        <v>#N/A</v>
      </c>
      <c r="D213" s="2374" t="e">
        <f>+C213*20000+VLOOKUP(C209,'Đội 1'!$A$95:$P$99,14,0)*$L$5</f>
        <v>#N/A</v>
      </c>
      <c r="E213" s="1572"/>
      <c r="F213" s="1573"/>
      <c r="G213" s="1561" t="s">
        <v>1531</v>
      </c>
      <c r="H213" s="1571"/>
      <c r="I213" s="2369" t="e">
        <f>VLOOKUP(I209,'Đội 1'!$A$95:$P$99,15,0)</f>
        <v>#N/A</v>
      </c>
      <c r="J213" s="2374" t="e">
        <f>+I213*20000+VLOOKUP(I209,'Đội 1'!$A$95:$P$99,14,0)*$L$5</f>
        <v>#N/A</v>
      </c>
    </row>
    <row r="214" spans="1:11" hidden="1">
      <c r="A214" s="1561" t="s">
        <v>1971</v>
      </c>
      <c r="B214" s="1571"/>
      <c r="C214" s="2369">
        <v>0</v>
      </c>
      <c r="D214" s="2374">
        <f>+C214*25000</f>
        <v>0</v>
      </c>
      <c r="E214" s="1572"/>
      <c r="F214" s="1573"/>
      <c r="G214" s="1561" t="s">
        <v>1971</v>
      </c>
      <c r="H214" s="1571"/>
      <c r="I214" s="2369">
        <v>0</v>
      </c>
      <c r="J214" s="2374">
        <f>+I214*25000</f>
        <v>0</v>
      </c>
    </row>
    <row r="215" spans="1:11">
      <c r="A215" s="1561" t="s">
        <v>210</v>
      </c>
      <c r="B215" s="1571" t="s">
        <v>211</v>
      </c>
      <c r="C215" s="1567" t="e">
        <f>VLOOKUP(C209,'Đội 1'!$A$95:$J$99,9,0)</f>
        <v>#N/A</v>
      </c>
      <c r="D215" s="2374" t="e">
        <f>VLOOKUP(C209,'Đội 1'!$A$95:$M$99,11,0)</f>
        <v>#N/A</v>
      </c>
      <c r="E215" s="1574"/>
      <c r="F215" s="1573"/>
      <c r="G215" s="1561" t="s">
        <v>210</v>
      </c>
      <c r="H215" s="1571" t="s">
        <v>211</v>
      </c>
      <c r="I215" s="1567" t="e">
        <f>VLOOKUP(I209,'Đội 1'!$A$95:$J$99,9,0)</f>
        <v>#N/A</v>
      </c>
      <c r="J215" s="2374" t="e">
        <f>VLOOKUP(I209,'Đội 1'!$A$95:$M$99,11,0)</f>
        <v>#N/A</v>
      </c>
    </row>
    <row r="216" spans="1:11">
      <c r="A216" s="1568" t="s">
        <v>212</v>
      </c>
      <c r="B216" s="1571" t="s">
        <v>213</v>
      </c>
      <c r="C216" s="1567"/>
      <c r="D216" s="1568"/>
      <c r="E216" s="1575"/>
      <c r="F216" s="1576"/>
      <c r="G216" s="1568" t="s">
        <v>212</v>
      </c>
      <c r="H216" s="1571" t="s">
        <v>213</v>
      </c>
      <c r="I216" s="1567"/>
      <c r="J216" s="1568"/>
    </row>
    <row r="217" spans="1:11">
      <c r="A217" s="1577" t="s">
        <v>214</v>
      </c>
      <c r="B217" s="1571" t="s">
        <v>215</v>
      </c>
      <c r="C217" s="1567"/>
      <c r="D217" s="1568">
        <f>+'Đội 1'!V240</f>
        <v>0</v>
      </c>
      <c r="E217" s="1574"/>
      <c r="F217" s="1576"/>
      <c r="G217" s="1577" t="s">
        <v>214</v>
      </c>
      <c r="H217" s="1571" t="s">
        <v>215</v>
      </c>
      <c r="I217" s="1567"/>
      <c r="J217" s="1568">
        <f>+'Đội 1'!AC240</f>
        <v>0</v>
      </c>
    </row>
    <row r="218" spans="1:11">
      <c r="A218" s="1561" t="s">
        <v>216</v>
      </c>
      <c r="B218" s="1571" t="s">
        <v>217</v>
      </c>
      <c r="C218" s="1567"/>
      <c r="D218" s="1568" t="e">
        <f>VLOOKUP(C209,'Đội 1'!$A$95:$V$99,21,0)</f>
        <v>#N/A</v>
      </c>
      <c r="E218" s="1578"/>
      <c r="F218" s="1560"/>
      <c r="G218" s="1561" t="s">
        <v>216</v>
      </c>
      <c r="H218" s="1571" t="s">
        <v>217</v>
      </c>
      <c r="I218" s="1567"/>
      <c r="J218" s="1568" t="e">
        <f>VLOOKUP(I209,'Đội 1'!$A$95:$V$99,21,0)</f>
        <v>#N/A</v>
      </c>
    </row>
    <row r="219" spans="1:11">
      <c r="A219" s="1568" t="s">
        <v>218</v>
      </c>
      <c r="B219" s="1571" t="s">
        <v>219</v>
      </c>
      <c r="C219" s="1579"/>
      <c r="D219" s="1580" t="e">
        <f>SUM(D210:D215)-D218</f>
        <v>#N/A</v>
      </c>
      <c r="E219" s="1581"/>
      <c r="F219" s="1582"/>
      <c r="G219" s="1568" t="s">
        <v>218</v>
      </c>
      <c r="H219" s="1571" t="s">
        <v>219</v>
      </c>
      <c r="I219" s="1579"/>
      <c r="J219" s="1580" t="e">
        <f>SUM(J210:J215)-J218</f>
        <v>#N/A</v>
      </c>
      <c r="K219" s="3350" t="e">
        <f>D219+J219</f>
        <v>#N/A</v>
      </c>
    </row>
    <row r="220" spans="1:11">
      <c r="A220" s="1583"/>
      <c r="B220" s="1584"/>
      <c r="C220" s="1585"/>
      <c r="D220" s="1586"/>
      <c r="E220" s="1582"/>
      <c r="F220" s="1586"/>
      <c r="G220" s="1583"/>
      <c r="H220" s="1584"/>
      <c r="I220" s="1585"/>
      <c r="J220" s="1582"/>
    </row>
    <row r="221" spans="1:11">
      <c r="A221" s="1587"/>
      <c r="B221" s="1587"/>
      <c r="C221" s="1588"/>
      <c r="D221" s="3335"/>
      <c r="E221" s="1590"/>
      <c r="F221" s="1587"/>
      <c r="G221" s="1587"/>
      <c r="H221" s="1587"/>
      <c r="I221" s="1588"/>
      <c r="J221" s="1591"/>
    </row>
    <row r="222" spans="1:11">
      <c r="A222" s="4836" t="str">
        <f>$K$2</f>
        <v>Tháng 12/24</v>
      </c>
      <c r="B222" s="4836"/>
      <c r="C222" s="4836"/>
      <c r="D222" s="4836"/>
      <c r="E222" s="1560"/>
      <c r="F222" s="1560"/>
      <c r="G222" s="4836" t="str">
        <f>$K$2</f>
        <v>Tháng 12/24</v>
      </c>
      <c r="H222" s="4836"/>
      <c r="I222" s="4836"/>
      <c r="J222" s="4836"/>
    </row>
    <row r="223" spans="1:11" ht="18">
      <c r="A223" s="1561" t="s">
        <v>1</v>
      </c>
      <c r="B223" s="3343" t="e">
        <f>VLOOKUP(C223,'Đội 1'!$A$95:$C$99,3,0)</f>
        <v>#N/A</v>
      </c>
      <c r="C223" s="1563">
        <v>33</v>
      </c>
      <c r="D223" s="1563"/>
      <c r="E223" s="1564"/>
      <c r="F223" s="1565"/>
      <c r="G223" s="1561" t="s">
        <v>1</v>
      </c>
      <c r="H223" s="3343" t="e">
        <f>VLOOKUP(I223,'Đội 1'!$A$95:$C$99,3,0)</f>
        <v>#N/A</v>
      </c>
      <c r="I223" s="1563">
        <v>34</v>
      </c>
      <c r="J223" s="1563"/>
    </row>
    <row r="224" spans="1:11" ht="18">
      <c r="A224" s="1561" t="s">
        <v>205</v>
      </c>
      <c r="B224" s="1566" t="s">
        <v>206</v>
      </c>
      <c r="C224" s="1567" t="e">
        <f>VLOOKUP(C223,'Đội 1'!$A$95:$F$99,6,0)</f>
        <v>#N/A</v>
      </c>
      <c r="D224" s="1568" t="e">
        <f>C224*25000</f>
        <v>#N/A</v>
      </c>
      <c r="E224" s="1569"/>
      <c r="F224" s="1570"/>
      <c r="G224" s="1561" t="s">
        <v>205</v>
      </c>
      <c r="H224" s="1566" t="s">
        <v>206</v>
      </c>
      <c r="I224" s="1567" t="e">
        <f>VLOOKUP(I223,'Đội 1'!$A$95:$F$99,6,0)</f>
        <v>#N/A</v>
      </c>
      <c r="J224" s="1568" t="e">
        <f>I224*25000</f>
        <v>#N/A</v>
      </c>
    </row>
    <row r="225" spans="1:12">
      <c r="A225" s="1561" t="s">
        <v>207</v>
      </c>
      <c r="B225" s="1571" t="s">
        <v>208</v>
      </c>
      <c r="C225" s="1567" t="e">
        <f>VLOOKUP(C223,'Đội 1'!$A$95:$N$99,12,0)</f>
        <v>#N/A</v>
      </c>
      <c r="D225" s="2374" t="e">
        <f>+C225*$L$3</f>
        <v>#N/A</v>
      </c>
      <c r="E225" s="1572"/>
      <c r="F225" s="1573"/>
      <c r="G225" s="1561" t="s">
        <v>207</v>
      </c>
      <c r="H225" s="1571" t="s">
        <v>208</v>
      </c>
      <c r="I225" s="1567" t="e">
        <f>VLOOKUP(I223,'Đội 1'!$A$95:$N$99,12,0)</f>
        <v>#N/A</v>
      </c>
      <c r="J225" s="2374" t="e">
        <f>+I225*$L$3</f>
        <v>#N/A</v>
      </c>
    </row>
    <row r="226" spans="1:12">
      <c r="A226" s="1561" t="s">
        <v>1259</v>
      </c>
      <c r="B226" s="1571" t="s">
        <v>209</v>
      </c>
      <c r="C226" s="2369" t="e">
        <f>VLOOKUP(C223,'Đội 1'!$A$95:$O$99,13,0)</f>
        <v>#N/A</v>
      </c>
      <c r="D226" s="2374" t="e">
        <f>+C226*$L$4</f>
        <v>#N/A</v>
      </c>
      <c r="E226" s="1572"/>
      <c r="F226" s="1573"/>
      <c r="G226" s="1561" t="s">
        <v>1259</v>
      </c>
      <c r="H226" s="1571" t="s">
        <v>209</v>
      </c>
      <c r="I226" s="2369" t="e">
        <f>VLOOKUP(I223,'Đội 1'!$A$95:$O$99,13,0)</f>
        <v>#N/A</v>
      </c>
      <c r="J226" s="2374" t="e">
        <f>+I226*$L$4</f>
        <v>#N/A</v>
      </c>
    </row>
    <row r="227" spans="1:12">
      <c r="A227" s="1561" t="s">
        <v>1531</v>
      </c>
      <c r="B227" s="1571"/>
      <c r="C227" s="2369" t="e">
        <f>VLOOKUP(C223,'Đội 1'!$A$95:$P$99,15,0)</f>
        <v>#N/A</v>
      </c>
      <c r="D227" s="2374" t="e">
        <f>+C227*20000+VLOOKUP(C223,'Đội 1'!$A$95:$P$99,14,0)*$L$5</f>
        <v>#N/A</v>
      </c>
      <c r="E227" s="1572"/>
      <c r="F227" s="1573"/>
      <c r="G227" s="1561" t="s">
        <v>1531</v>
      </c>
      <c r="H227" s="1571"/>
      <c r="I227" s="2369" t="e">
        <f>VLOOKUP(I223,'Đội 1'!$A$95:$P$99,15,0)</f>
        <v>#N/A</v>
      </c>
      <c r="J227" s="2374" t="e">
        <f>+I227*20000+VLOOKUP(I223,'Đội 1'!$A$95:$P$99,14,0)*$L$5</f>
        <v>#N/A</v>
      </c>
    </row>
    <row r="228" spans="1:12" hidden="1">
      <c r="A228" s="1561" t="s">
        <v>1971</v>
      </c>
      <c r="B228" s="1571"/>
      <c r="C228" s="2369">
        <v>0</v>
      </c>
      <c r="D228" s="2374">
        <f>+C228*25000</f>
        <v>0</v>
      </c>
      <c r="E228" s="1572"/>
      <c r="F228" s="1573"/>
      <c r="G228" s="1561" t="s">
        <v>1971</v>
      </c>
      <c r="H228" s="1571"/>
      <c r="I228" s="2369">
        <v>0</v>
      </c>
      <c r="J228" s="2374">
        <f>+I228*25000</f>
        <v>0</v>
      </c>
    </row>
    <row r="229" spans="1:12">
      <c r="A229" s="1561" t="s">
        <v>210</v>
      </c>
      <c r="B229" s="1571" t="s">
        <v>211</v>
      </c>
      <c r="C229" s="1567" t="e">
        <f>VLOOKUP(C223,'Đội 1'!$A$95:$J$99,9,0)</f>
        <v>#N/A</v>
      </c>
      <c r="D229" s="2374" t="e">
        <f>VLOOKUP(C223,'Đội 1'!$A$95:$M$99,11,0)</f>
        <v>#N/A</v>
      </c>
      <c r="E229" s="1574"/>
      <c r="F229" s="1573"/>
      <c r="G229" s="1561" t="s">
        <v>210</v>
      </c>
      <c r="H229" s="1571" t="s">
        <v>211</v>
      </c>
      <c r="I229" s="1567" t="e">
        <f>VLOOKUP(I223,'Đội 1'!$A$95:$J$99,9,0)</f>
        <v>#N/A</v>
      </c>
      <c r="J229" s="2374" t="e">
        <f>VLOOKUP(I223,'Đội 1'!$A$95:$M$99,11,0)</f>
        <v>#N/A</v>
      </c>
    </row>
    <row r="230" spans="1:12">
      <c r="A230" s="1568" t="s">
        <v>212</v>
      </c>
      <c r="B230" s="1571" t="s">
        <v>213</v>
      </c>
      <c r="C230" s="1567"/>
      <c r="D230" s="1568"/>
      <c r="E230" s="1575"/>
      <c r="F230" s="1576"/>
      <c r="G230" s="1568" t="s">
        <v>212</v>
      </c>
      <c r="H230" s="1571" t="s">
        <v>213</v>
      </c>
      <c r="I230" s="1567"/>
      <c r="J230" s="1568"/>
    </row>
    <row r="231" spans="1:12">
      <c r="A231" s="1577" t="s">
        <v>214</v>
      </c>
      <c r="B231" s="1571" t="s">
        <v>215</v>
      </c>
      <c r="C231" s="1567"/>
      <c r="D231" s="1568">
        <f>+'Đội 1'!V254</f>
        <v>0</v>
      </c>
      <c r="E231" s="1574"/>
      <c r="F231" s="1576"/>
      <c r="G231" s="1577" t="s">
        <v>214</v>
      </c>
      <c r="H231" s="1571" t="s">
        <v>215</v>
      </c>
      <c r="I231" s="1567"/>
      <c r="J231" s="1568">
        <f>+'Đội 1'!AC254</f>
        <v>0</v>
      </c>
    </row>
    <row r="232" spans="1:12">
      <c r="A232" s="1561" t="s">
        <v>216</v>
      </c>
      <c r="B232" s="1571" t="s">
        <v>217</v>
      </c>
      <c r="C232" s="1567"/>
      <c r="D232" s="1568" t="e">
        <f>VLOOKUP(C223,'Đội 1'!$A$95:$V$99,21,0)</f>
        <v>#N/A</v>
      </c>
      <c r="E232" s="1578"/>
      <c r="F232" s="1560"/>
      <c r="G232" s="1561" t="s">
        <v>216</v>
      </c>
      <c r="H232" s="1571" t="s">
        <v>217</v>
      </c>
      <c r="I232" s="1567"/>
      <c r="J232" s="1568" t="e">
        <f>VLOOKUP(I223,'Đội 1'!$A$95:$V$99,21,0)</f>
        <v>#N/A</v>
      </c>
    </row>
    <row r="233" spans="1:12">
      <c r="A233" s="1568" t="s">
        <v>218</v>
      </c>
      <c r="B233" s="1571" t="s">
        <v>219</v>
      </c>
      <c r="C233" s="1579"/>
      <c r="D233" s="1580" t="e">
        <f>SUM(D224:D229)-D232</f>
        <v>#N/A</v>
      </c>
      <c r="E233" s="1581"/>
      <c r="F233" s="1582"/>
      <c r="G233" s="1568" t="s">
        <v>218</v>
      </c>
      <c r="H233" s="1571" t="s">
        <v>219</v>
      </c>
      <c r="I233" s="1579"/>
      <c r="J233" s="1580" t="e">
        <f>SUM(J224:J229)-J232</f>
        <v>#N/A</v>
      </c>
      <c r="K233" s="3350" t="e">
        <f>D233+J233</f>
        <v>#N/A</v>
      </c>
    </row>
    <row r="234" spans="1:12">
      <c r="A234" s="1583"/>
      <c r="B234" s="1584"/>
      <c r="C234" s="1585"/>
      <c r="D234" s="1586"/>
      <c r="E234" s="1582"/>
      <c r="F234" s="1586"/>
      <c r="G234" s="1583"/>
      <c r="H234" s="1584"/>
      <c r="I234" s="1585"/>
      <c r="J234" s="1582"/>
    </row>
    <row r="235" spans="1:12">
      <c r="A235" s="1587"/>
      <c r="B235" s="1587"/>
      <c r="C235" s="1588"/>
      <c r="D235" s="3335"/>
      <c r="E235" s="1590"/>
      <c r="F235" s="1587"/>
      <c r="G235" s="1587"/>
      <c r="H235" s="1587"/>
      <c r="I235" s="1588"/>
      <c r="J235" s="1591"/>
    </row>
    <row r="236" spans="1:12">
      <c r="A236" s="4836" t="str">
        <f>$K$2</f>
        <v>Tháng 12/24</v>
      </c>
      <c r="B236" s="4836"/>
      <c r="C236" s="4836"/>
      <c r="D236" s="4836"/>
      <c r="E236" s="1560"/>
      <c r="F236" s="1560"/>
      <c r="G236" s="4836" t="str">
        <f>$K$2</f>
        <v>Tháng 12/24</v>
      </c>
      <c r="H236" s="4836"/>
      <c r="I236" s="4836"/>
      <c r="J236" s="4836"/>
      <c r="K236" s="3351" t="e">
        <f>SUM(K13:K233)</f>
        <v>#N/A</v>
      </c>
      <c r="L236" s="3352" t="s">
        <v>1990</v>
      </c>
    </row>
    <row r="237" spans="1:12" ht="21.75" customHeight="1">
      <c r="A237" s="1561" t="s">
        <v>1</v>
      </c>
      <c r="B237" s="3343" t="e">
        <f>VLOOKUP(C237,'Đội 1'!$A$95:$C$99,3,0)</f>
        <v>#N/A</v>
      </c>
      <c r="C237" s="1563">
        <v>35</v>
      </c>
      <c r="D237" s="1563"/>
      <c r="E237" s="1564"/>
      <c r="F237" s="1565"/>
      <c r="G237" s="1561" t="s">
        <v>1</v>
      </c>
      <c r="H237" s="3343"/>
      <c r="I237" s="1563"/>
      <c r="J237" s="1563"/>
    </row>
    <row r="238" spans="1:12" ht="18">
      <c r="A238" s="1561" t="s">
        <v>205</v>
      </c>
      <c r="B238" s="1566" t="s">
        <v>206</v>
      </c>
      <c r="C238" s="1567" t="e">
        <f>VLOOKUP(C237,'Đội 1'!$A$95:$F$99,6,0)</f>
        <v>#N/A</v>
      </c>
      <c r="D238" s="1568" t="e">
        <f>C238*25000</f>
        <v>#N/A</v>
      </c>
      <c r="E238" s="1569"/>
      <c r="F238" s="1570"/>
      <c r="G238" s="1561" t="s">
        <v>205</v>
      </c>
      <c r="H238" s="1566" t="s">
        <v>206</v>
      </c>
      <c r="I238" s="1567"/>
      <c r="J238" s="1568"/>
    </row>
    <row r="239" spans="1:12">
      <c r="A239" s="1561" t="s">
        <v>207</v>
      </c>
      <c r="B239" s="1571" t="s">
        <v>208</v>
      </c>
      <c r="C239" s="1567" t="e">
        <f>VLOOKUP(C237,'Đội 1'!$A$95:$N$99,12,0)</f>
        <v>#N/A</v>
      </c>
      <c r="D239" s="2374" t="e">
        <f>+C239*$L$3</f>
        <v>#N/A</v>
      </c>
      <c r="E239" s="1572"/>
      <c r="F239" s="1573"/>
      <c r="G239" s="1561" t="s">
        <v>207</v>
      </c>
      <c r="H239" s="1571" t="s">
        <v>208</v>
      </c>
      <c r="I239" s="1567"/>
      <c r="J239" s="2374"/>
    </row>
    <row r="240" spans="1:12">
      <c r="A240" s="1561" t="s">
        <v>1259</v>
      </c>
      <c r="B240" s="1571" t="s">
        <v>209</v>
      </c>
      <c r="C240" s="2369" t="e">
        <f>VLOOKUP(C237,'Đội 1'!$A$95:$O$99,13,0)</f>
        <v>#N/A</v>
      </c>
      <c r="D240" s="2374" t="e">
        <f>+C240*$L$4</f>
        <v>#N/A</v>
      </c>
      <c r="E240" s="1572"/>
      <c r="F240" s="1573"/>
      <c r="G240" s="1561" t="s">
        <v>1259</v>
      </c>
      <c r="H240" s="1571" t="s">
        <v>209</v>
      </c>
      <c r="I240" s="2369"/>
      <c r="J240" s="2374"/>
    </row>
    <row r="241" spans="1:12">
      <c r="A241" s="1561" t="s">
        <v>1531</v>
      </c>
      <c r="B241" s="1571"/>
      <c r="C241" s="2369" t="e">
        <f>VLOOKUP(C237,'Đội 1'!$A$95:$P$99,15,0)</f>
        <v>#N/A</v>
      </c>
      <c r="D241" s="2374" t="e">
        <f>+C241*20000+VLOOKUP(C237,'Đội 1'!$A$95:$P$99,14,0)*$L$5</f>
        <v>#N/A</v>
      </c>
      <c r="E241" s="1572"/>
      <c r="F241" s="1573"/>
      <c r="G241" s="1561" t="s">
        <v>1531</v>
      </c>
      <c r="H241" s="1571"/>
      <c r="I241" s="2369"/>
      <c r="J241" s="2374"/>
    </row>
    <row r="242" spans="1:12" hidden="1">
      <c r="A242" s="1561" t="s">
        <v>1971</v>
      </c>
      <c r="B242" s="1571"/>
      <c r="C242" s="2369">
        <v>0</v>
      </c>
      <c r="D242" s="2374">
        <f>+C242*25000</f>
        <v>0</v>
      </c>
      <c r="E242" s="1572"/>
      <c r="F242" s="1573"/>
      <c r="G242" s="1561" t="s">
        <v>1971</v>
      </c>
      <c r="H242" s="1571"/>
      <c r="I242" s="2369"/>
      <c r="J242" s="2374"/>
    </row>
    <row r="243" spans="1:12">
      <c r="A243" s="1561" t="s">
        <v>210</v>
      </c>
      <c r="B243" s="1571" t="s">
        <v>211</v>
      </c>
      <c r="C243" s="1567" t="e">
        <f>VLOOKUP(C237,'Đội 1'!$A$95:$J$99,9,0)</f>
        <v>#N/A</v>
      </c>
      <c r="D243" s="2374" t="e">
        <f>VLOOKUP(C237,'Đội 1'!$A$95:$M$99,11,0)</f>
        <v>#N/A</v>
      </c>
      <c r="E243" s="1574"/>
      <c r="F243" s="1573"/>
      <c r="G243" s="1561" t="s">
        <v>210</v>
      </c>
      <c r="H243" s="1571" t="s">
        <v>211</v>
      </c>
      <c r="I243" s="1567"/>
      <c r="J243" s="2374"/>
    </row>
    <row r="244" spans="1:12">
      <c r="A244" s="1568" t="s">
        <v>212</v>
      </c>
      <c r="B244" s="1571" t="s">
        <v>213</v>
      </c>
      <c r="C244" s="1567"/>
      <c r="D244" s="1568"/>
      <c r="E244" s="1575"/>
      <c r="F244" s="1576"/>
      <c r="G244" s="1568" t="s">
        <v>212</v>
      </c>
      <c r="H244" s="1571" t="s">
        <v>213</v>
      </c>
      <c r="I244" s="1567"/>
      <c r="J244" s="1568"/>
    </row>
    <row r="245" spans="1:12">
      <c r="A245" s="1577" t="s">
        <v>214</v>
      </c>
      <c r="B245" s="1571" t="s">
        <v>215</v>
      </c>
      <c r="C245" s="1567"/>
      <c r="D245" s="1568">
        <f>+'Đội 1'!V268</f>
        <v>0</v>
      </c>
      <c r="E245" s="1574"/>
      <c r="F245" s="1576"/>
      <c r="G245" s="1577" t="s">
        <v>214</v>
      </c>
      <c r="H245" s="1571" t="s">
        <v>215</v>
      </c>
      <c r="I245" s="1567"/>
      <c r="J245" s="1568"/>
    </row>
    <row r="246" spans="1:12">
      <c r="A246" s="1561" t="s">
        <v>216</v>
      </c>
      <c r="B246" s="1571" t="s">
        <v>217</v>
      </c>
      <c r="C246" s="1567"/>
      <c r="D246" s="1568" t="e">
        <f>VLOOKUP(C237,'Đội 1'!$A$95:$V$99,21,0)</f>
        <v>#N/A</v>
      </c>
      <c r="E246" s="1578"/>
      <c r="F246" s="1560"/>
      <c r="G246" s="1561" t="s">
        <v>216</v>
      </c>
      <c r="H246" s="1571" t="s">
        <v>217</v>
      </c>
      <c r="I246" s="1567"/>
      <c r="J246" s="1568"/>
    </row>
    <row r="247" spans="1:12">
      <c r="A247" s="1568" t="s">
        <v>218</v>
      </c>
      <c r="B247" s="1571" t="s">
        <v>219</v>
      </c>
      <c r="C247" s="1579"/>
      <c r="D247" s="1580" t="e">
        <f>SUM(D238:D243)-D246</f>
        <v>#N/A</v>
      </c>
      <c r="E247" s="1581"/>
      <c r="F247" s="1582"/>
      <c r="G247" s="1568" t="s">
        <v>218</v>
      </c>
      <c r="H247" s="1571" t="s">
        <v>219</v>
      </c>
      <c r="I247" s="1579"/>
      <c r="J247" s="1580"/>
      <c r="K247" s="3350" t="e">
        <f>D247+J247</f>
        <v>#N/A</v>
      </c>
    </row>
    <row r="248" spans="1:12">
      <c r="A248" s="1583"/>
      <c r="B248" s="1584"/>
      <c r="C248" s="1585"/>
      <c r="D248" s="1586"/>
      <c r="E248" s="1586"/>
      <c r="F248" s="1586"/>
      <c r="G248" s="1583"/>
      <c r="H248" s="1584"/>
      <c r="I248" s="1585"/>
      <c r="J248" s="1586"/>
    </row>
    <row r="249" spans="1:12">
      <c r="A249" s="1583"/>
      <c r="B249" s="1584"/>
      <c r="C249" s="1585"/>
      <c r="D249" s="1586"/>
      <c r="E249" s="1586"/>
      <c r="F249" s="1586"/>
      <c r="G249" s="1583"/>
      <c r="H249" s="1584"/>
      <c r="I249" s="1585"/>
      <c r="J249" s="1586"/>
      <c r="K249" s="3351"/>
      <c r="L249" s="3352"/>
    </row>
    <row r="250" spans="1:12">
      <c r="A250" s="4837" t="s">
        <v>1878</v>
      </c>
      <c r="B250" s="4837"/>
      <c r="C250" s="4837"/>
      <c r="D250" s="4837"/>
      <c r="E250" s="4837"/>
      <c r="F250" s="4837"/>
      <c r="G250" s="4837"/>
      <c r="H250" s="4837"/>
      <c r="I250" s="4837"/>
      <c r="J250" s="4837"/>
    </row>
    <row r="251" spans="1:12">
      <c r="A251" s="1583"/>
      <c r="B251" s="1584"/>
      <c r="C251" s="1585"/>
      <c r="D251" s="1586"/>
      <c r="E251" s="1586"/>
      <c r="F251" s="1586"/>
      <c r="G251" s="1583"/>
      <c r="H251" s="1584"/>
      <c r="I251" s="1585"/>
      <c r="J251" s="1586"/>
    </row>
    <row r="252" spans="1:12">
      <c r="A252" s="4836" t="str">
        <f>$K$2</f>
        <v>Tháng 12/24</v>
      </c>
      <c r="B252" s="4836"/>
      <c r="C252" s="4836"/>
      <c r="D252" s="4836"/>
      <c r="E252" s="1560"/>
      <c r="F252" s="1560"/>
      <c r="G252" s="4836" t="str">
        <f>$K$2</f>
        <v>Tháng 12/24</v>
      </c>
      <c r="H252" s="4836"/>
      <c r="I252" s="4836"/>
      <c r="J252" s="4836"/>
    </row>
    <row r="253" spans="1:12" ht="18">
      <c r="A253" s="1561" t="s">
        <v>1</v>
      </c>
      <c r="B253" s="3343" t="e">
        <f>VLOOKUP(C253,'Đội 1'!$A$95:$C$99,3,0)</f>
        <v>#N/A</v>
      </c>
      <c r="C253" s="1563">
        <v>36</v>
      </c>
      <c r="D253" s="1563"/>
      <c r="E253" s="1564"/>
      <c r="F253" s="1565"/>
      <c r="G253" s="1561" t="s">
        <v>1</v>
      </c>
      <c r="H253" s="3343" t="e">
        <f>VLOOKUP(I253,'Đội 1'!$A$95:$C$99,3,0)</f>
        <v>#N/A</v>
      </c>
      <c r="I253" s="1563">
        <v>37</v>
      </c>
      <c r="J253" s="1563"/>
    </row>
    <row r="254" spans="1:12" ht="18">
      <c r="A254" s="1561" t="s">
        <v>205</v>
      </c>
      <c r="B254" s="1566" t="s">
        <v>206</v>
      </c>
      <c r="C254" s="1567" t="e">
        <f>VLOOKUP(C253,'Đội 1'!$A$95:$F$99,6,0)</f>
        <v>#N/A</v>
      </c>
      <c r="D254" s="1568" t="e">
        <f>C254*25000</f>
        <v>#N/A</v>
      </c>
      <c r="E254" s="1569"/>
      <c r="F254" s="1570"/>
      <c r="G254" s="1561" t="s">
        <v>205</v>
      </c>
      <c r="H254" s="1566" t="s">
        <v>206</v>
      </c>
      <c r="I254" s="1567" t="e">
        <f>VLOOKUP(I253,'Đội 1'!$A$95:$F$99,6,0)</f>
        <v>#N/A</v>
      </c>
      <c r="J254" s="1568" t="e">
        <f>I254*25000</f>
        <v>#N/A</v>
      </c>
    </row>
    <row r="255" spans="1:12">
      <c r="A255" s="1561" t="s">
        <v>207</v>
      </c>
      <c r="B255" s="1571" t="s">
        <v>208</v>
      </c>
      <c r="C255" s="1567" t="e">
        <f>VLOOKUP(C253,'Đội 1'!$A$95:$N$99,12,0)</f>
        <v>#N/A</v>
      </c>
      <c r="D255" s="2374" t="e">
        <f>+C255*$L$3</f>
        <v>#N/A</v>
      </c>
      <c r="E255" s="1572"/>
      <c r="F255" s="1573"/>
      <c r="G255" s="1561" t="s">
        <v>207</v>
      </c>
      <c r="H255" s="1571" t="s">
        <v>208</v>
      </c>
      <c r="I255" s="1567" t="e">
        <f>VLOOKUP(I253,'Đội 1'!$A$95:$N$99,12,0)</f>
        <v>#N/A</v>
      </c>
      <c r="J255" s="2374" t="e">
        <f>+I255*$L$3</f>
        <v>#N/A</v>
      </c>
    </row>
    <row r="256" spans="1:12">
      <c r="A256" s="1561" t="s">
        <v>1259</v>
      </c>
      <c r="B256" s="1571" t="s">
        <v>209</v>
      </c>
      <c r="C256" s="2369" t="e">
        <f>VLOOKUP(C253,'Đội 1'!$A$95:$O$99,13,0)</f>
        <v>#N/A</v>
      </c>
      <c r="D256" s="2374" t="e">
        <f>+C256*$L$4</f>
        <v>#N/A</v>
      </c>
      <c r="E256" s="1572"/>
      <c r="F256" s="1573"/>
      <c r="G256" s="1561" t="s">
        <v>1259</v>
      </c>
      <c r="H256" s="1571" t="s">
        <v>209</v>
      </c>
      <c r="I256" s="2369" t="e">
        <f>VLOOKUP(I253,'Đội 1'!$A$95:$O$99,13,0)</f>
        <v>#N/A</v>
      </c>
      <c r="J256" s="2374" t="e">
        <f>+I256*$L$4</f>
        <v>#N/A</v>
      </c>
    </row>
    <row r="257" spans="1:11">
      <c r="A257" s="1561" t="s">
        <v>1531</v>
      </c>
      <c r="B257" s="1571"/>
      <c r="C257" s="2369" t="e">
        <f>VLOOKUP(C253,'Đội 1'!$A$95:$P$99,15,0)</f>
        <v>#N/A</v>
      </c>
      <c r="D257" s="2374" t="e">
        <f>+C257*20000+VLOOKUP(C253,'Đội 1'!$A$95:$P$99,14,0)*$L$5</f>
        <v>#N/A</v>
      </c>
      <c r="E257" s="1572"/>
      <c r="F257" s="1573"/>
      <c r="G257" s="1561" t="s">
        <v>1531</v>
      </c>
      <c r="H257" s="1571"/>
      <c r="I257" s="2369" t="e">
        <f>VLOOKUP(I253,'Đội 1'!$A$95:$P$99,15,0)</f>
        <v>#N/A</v>
      </c>
      <c r="J257" s="2374" t="e">
        <f>+I257*20000+VLOOKUP(I253,'Đội 1'!$A$95:$P$99,14,0)*$L$5</f>
        <v>#N/A</v>
      </c>
    </row>
    <row r="258" spans="1:11" hidden="1">
      <c r="A258" s="1561" t="s">
        <v>1971</v>
      </c>
      <c r="B258" s="1571"/>
      <c r="C258" s="2369">
        <v>0</v>
      </c>
      <c r="D258" s="2374">
        <f>+C258*25000</f>
        <v>0</v>
      </c>
      <c r="E258" s="1572"/>
      <c r="F258" s="1573"/>
      <c r="G258" s="1561" t="s">
        <v>1971</v>
      </c>
      <c r="H258" s="1571"/>
      <c r="I258" s="2369">
        <v>0</v>
      </c>
      <c r="J258" s="2374">
        <f>+I258*25000</f>
        <v>0</v>
      </c>
    </row>
    <row r="259" spans="1:11">
      <c r="A259" s="1561" t="s">
        <v>210</v>
      </c>
      <c r="B259" s="1571" t="s">
        <v>211</v>
      </c>
      <c r="C259" s="1567" t="e">
        <f>VLOOKUP(C253,'Đội 1'!$A$95:$J$99,9,0)</f>
        <v>#N/A</v>
      </c>
      <c r="D259" s="2374" t="e">
        <f>VLOOKUP(C253,'Đội 1'!$A$95:$M$99,11,0)</f>
        <v>#N/A</v>
      </c>
      <c r="E259" s="1574"/>
      <c r="F259" s="1573"/>
      <c r="G259" s="1561" t="s">
        <v>210</v>
      </c>
      <c r="H259" s="1571" t="s">
        <v>211</v>
      </c>
      <c r="I259" s="1567" t="e">
        <f>VLOOKUP(I253,'Đội 1'!$A$95:$J$99,9,0)</f>
        <v>#N/A</v>
      </c>
      <c r="J259" s="2374" t="e">
        <f>VLOOKUP(I253,'Đội 1'!$A$95:$M$99,11,0)</f>
        <v>#N/A</v>
      </c>
    </row>
    <row r="260" spans="1:11">
      <c r="A260" s="1568" t="s">
        <v>212</v>
      </c>
      <c r="B260" s="1571" t="s">
        <v>213</v>
      </c>
      <c r="C260" s="1567"/>
      <c r="D260" s="1568"/>
      <c r="E260" s="1575"/>
      <c r="F260" s="1576"/>
      <c r="G260" s="1568" t="s">
        <v>212</v>
      </c>
      <c r="H260" s="1571" t="s">
        <v>213</v>
      </c>
      <c r="I260" s="1567"/>
      <c r="J260" s="1568"/>
    </row>
    <row r="261" spans="1:11">
      <c r="A261" s="1577" t="s">
        <v>214</v>
      </c>
      <c r="B261" s="1571" t="s">
        <v>215</v>
      </c>
      <c r="C261" s="1567"/>
      <c r="D261" s="1568">
        <f>+'Đội 1'!V281</f>
        <v>0</v>
      </c>
      <c r="E261" s="1574"/>
      <c r="F261" s="1576"/>
      <c r="G261" s="1577" t="s">
        <v>214</v>
      </c>
      <c r="H261" s="1571" t="s">
        <v>215</v>
      </c>
      <c r="I261" s="1567"/>
      <c r="J261" s="1568">
        <f>+'Đội 1'!AC281</f>
        <v>0</v>
      </c>
    </row>
    <row r="262" spans="1:11">
      <c r="A262" s="1561" t="s">
        <v>216</v>
      </c>
      <c r="B262" s="1571" t="s">
        <v>217</v>
      </c>
      <c r="C262" s="1567"/>
      <c r="D262" s="1568" t="e">
        <f>VLOOKUP(C253,'Đội 1'!$A$95:$V$99,21,0)</f>
        <v>#N/A</v>
      </c>
      <c r="E262" s="1578"/>
      <c r="F262" s="1560"/>
      <c r="G262" s="1561" t="s">
        <v>216</v>
      </c>
      <c r="H262" s="1571" t="s">
        <v>217</v>
      </c>
      <c r="I262" s="1567"/>
      <c r="J262" s="1568" t="e">
        <f>VLOOKUP(I253,'Đội 1'!$A$95:$V$99,21,0)</f>
        <v>#N/A</v>
      </c>
    </row>
    <row r="263" spans="1:11">
      <c r="A263" s="1568" t="s">
        <v>218</v>
      </c>
      <c r="B263" s="1571" t="s">
        <v>219</v>
      </c>
      <c r="C263" s="1579"/>
      <c r="D263" s="1580" t="e">
        <f>SUM(D254:D259)-D262</f>
        <v>#N/A</v>
      </c>
      <c r="E263" s="1581"/>
      <c r="F263" s="1582"/>
      <c r="G263" s="1568" t="s">
        <v>218</v>
      </c>
      <c r="H263" s="1571" t="s">
        <v>219</v>
      </c>
      <c r="I263" s="1579"/>
      <c r="J263" s="1580" t="e">
        <f>SUM(J254:J259)-J262</f>
        <v>#N/A</v>
      </c>
      <c r="K263" s="3350" t="e">
        <f>J263+D263</f>
        <v>#N/A</v>
      </c>
    </row>
    <row r="264" spans="1:11">
      <c r="A264" s="4841" t="str">
        <f>$K$2</f>
        <v>Tháng 12/24</v>
      </c>
      <c r="B264" s="4841"/>
      <c r="C264" s="4841"/>
      <c r="D264" s="4841"/>
      <c r="E264" s="1560"/>
      <c r="F264" s="1560"/>
      <c r="G264" s="4841" t="str">
        <f>$K$2</f>
        <v>Tháng 12/24</v>
      </c>
      <c r="H264" s="4841"/>
      <c r="I264" s="4841"/>
      <c r="J264" s="4841"/>
    </row>
    <row r="265" spans="1:11" ht="18">
      <c r="A265" s="1561" t="s">
        <v>1</v>
      </c>
      <c r="B265" s="3343" t="e">
        <f>VLOOKUP(C265,'Đội 1'!$A$95:$C$99,3,0)</f>
        <v>#N/A</v>
      </c>
      <c r="C265" s="1563">
        <v>38</v>
      </c>
      <c r="D265" s="1563"/>
      <c r="E265" s="1564"/>
      <c r="F265" s="1565"/>
      <c r="G265" s="1561" t="s">
        <v>1</v>
      </c>
      <c r="H265" s="3343" t="e">
        <f>VLOOKUP(I265,'Đội 1'!$A$95:$C$99,3,0)</f>
        <v>#N/A</v>
      </c>
      <c r="I265" s="1563">
        <v>39</v>
      </c>
      <c r="J265" s="1563"/>
    </row>
    <row r="266" spans="1:11" ht="18">
      <c r="A266" s="1561" t="s">
        <v>205</v>
      </c>
      <c r="B266" s="1566" t="s">
        <v>206</v>
      </c>
      <c r="C266" s="1567" t="e">
        <f>VLOOKUP(C265,'Đội 1'!$A$95:$F$99,6,0)</f>
        <v>#N/A</v>
      </c>
      <c r="D266" s="1568" t="e">
        <f>C266*25000</f>
        <v>#N/A</v>
      </c>
      <c r="E266" s="1569"/>
      <c r="F266" s="1570"/>
      <c r="G266" s="1561" t="s">
        <v>205</v>
      </c>
      <c r="H266" s="1566" t="s">
        <v>206</v>
      </c>
      <c r="I266" s="1567" t="e">
        <f>VLOOKUP(I265,'Đội 1'!$A$95:$F$99,6,0)</f>
        <v>#N/A</v>
      </c>
      <c r="J266" s="1568" t="e">
        <f>I266*25000</f>
        <v>#N/A</v>
      </c>
    </row>
    <row r="267" spans="1:11">
      <c r="A267" s="1561" t="s">
        <v>207</v>
      </c>
      <c r="B267" s="1571" t="s">
        <v>208</v>
      </c>
      <c r="C267" s="1567" t="e">
        <f>VLOOKUP(C265,'Đội 1'!$A$95:$N$99,12,0)</f>
        <v>#N/A</v>
      </c>
      <c r="D267" s="2374" t="e">
        <f>+C267*$L$3</f>
        <v>#N/A</v>
      </c>
      <c r="E267" s="1572"/>
      <c r="F267" s="1573"/>
      <c r="G267" s="1561" t="s">
        <v>207</v>
      </c>
      <c r="H267" s="1571" t="s">
        <v>208</v>
      </c>
      <c r="I267" s="1567" t="e">
        <f>VLOOKUP(I265,'Đội 1'!$A$95:$N$99,12,0)</f>
        <v>#N/A</v>
      </c>
      <c r="J267" s="2374" t="e">
        <f>+I267*$L$3</f>
        <v>#N/A</v>
      </c>
    </row>
    <row r="268" spans="1:11">
      <c r="A268" s="1561" t="s">
        <v>1259</v>
      </c>
      <c r="B268" s="1571" t="s">
        <v>209</v>
      </c>
      <c r="C268" s="2369" t="e">
        <f>VLOOKUP(C265,'Đội 1'!$A$95:$O$99,13,0)</f>
        <v>#N/A</v>
      </c>
      <c r="D268" s="2374" t="e">
        <f>+C268*$L$4</f>
        <v>#N/A</v>
      </c>
      <c r="E268" s="1572"/>
      <c r="F268" s="1573"/>
      <c r="G268" s="1561" t="s">
        <v>1259</v>
      </c>
      <c r="H268" s="1571" t="s">
        <v>209</v>
      </c>
      <c r="I268" s="2369" t="e">
        <f>VLOOKUP(I265,'Đội 1'!$A$95:$O$99,13,0)</f>
        <v>#N/A</v>
      </c>
      <c r="J268" s="2374" t="e">
        <f>+I268*$L$4</f>
        <v>#N/A</v>
      </c>
    </row>
    <row r="269" spans="1:11">
      <c r="A269" s="1561" t="s">
        <v>1531</v>
      </c>
      <c r="B269" s="1571"/>
      <c r="C269" s="2369" t="e">
        <f>VLOOKUP(C265,'Đội 1'!$A$95:$P$99,15,0)</f>
        <v>#N/A</v>
      </c>
      <c r="D269" s="2374" t="e">
        <f>+C269*20000+VLOOKUP(C265,'Đội 1'!$A$95:$P$99,14,0)*$L$5</f>
        <v>#N/A</v>
      </c>
      <c r="E269" s="1572"/>
      <c r="F269" s="1573"/>
      <c r="G269" s="1561" t="s">
        <v>1531</v>
      </c>
      <c r="H269" s="1571"/>
      <c r="I269" s="2369" t="e">
        <f>VLOOKUP(I265,'Đội 1'!$A$95:$P$99,15,0)</f>
        <v>#N/A</v>
      </c>
      <c r="J269" s="2374" t="e">
        <f>+I269*20000+VLOOKUP(I265,'Đội 1'!$A$95:$P$99,14,0)*$L$5</f>
        <v>#N/A</v>
      </c>
    </row>
    <row r="270" spans="1:11" hidden="1">
      <c r="A270" s="1561" t="s">
        <v>1971</v>
      </c>
      <c r="B270" s="1571"/>
      <c r="C270" s="2369">
        <v>0</v>
      </c>
      <c r="D270" s="2374">
        <f>+C270*25000</f>
        <v>0</v>
      </c>
      <c r="E270" s="1572"/>
      <c r="F270" s="1573"/>
      <c r="G270" s="1561" t="s">
        <v>1971</v>
      </c>
      <c r="H270" s="1571"/>
      <c r="I270" s="2369">
        <v>0</v>
      </c>
      <c r="J270" s="2374">
        <f>+I270*25000</f>
        <v>0</v>
      </c>
    </row>
    <row r="271" spans="1:11">
      <c r="A271" s="1561" t="s">
        <v>210</v>
      </c>
      <c r="B271" s="1571" t="s">
        <v>211</v>
      </c>
      <c r="C271" s="1567" t="e">
        <f>VLOOKUP(C265,'Đội 1'!$A$95:$J$99,9,0)</f>
        <v>#N/A</v>
      </c>
      <c r="D271" s="2374" t="e">
        <f>VLOOKUP(C265,'Đội 1'!$A$95:$M$99,11,0)</f>
        <v>#N/A</v>
      </c>
      <c r="E271" s="1574"/>
      <c r="F271" s="1573"/>
      <c r="G271" s="1561" t="s">
        <v>210</v>
      </c>
      <c r="H271" s="1571" t="s">
        <v>211</v>
      </c>
      <c r="I271" s="1567" t="e">
        <f>VLOOKUP(I265,'Đội 1'!$A$95:$J$99,9,0)</f>
        <v>#N/A</v>
      </c>
      <c r="J271" s="2374" t="e">
        <f>VLOOKUP(I265,'Đội 1'!$A$95:$M$99,11,0)</f>
        <v>#N/A</v>
      </c>
    </row>
    <row r="272" spans="1:11">
      <c r="A272" s="1568" t="s">
        <v>212</v>
      </c>
      <c r="B272" s="1571" t="s">
        <v>213</v>
      </c>
      <c r="C272" s="1567"/>
      <c r="D272" s="1568"/>
      <c r="E272" s="1575"/>
      <c r="F272" s="1576"/>
      <c r="G272" s="1568" t="s">
        <v>212</v>
      </c>
      <c r="H272" s="1571" t="s">
        <v>213</v>
      </c>
      <c r="I272" s="1567"/>
      <c r="J272" s="1568"/>
    </row>
    <row r="273" spans="1:11">
      <c r="A273" s="1577" t="s">
        <v>214</v>
      </c>
      <c r="B273" s="1571" t="s">
        <v>215</v>
      </c>
      <c r="C273" s="1567"/>
      <c r="D273" s="1568">
        <f>+'Đội 1'!V293</f>
        <v>0</v>
      </c>
      <c r="E273" s="1574"/>
      <c r="F273" s="1576"/>
      <c r="G273" s="1577" t="s">
        <v>214</v>
      </c>
      <c r="H273" s="1571" t="s">
        <v>215</v>
      </c>
      <c r="I273" s="1567"/>
      <c r="J273" s="1568">
        <f>+'Đội 1'!AC293</f>
        <v>0</v>
      </c>
    </row>
    <row r="274" spans="1:11">
      <c r="A274" s="1561" t="s">
        <v>216</v>
      </c>
      <c r="B274" s="1571" t="s">
        <v>217</v>
      </c>
      <c r="C274" s="1567"/>
      <c r="D274" s="1568" t="e">
        <f>VLOOKUP(C265,'Đội 1'!$A$95:$V$99,21,0)</f>
        <v>#N/A</v>
      </c>
      <c r="E274" s="1578"/>
      <c r="F274" s="1560"/>
      <c r="G274" s="1561" t="s">
        <v>216</v>
      </c>
      <c r="H274" s="1571" t="s">
        <v>217</v>
      </c>
      <c r="I274" s="1567"/>
      <c r="J274" s="1568" t="e">
        <f>VLOOKUP(I265,'Đội 1'!$A$95:$V$99,21,0)</f>
        <v>#N/A</v>
      </c>
    </row>
    <row r="275" spans="1:11">
      <c r="A275" s="1568" t="s">
        <v>218</v>
      </c>
      <c r="B275" s="1571" t="s">
        <v>219</v>
      </c>
      <c r="C275" s="1579"/>
      <c r="D275" s="1580" t="e">
        <f>SUM(D266:D271)-D274</f>
        <v>#N/A</v>
      </c>
      <c r="E275" s="1581"/>
      <c r="F275" s="1582"/>
      <c r="G275" s="1568" t="s">
        <v>218</v>
      </c>
      <c r="H275" s="1571" t="s">
        <v>219</v>
      </c>
      <c r="I275" s="1579"/>
      <c r="J275" s="1580" t="e">
        <f>SUM(J266:J271)-J274</f>
        <v>#N/A</v>
      </c>
      <c r="K275" s="3350" t="e">
        <f>J275+D275</f>
        <v>#N/A</v>
      </c>
    </row>
    <row r="276" spans="1:11">
      <c r="A276" s="1587"/>
      <c r="B276" s="1587"/>
      <c r="C276" s="1588"/>
      <c r="D276" s="3335"/>
      <c r="E276" s="1590"/>
      <c r="F276" s="1587"/>
      <c r="G276" s="1587"/>
      <c r="H276" s="1587"/>
      <c r="I276" s="1588"/>
      <c r="J276" s="1591"/>
    </row>
    <row r="277" spans="1:11">
      <c r="A277" s="4836" t="str">
        <f>$K$2</f>
        <v>Tháng 12/24</v>
      </c>
      <c r="B277" s="4836"/>
      <c r="C277" s="4836"/>
      <c r="D277" s="4836"/>
      <c r="E277" s="1560"/>
      <c r="F277" s="1560"/>
      <c r="G277" s="4836" t="str">
        <f>$K$2</f>
        <v>Tháng 12/24</v>
      </c>
      <c r="H277" s="4836"/>
      <c r="I277" s="4836"/>
      <c r="J277" s="4836"/>
    </row>
    <row r="278" spans="1:11" ht="18">
      <c r="A278" s="1561" t="s">
        <v>1</v>
      </c>
      <c r="B278" s="3343" t="e">
        <f>VLOOKUP(C278,'Đội 1'!$A$95:$C$99,3,0)</f>
        <v>#N/A</v>
      </c>
      <c r="C278" s="1563">
        <v>40</v>
      </c>
      <c r="D278" s="1563"/>
      <c r="E278" s="1564"/>
      <c r="F278" s="1565"/>
      <c r="G278" s="1561" t="s">
        <v>1</v>
      </c>
      <c r="H278" s="3343" t="e">
        <f>VLOOKUP(I278,'Đội 1'!$A$95:$C$99,3,0)</f>
        <v>#N/A</v>
      </c>
      <c r="I278" s="1563">
        <v>41</v>
      </c>
      <c r="J278" s="1563"/>
    </row>
    <row r="279" spans="1:11" ht="18">
      <c r="A279" s="1561" t="s">
        <v>205</v>
      </c>
      <c r="B279" s="1566" t="s">
        <v>206</v>
      </c>
      <c r="C279" s="1567" t="e">
        <f>VLOOKUP(C278,'Đội 1'!$A$95:$F$99,6,0)</f>
        <v>#N/A</v>
      </c>
      <c r="D279" s="1568" t="e">
        <f>C279*25000</f>
        <v>#N/A</v>
      </c>
      <c r="E279" s="1569"/>
      <c r="F279" s="1570"/>
      <c r="G279" s="1561" t="s">
        <v>205</v>
      </c>
      <c r="H279" s="1566" t="s">
        <v>206</v>
      </c>
      <c r="I279" s="1567" t="e">
        <f>VLOOKUP(I278,'Đội 1'!$A$95:$F$99,6,0)</f>
        <v>#N/A</v>
      </c>
      <c r="J279" s="1568" t="e">
        <f>I279*25000</f>
        <v>#N/A</v>
      </c>
    </row>
    <row r="280" spans="1:11">
      <c r="A280" s="1561" t="s">
        <v>207</v>
      </c>
      <c r="B280" s="1571" t="s">
        <v>208</v>
      </c>
      <c r="C280" s="1567" t="e">
        <f>VLOOKUP(C278,'Đội 1'!$A$95:$N$99,12,0)</f>
        <v>#N/A</v>
      </c>
      <c r="D280" s="2374" t="e">
        <f>+C280*$L$3</f>
        <v>#N/A</v>
      </c>
      <c r="E280" s="1572"/>
      <c r="F280" s="1573"/>
      <c r="G280" s="1561" t="s">
        <v>207</v>
      </c>
      <c r="H280" s="1571" t="s">
        <v>208</v>
      </c>
      <c r="I280" s="1567" t="e">
        <f>VLOOKUP(I278,'Đội 1'!$A$95:$N$99,12,0)</f>
        <v>#N/A</v>
      </c>
      <c r="J280" s="2374" t="e">
        <f>+I280*$L$3</f>
        <v>#N/A</v>
      </c>
    </row>
    <row r="281" spans="1:11">
      <c r="A281" s="1561" t="s">
        <v>1259</v>
      </c>
      <c r="B281" s="1571" t="s">
        <v>209</v>
      </c>
      <c r="C281" s="2369" t="e">
        <f>VLOOKUP(C278,'Đội 1'!$A$95:$O$99,13,0)</f>
        <v>#N/A</v>
      </c>
      <c r="D281" s="2374" t="e">
        <f>+C281*$L$4</f>
        <v>#N/A</v>
      </c>
      <c r="E281" s="1572"/>
      <c r="F281" s="1573"/>
      <c r="G281" s="1561" t="s">
        <v>1259</v>
      </c>
      <c r="H281" s="1571" t="s">
        <v>209</v>
      </c>
      <c r="I281" s="2369" t="e">
        <f>VLOOKUP(I278,'Đội 1'!$A$95:$O$99,13,0)</f>
        <v>#N/A</v>
      </c>
      <c r="J281" s="2374" t="e">
        <f>+I281*$L$4</f>
        <v>#N/A</v>
      </c>
    </row>
    <row r="282" spans="1:11">
      <c r="A282" s="1561" t="s">
        <v>1531</v>
      </c>
      <c r="B282" s="1571"/>
      <c r="C282" s="2369" t="e">
        <f>VLOOKUP(C278,'Đội 1'!$A$95:$P$99,15,0)</f>
        <v>#N/A</v>
      </c>
      <c r="D282" s="2374" t="e">
        <f>+C282*20000+VLOOKUP(C278,'Đội 1'!$A$95:$P$99,14,0)*$L$5</f>
        <v>#N/A</v>
      </c>
      <c r="E282" s="1572"/>
      <c r="F282" s="1573"/>
      <c r="G282" s="1561" t="s">
        <v>1531</v>
      </c>
      <c r="H282" s="1571"/>
      <c r="I282" s="2369" t="e">
        <f>VLOOKUP(I278,'Đội 1'!$A$95:$P$99,15,0)</f>
        <v>#N/A</v>
      </c>
      <c r="J282" s="2374" t="e">
        <f>+I282*20000+VLOOKUP(I278,'Đội 1'!$A$95:$P$99,14,0)*$L$5</f>
        <v>#N/A</v>
      </c>
    </row>
    <row r="283" spans="1:11" hidden="1">
      <c r="A283" s="1561" t="s">
        <v>1971</v>
      </c>
      <c r="B283" s="1571"/>
      <c r="C283" s="2369">
        <v>0</v>
      </c>
      <c r="D283" s="2374">
        <f>+C283*25000</f>
        <v>0</v>
      </c>
      <c r="E283" s="1572"/>
      <c r="F283" s="1573"/>
      <c r="G283" s="1561" t="s">
        <v>1971</v>
      </c>
      <c r="H283" s="1571"/>
      <c r="I283" s="2369">
        <v>0</v>
      </c>
      <c r="J283" s="2374">
        <f>+I283*25000</f>
        <v>0</v>
      </c>
    </row>
    <row r="284" spans="1:11">
      <c r="A284" s="1561" t="s">
        <v>210</v>
      </c>
      <c r="B284" s="1571" t="s">
        <v>211</v>
      </c>
      <c r="C284" s="1567" t="e">
        <f>VLOOKUP(C278,'Đội 1'!$A$95:$J$99,9,0)</f>
        <v>#N/A</v>
      </c>
      <c r="D284" s="2374" t="e">
        <f>VLOOKUP(C278,'Đội 1'!$A$95:$M$99,11,0)</f>
        <v>#N/A</v>
      </c>
      <c r="E284" s="1574"/>
      <c r="F284" s="1573"/>
      <c r="G284" s="1561" t="s">
        <v>210</v>
      </c>
      <c r="H284" s="1571" t="s">
        <v>211</v>
      </c>
      <c r="I284" s="1567" t="e">
        <f>VLOOKUP(I278,'Đội 1'!$A$95:$J$99,9,0)</f>
        <v>#N/A</v>
      </c>
      <c r="J284" s="2374" t="e">
        <f>VLOOKUP(I278,'Đội 1'!$A$95:$M$99,11,0)</f>
        <v>#N/A</v>
      </c>
    </row>
    <row r="285" spans="1:11">
      <c r="A285" s="1568" t="s">
        <v>212</v>
      </c>
      <c r="B285" s="1571" t="s">
        <v>213</v>
      </c>
      <c r="C285" s="1567"/>
      <c r="D285" s="1568"/>
      <c r="E285" s="1575"/>
      <c r="F285" s="1576"/>
      <c r="G285" s="1568" t="s">
        <v>212</v>
      </c>
      <c r="H285" s="1571" t="s">
        <v>213</v>
      </c>
      <c r="I285" s="1567"/>
      <c r="J285" s="1568"/>
    </row>
    <row r="286" spans="1:11">
      <c r="A286" s="1577" t="s">
        <v>214</v>
      </c>
      <c r="B286" s="1571" t="s">
        <v>215</v>
      </c>
      <c r="C286" s="1567"/>
      <c r="D286" s="1568">
        <f>+'Đội 1'!V306</f>
        <v>0</v>
      </c>
      <c r="E286" s="1574"/>
      <c r="F286" s="1576"/>
      <c r="G286" s="1577" t="s">
        <v>214</v>
      </c>
      <c r="H286" s="1571" t="s">
        <v>215</v>
      </c>
      <c r="I286" s="1567"/>
      <c r="J286" s="1568">
        <f>+'Đội 1'!AC306</f>
        <v>0</v>
      </c>
    </row>
    <row r="287" spans="1:11">
      <c r="A287" s="1561" t="s">
        <v>216</v>
      </c>
      <c r="B287" s="1571" t="s">
        <v>217</v>
      </c>
      <c r="C287" s="1567"/>
      <c r="D287" s="1568" t="e">
        <f>VLOOKUP(C278,'Đội 1'!$A$95:$V$99,21,0)</f>
        <v>#N/A</v>
      </c>
      <c r="E287" s="1578"/>
      <c r="F287" s="1560"/>
      <c r="G287" s="1561" t="s">
        <v>216</v>
      </c>
      <c r="H287" s="1571" t="s">
        <v>217</v>
      </c>
      <c r="I287" s="1567"/>
      <c r="J287" s="1568" t="e">
        <f>VLOOKUP(I278,'Đội 1'!$A$95:$V$99,21,0)</f>
        <v>#N/A</v>
      </c>
    </row>
    <row r="288" spans="1:11">
      <c r="A288" s="1568" t="s">
        <v>218</v>
      </c>
      <c r="B288" s="1571" t="s">
        <v>219</v>
      </c>
      <c r="C288" s="1579"/>
      <c r="D288" s="1580" t="e">
        <f>SUM(D279:D284)-D287</f>
        <v>#N/A</v>
      </c>
      <c r="E288" s="1581"/>
      <c r="F288" s="1582"/>
      <c r="G288" s="1568" t="s">
        <v>218</v>
      </c>
      <c r="H288" s="1571" t="s">
        <v>219</v>
      </c>
      <c r="I288" s="1579"/>
      <c r="J288" s="1580" t="e">
        <f>SUM(J279:J284)-J287</f>
        <v>#N/A</v>
      </c>
      <c r="K288" s="3350" t="e">
        <f>J288+D288</f>
        <v>#N/A</v>
      </c>
    </row>
    <row r="289" spans="1:11">
      <c r="A289" s="1583"/>
      <c r="B289" s="1584"/>
      <c r="C289" s="1585"/>
      <c r="D289" s="1586"/>
      <c r="E289" s="1582"/>
      <c r="F289" s="1586"/>
      <c r="G289" s="1583"/>
      <c r="H289" s="1584"/>
      <c r="I289" s="1585"/>
      <c r="J289" s="1582"/>
    </row>
    <row r="290" spans="1:11">
      <c r="A290" s="1587"/>
      <c r="B290" s="1587"/>
      <c r="C290" s="1588"/>
      <c r="D290" s="3335"/>
      <c r="E290" s="1590"/>
      <c r="F290" s="1587"/>
      <c r="G290" s="1587"/>
      <c r="H290" s="1587"/>
      <c r="I290" s="1588"/>
      <c r="J290" s="1591"/>
      <c r="K290" s="3350"/>
    </row>
    <row r="291" spans="1:11">
      <c r="A291" s="4836" t="str">
        <f>$K$2</f>
        <v>Tháng 12/24</v>
      </c>
      <c r="B291" s="4836"/>
      <c r="C291" s="4836"/>
      <c r="D291" s="4836"/>
      <c r="E291" s="1560"/>
      <c r="F291" s="1560"/>
      <c r="G291" s="4836" t="str">
        <f>$K$2</f>
        <v>Tháng 12/24</v>
      </c>
      <c r="H291" s="4836"/>
      <c r="I291" s="4836"/>
      <c r="J291" s="4836"/>
    </row>
    <row r="292" spans="1:11" ht="18">
      <c r="A292" s="1561" t="s">
        <v>1</v>
      </c>
      <c r="B292" s="3343" t="e">
        <f>VLOOKUP(C292,'Đội 1'!$A$95:$C$99,3,0)</f>
        <v>#N/A</v>
      </c>
      <c r="C292" s="1563">
        <v>42</v>
      </c>
      <c r="D292" s="1563"/>
      <c r="E292" s="1564"/>
      <c r="F292" s="1565"/>
      <c r="G292" s="1561" t="s">
        <v>1</v>
      </c>
      <c r="H292" s="3343" t="e">
        <f>VLOOKUP(I292,'Đội 1'!$A$95:$C$99,3,0)</f>
        <v>#N/A</v>
      </c>
      <c r="I292" s="1563">
        <v>43</v>
      </c>
      <c r="J292" s="1563"/>
    </row>
    <row r="293" spans="1:11" ht="18">
      <c r="A293" s="1561" t="s">
        <v>205</v>
      </c>
      <c r="B293" s="1566" t="s">
        <v>206</v>
      </c>
      <c r="C293" s="1567" t="e">
        <f>VLOOKUP(C292,'Đội 1'!$A$95:$F$99,6,0)</f>
        <v>#N/A</v>
      </c>
      <c r="D293" s="1568" t="e">
        <f>C293*25000</f>
        <v>#N/A</v>
      </c>
      <c r="E293" s="1569"/>
      <c r="F293" s="1570"/>
      <c r="G293" s="1561" t="s">
        <v>205</v>
      </c>
      <c r="H293" s="1566" t="s">
        <v>206</v>
      </c>
      <c r="I293" s="1567" t="e">
        <f>VLOOKUP(I292,'Đội 1'!$A$95:$F$99,6,0)</f>
        <v>#N/A</v>
      </c>
      <c r="J293" s="1568" t="e">
        <f>I293*25000</f>
        <v>#N/A</v>
      </c>
    </row>
    <row r="294" spans="1:11">
      <c r="A294" s="1561" t="s">
        <v>207</v>
      </c>
      <c r="B294" s="1571" t="s">
        <v>208</v>
      </c>
      <c r="C294" s="1567" t="e">
        <f>VLOOKUP(C292,'Đội 1'!$A$95:$N$99,12,0)</f>
        <v>#N/A</v>
      </c>
      <c r="D294" s="2374" t="e">
        <f>+C294*$L$3</f>
        <v>#N/A</v>
      </c>
      <c r="E294" s="1572"/>
      <c r="F294" s="1573"/>
      <c r="G294" s="1561" t="s">
        <v>207</v>
      </c>
      <c r="H294" s="1571" t="s">
        <v>208</v>
      </c>
      <c r="I294" s="1567" t="e">
        <f>VLOOKUP(I292,'Đội 1'!$A$95:$N$99,12,0)</f>
        <v>#N/A</v>
      </c>
      <c r="J294" s="2374" t="e">
        <f>+I294*$L$3</f>
        <v>#N/A</v>
      </c>
    </row>
    <row r="295" spans="1:11">
      <c r="A295" s="1561" t="s">
        <v>1259</v>
      </c>
      <c r="B295" s="1571" t="s">
        <v>209</v>
      </c>
      <c r="C295" s="2369" t="e">
        <f>VLOOKUP(C292,'Đội 1'!$A$95:$O$99,13,0)</f>
        <v>#N/A</v>
      </c>
      <c r="D295" s="2374" t="e">
        <f>+C295*$L$4</f>
        <v>#N/A</v>
      </c>
      <c r="E295" s="1572"/>
      <c r="F295" s="1573"/>
      <c r="G295" s="1561" t="s">
        <v>1259</v>
      </c>
      <c r="H295" s="1571" t="s">
        <v>209</v>
      </c>
      <c r="I295" s="2369" t="e">
        <f>VLOOKUP(I292,'Đội 1'!$A$95:$O$99,13,0)</f>
        <v>#N/A</v>
      </c>
      <c r="J295" s="2374" t="e">
        <f>+I295*$L$4</f>
        <v>#N/A</v>
      </c>
    </row>
    <row r="296" spans="1:11">
      <c r="A296" s="1561" t="s">
        <v>1531</v>
      </c>
      <c r="B296" s="1571"/>
      <c r="C296" s="2369" t="e">
        <f>VLOOKUP(C292,'Đội 1'!$A$95:$P$99,15,0)</f>
        <v>#N/A</v>
      </c>
      <c r="D296" s="2374" t="e">
        <f>+C296*20000+VLOOKUP(C292,'Đội 1'!$A$95:$P$99,14,0)*$L$5</f>
        <v>#N/A</v>
      </c>
      <c r="E296" s="1572"/>
      <c r="F296" s="1573"/>
      <c r="G296" s="1561" t="s">
        <v>1531</v>
      </c>
      <c r="H296" s="1571"/>
      <c r="I296" s="2369" t="e">
        <f>VLOOKUP(I292,'Đội 1'!$A$95:$P$99,15,0)</f>
        <v>#N/A</v>
      </c>
      <c r="J296" s="2374" t="e">
        <f>+I296*20000+VLOOKUP(I292,'Đội 1'!$A$95:$P$99,14,0)*$L$5</f>
        <v>#N/A</v>
      </c>
    </row>
    <row r="297" spans="1:11" hidden="1">
      <c r="A297" s="1561" t="s">
        <v>1971</v>
      </c>
      <c r="B297" s="1571"/>
      <c r="C297" s="2369">
        <v>0</v>
      </c>
      <c r="D297" s="2374">
        <f>+C297*25000</f>
        <v>0</v>
      </c>
      <c r="E297" s="1572"/>
      <c r="F297" s="1573"/>
      <c r="G297" s="1561" t="s">
        <v>1971</v>
      </c>
      <c r="H297" s="1571"/>
      <c r="I297" s="2369">
        <v>0</v>
      </c>
      <c r="J297" s="2374">
        <f>+I297*25000</f>
        <v>0</v>
      </c>
    </row>
    <row r="298" spans="1:11">
      <c r="A298" s="1561" t="s">
        <v>210</v>
      </c>
      <c r="B298" s="1571" t="s">
        <v>211</v>
      </c>
      <c r="C298" s="1567" t="e">
        <f>VLOOKUP(C292,'Đội 1'!$A$95:$J$99,9,0)</f>
        <v>#N/A</v>
      </c>
      <c r="D298" s="2374" t="e">
        <f>VLOOKUP(C292,'Đội 1'!$A$95:$M$99,11,0)</f>
        <v>#N/A</v>
      </c>
      <c r="E298" s="1574"/>
      <c r="F298" s="1573"/>
      <c r="G298" s="1561" t="s">
        <v>210</v>
      </c>
      <c r="H298" s="1571" t="s">
        <v>211</v>
      </c>
      <c r="I298" s="1567" t="e">
        <f>VLOOKUP(I292,'Đội 1'!$A$95:$J$99,9,0)</f>
        <v>#N/A</v>
      </c>
      <c r="J298" s="2374" t="e">
        <f>VLOOKUP(I292,'Đội 1'!$A$95:$M$99,11,0)</f>
        <v>#N/A</v>
      </c>
    </row>
    <row r="299" spans="1:11">
      <c r="A299" s="1568" t="s">
        <v>212</v>
      </c>
      <c r="B299" s="1571" t="s">
        <v>213</v>
      </c>
      <c r="C299" s="1567"/>
      <c r="D299" s="1568"/>
      <c r="E299" s="1575"/>
      <c r="F299" s="1576"/>
      <c r="G299" s="1568" t="s">
        <v>212</v>
      </c>
      <c r="H299" s="1571" t="s">
        <v>213</v>
      </c>
      <c r="I299" s="1567"/>
      <c r="J299" s="1568"/>
    </row>
    <row r="300" spans="1:11">
      <c r="A300" s="1577" t="s">
        <v>214</v>
      </c>
      <c r="B300" s="1571" t="s">
        <v>215</v>
      </c>
      <c r="C300" s="1567"/>
      <c r="D300" s="1568">
        <f>+'Đội 1'!V320</f>
        <v>0</v>
      </c>
      <c r="E300" s="1574"/>
      <c r="F300" s="1576"/>
      <c r="G300" s="1577" t="s">
        <v>214</v>
      </c>
      <c r="H300" s="1571" t="s">
        <v>215</v>
      </c>
      <c r="I300" s="1567"/>
      <c r="J300" s="1568">
        <f>+'Đội 1'!AC320</f>
        <v>0</v>
      </c>
    </row>
    <row r="301" spans="1:11">
      <c r="A301" s="1561" t="s">
        <v>216</v>
      </c>
      <c r="B301" s="1571" t="s">
        <v>217</v>
      </c>
      <c r="C301" s="1567"/>
      <c r="D301" s="1568" t="e">
        <f>VLOOKUP(C292,'Đội 1'!$A$95:$V$99,21,0)</f>
        <v>#N/A</v>
      </c>
      <c r="E301" s="1578"/>
      <c r="F301" s="1560"/>
      <c r="G301" s="1561" t="s">
        <v>216</v>
      </c>
      <c r="H301" s="1571" t="s">
        <v>217</v>
      </c>
      <c r="I301" s="1567"/>
      <c r="J301" s="1568" t="e">
        <f>VLOOKUP(I292,'Đội 1'!$A$95:$V$99,21,0)</f>
        <v>#N/A</v>
      </c>
    </row>
    <row r="302" spans="1:11">
      <c r="A302" s="1568" t="s">
        <v>218</v>
      </c>
      <c r="B302" s="1571" t="s">
        <v>219</v>
      </c>
      <c r="C302" s="1579"/>
      <c r="D302" s="1580" t="e">
        <f>SUM(D293:D298)-D301</f>
        <v>#N/A</v>
      </c>
      <c r="E302" s="1581"/>
      <c r="F302" s="1582"/>
      <c r="G302" s="1568" t="s">
        <v>218</v>
      </c>
      <c r="H302" s="1571" t="s">
        <v>219</v>
      </c>
      <c r="I302" s="1579"/>
      <c r="J302" s="1580" t="e">
        <f>SUM(J293:J298)-J301</f>
        <v>#N/A</v>
      </c>
      <c r="K302" s="3350" t="e">
        <f>J302+D302</f>
        <v>#N/A</v>
      </c>
    </row>
    <row r="303" spans="1:11">
      <c r="A303" s="1583"/>
      <c r="B303" s="1584"/>
      <c r="C303" s="1592"/>
      <c r="D303" s="1593"/>
      <c r="E303" s="1586"/>
      <c r="F303" s="1586"/>
      <c r="G303" s="1583"/>
      <c r="H303" s="1584"/>
      <c r="I303" s="1592"/>
      <c r="J303" s="1593"/>
      <c r="K303" s="3350"/>
    </row>
    <row r="304" spans="1:11">
      <c r="A304" s="4841" t="str">
        <f>$K$2</f>
        <v>Tháng 12/24</v>
      </c>
      <c r="B304" s="4841"/>
      <c r="C304" s="4841"/>
      <c r="D304" s="4841"/>
      <c r="E304" s="1560"/>
      <c r="F304" s="1560"/>
      <c r="G304" s="4841" t="str">
        <f>$K$2</f>
        <v>Tháng 12/24</v>
      </c>
      <c r="H304" s="4841"/>
      <c r="I304" s="4841"/>
      <c r="J304" s="4841"/>
    </row>
    <row r="305" spans="1:11" ht="18">
      <c r="A305" s="1561" t="s">
        <v>1</v>
      </c>
      <c r="B305" s="3343" t="e">
        <f>VLOOKUP(C305,'Đội 1'!$A$95:$C$99,3,0)</f>
        <v>#N/A</v>
      </c>
      <c r="C305" s="1563">
        <v>44</v>
      </c>
      <c r="D305" s="1563"/>
      <c r="E305" s="1564"/>
      <c r="F305" s="1565"/>
      <c r="G305" s="1561" t="s">
        <v>1</v>
      </c>
      <c r="H305" s="3343" t="e">
        <f>VLOOKUP(I305,'Đội 1'!$A$95:$C$99,3,0)</f>
        <v>#N/A</v>
      </c>
      <c r="I305" s="1563">
        <v>45</v>
      </c>
      <c r="J305" s="1563"/>
    </row>
    <row r="306" spans="1:11" ht="18">
      <c r="A306" s="1561" t="s">
        <v>205</v>
      </c>
      <c r="B306" s="1566" t="s">
        <v>206</v>
      </c>
      <c r="C306" s="1567" t="e">
        <f>VLOOKUP(C305,'Đội 1'!$A$95:$F$99,6,0)</f>
        <v>#N/A</v>
      </c>
      <c r="D306" s="1568" t="e">
        <f>C306*25000</f>
        <v>#N/A</v>
      </c>
      <c r="E306" s="1569"/>
      <c r="F306" s="1570"/>
      <c r="G306" s="1561" t="s">
        <v>205</v>
      </c>
      <c r="H306" s="1566" t="s">
        <v>206</v>
      </c>
      <c r="I306" s="1567" t="e">
        <f>VLOOKUP(I305,'Đội 1'!$A$95:$F$99,6,0)</f>
        <v>#N/A</v>
      </c>
      <c r="J306" s="1568" t="e">
        <f>I306*25000</f>
        <v>#N/A</v>
      </c>
    </row>
    <row r="307" spans="1:11">
      <c r="A307" s="1561" t="s">
        <v>207</v>
      </c>
      <c r="B307" s="1571" t="s">
        <v>208</v>
      </c>
      <c r="C307" s="1567" t="e">
        <f>VLOOKUP(C305,'Đội 1'!$A$95:$N$99,12,0)</f>
        <v>#N/A</v>
      </c>
      <c r="D307" s="2374" t="e">
        <f>+C307*$L$3</f>
        <v>#N/A</v>
      </c>
      <c r="E307" s="1572"/>
      <c r="F307" s="1573"/>
      <c r="G307" s="1561" t="s">
        <v>207</v>
      </c>
      <c r="H307" s="1571" t="s">
        <v>208</v>
      </c>
      <c r="I307" s="1567" t="e">
        <f>VLOOKUP(I305,'Đội 1'!$A$95:$N$99,12,0)</f>
        <v>#N/A</v>
      </c>
      <c r="J307" s="2374" t="e">
        <f>+I307*$L$3</f>
        <v>#N/A</v>
      </c>
    </row>
    <row r="308" spans="1:11">
      <c r="A308" s="1561" t="s">
        <v>1259</v>
      </c>
      <c r="B308" s="1571" t="s">
        <v>209</v>
      </c>
      <c r="C308" s="2369" t="e">
        <f>VLOOKUP(C305,'Đội 1'!$A$95:$O$99,13,0)</f>
        <v>#N/A</v>
      </c>
      <c r="D308" s="2374" t="e">
        <f>+C308*$L$4</f>
        <v>#N/A</v>
      </c>
      <c r="E308" s="1572"/>
      <c r="F308" s="1573"/>
      <c r="G308" s="1561" t="s">
        <v>1259</v>
      </c>
      <c r="H308" s="1571" t="s">
        <v>209</v>
      </c>
      <c r="I308" s="2369" t="e">
        <f>VLOOKUP(I305,'Đội 1'!$A$95:$O$99,13,0)</f>
        <v>#N/A</v>
      </c>
      <c r="J308" s="2374" t="e">
        <f>+I308*$L$4</f>
        <v>#N/A</v>
      </c>
    </row>
    <row r="309" spans="1:11">
      <c r="A309" s="1561" t="s">
        <v>1531</v>
      </c>
      <c r="B309" s="1571"/>
      <c r="C309" s="2369" t="e">
        <f>VLOOKUP(C305,'Đội 1'!$A$95:$P$99,15,0)</f>
        <v>#N/A</v>
      </c>
      <c r="D309" s="2374" t="e">
        <f>+C309*20000+VLOOKUP(C305,'Đội 1'!$A$95:$P$99,14,0)*$L$5</f>
        <v>#N/A</v>
      </c>
      <c r="E309" s="1572"/>
      <c r="F309" s="1573"/>
      <c r="G309" s="1561" t="s">
        <v>1531</v>
      </c>
      <c r="H309" s="1571"/>
      <c r="I309" s="2369" t="e">
        <f>VLOOKUP(I305,'Đội 1'!$A$95:$P$99,15,0)</f>
        <v>#N/A</v>
      </c>
      <c r="J309" s="2374" t="e">
        <f>+I309*20000+VLOOKUP(I305,'Đội 1'!$A$95:$P$99,14,0)*$L$5</f>
        <v>#N/A</v>
      </c>
    </row>
    <row r="310" spans="1:11" hidden="1">
      <c r="A310" s="1561" t="s">
        <v>1971</v>
      </c>
      <c r="B310" s="1571"/>
      <c r="C310" s="2369">
        <v>0</v>
      </c>
      <c r="D310" s="2374">
        <f>+C310*25000</f>
        <v>0</v>
      </c>
      <c r="E310" s="1572"/>
      <c r="F310" s="1573"/>
      <c r="G310" s="1561" t="s">
        <v>1971</v>
      </c>
      <c r="H310" s="1571"/>
      <c r="I310" s="2369">
        <v>0</v>
      </c>
      <c r="J310" s="2374">
        <f>+I310*25000</f>
        <v>0</v>
      </c>
    </row>
    <row r="311" spans="1:11">
      <c r="A311" s="1561" t="s">
        <v>210</v>
      </c>
      <c r="B311" s="1571" t="s">
        <v>211</v>
      </c>
      <c r="C311" s="1567" t="e">
        <f>VLOOKUP(C305,'Đội 1'!$A$95:$J$99,9,0)</f>
        <v>#N/A</v>
      </c>
      <c r="D311" s="2374" t="e">
        <f>VLOOKUP(C305,'Đội 1'!$A$95:$M$99,11,0)</f>
        <v>#N/A</v>
      </c>
      <c r="E311" s="1574"/>
      <c r="F311" s="1573"/>
      <c r="G311" s="1561" t="s">
        <v>210</v>
      </c>
      <c r="H311" s="1571" t="s">
        <v>211</v>
      </c>
      <c r="I311" s="1567" t="e">
        <f>VLOOKUP(I305,'Đội 1'!$A$95:$J$99,9,0)</f>
        <v>#N/A</v>
      </c>
      <c r="J311" s="2374" t="e">
        <f>VLOOKUP(I305,'Đội 1'!$A$95:$M$99,11,0)</f>
        <v>#N/A</v>
      </c>
    </row>
    <row r="312" spans="1:11">
      <c r="A312" s="1568" t="s">
        <v>212</v>
      </c>
      <c r="B312" s="1571" t="s">
        <v>213</v>
      </c>
      <c r="C312" s="1567"/>
      <c r="D312" s="1568"/>
      <c r="E312" s="1575"/>
      <c r="F312" s="1576"/>
      <c r="G312" s="1568" t="s">
        <v>212</v>
      </c>
      <c r="H312" s="1571" t="s">
        <v>213</v>
      </c>
      <c r="I312" s="1567"/>
      <c r="J312" s="1568"/>
    </row>
    <row r="313" spans="1:11">
      <c r="A313" s="1577" t="s">
        <v>214</v>
      </c>
      <c r="B313" s="1571" t="s">
        <v>215</v>
      </c>
      <c r="C313" s="1567"/>
      <c r="D313" s="1568">
        <f>+'Đội 1'!V333</f>
        <v>0</v>
      </c>
      <c r="E313" s="1574"/>
      <c r="F313" s="1576"/>
      <c r="G313" s="1577" t="s">
        <v>214</v>
      </c>
      <c r="H313" s="1571" t="s">
        <v>215</v>
      </c>
      <c r="I313" s="1567"/>
      <c r="J313" s="1568">
        <f>+'Đội 1'!AC333</f>
        <v>0</v>
      </c>
    </row>
    <row r="314" spans="1:11">
      <c r="A314" s="1561" t="s">
        <v>216</v>
      </c>
      <c r="B314" s="1571" t="s">
        <v>217</v>
      </c>
      <c r="C314" s="1567"/>
      <c r="D314" s="1568" t="e">
        <f>VLOOKUP(C305,'Đội 1'!$A$95:$V$99,21,0)</f>
        <v>#N/A</v>
      </c>
      <c r="E314" s="1578"/>
      <c r="F314" s="1560"/>
      <c r="G314" s="1561" t="s">
        <v>216</v>
      </c>
      <c r="H314" s="1571" t="s">
        <v>217</v>
      </c>
      <c r="I314" s="1567"/>
      <c r="J314" s="1568" t="e">
        <f>VLOOKUP(I305,'Đội 1'!$A$95:$V$99,21,0)</f>
        <v>#N/A</v>
      </c>
    </row>
    <row r="315" spans="1:11" ht="15.75" customHeight="1">
      <c r="A315" s="1568" t="s">
        <v>218</v>
      </c>
      <c r="B315" s="1571" t="s">
        <v>219</v>
      </c>
      <c r="C315" s="1579"/>
      <c r="D315" s="1580" t="e">
        <f>SUM(D306:D311)-D314</f>
        <v>#N/A</v>
      </c>
      <c r="E315" s="1581"/>
      <c r="F315" s="1582"/>
      <c r="G315" s="1568" t="s">
        <v>218</v>
      </c>
      <c r="H315" s="1571" t="s">
        <v>219</v>
      </c>
      <c r="I315" s="1579"/>
      <c r="J315" s="1580" t="e">
        <f>SUM(J306:J311)-J314</f>
        <v>#N/A</v>
      </c>
      <c r="K315" s="3350" t="e">
        <f>J315+D315</f>
        <v>#N/A</v>
      </c>
    </row>
    <row r="316" spans="1:11">
      <c r="A316" s="1583"/>
      <c r="B316" s="1584"/>
      <c r="C316" s="1585"/>
      <c r="D316" s="1586"/>
      <c r="E316" s="1582"/>
      <c r="F316" s="1586"/>
      <c r="G316" s="1583"/>
      <c r="H316" s="1584"/>
      <c r="I316" s="1585"/>
      <c r="J316" s="1582"/>
    </row>
    <row r="317" spans="1:11">
      <c r="A317" s="1587"/>
      <c r="B317" s="1587"/>
      <c r="C317" s="1588"/>
      <c r="D317" s="3335"/>
      <c r="E317" s="1590"/>
      <c r="F317" s="1587"/>
      <c r="G317" s="1587"/>
      <c r="H317" s="1587"/>
      <c r="I317" s="1588"/>
      <c r="J317" s="1591"/>
      <c r="K317" s="3350"/>
    </row>
    <row r="318" spans="1:11">
      <c r="A318" s="4836" t="str">
        <f>$K$2</f>
        <v>Tháng 12/24</v>
      </c>
      <c r="B318" s="4836"/>
      <c r="C318" s="4836"/>
      <c r="D318" s="4836"/>
      <c r="E318" s="1560"/>
      <c r="F318" s="1560"/>
      <c r="G318" s="4836" t="str">
        <f>$K$2</f>
        <v>Tháng 12/24</v>
      </c>
      <c r="H318" s="4836"/>
      <c r="I318" s="4836"/>
      <c r="J318" s="4836"/>
    </row>
    <row r="319" spans="1:11" ht="18">
      <c r="A319" s="1561" t="s">
        <v>1</v>
      </c>
      <c r="B319" s="3343" t="e">
        <f>VLOOKUP(C319,'Đội 1'!$A$95:$C$99,3,0)</f>
        <v>#N/A</v>
      </c>
      <c r="C319" s="1563">
        <v>46</v>
      </c>
      <c r="D319" s="1563"/>
      <c r="E319" s="1564"/>
      <c r="F319" s="1565"/>
      <c r="G319" s="1561" t="s">
        <v>1</v>
      </c>
      <c r="H319" s="3343" t="e">
        <f>VLOOKUP(I319,'Đội 1'!$A$95:$C$99,3,0)</f>
        <v>#N/A</v>
      </c>
      <c r="I319" s="1563">
        <v>47</v>
      </c>
      <c r="J319" s="1563"/>
    </row>
    <row r="320" spans="1:11" ht="18">
      <c r="A320" s="1561" t="s">
        <v>205</v>
      </c>
      <c r="B320" s="1566" t="s">
        <v>206</v>
      </c>
      <c r="C320" s="1567" t="e">
        <f>VLOOKUP(C319,'Đội 1'!$A$95:$F$99,6,0)</f>
        <v>#N/A</v>
      </c>
      <c r="D320" s="1568" t="e">
        <f>C320*25000</f>
        <v>#N/A</v>
      </c>
      <c r="E320" s="1569"/>
      <c r="F320" s="1570"/>
      <c r="G320" s="1561" t="s">
        <v>205</v>
      </c>
      <c r="H320" s="1566" t="s">
        <v>206</v>
      </c>
      <c r="I320" s="1567" t="e">
        <f>VLOOKUP(I319,'Đội 1'!$A$95:$F$99,6,0)</f>
        <v>#N/A</v>
      </c>
      <c r="J320" s="1568" t="e">
        <f>I320*25000</f>
        <v>#N/A</v>
      </c>
    </row>
    <row r="321" spans="1:11">
      <c r="A321" s="1561" t="s">
        <v>207</v>
      </c>
      <c r="B321" s="1571" t="s">
        <v>208</v>
      </c>
      <c r="C321" s="1567" t="e">
        <f>VLOOKUP(C319,'Đội 1'!$A$95:$N$99,12,0)</f>
        <v>#N/A</v>
      </c>
      <c r="D321" s="2374" t="e">
        <f>+C321*$L$3</f>
        <v>#N/A</v>
      </c>
      <c r="E321" s="1572"/>
      <c r="F321" s="1573"/>
      <c r="G321" s="1561" t="s">
        <v>207</v>
      </c>
      <c r="H321" s="1571" t="s">
        <v>208</v>
      </c>
      <c r="I321" s="1567" t="e">
        <f>VLOOKUP(I319,'Đội 1'!$A$95:$N$99,12,0)</f>
        <v>#N/A</v>
      </c>
      <c r="J321" s="2374" t="e">
        <f>+I321*$L$3</f>
        <v>#N/A</v>
      </c>
    </row>
    <row r="322" spans="1:11">
      <c r="A322" s="1561" t="s">
        <v>1259</v>
      </c>
      <c r="B322" s="1571" t="s">
        <v>209</v>
      </c>
      <c r="C322" s="2369" t="e">
        <f>VLOOKUP(C319,'Đội 1'!$A$95:$O$99,13,0)</f>
        <v>#N/A</v>
      </c>
      <c r="D322" s="2374" t="e">
        <f>+C322*$L$4</f>
        <v>#N/A</v>
      </c>
      <c r="E322" s="1572"/>
      <c r="F322" s="1573"/>
      <c r="G322" s="1561" t="s">
        <v>1259</v>
      </c>
      <c r="H322" s="1571" t="s">
        <v>209</v>
      </c>
      <c r="I322" s="2369" t="e">
        <f>VLOOKUP(I319,'Đội 1'!$A$95:$O$99,13,0)</f>
        <v>#N/A</v>
      </c>
      <c r="J322" s="2374" t="e">
        <f>+I322*$L$4</f>
        <v>#N/A</v>
      </c>
    </row>
    <row r="323" spans="1:11">
      <c r="A323" s="1561" t="s">
        <v>1531</v>
      </c>
      <c r="B323" s="1571"/>
      <c r="C323" s="2369" t="e">
        <f>VLOOKUP(C319,'Đội 1'!$A$95:$P$99,15,0)</f>
        <v>#N/A</v>
      </c>
      <c r="D323" s="2374" t="e">
        <f>+C323*20000+VLOOKUP(C319,'Đội 1'!$A$95:$P$99,14,0)*$L$5</f>
        <v>#N/A</v>
      </c>
      <c r="E323" s="1572"/>
      <c r="F323" s="1573"/>
      <c r="G323" s="1561" t="s">
        <v>1531</v>
      </c>
      <c r="H323" s="1571"/>
      <c r="I323" s="2369" t="e">
        <f>VLOOKUP(I319,'Đội 1'!$A$95:$P$99,15,0)</f>
        <v>#N/A</v>
      </c>
      <c r="J323" s="2374" t="e">
        <f>+I323*20000+VLOOKUP(I319,'Đội 1'!$A$95:$P$99,14,0)*$L$5</f>
        <v>#N/A</v>
      </c>
    </row>
    <row r="324" spans="1:11" hidden="1">
      <c r="A324" s="1561" t="s">
        <v>1971</v>
      </c>
      <c r="B324" s="1571"/>
      <c r="C324" s="2369">
        <v>0</v>
      </c>
      <c r="D324" s="2374">
        <f>+C324*25000</f>
        <v>0</v>
      </c>
      <c r="E324" s="1572"/>
      <c r="F324" s="1573"/>
      <c r="G324" s="1561" t="s">
        <v>1971</v>
      </c>
      <c r="H324" s="1571"/>
      <c r="I324" s="2369">
        <v>0</v>
      </c>
      <c r="J324" s="2374">
        <f>+I324*25000</f>
        <v>0</v>
      </c>
    </row>
    <row r="325" spans="1:11">
      <c r="A325" s="1561" t="s">
        <v>210</v>
      </c>
      <c r="B325" s="1571" t="s">
        <v>211</v>
      </c>
      <c r="C325" s="1567" t="e">
        <f>VLOOKUP(C319,'Đội 1'!$A$95:$J$99,9,0)</f>
        <v>#N/A</v>
      </c>
      <c r="D325" s="2374" t="e">
        <f>VLOOKUP(C319,'Đội 1'!$A$95:$M$99,11,0)</f>
        <v>#N/A</v>
      </c>
      <c r="E325" s="1574"/>
      <c r="F325" s="1573"/>
      <c r="G325" s="1561" t="s">
        <v>210</v>
      </c>
      <c r="H325" s="1571" t="s">
        <v>211</v>
      </c>
      <c r="I325" s="1567" t="e">
        <f>VLOOKUP(I319,'Đội 1'!$A$95:$J$99,9,0)</f>
        <v>#N/A</v>
      </c>
      <c r="J325" s="2374" t="e">
        <f>VLOOKUP(I319,'Đội 1'!$A$95:$M$99,11,0)</f>
        <v>#N/A</v>
      </c>
    </row>
    <row r="326" spans="1:11">
      <c r="A326" s="1568" t="s">
        <v>212</v>
      </c>
      <c r="B326" s="1571" t="s">
        <v>213</v>
      </c>
      <c r="C326" s="1567"/>
      <c r="D326" s="1568"/>
      <c r="E326" s="1575"/>
      <c r="F326" s="1576"/>
      <c r="G326" s="1568" t="s">
        <v>212</v>
      </c>
      <c r="H326" s="1571" t="s">
        <v>213</v>
      </c>
      <c r="I326" s="1567"/>
      <c r="J326" s="1568"/>
    </row>
    <row r="327" spans="1:11">
      <c r="A327" s="1577" t="s">
        <v>214</v>
      </c>
      <c r="B327" s="1571" t="s">
        <v>215</v>
      </c>
      <c r="C327" s="1567"/>
      <c r="D327" s="1568">
        <f>+'Đội 1'!V347</f>
        <v>0</v>
      </c>
      <c r="E327" s="1574"/>
      <c r="F327" s="1576"/>
      <c r="G327" s="1577" t="s">
        <v>214</v>
      </c>
      <c r="H327" s="1571" t="s">
        <v>215</v>
      </c>
      <c r="I327" s="1567"/>
      <c r="J327" s="1568">
        <f>+'Đội 1'!AC347</f>
        <v>0</v>
      </c>
    </row>
    <row r="328" spans="1:11">
      <c r="A328" s="1561" t="s">
        <v>216</v>
      </c>
      <c r="B328" s="1571" t="s">
        <v>217</v>
      </c>
      <c r="C328" s="1567"/>
      <c r="D328" s="1568" t="e">
        <f>VLOOKUP(C319,'Đội 1'!$A$95:$V$99,21,0)</f>
        <v>#N/A</v>
      </c>
      <c r="E328" s="1578"/>
      <c r="F328" s="1560"/>
      <c r="G328" s="1561" t="s">
        <v>216</v>
      </c>
      <c r="H328" s="1571" t="s">
        <v>217</v>
      </c>
      <c r="I328" s="1567"/>
      <c r="J328" s="1568" t="e">
        <f>VLOOKUP(I319,'Đội 1'!$A$95:$V$99,21,0)</f>
        <v>#N/A</v>
      </c>
    </row>
    <row r="329" spans="1:11">
      <c r="A329" s="1568" t="s">
        <v>218</v>
      </c>
      <c r="B329" s="1571" t="s">
        <v>219</v>
      </c>
      <c r="C329" s="1579"/>
      <c r="D329" s="1580" t="e">
        <f>SUM(D320:D325)-D328</f>
        <v>#N/A</v>
      </c>
      <c r="E329" s="1581"/>
      <c r="F329" s="1582"/>
      <c r="G329" s="1568" t="s">
        <v>218</v>
      </c>
      <c r="H329" s="1571" t="s">
        <v>219</v>
      </c>
      <c r="I329" s="1579"/>
      <c r="J329" s="1580" t="e">
        <f>SUM(J320:J325)-J328</f>
        <v>#N/A</v>
      </c>
      <c r="K329" s="3350" t="e">
        <f>J329+D329</f>
        <v>#N/A</v>
      </c>
    </row>
    <row r="330" spans="1:11">
      <c r="A330" s="1583"/>
      <c r="B330" s="1584"/>
      <c r="C330" s="1585"/>
      <c r="D330" s="1586"/>
      <c r="E330" s="1582"/>
      <c r="F330" s="1586"/>
      <c r="G330" s="1583"/>
      <c r="H330" s="1584"/>
      <c r="I330" s="1585"/>
      <c r="J330" s="1582"/>
    </row>
    <row r="331" spans="1:11">
      <c r="A331" s="1587"/>
      <c r="B331" s="1587"/>
      <c r="C331" s="1588"/>
      <c r="D331" s="3335"/>
      <c r="E331" s="1590"/>
      <c r="F331" s="1587"/>
      <c r="G331" s="1587"/>
      <c r="H331" s="1587"/>
      <c r="I331" s="1588"/>
      <c r="J331" s="1591"/>
      <c r="K331" s="3350"/>
    </row>
    <row r="332" spans="1:11">
      <c r="A332" s="4836" t="str">
        <f>$K$2</f>
        <v>Tháng 12/24</v>
      </c>
      <c r="B332" s="4836"/>
      <c r="C332" s="4836"/>
      <c r="D332" s="4836"/>
      <c r="E332" s="1560"/>
      <c r="F332" s="1560"/>
      <c r="G332" s="4836" t="str">
        <f>$K$2</f>
        <v>Tháng 12/24</v>
      </c>
      <c r="H332" s="4836"/>
      <c r="I332" s="4836"/>
      <c r="J332" s="4836"/>
    </row>
    <row r="333" spans="1:11" ht="18">
      <c r="A333" s="1561" t="s">
        <v>1</v>
      </c>
      <c r="B333" s="3343" t="e">
        <f>VLOOKUP(C333,'Đội 1'!$A$95:$C$99,3,0)</f>
        <v>#N/A</v>
      </c>
      <c r="C333" s="1563">
        <v>48</v>
      </c>
      <c r="D333" s="1563"/>
      <c r="E333" s="1564"/>
      <c r="F333" s="1565"/>
      <c r="G333" s="1561" t="s">
        <v>1</v>
      </c>
      <c r="H333" s="3343" t="e">
        <f>VLOOKUP(I333,'Đội 1'!$A$95:$C$99,3,0)</f>
        <v>#N/A</v>
      </c>
      <c r="I333" s="1563">
        <v>49</v>
      </c>
      <c r="J333" s="1563"/>
    </row>
    <row r="334" spans="1:11" ht="18">
      <c r="A334" s="1561" t="s">
        <v>205</v>
      </c>
      <c r="B334" s="1566" t="s">
        <v>206</v>
      </c>
      <c r="C334" s="1567" t="e">
        <f>VLOOKUP(C333,'Đội 1'!$A$95:$F$99,6,0)</f>
        <v>#N/A</v>
      </c>
      <c r="D334" s="1568" t="e">
        <f>C334*25000</f>
        <v>#N/A</v>
      </c>
      <c r="E334" s="1569"/>
      <c r="F334" s="1570"/>
      <c r="G334" s="1561" t="s">
        <v>205</v>
      </c>
      <c r="H334" s="1566" t="s">
        <v>206</v>
      </c>
      <c r="I334" s="1567" t="e">
        <f>VLOOKUP(I333,'Đội 1'!$A$95:$F$99,6,0)</f>
        <v>#N/A</v>
      </c>
      <c r="J334" s="1568" t="e">
        <f>I334*25000</f>
        <v>#N/A</v>
      </c>
    </row>
    <row r="335" spans="1:11">
      <c r="A335" s="1561" t="s">
        <v>207</v>
      </c>
      <c r="B335" s="1571" t="s">
        <v>208</v>
      </c>
      <c r="C335" s="1567" t="e">
        <f>VLOOKUP(C333,'Đội 1'!$A$95:$N$99,12,0)</f>
        <v>#N/A</v>
      </c>
      <c r="D335" s="2374" t="e">
        <f>+C335*$L$3</f>
        <v>#N/A</v>
      </c>
      <c r="E335" s="1572"/>
      <c r="F335" s="1573"/>
      <c r="G335" s="1561" t="s">
        <v>207</v>
      </c>
      <c r="H335" s="1571" t="s">
        <v>208</v>
      </c>
      <c r="I335" s="1567" t="e">
        <f>VLOOKUP(I333,'Đội 1'!$A$95:$N$99,12,0)</f>
        <v>#N/A</v>
      </c>
      <c r="J335" s="2374" t="e">
        <f>+I335*$L$3</f>
        <v>#N/A</v>
      </c>
    </row>
    <row r="336" spans="1:11">
      <c r="A336" s="1561" t="s">
        <v>1259</v>
      </c>
      <c r="B336" s="1571" t="s">
        <v>209</v>
      </c>
      <c r="C336" s="2369" t="e">
        <f>VLOOKUP(C333,'Đội 1'!$A$95:$O$99,13,0)</f>
        <v>#N/A</v>
      </c>
      <c r="D336" s="2374" t="e">
        <f>+C336*$L$4</f>
        <v>#N/A</v>
      </c>
      <c r="E336" s="1572"/>
      <c r="F336" s="1573"/>
      <c r="G336" s="1561" t="s">
        <v>1259</v>
      </c>
      <c r="H336" s="1571" t="s">
        <v>209</v>
      </c>
      <c r="I336" s="2369" t="e">
        <f>VLOOKUP(I333,'Đội 1'!$A$95:$O$99,13,0)</f>
        <v>#N/A</v>
      </c>
      <c r="J336" s="2374" t="e">
        <f>+I336*$L$4</f>
        <v>#N/A</v>
      </c>
    </row>
    <row r="337" spans="1:11">
      <c r="A337" s="1561" t="s">
        <v>1531</v>
      </c>
      <c r="B337" s="1571"/>
      <c r="C337" s="2369" t="e">
        <f>VLOOKUP(C333,'Đội 1'!$A$95:$P$99,15,0)</f>
        <v>#N/A</v>
      </c>
      <c r="D337" s="2374" t="e">
        <f>+C337*20000+VLOOKUP(C333,'Đội 1'!$A$95:$P$99,14,0)*$L$5</f>
        <v>#N/A</v>
      </c>
      <c r="E337" s="1572"/>
      <c r="F337" s="1573"/>
      <c r="G337" s="1561" t="s">
        <v>1531</v>
      </c>
      <c r="H337" s="1571"/>
      <c r="I337" s="2369" t="e">
        <f>VLOOKUP(I333,'Đội 1'!$A$95:$P$99,15,0)</f>
        <v>#N/A</v>
      </c>
      <c r="J337" s="2374" t="e">
        <f>+I337*20000+VLOOKUP(I333,'Đội 1'!$A$95:$P$99,14,0)*$L$5</f>
        <v>#N/A</v>
      </c>
    </row>
    <row r="338" spans="1:11" hidden="1">
      <c r="A338" s="1561" t="s">
        <v>1971</v>
      </c>
      <c r="B338" s="1571"/>
      <c r="C338" s="2369">
        <v>0</v>
      </c>
      <c r="D338" s="2374">
        <f>+C338*25000</f>
        <v>0</v>
      </c>
      <c r="E338" s="1572"/>
      <c r="F338" s="1573"/>
      <c r="G338" s="1561" t="s">
        <v>1971</v>
      </c>
      <c r="H338" s="1571"/>
      <c r="I338" s="2369">
        <v>0</v>
      </c>
      <c r="J338" s="2374">
        <f>+I338*25000</f>
        <v>0</v>
      </c>
    </row>
    <row r="339" spans="1:11">
      <c r="A339" s="1561" t="s">
        <v>210</v>
      </c>
      <c r="B339" s="1571" t="s">
        <v>211</v>
      </c>
      <c r="C339" s="1567" t="e">
        <f>VLOOKUP(C333,'Đội 1'!$A$95:$J$99,9,0)</f>
        <v>#N/A</v>
      </c>
      <c r="D339" s="2374" t="e">
        <f>VLOOKUP(C333,'Đội 1'!$A$95:$M$99,11,0)</f>
        <v>#N/A</v>
      </c>
      <c r="E339" s="1574"/>
      <c r="F339" s="1573"/>
      <c r="G339" s="1561" t="s">
        <v>210</v>
      </c>
      <c r="H339" s="1571" t="s">
        <v>211</v>
      </c>
      <c r="I339" s="1567" t="e">
        <f>VLOOKUP(I333,'Đội 1'!$A$95:$J$99,9,0)</f>
        <v>#N/A</v>
      </c>
      <c r="J339" s="2374" t="e">
        <f>VLOOKUP(I333,'Đội 1'!$A$95:$M$99,11,0)</f>
        <v>#N/A</v>
      </c>
    </row>
    <row r="340" spans="1:11">
      <c r="A340" s="1568" t="s">
        <v>212</v>
      </c>
      <c r="B340" s="1571" t="s">
        <v>213</v>
      </c>
      <c r="C340" s="1567"/>
      <c r="D340" s="1568"/>
      <c r="E340" s="1575"/>
      <c r="F340" s="1576"/>
      <c r="G340" s="1568" t="s">
        <v>212</v>
      </c>
      <c r="H340" s="1571" t="s">
        <v>213</v>
      </c>
      <c r="I340" s="1567"/>
      <c r="J340" s="1568"/>
    </row>
    <row r="341" spans="1:11">
      <c r="A341" s="1577" t="s">
        <v>214</v>
      </c>
      <c r="B341" s="1571" t="s">
        <v>215</v>
      </c>
      <c r="C341" s="1567"/>
      <c r="D341" s="1568">
        <f>+'Đội 1'!V361</f>
        <v>0</v>
      </c>
      <c r="E341" s="1574"/>
      <c r="F341" s="1576"/>
      <c r="G341" s="1577" t="s">
        <v>214</v>
      </c>
      <c r="H341" s="1571" t="s">
        <v>215</v>
      </c>
      <c r="I341" s="1567"/>
      <c r="J341" s="1568">
        <f>+'Đội 1'!AC361</f>
        <v>0</v>
      </c>
    </row>
    <row r="342" spans="1:11">
      <c r="A342" s="1561" t="s">
        <v>216</v>
      </c>
      <c r="B342" s="1571" t="s">
        <v>217</v>
      </c>
      <c r="C342" s="1567"/>
      <c r="D342" s="1568" t="e">
        <f>VLOOKUP(C333,'Đội 1'!$A$95:$V$99,21,0)</f>
        <v>#N/A</v>
      </c>
      <c r="E342" s="1578"/>
      <c r="F342" s="1560"/>
      <c r="G342" s="1561" t="s">
        <v>216</v>
      </c>
      <c r="H342" s="1571" t="s">
        <v>217</v>
      </c>
      <c r="I342" s="1567"/>
      <c r="J342" s="1568" t="e">
        <f>VLOOKUP(I333,'Đội 1'!$A$95:$V$99,21,0)</f>
        <v>#N/A</v>
      </c>
    </row>
    <row r="343" spans="1:11">
      <c r="A343" s="1568" t="s">
        <v>218</v>
      </c>
      <c r="B343" s="1571" t="s">
        <v>219</v>
      </c>
      <c r="C343" s="1579"/>
      <c r="D343" s="1580" t="e">
        <f>SUM(D334:D339)-D342</f>
        <v>#N/A</v>
      </c>
      <c r="E343" s="1581"/>
      <c r="F343" s="1582"/>
      <c r="G343" s="1568" t="s">
        <v>218</v>
      </c>
      <c r="H343" s="1571" t="s">
        <v>219</v>
      </c>
      <c r="I343" s="1579"/>
      <c r="J343" s="1580" t="e">
        <f>SUM(J334:J339)-J342</f>
        <v>#N/A</v>
      </c>
      <c r="K343" s="3350" t="e">
        <f>J343+D343</f>
        <v>#N/A</v>
      </c>
    </row>
    <row r="344" spans="1:11">
      <c r="A344" s="1583"/>
      <c r="B344" s="1584"/>
      <c r="C344" s="1592"/>
      <c r="D344" s="1593"/>
      <c r="E344" s="1582"/>
      <c r="F344" s="1586"/>
      <c r="G344" s="1583"/>
      <c r="H344" s="1584"/>
      <c r="I344" s="1592"/>
      <c r="J344" s="1593"/>
      <c r="K344" s="3350"/>
    </row>
    <row r="345" spans="1:11">
      <c r="A345" s="4841" t="str">
        <f>$K$2</f>
        <v>Tháng 12/24</v>
      </c>
      <c r="B345" s="4841"/>
      <c r="C345" s="4841"/>
      <c r="D345" s="4841"/>
      <c r="E345" s="1560"/>
      <c r="F345" s="1560"/>
      <c r="G345" s="4841" t="str">
        <f>$K$2</f>
        <v>Tháng 12/24</v>
      </c>
      <c r="H345" s="4841"/>
      <c r="I345" s="4841"/>
      <c r="J345" s="4841"/>
    </row>
    <row r="346" spans="1:11" ht="18">
      <c r="A346" s="1561" t="s">
        <v>1</v>
      </c>
      <c r="B346" s="3343" t="e">
        <f>VLOOKUP(C346,'Đội 1'!$A$95:$C$99,3,0)</f>
        <v>#N/A</v>
      </c>
      <c r="C346" s="1563">
        <v>50</v>
      </c>
      <c r="D346" s="1563"/>
      <c r="E346" s="1564"/>
      <c r="F346" s="1565"/>
      <c r="G346" s="1561" t="s">
        <v>1</v>
      </c>
      <c r="H346" s="3343" t="e">
        <f>VLOOKUP(I346,'Đội 1'!$A$95:$C$99,3,0)</f>
        <v>#N/A</v>
      </c>
      <c r="I346" s="1563">
        <v>51</v>
      </c>
      <c r="J346" s="1563"/>
    </row>
    <row r="347" spans="1:11" ht="18">
      <c r="A347" s="1561" t="s">
        <v>205</v>
      </c>
      <c r="B347" s="1566" t="s">
        <v>206</v>
      </c>
      <c r="C347" s="1567" t="e">
        <f>VLOOKUP(C346,'Đội 1'!$A$95:$F$99,6,0)</f>
        <v>#N/A</v>
      </c>
      <c r="D347" s="1568" t="e">
        <f>C347*25000</f>
        <v>#N/A</v>
      </c>
      <c r="E347" s="1569"/>
      <c r="F347" s="1570"/>
      <c r="G347" s="1561" t="s">
        <v>205</v>
      </c>
      <c r="H347" s="1566" t="s">
        <v>206</v>
      </c>
      <c r="I347" s="1567" t="e">
        <f>VLOOKUP(I346,'Đội 1'!$A$95:$F$99,6,0)</f>
        <v>#N/A</v>
      </c>
      <c r="J347" s="1568" t="e">
        <f>I347*25000</f>
        <v>#N/A</v>
      </c>
    </row>
    <row r="348" spans="1:11">
      <c r="A348" s="1561" t="s">
        <v>207</v>
      </c>
      <c r="B348" s="1571" t="s">
        <v>208</v>
      </c>
      <c r="C348" s="1567" t="e">
        <f>VLOOKUP(C346,'Đội 1'!$A$95:$N$99,12,0)</f>
        <v>#N/A</v>
      </c>
      <c r="D348" s="2374" t="e">
        <f>+C348*$L$3</f>
        <v>#N/A</v>
      </c>
      <c r="E348" s="1572"/>
      <c r="F348" s="1573"/>
      <c r="G348" s="1561" t="s">
        <v>207</v>
      </c>
      <c r="H348" s="1571" t="s">
        <v>208</v>
      </c>
      <c r="I348" s="1567" t="e">
        <f>VLOOKUP(I346,'Đội 1'!$A$95:$N$99,12,0)</f>
        <v>#N/A</v>
      </c>
      <c r="J348" s="2374" t="e">
        <f>+I348*$L$3</f>
        <v>#N/A</v>
      </c>
    </row>
    <row r="349" spans="1:11">
      <c r="A349" s="1561" t="s">
        <v>1259</v>
      </c>
      <c r="B349" s="1571" t="s">
        <v>209</v>
      </c>
      <c r="C349" s="2369" t="e">
        <f>VLOOKUP(C346,'Đội 1'!$A$95:$O$99,13,0)</f>
        <v>#N/A</v>
      </c>
      <c r="D349" s="2374" t="e">
        <f>+C349*$L$4</f>
        <v>#N/A</v>
      </c>
      <c r="E349" s="1572"/>
      <c r="F349" s="1573"/>
      <c r="G349" s="1561" t="s">
        <v>1259</v>
      </c>
      <c r="H349" s="1571" t="s">
        <v>209</v>
      </c>
      <c r="I349" s="2369" t="e">
        <f>VLOOKUP(I346,'Đội 1'!$A$95:$O$99,13,0)</f>
        <v>#N/A</v>
      </c>
      <c r="J349" s="2374" t="e">
        <f>+I349*$L$4</f>
        <v>#N/A</v>
      </c>
    </row>
    <row r="350" spans="1:11">
      <c r="A350" s="1561" t="s">
        <v>1531</v>
      </c>
      <c r="B350" s="1571"/>
      <c r="C350" s="2369" t="e">
        <f>VLOOKUP(C346,'Đội 1'!$A$95:$P$99,15,0)</f>
        <v>#N/A</v>
      </c>
      <c r="D350" s="2374" t="e">
        <f>+C350*20000+VLOOKUP(C346,'Đội 1'!$A$95:$P$99,14,0)*$L$5</f>
        <v>#N/A</v>
      </c>
      <c r="E350" s="1572"/>
      <c r="F350" s="1573"/>
      <c r="G350" s="1561" t="s">
        <v>1531</v>
      </c>
      <c r="H350" s="1571"/>
      <c r="I350" s="2369" t="e">
        <f>VLOOKUP(I346,'Đội 1'!$A$95:$P$99,15,0)</f>
        <v>#N/A</v>
      </c>
      <c r="J350" s="2374" t="e">
        <f>+I350*20000+VLOOKUP(I346,'Đội 1'!$A$95:$P$99,14,0)*$L$5</f>
        <v>#N/A</v>
      </c>
    </row>
    <row r="351" spans="1:11" hidden="1">
      <c r="A351" s="1561" t="s">
        <v>1971</v>
      </c>
      <c r="B351" s="1571"/>
      <c r="C351" s="2369">
        <v>0</v>
      </c>
      <c r="D351" s="2374">
        <f>+C351*25000</f>
        <v>0</v>
      </c>
      <c r="E351" s="1572"/>
      <c r="F351" s="1573"/>
      <c r="G351" s="1561" t="s">
        <v>1971</v>
      </c>
      <c r="H351" s="1571"/>
      <c r="I351" s="2369">
        <v>0</v>
      </c>
      <c r="J351" s="2374">
        <f>+I351*25000</f>
        <v>0</v>
      </c>
    </row>
    <row r="352" spans="1:11">
      <c r="A352" s="1561" t="s">
        <v>210</v>
      </c>
      <c r="B352" s="1571" t="s">
        <v>211</v>
      </c>
      <c r="C352" s="1567" t="e">
        <f>VLOOKUP(C346,'Đội 1'!$A$95:$J$99,9,0)</f>
        <v>#N/A</v>
      </c>
      <c r="D352" s="2374" t="e">
        <f>VLOOKUP(C346,'Đội 1'!$A$95:$M$99,11,0)</f>
        <v>#N/A</v>
      </c>
      <c r="E352" s="1574"/>
      <c r="F352" s="1573"/>
      <c r="G352" s="1561" t="s">
        <v>210</v>
      </c>
      <c r="H352" s="1571" t="s">
        <v>211</v>
      </c>
      <c r="I352" s="1567" t="e">
        <f>VLOOKUP(I346,'Đội 1'!$A$95:$J$99,9,0)</f>
        <v>#N/A</v>
      </c>
      <c r="J352" s="2374" t="e">
        <f>VLOOKUP(I346,'Đội 1'!$A$95:$M$99,11,0)</f>
        <v>#N/A</v>
      </c>
    </row>
    <row r="353" spans="1:11">
      <c r="A353" s="1568" t="s">
        <v>212</v>
      </c>
      <c r="B353" s="1571" t="s">
        <v>213</v>
      </c>
      <c r="C353" s="1567"/>
      <c r="D353" s="1568"/>
      <c r="E353" s="1575"/>
      <c r="F353" s="1576"/>
      <c r="G353" s="1568" t="s">
        <v>212</v>
      </c>
      <c r="H353" s="1571" t="s">
        <v>213</v>
      </c>
      <c r="I353" s="1567"/>
      <c r="J353" s="1568"/>
    </row>
    <row r="354" spans="1:11" ht="21.75" customHeight="1">
      <c r="A354" s="1577" t="s">
        <v>214</v>
      </c>
      <c r="B354" s="1571" t="s">
        <v>215</v>
      </c>
      <c r="C354" s="1567"/>
      <c r="D354" s="1568">
        <f>+'Đội 1'!V374</f>
        <v>0</v>
      </c>
      <c r="E354" s="1574"/>
      <c r="F354" s="1576"/>
      <c r="G354" s="1577" t="s">
        <v>214</v>
      </c>
      <c r="H354" s="1571" t="s">
        <v>215</v>
      </c>
      <c r="I354" s="1567"/>
      <c r="J354" s="1568">
        <f>+'Đội 1'!AC374</f>
        <v>0</v>
      </c>
    </row>
    <row r="355" spans="1:11">
      <c r="A355" s="1561" t="s">
        <v>216</v>
      </c>
      <c r="B355" s="1571" t="s">
        <v>217</v>
      </c>
      <c r="C355" s="1567"/>
      <c r="D355" s="1568" t="e">
        <f>VLOOKUP(C346,'Đội 1'!$A$95:$V$99,21,0)</f>
        <v>#N/A</v>
      </c>
      <c r="E355" s="1578"/>
      <c r="F355" s="1560"/>
      <c r="G355" s="1561" t="s">
        <v>216</v>
      </c>
      <c r="H355" s="1571" t="s">
        <v>217</v>
      </c>
      <c r="I355" s="1567"/>
      <c r="J355" s="1568" t="e">
        <f>VLOOKUP(I346,'Đội 1'!$A$95:$V$99,21,0)</f>
        <v>#N/A</v>
      </c>
    </row>
    <row r="356" spans="1:11">
      <c r="A356" s="1568" t="s">
        <v>218</v>
      </c>
      <c r="B356" s="1571" t="s">
        <v>219</v>
      </c>
      <c r="C356" s="1579"/>
      <c r="D356" s="1580" t="e">
        <f>SUM(D347:D352)-D355</f>
        <v>#N/A</v>
      </c>
      <c r="E356" s="1581"/>
      <c r="F356" s="1582"/>
      <c r="G356" s="1568" t="s">
        <v>218</v>
      </c>
      <c r="H356" s="1571" t="s">
        <v>219</v>
      </c>
      <c r="I356" s="1579"/>
      <c r="J356" s="1580" t="e">
        <f>SUM(J347:J352)-J355</f>
        <v>#N/A</v>
      </c>
      <c r="K356" s="3350" t="e">
        <f>J356+D356</f>
        <v>#N/A</v>
      </c>
    </row>
    <row r="357" spans="1:11">
      <c r="A357" s="1583"/>
      <c r="B357" s="1584"/>
      <c r="C357" s="1585"/>
      <c r="D357" s="1586"/>
      <c r="E357" s="1582"/>
      <c r="F357" s="1586"/>
      <c r="G357" s="1583"/>
      <c r="H357" s="1584"/>
      <c r="I357" s="1585"/>
      <c r="J357" s="1582"/>
    </row>
    <row r="358" spans="1:11">
      <c r="A358" s="1587"/>
      <c r="B358" s="1587"/>
      <c r="C358" s="1588"/>
      <c r="D358" s="3335"/>
      <c r="E358" s="1590"/>
      <c r="F358" s="1587"/>
      <c r="G358" s="1587"/>
      <c r="H358" s="1587"/>
      <c r="I358" s="1588"/>
      <c r="J358" s="1591"/>
      <c r="K358" s="3350"/>
    </row>
    <row r="359" spans="1:11">
      <c r="A359" s="4836" t="str">
        <f>$K$2</f>
        <v>Tháng 12/24</v>
      </c>
      <c r="B359" s="4836"/>
      <c r="C359" s="4836"/>
      <c r="D359" s="4836"/>
      <c r="E359" s="1560"/>
      <c r="F359" s="1560"/>
      <c r="G359" s="4836" t="str">
        <f>$K$2</f>
        <v>Tháng 12/24</v>
      </c>
      <c r="H359" s="4836"/>
      <c r="I359" s="4836"/>
      <c r="J359" s="4836"/>
    </row>
    <row r="360" spans="1:11" ht="18">
      <c r="A360" s="1561" t="s">
        <v>1</v>
      </c>
      <c r="B360" s="3343" t="e">
        <f>VLOOKUP(C360,'Đội 1'!$A$95:$C$99,3,0)</f>
        <v>#N/A</v>
      </c>
      <c r="C360" s="1563">
        <v>52</v>
      </c>
      <c r="D360" s="1563"/>
      <c r="E360" s="1564"/>
      <c r="F360" s="1565"/>
      <c r="G360" s="1561" t="s">
        <v>1</v>
      </c>
      <c r="H360" s="3343" t="e">
        <f>VLOOKUP(I360,'Đội 1'!$A$95:$C$99,3,0)</f>
        <v>#N/A</v>
      </c>
      <c r="I360" s="1563">
        <v>53</v>
      </c>
      <c r="J360" s="1563"/>
    </row>
    <row r="361" spans="1:11" ht="18">
      <c r="A361" s="1561" t="s">
        <v>205</v>
      </c>
      <c r="B361" s="1566" t="s">
        <v>206</v>
      </c>
      <c r="C361" s="1567" t="e">
        <f>VLOOKUP(C360,'Đội 1'!$A$95:$F$99,6,0)</f>
        <v>#N/A</v>
      </c>
      <c r="D361" s="1568" t="e">
        <f>C361*25000</f>
        <v>#N/A</v>
      </c>
      <c r="E361" s="1569"/>
      <c r="F361" s="1570"/>
      <c r="G361" s="1561" t="s">
        <v>205</v>
      </c>
      <c r="H361" s="1566" t="s">
        <v>206</v>
      </c>
      <c r="I361" s="1567" t="e">
        <f>VLOOKUP(I360,'Đội 1'!$A$95:$F$99,6,0)</f>
        <v>#N/A</v>
      </c>
      <c r="J361" s="1568" t="e">
        <f>I361*25000</f>
        <v>#N/A</v>
      </c>
    </row>
    <row r="362" spans="1:11">
      <c r="A362" s="1561" t="s">
        <v>207</v>
      </c>
      <c r="B362" s="1571" t="s">
        <v>208</v>
      </c>
      <c r="C362" s="1567" t="e">
        <f>VLOOKUP(C360,'Đội 1'!$A$95:$N$99,12,0)</f>
        <v>#N/A</v>
      </c>
      <c r="D362" s="2374" t="e">
        <f>+C362*$L$3</f>
        <v>#N/A</v>
      </c>
      <c r="E362" s="1572"/>
      <c r="F362" s="1573"/>
      <c r="G362" s="1561" t="s">
        <v>207</v>
      </c>
      <c r="H362" s="1571" t="s">
        <v>208</v>
      </c>
      <c r="I362" s="1567" t="e">
        <f>VLOOKUP(I360,'Đội 1'!$A$95:$N$99,12,0)</f>
        <v>#N/A</v>
      </c>
      <c r="J362" s="2374" t="e">
        <f>+I362*$L$3</f>
        <v>#N/A</v>
      </c>
    </row>
    <row r="363" spans="1:11">
      <c r="A363" s="1561" t="s">
        <v>1259</v>
      </c>
      <c r="B363" s="1571" t="s">
        <v>209</v>
      </c>
      <c r="C363" s="2369" t="e">
        <f>VLOOKUP(C360,'Đội 1'!$A$95:$O$99,13,0)</f>
        <v>#N/A</v>
      </c>
      <c r="D363" s="2374" t="e">
        <f>+C363*$L$4</f>
        <v>#N/A</v>
      </c>
      <c r="E363" s="1572"/>
      <c r="F363" s="1573"/>
      <c r="G363" s="1561" t="s">
        <v>1259</v>
      </c>
      <c r="H363" s="1571" t="s">
        <v>209</v>
      </c>
      <c r="I363" s="2369" t="e">
        <f>VLOOKUP(I360,'Đội 1'!$A$95:$O$99,13,0)</f>
        <v>#N/A</v>
      </c>
      <c r="J363" s="2374" t="e">
        <f>+I363*$L$4</f>
        <v>#N/A</v>
      </c>
    </row>
    <row r="364" spans="1:11">
      <c r="A364" s="1561" t="s">
        <v>1531</v>
      </c>
      <c r="B364" s="1571"/>
      <c r="C364" s="2369" t="e">
        <f>VLOOKUP(C360,'Đội 1'!$A$95:$P$99,15,0)</f>
        <v>#N/A</v>
      </c>
      <c r="D364" s="2374" t="e">
        <f>+C364*20000+VLOOKUP(C360,'Đội 1'!$A$95:$P$99,14,0)*$L$5</f>
        <v>#N/A</v>
      </c>
      <c r="E364" s="1572"/>
      <c r="F364" s="1573"/>
      <c r="G364" s="1561" t="s">
        <v>1531</v>
      </c>
      <c r="H364" s="1571"/>
      <c r="I364" s="2369" t="e">
        <f>VLOOKUP(I360,'Đội 1'!$A$95:$P$99,15,0)</f>
        <v>#N/A</v>
      </c>
      <c r="J364" s="2374" t="e">
        <f>+I364*20000+VLOOKUP(I360,'Đội 1'!$A$95:$P$99,14,0)*$L$5</f>
        <v>#N/A</v>
      </c>
    </row>
    <row r="365" spans="1:11" hidden="1">
      <c r="A365" s="1561" t="s">
        <v>1971</v>
      </c>
      <c r="B365" s="1571"/>
      <c r="C365" s="2369">
        <v>0</v>
      </c>
      <c r="D365" s="2374">
        <f>+C365*25000</f>
        <v>0</v>
      </c>
      <c r="E365" s="1572"/>
      <c r="F365" s="1573"/>
      <c r="G365" s="1561" t="s">
        <v>1971</v>
      </c>
      <c r="H365" s="1571"/>
      <c r="I365" s="2369">
        <v>0</v>
      </c>
      <c r="J365" s="2374">
        <f>+I365*25000</f>
        <v>0</v>
      </c>
    </row>
    <row r="366" spans="1:11">
      <c r="A366" s="1561" t="s">
        <v>210</v>
      </c>
      <c r="B366" s="1571" t="s">
        <v>211</v>
      </c>
      <c r="C366" s="1567" t="e">
        <f>VLOOKUP(C360,'Đội 1'!$A$95:$J$99,9,0)</f>
        <v>#N/A</v>
      </c>
      <c r="D366" s="2374" t="e">
        <f>VLOOKUP(C360,'Đội 1'!$A$95:$M$99,11,0)</f>
        <v>#N/A</v>
      </c>
      <c r="E366" s="1574"/>
      <c r="F366" s="1573"/>
      <c r="G366" s="1561" t="s">
        <v>210</v>
      </c>
      <c r="H366" s="1571" t="s">
        <v>211</v>
      </c>
      <c r="I366" s="1567" t="e">
        <f>VLOOKUP(I360,'Đội 1'!$A$95:$J$99,9,0)</f>
        <v>#N/A</v>
      </c>
      <c r="J366" s="2374" t="e">
        <f>VLOOKUP(I360,'Đội 1'!$A$95:$M$99,11,0)</f>
        <v>#N/A</v>
      </c>
    </row>
    <row r="367" spans="1:11">
      <c r="A367" s="1568" t="s">
        <v>212</v>
      </c>
      <c r="B367" s="1571" t="s">
        <v>213</v>
      </c>
      <c r="C367" s="1567"/>
      <c r="D367" s="1568"/>
      <c r="E367" s="1575"/>
      <c r="F367" s="1576"/>
      <c r="G367" s="1568" t="s">
        <v>212</v>
      </c>
      <c r="H367" s="1571" t="s">
        <v>213</v>
      </c>
      <c r="I367" s="1567"/>
      <c r="J367" s="1568"/>
    </row>
    <row r="368" spans="1:11">
      <c r="A368" s="1577" t="s">
        <v>214</v>
      </c>
      <c r="B368" s="1571" t="s">
        <v>215</v>
      </c>
      <c r="C368" s="1567"/>
      <c r="D368" s="1568">
        <f>+'Đội 1'!V388</f>
        <v>0</v>
      </c>
      <c r="E368" s="1574"/>
      <c r="F368" s="1576"/>
      <c r="G368" s="1577" t="s">
        <v>214</v>
      </c>
      <c r="H368" s="1571" t="s">
        <v>215</v>
      </c>
      <c r="I368" s="1567"/>
      <c r="J368" s="1568">
        <f>+'Đội 1'!AC388</f>
        <v>0</v>
      </c>
    </row>
    <row r="369" spans="1:11">
      <c r="A369" s="1561" t="s">
        <v>216</v>
      </c>
      <c r="B369" s="1571" t="s">
        <v>217</v>
      </c>
      <c r="C369" s="1567"/>
      <c r="D369" s="1568" t="e">
        <f>VLOOKUP(C360,'Đội 1'!$A$95:$V$99,21,0)</f>
        <v>#N/A</v>
      </c>
      <c r="E369" s="1578"/>
      <c r="F369" s="1560"/>
      <c r="G369" s="1561" t="s">
        <v>216</v>
      </c>
      <c r="H369" s="1571" t="s">
        <v>217</v>
      </c>
      <c r="I369" s="1567"/>
      <c r="J369" s="1568" t="e">
        <f>VLOOKUP(I360,'Đội 1'!$A$95:$V$99,21,0)</f>
        <v>#N/A</v>
      </c>
    </row>
    <row r="370" spans="1:11">
      <c r="A370" s="1568" t="s">
        <v>218</v>
      </c>
      <c r="B370" s="1571" t="s">
        <v>219</v>
      </c>
      <c r="C370" s="1579"/>
      <c r="D370" s="1580" t="e">
        <f>SUM(D361:D366)-D369</f>
        <v>#N/A</v>
      </c>
      <c r="E370" s="1581"/>
      <c r="F370" s="1582"/>
      <c r="G370" s="1568" t="s">
        <v>218</v>
      </c>
      <c r="H370" s="1571" t="s">
        <v>219</v>
      </c>
      <c r="I370" s="1579"/>
      <c r="J370" s="1580" t="e">
        <f>SUM(J361:J366)-J369</f>
        <v>#N/A</v>
      </c>
      <c r="K370" s="3350" t="e">
        <f>J370+D370</f>
        <v>#N/A</v>
      </c>
    </row>
    <row r="371" spans="1:11">
      <c r="A371" s="1583"/>
      <c r="B371" s="1584"/>
      <c r="C371" s="1585"/>
      <c r="D371" s="1586"/>
      <c r="E371" s="1582"/>
      <c r="F371" s="1586"/>
      <c r="G371" s="1583"/>
      <c r="H371" s="1584"/>
      <c r="I371" s="1585"/>
      <c r="J371" s="1582"/>
    </row>
    <row r="372" spans="1:11" ht="81" customHeight="1">
      <c r="A372" s="1587"/>
      <c r="B372" s="1587"/>
      <c r="C372" s="1588"/>
      <c r="D372" s="3335"/>
      <c r="E372" s="1590"/>
      <c r="F372" s="1587"/>
      <c r="G372" s="1587"/>
      <c r="H372" s="1587"/>
      <c r="I372" s="1588"/>
      <c r="J372" s="1591"/>
      <c r="K372" s="3350"/>
    </row>
    <row r="373" spans="1:11">
      <c r="A373" s="4836" t="str">
        <f>$K$2</f>
        <v>Tháng 12/24</v>
      </c>
      <c r="B373" s="4836"/>
      <c r="C373" s="4836"/>
      <c r="D373" s="4836"/>
      <c r="E373" s="1560"/>
      <c r="F373" s="1560"/>
      <c r="G373" s="4836" t="str">
        <f>$K$2</f>
        <v>Tháng 12/24</v>
      </c>
      <c r="H373" s="4836"/>
      <c r="I373" s="4836"/>
      <c r="J373" s="4836"/>
    </row>
    <row r="374" spans="1:11" ht="18">
      <c r="A374" s="1561" t="s">
        <v>1</v>
      </c>
      <c r="B374" s="3343" t="e">
        <f>VLOOKUP(C374,'Đội 1'!$A$95:$C$99,3,0)</f>
        <v>#N/A</v>
      </c>
      <c r="C374" s="1563">
        <v>54</v>
      </c>
      <c r="D374" s="1563"/>
      <c r="E374" s="1564"/>
      <c r="F374" s="1565"/>
      <c r="G374" s="1561" t="s">
        <v>1</v>
      </c>
      <c r="H374" s="3343" t="e">
        <f>VLOOKUP(I374,'Đội 1'!$A$95:$C$99,3,0)</f>
        <v>#N/A</v>
      </c>
      <c r="I374" s="1563">
        <v>55</v>
      </c>
      <c r="J374" s="1563"/>
    </row>
    <row r="375" spans="1:11" ht="18">
      <c r="A375" s="1561" t="s">
        <v>205</v>
      </c>
      <c r="B375" s="1566" t="s">
        <v>206</v>
      </c>
      <c r="C375" s="1567" t="e">
        <f>VLOOKUP(C374,'Đội 1'!$A$95:$F$99,6,0)</f>
        <v>#N/A</v>
      </c>
      <c r="D375" s="1568" t="e">
        <f>C375*25000</f>
        <v>#N/A</v>
      </c>
      <c r="E375" s="1569"/>
      <c r="F375" s="1570"/>
      <c r="G375" s="1561" t="s">
        <v>205</v>
      </c>
      <c r="H375" s="1566" t="s">
        <v>206</v>
      </c>
      <c r="I375" s="1567" t="e">
        <f>VLOOKUP(I374,'Đội 1'!$A$95:$F$99,6,0)</f>
        <v>#N/A</v>
      </c>
      <c r="J375" s="1568" t="e">
        <f>I375*25000</f>
        <v>#N/A</v>
      </c>
    </row>
    <row r="376" spans="1:11">
      <c r="A376" s="1561" t="s">
        <v>207</v>
      </c>
      <c r="B376" s="1571" t="s">
        <v>208</v>
      </c>
      <c r="C376" s="1567" t="e">
        <f>VLOOKUP(C374,'Đội 1'!$A$95:$N$99,12,0)</f>
        <v>#N/A</v>
      </c>
      <c r="D376" s="2374" t="e">
        <f>+C376*$L$3</f>
        <v>#N/A</v>
      </c>
      <c r="E376" s="1572"/>
      <c r="F376" s="1573"/>
      <c r="G376" s="1561" t="s">
        <v>207</v>
      </c>
      <c r="H376" s="1571" t="s">
        <v>208</v>
      </c>
      <c r="I376" s="1567" t="e">
        <f>VLOOKUP(I374,'Đội 1'!$A$95:$N$99,12,0)</f>
        <v>#N/A</v>
      </c>
      <c r="J376" s="2374" t="e">
        <f>+I376*$L$3</f>
        <v>#N/A</v>
      </c>
    </row>
    <row r="377" spans="1:11">
      <c r="A377" s="1561" t="s">
        <v>1259</v>
      </c>
      <c r="B377" s="1571" t="s">
        <v>209</v>
      </c>
      <c r="C377" s="2369" t="e">
        <f>VLOOKUP(C374,'Đội 1'!$A$95:$O$99,13,0)</f>
        <v>#N/A</v>
      </c>
      <c r="D377" s="2374" t="e">
        <f>+C377*$L$4</f>
        <v>#N/A</v>
      </c>
      <c r="E377" s="1572"/>
      <c r="F377" s="1573"/>
      <c r="G377" s="1561" t="s">
        <v>1259</v>
      </c>
      <c r="H377" s="1571" t="s">
        <v>209</v>
      </c>
      <c r="I377" s="2369" t="e">
        <f>VLOOKUP(I374,'Đội 1'!$A$95:$O$99,13,0)</f>
        <v>#N/A</v>
      </c>
      <c r="J377" s="2374" t="e">
        <f>+I377*$L$4</f>
        <v>#N/A</v>
      </c>
    </row>
    <row r="378" spans="1:11">
      <c r="A378" s="1561" t="s">
        <v>1531</v>
      </c>
      <c r="B378" s="1571"/>
      <c r="C378" s="2369" t="e">
        <f>VLOOKUP(C374,'Đội 1'!$A$95:$P$99,15,0)</f>
        <v>#N/A</v>
      </c>
      <c r="D378" s="2374" t="e">
        <f>+C378*20000+VLOOKUP(C374,'Đội 1'!$A$95:$P$99,14,0)*$L$5</f>
        <v>#N/A</v>
      </c>
      <c r="E378" s="1572"/>
      <c r="F378" s="1573"/>
      <c r="G378" s="1561" t="s">
        <v>1531</v>
      </c>
      <c r="H378" s="1571"/>
      <c r="I378" s="2369" t="e">
        <f>VLOOKUP(I374,'Đội 1'!$A$95:$P$99,15,0)</f>
        <v>#N/A</v>
      </c>
      <c r="J378" s="2374" t="e">
        <f>+I378*20000+VLOOKUP(I374,'Đội 1'!$A$95:$P$99,14,0)*$L$5</f>
        <v>#N/A</v>
      </c>
    </row>
    <row r="379" spans="1:11" hidden="1">
      <c r="A379" s="1561" t="s">
        <v>1971</v>
      </c>
      <c r="B379" s="1571"/>
      <c r="C379" s="2369">
        <v>0</v>
      </c>
      <c r="D379" s="2374">
        <f>+C379*25000</f>
        <v>0</v>
      </c>
      <c r="E379" s="1572"/>
      <c r="F379" s="1573"/>
      <c r="G379" s="1561" t="s">
        <v>1971</v>
      </c>
      <c r="H379" s="1571"/>
      <c r="I379" s="2369">
        <v>0</v>
      </c>
      <c r="J379" s="2374">
        <f>+I379*25000</f>
        <v>0</v>
      </c>
    </row>
    <row r="380" spans="1:11">
      <c r="A380" s="1561" t="s">
        <v>210</v>
      </c>
      <c r="B380" s="1571" t="s">
        <v>211</v>
      </c>
      <c r="C380" s="1567" t="e">
        <f>VLOOKUP(C374,'Đội 1'!$A$95:$J$99,9,0)</f>
        <v>#N/A</v>
      </c>
      <c r="D380" s="2374" t="e">
        <f>VLOOKUP(C374,'Đội 1'!$A$95:$M$99,11,0)</f>
        <v>#N/A</v>
      </c>
      <c r="E380" s="1574"/>
      <c r="F380" s="1573"/>
      <c r="G380" s="1561" t="s">
        <v>210</v>
      </c>
      <c r="H380" s="1571" t="s">
        <v>211</v>
      </c>
      <c r="I380" s="1567" t="e">
        <f>VLOOKUP(I374,'Đội 1'!$A$95:$J$99,9,0)</f>
        <v>#N/A</v>
      </c>
      <c r="J380" s="2374" t="e">
        <f>VLOOKUP(I374,'Đội 1'!$A$95:$M$99,11,0)</f>
        <v>#N/A</v>
      </c>
    </row>
    <row r="381" spans="1:11">
      <c r="A381" s="1568" t="s">
        <v>212</v>
      </c>
      <c r="B381" s="1571" t="s">
        <v>213</v>
      </c>
      <c r="C381" s="1567"/>
      <c r="D381" s="1568"/>
      <c r="E381" s="1575"/>
      <c r="F381" s="1576"/>
      <c r="G381" s="1568" t="s">
        <v>212</v>
      </c>
      <c r="H381" s="1571" t="s">
        <v>213</v>
      </c>
      <c r="I381" s="1567"/>
      <c r="J381" s="1568"/>
    </row>
    <row r="382" spans="1:11">
      <c r="A382" s="1577" t="s">
        <v>214</v>
      </c>
      <c r="B382" s="1571" t="s">
        <v>215</v>
      </c>
      <c r="C382" s="1567"/>
      <c r="D382" s="1568">
        <f>+'Đội 1'!V402</f>
        <v>0</v>
      </c>
      <c r="E382" s="1574"/>
      <c r="F382" s="1576"/>
      <c r="G382" s="1577" t="s">
        <v>214</v>
      </c>
      <c r="H382" s="1571" t="s">
        <v>215</v>
      </c>
      <c r="I382" s="1567"/>
      <c r="J382" s="1568">
        <f>+'Đội 1'!AC402</f>
        <v>0</v>
      </c>
    </row>
    <row r="383" spans="1:11">
      <c r="A383" s="1561" t="s">
        <v>216</v>
      </c>
      <c r="B383" s="1571" t="s">
        <v>217</v>
      </c>
      <c r="C383" s="1567"/>
      <c r="D383" s="1568" t="e">
        <f>VLOOKUP(C374,'Đội 1'!$A$95:$V$99,21,0)</f>
        <v>#N/A</v>
      </c>
      <c r="E383" s="1578"/>
      <c r="F383" s="1560"/>
      <c r="G383" s="1561" t="s">
        <v>216</v>
      </c>
      <c r="H383" s="1571" t="s">
        <v>217</v>
      </c>
      <c r="I383" s="1567"/>
      <c r="J383" s="1568" t="e">
        <f>VLOOKUP(I374,'Đội 1'!$A$95:$V$99,21,0)</f>
        <v>#N/A</v>
      </c>
    </row>
    <row r="384" spans="1:11">
      <c r="A384" s="1568" t="s">
        <v>218</v>
      </c>
      <c r="B384" s="1571" t="s">
        <v>219</v>
      </c>
      <c r="C384" s="1579"/>
      <c r="D384" s="1580" t="e">
        <f>SUM(D375:D380)-D383</f>
        <v>#N/A</v>
      </c>
      <c r="E384" s="1581"/>
      <c r="F384" s="1582"/>
      <c r="G384" s="1568" t="s">
        <v>218</v>
      </c>
      <c r="H384" s="1571" t="s">
        <v>219</v>
      </c>
      <c r="I384" s="1579"/>
      <c r="J384" s="1580" t="e">
        <f>SUM(J375:J380)-J383</f>
        <v>#N/A</v>
      </c>
      <c r="K384" s="3350" t="e">
        <f>J384+D384</f>
        <v>#N/A</v>
      </c>
    </row>
    <row r="385" spans="1:11">
      <c r="A385" s="4836" t="str">
        <f>$K$2</f>
        <v>Tháng 12/24</v>
      </c>
      <c r="B385" s="4836"/>
      <c r="C385" s="4836"/>
      <c r="D385" s="4836"/>
      <c r="E385" s="1560"/>
      <c r="F385" s="1560"/>
      <c r="G385" s="4836" t="str">
        <f>$K$2</f>
        <v>Tháng 12/24</v>
      </c>
      <c r="H385" s="4836"/>
      <c r="I385" s="4836"/>
      <c r="J385" s="4836"/>
    </row>
    <row r="386" spans="1:11" ht="18">
      <c r="A386" s="1561" t="s">
        <v>1</v>
      </c>
      <c r="B386" s="3343" t="e">
        <f>VLOOKUP(C386,'Đội 1'!$A$95:$C$99,3,0)</f>
        <v>#N/A</v>
      </c>
      <c r="C386" s="1563">
        <v>56</v>
      </c>
      <c r="D386" s="1563"/>
      <c r="E386" s="1564"/>
      <c r="F386" s="1565"/>
      <c r="G386" s="1561" t="s">
        <v>1</v>
      </c>
      <c r="H386" s="3343" t="e">
        <f>VLOOKUP(I386,'Đội 1'!$A$95:$C$99,3,0)</f>
        <v>#N/A</v>
      </c>
      <c r="I386" s="1563">
        <v>57</v>
      </c>
      <c r="J386" s="1563"/>
    </row>
    <row r="387" spans="1:11" ht="18">
      <c r="A387" s="1561" t="s">
        <v>205</v>
      </c>
      <c r="B387" s="1566" t="s">
        <v>206</v>
      </c>
      <c r="C387" s="1567" t="e">
        <f>VLOOKUP(C386,'Đội 1'!$A$95:$F$99,6,0)</f>
        <v>#N/A</v>
      </c>
      <c r="D387" s="1568" t="e">
        <f>C387*25000</f>
        <v>#N/A</v>
      </c>
      <c r="E387" s="1569"/>
      <c r="F387" s="1570"/>
      <c r="G387" s="1561" t="s">
        <v>205</v>
      </c>
      <c r="H387" s="1566" t="s">
        <v>206</v>
      </c>
      <c r="I387" s="1567" t="e">
        <f>VLOOKUP(I386,'Đội 1'!$A$95:$F$99,6,0)</f>
        <v>#N/A</v>
      </c>
      <c r="J387" s="1568" t="e">
        <f>I387*25000</f>
        <v>#N/A</v>
      </c>
    </row>
    <row r="388" spans="1:11">
      <c r="A388" s="1561" t="s">
        <v>207</v>
      </c>
      <c r="B388" s="1571" t="s">
        <v>208</v>
      </c>
      <c r="C388" s="1567" t="e">
        <f>VLOOKUP(C386,'Đội 1'!$A$95:$N$99,12,0)</f>
        <v>#N/A</v>
      </c>
      <c r="D388" s="2374" t="e">
        <f>+C388*$L$3</f>
        <v>#N/A</v>
      </c>
      <c r="E388" s="1572"/>
      <c r="F388" s="1573"/>
      <c r="G388" s="1561" t="s">
        <v>207</v>
      </c>
      <c r="H388" s="1571" t="s">
        <v>208</v>
      </c>
      <c r="I388" s="1567" t="e">
        <f>VLOOKUP(I386,'Đội 1'!$A$95:$N$99,12,0)</f>
        <v>#N/A</v>
      </c>
      <c r="J388" s="2374" t="e">
        <f>+I388*$L$3</f>
        <v>#N/A</v>
      </c>
    </row>
    <row r="389" spans="1:11">
      <c r="A389" s="1561" t="s">
        <v>1259</v>
      </c>
      <c r="B389" s="1571" t="s">
        <v>209</v>
      </c>
      <c r="C389" s="2369" t="e">
        <f>VLOOKUP(C386,'Đội 1'!$A$95:$O$99,13,0)</f>
        <v>#N/A</v>
      </c>
      <c r="D389" s="2374" t="e">
        <f>+C389*$L$4</f>
        <v>#N/A</v>
      </c>
      <c r="E389" s="1572"/>
      <c r="F389" s="1573"/>
      <c r="G389" s="1561" t="s">
        <v>1259</v>
      </c>
      <c r="H389" s="1571" t="s">
        <v>209</v>
      </c>
      <c r="I389" s="2369" t="e">
        <f>VLOOKUP(I386,'Đội 1'!$A$95:$O$99,13,0)</f>
        <v>#N/A</v>
      </c>
      <c r="J389" s="2374" t="e">
        <f>+I389*$L$4</f>
        <v>#N/A</v>
      </c>
    </row>
    <row r="390" spans="1:11">
      <c r="A390" s="1561" t="s">
        <v>1531</v>
      </c>
      <c r="B390" s="1571"/>
      <c r="C390" s="2369" t="e">
        <f>VLOOKUP(C386,'Đội 1'!$A$95:$P$99,15,0)</f>
        <v>#N/A</v>
      </c>
      <c r="D390" s="2374" t="e">
        <f>+C390*20000+VLOOKUP(C386,'Đội 1'!$A$95:$P$99,14,0)*$L$5</f>
        <v>#N/A</v>
      </c>
      <c r="E390" s="1572"/>
      <c r="F390" s="1573"/>
      <c r="G390" s="1561" t="s">
        <v>1531</v>
      </c>
      <c r="H390" s="1571"/>
      <c r="I390" s="2369" t="e">
        <f>VLOOKUP(I386,'Đội 1'!$A$95:$P$99,15,0)</f>
        <v>#N/A</v>
      </c>
      <c r="J390" s="2374" t="e">
        <f>+I390*20000+VLOOKUP(I386,'Đội 1'!$A$95:$P$99,14,0)*$L$5</f>
        <v>#N/A</v>
      </c>
    </row>
    <row r="391" spans="1:11" hidden="1">
      <c r="A391" s="1561" t="s">
        <v>1971</v>
      </c>
      <c r="B391" s="1571"/>
      <c r="C391" s="2369">
        <v>0</v>
      </c>
      <c r="D391" s="2374">
        <f>+C391*25000</f>
        <v>0</v>
      </c>
      <c r="E391" s="1572"/>
      <c r="F391" s="1573"/>
      <c r="G391" s="1561" t="s">
        <v>1971</v>
      </c>
      <c r="H391" s="1571"/>
      <c r="I391" s="2369">
        <v>0</v>
      </c>
      <c r="J391" s="2374">
        <f>+I391*25000</f>
        <v>0</v>
      </c>
    </row>
    <row r="392" spans="1:11" ht="27" customHeight="1">
      <c r="A392" s="1561" t="s">
        <v>210</v>
      </c>
      <c r="B392" s="1571" t="s">
        <v>211</v>
      </c>
      <c r="C392" s="1567" t="e">
        <f>VLOOKUP(C386,'Đội 1'!$A$95:$J$99,9,0)</f>
        <v>#N/A</v>
      </c>
      <c r="D392" s="2374" t="e">
        <f>VLOOKUP(C386,'Đội 1'!$A$95:$M$99,11,0)</f>
        <v>#N/A</v>
      </c>
      <c r="E392" s="1574"/>
      <c r="F392" s="1573"/>
      <c r="G392" s="1561" t="s">
        <v>210</v>
      </c>
      <c r="H392" s="1571" t="s">
        <v>211</v>
      </c>
      <c r="I392" s="1567" t="e">
        <f>VLOOKUP(I386,'Đội 1'!$A$95:$J$99,9,0)</f>
        <v>#N/A</v>
      </c>
      <c r="J392" s="2374" t="e">
        <f>VLOOKUP(I386,'Đội 1'!$A$95:$M$99,11,0)</f>
        <v>#N/A</v>
      </c>
    </row>
    <row r="393" spans="1:11">
      <c r="A393" s="1568" t="s">
        <v>212</v>
      </c>
      <c r="B393" s="1571" t="s">
        <v>213</v>
      </c>
      <c r="C393" s="1567"/>
      <c r="D393" s="1568"/>
      <c r="E393" s="1575"/>
      <c r="F393" s="1576"/>
      <c r="G393" s="1568" t="s">
        <v>212</v>
      </c>
      <c r="H393" s="1571" t="s">
        <v>213</v>
      </c>
      <c r="I393" s="1567"/>
      <c r="J393" s="1568"/>
    </row>
    <row r="394" spans="1:11">
      <c r="A394" s="1577" t="s">
        <v>214</v>
      </c>
      <c r="B394" s="1571" t="s">
        <v>215</v>
      </c>
      <c r="C394" s="1567"/>
      <c r="D394" s="1568">
        <f>+'Đội 1'!V414</f>
        <v>0</v>
      </c>
      <c r="E394" s="1574"/>
      <c r="F394" s="1576"/>
      <c r="G394" s="1577" t="s">
        <v>214</v>
      </c>
      <c r="H394" s="1571" t="s">
        <v>215</v>
      </c>
      <c r="I394" s="1567"/>
      <c r="J394" s="1568">
        <f>+'Đội 1'!AC414</f>
        <v>0</v>
      </c>
    </row>
    <row r="395" spans="1:11">
      <c r="A395" s="1561" t="s">
        <v>216</v>
      </c>
      <c r="B395" s="1571" t="s">
        <v>217</v>
      </c>
      <c r="C395" s="1567"/>
      <c r="D395" s="1568" t="e">
        <f>VLOOKUP(C386,'Đội 1'!$A$95:$V$99,21,0)</f>
        <v>#N/A</v>
      </c>
      <c r="E395" s="1578"/>
      <c r="F395" s="1560"/>
      <c r="G395" s="1561" t="s">
        <v>216</v>
      </c>
      <c r="H395" s="1571" t="s">
        <v>217</v>
      </c>
      <c r="I395" s="1567"/>
      <c r="J395" s="1568" t="e">
        <f>VLOOKUP(I386,'Đội 1'!$A$95:$V$99,21,0)</f>
        <v>#N/A</v>
      </c>
    </row>
    <row r="396" spans="1:11">
      <c r="A396" s="1568" t="s">
        <v>218</v>
      </c>
      <c r="B396" s="1571" t="s">
        <v>219</v>
      </c>
      <c r="C396" s="1579"/>
      <c r="D396" s="1580" t="e">
        <f>SUM(D387:D392)-D395</f>
        <v>#N/A</v>
      </c>
      <c r="E396" s="1581"/>
      <c r="F396" s="1582"/>
      <c r="G396" s="1568" t="s">
        <v>218</v>
      </c>
      <c r="H396" s="1571" t="s">
        <v>219</v>
      </c>
      <c r="I396" s="1579"/>
      <c r="J396" s="1580" t="e">
        <f>SUM(J387:J392)-J395</f>
        <v>#N/A</v>
      </c>
      <c r="K396" s="3350" t="e">
        <f>J396+D396</f>
        <v>#N/A</v>
      </c>
    </row>
    <row r="397" spans="1:11">
      <c r="A397" s="1583"/>
      <c r="B397" s="1584"/>
      <c r="C397" s="1585"/>
      <c r="D397" s="1586"/>
      <c r="E397" s="1582"/>
      <c r="F397" s="1586"/>
      <c r="G397" s="1583"/>
      <c r="H397" s="1584"/>
      <c r="I397" s="1585"/>
      <c r="J397" s="1582"/>
    </row>
    <row r="398" spans="1:11">
      <c r="A398" s="1587"/>
      <c r="B398" s="1587"/>
      <c r="C398" s="1588"/>
      <c r="D398" s="3335"/>
      <c r="E398" s="1590"/>
      <c r="F398" s="1587"/>
      <c r="G398" s="1587"/>
      <c r="H398" s="1587"/>
      <c r="I398" s="1588"/>
      <c r="J398" s="1591"/>
      <c r="K398" s="3350"/>
    </row>
    <row r="399" spans="1:11">
      <c r="A399" s="4836" t="str">
        <f>$K$2</f>
        <v>Tháng 12/24</v>
      </c>
      <c r="B399" s="4836"/>
      <c r="C399" s="4836"/>
      <c r="D399" s="4836"/>
      <c r="E399" s="1560"/>
      <c r="F399" s="1560"/>
      <c r="G399" s="4836" t="str">
        <f>$K$2</f>
        <v>Tháng 12/24</v>
      </c>
      <c r="H399" s="4836"/>
      <c r="I399" s="4836"/>
      <c r="J399" s="4836"/>
    </row>
    <row r="400" spans="1:11" ht="18">
      <c r="A400" s="1561" t="s">
        <v>1</v>
      </c>
      <c r="B400" s="3343" t="e">
        <f>VLOOKUP(C400,'Đội 1'!$A$95:$C$99,3,0)</f>
        <v>#N/A</v>
      </c>
      <c r="C400" s="1563">
        <v>58</v>
      </c>
      <c r="D400" s="1563"/>
      <c r="E400" s="1564"/>
      <c r="F400" s="1565"/>
      <c r="G400" s="1561" t="s">
        <v>1</v>
      </c>
      <c r="H400" s="3343" t="e">
        <f>VLOOKUP(I400,'Đội 1'!$A$95:$C$99,3,0)</f>
        <v>#N/A</v>
      </c>
      <c r="I400" s="1563">
        <v>59</v>
      </c>
      <c r="J400" s="1563"/>
    </row>
    <row r="401" spans="1:11" ht="18">
      <c r="A401" s="1561" t="s">
        <v>205</v>
      </c>
      <c r="B401" s="1566" t="s">
        <v>206</v>
      </c>
      <c r="C401" s="1567" t="e">
        <f>VLOOKUP(C400,'Đội 1'!$A$95:$F$99,6,0)</f>
        <v>#N/A</v>
      </c>
      <c r="D401" s="1568" t="e">
        <f>C401*25000</f>
        <v>#N/A</v>
      </c>
      <c r="E401" s="1569"/>
      <c r="F401" s="1570"/>
      <c r="G401" s="1561" t="s">
        <v>205</v>
      </c>
      <c r="H401" s="1566" t="s">
        <v>206</v>
      </c>
      <c r="I401" s="1567" t="e">
        <f>VLOOKUP(I400,'Đội 1'!$A$95:$F$99,6,0)</f>
        <v>#N/A</v>
      </c>
      <c r="J401" s="1568" t="e">
        <f>I401*25000</f>
        <v>#N/A</v>
      </c>
    </row>
    <row r="402" spans="1:11">
      <c r="A402" s="1561" t="s">
        <v>207</v>
      </c>
      <c r="B402" s="1571" t="s">
        <v>208</v>
      </c>
      <c r="C402" s="1567" t="e">
        <f>VLOOKUP(C400,'Đội 1'!$A$95:$N$99,12,0)</f>
        <v>#N/A</v>
      </c>
      <c r="D402" s="2374" t="e">
        <f>+C402*$L$3</f>
        <v>#N/A</v>
      </c>
      <c r="E402" s="1572"/>
      <c r="F402" s="1573"/>
      <c r="G402" s="1561" t="s">
        <v>207</v>
      </c>
      <c r="H402" s="1571" t="s">
        <v>208</v>
      </c>
      <c r="I402" s="1567" t="e">
        <f>VLOOKUP(I400,'Đội 1'!$A$95:$N$99,12,0)</f>
        <v>#N/A</v>
      </c>
      <c r="J402" s="2374" t="e">
        <f>+I402*$L$3</f>
        <v>#N/A</v>
      </c>
    </row>
    <row r="403" spans="1:11">
      <c r="A403" s="1561" t="s">
        <v>1259</v>
      </c>
      <c r="B403" s="1571" t="s">
        <v>209</v>
      </c>
      <c r="C403" s="2369" t="e">
        <f>VLOOKUP(C400,'Đội 1'!$A$95:$O$99,13,0)</f>
        <v>#N/A</v>
      </c>
      <c r="D403" s="2374" t="e">
        <f>+C403*$L$4</f>
        <v>#N/A</v>
      </c>
      <c r="E403" s="1572"/>
      <c r="F403" s="1573"/>
      <c r="G403" s="1561" t="s">
        <v>1259</v>
      </c>
      <c r="H403" s="1571" t="s">
        <v>209</v>
      </c>
      <c r="I403" s="2369" t="e">
        <f>VLOOKUP(I400,'Đội 1'!$A$95:$O$99,13,0)</f>
        <v>#N/A</v>
      </c>
      <c r="J403" s="2374" t="e">
        <f>+I403*$L$4</f>
        <v>#N/A</v>
      </c>
    </row>
    <row r="404" spans="1:11">
      <c r="A404" s="1561" t="s">
        <v>1531</v>
      </c>
      <c r="B404" s="1571"/>
      <c r="C404" s="2369" t="e">
        <f>VLOOKUP(C400,'Đội 1'!$A$95:$P$99,15,0)</f>
        <v>#N/A</v>
      </c>
      <c r="D404" s="2374" t="e">
        <f>+C404*20000+VLOOKUP(C400,'Đội 1'!$A$95:$P$99,14,0)*$L$5</f>
        <v>#N/A</v>
      </c>
      <c r="E404" s="1572"/>
      <c r="F404" s="1573"/>
      <c r="G404" s="1561" t="s">
        <v>1531</v>
      </c>
      <c r="H404" s="1571"/>
      <c r="I404" s="2369" t="e">
        <f>VLOOKUP(I400,'Đội 1'!$A$95:$P$99,15,0)</f>
        <v>#N/A</v>
      </c>
      <c r="J404" s="2374" t="e">
        <f>+I404*20000+VLOOKUP(I400,'Đội 1'!$A$95:$P$99,14,0)*$L$5</f>
        <v>#N/A</v>
      </c>
    </row>
    <row r="405" spans="1:11" hidden="1">
      <c r="A405" s="1561" t="s">
        <v>1971</v>
      </c>
      <c r="B405" s="1571"/>
      <c r="C405" s="2369">
        <v>0</v>
      </c>
      <c r="D405" s="2374">
        <f>+C405*25000</f>
        <v>0</v>
      </c>
      <c r="E405" s="1572"/>
      <c r="F405" s="1573"/>
      <c r="G405" s="1561" t="s">
        <v>1971</v>
      </c>
      <c r="H405" s="1571"/>
      <c r="I405" s="2369">
        <v>0</v>
      </c>
      <c r="J405" s="2374">
        <f>+I405*25000</f>
        <v>0</v>
      </c>
    </row>
    <row r="406" spans="1:11">
      <c r="A406" s="1561" t="s">
        <v>210</v>
      </c>
      <c r="B406" s="1571" t="s">
        <v>211</v>
      </c>
      <c r="C406" s="1567" t="e">
        <f>VLOOKUP(C400,'Đội 1'!$A$95:$J$99,9,0)</f>
        <v>#N/A</v>
      </c>
      <c r="D406" s="2374" t="e">
        <f>VLOOKUP(C400,'Đội 1'!$A$95:$M$99,11,0)</f>
        <v>#N/A</v>
      </c>
      <c r="E406" s="1574"/>
      <c r="F406" s="1573"/>
      <c r="G406" s="1561" t="s">
        <v>210</v>
      </c>
      <c r="H406" s="1571" t="s">
        <v>211</v>
      </c>
      <c r="I406" s="1567" t="e">
        <f>VLOOKUP(I400,'Đội 1'!$A$95:$J$99,9,0)</f>
        <v>#N/A</v>
      </c>
      <c r="J406" s="2374" t="e">
        <f>VLOOKUP(I400,'Đội 1'!$A$95:$M$99,11,0)</f>
        <v>#N/A</v>
      </c>
    </row>
    <row r="407" spans="1:11">
      <c r="A407" s="1568" t="s">
        <v>212</v>
      </c>
      <c r="B407" s="1571" t="s">
        <v>213</v>
      </c>
      <c r="C407" s="1567"/>
      <c r="D407" s="1568"/>
      <c r="E407" s="1575"/>
      <c r="F407" s="1576"/>
      <c r="G407" s="1568" t="s">
        <v>212</v>
      </c>
      <c r="H407" s="1571" t="s">
        <v>213</v>
      </c>
      <c r="I407" s="1567"/>
      <c r="J407" s="1568"/>
    </row>
    <row r="408" spans="1:11">
      <c r="A408" s="1577" t="s">
        <v>214</v>
      </c>
      <c r="B408" s="1571" t="s">
        <v>215</v>
      </c>
      <c r="C408" s="1567"/>
      <c r="D408" s="1568">
        <f>+'Đội 1'!V428</f>
        <v>0</v>
      </c>
      <c r="E408" s="1574"/>
      <c r="F408" s="1576"/>
      <c r="G408" s="1577" t="s">
        <v>214</v>
      </c>
      <c r="H408" s="1571" t="s">
        <v>215</v>
      </c>
      <c r="I408" s="1567"/>
      <c r="J408" s="1568">
        <f>+'Đội 1'!AC428</f>
        <v>0</v>
      </c>
    </row>
    <row r="409" spans="1:11">
      <c r="A409" s="1561" t="s">
        <v>216</v>
      </c>
      <c r="B409" s="1571" t="s">
        <v>217</v>
      </c>
      <c r="C409" s="1567"/>
      <c r="D409" s="1568" t="e">
        <f>VLOOKUP(C400,'Đội 1'!$A$95:$V$99,21,0)</f>
        <v>#N/A</v>
      </c>
      <c r="E409" s="1578"/>
      <c r="F409" s="1560"/>
      <c r="G409" s="1561" t="s">
        <v>216</v>
      </c>
      <c r="H409" s="1571" t="s">
        <v>217</v>
      </c>
      <c r="I409" s="1567"/>
      <c r="J409" s="1568" t="e">
        <f>VLOOKUP(I400,'Đội 1'!$A$95:$V$99,21,0)</f>
        <v>#N/A</v>
      </c>
    </row>
    <row r="410" spans="1:11">
      <c r="A410" s="1568" t="s">
        <v>218</v>
      </c>
      <c r="B410" s="1571" t="s">
        <v>219</v>
      </c>
      <c r="C410" s="1579"/>
      <c r="D410" s="1580" t="e">
        <f>SUM(D401:D406)-D409</f>
        <v>#N/A</v>
      </c>
      <c r="E410" s="1581"/>
      <c r="F410" s="1582"/>
      <c r="G410" s="1568" t="s">
        <v>218</v>
      </c>
      <c r="H410" s="1571" t="s">
        <v>219</v>
      </c>
      <c r="I410" s="1579"/>
      <c r="J410" s="1580" t="e">
        <f>SUM(J401:J406)-J409</f>
        <v>#N/A</v>
      </c>
      <c r="K410" s="3350" t="e">
        <f>J410+D410</f>
        <v>#N/A</v>
      </c>
    </row>
    <row r="411" spans="1:11">
      <c r="A411" s="1583"/>
      <c r="B411" s="1584"/>
      <c r="C411" s="1585"/>
      <c r="D411" s="1586"/>
      <c r="E411" s="1582"/>
      <c r="F411" s="1586"/>
      <c r="G411" s="1583"/>
      <c r="H411" s="1584"/>
      <c r="I411" s="1585"/>
      <c r="J411" s="1582"/>
    </row>
    <row r="412" spans="1:11">
      <c r="A412" s="1587"/>
      <c r="B412" s="1587"/>
      <c r="C412" s="1588"/>
      <c r="D412" s="3335"/>
      <c r="E412" s="1590"/>
      <c r="F412" s="1587"/>
      <c r="G412" s="1587"/>
      <c r="H412" s="1587"/>
      <c r="I412" s="1588"/>
      <c r="J412" s="1591"/>
      <c r="K412" s="3350"/>
    </row>
    <row r="413" spans="1:11">
      <c r="A413" s="4836" t="str">
        <f>$K$2</f>
        <v>Tháng 12/24</v>
      </c>
      <c r="B413" s="4836"/>
      <c r="C413" s="4836"/>
      <c r="D413" s="4836"/>
      <c r="E413" s="1560"/>
      <c r="F413" s="1560"/>
      <c r="G413" s="4836" t="str">
        <f>$K$2</f>
        <v>Tháng 12/24</v>
      </c>
      <c r="H413" s="4836"/>
      <c r="I413" s="4836"/>
      <c r="J413" s="4836"/>
    </row>
    <row r="414" spans="1:11" ht="18">
      <c r="A414" s="1561" t="s">
        <v>1</v>
      </c>
      <c r="B414" s="3343" t="e">
        <f>VLOOKUP(C414,'Đội 1'!$A$95:$C$99,3,0)</f>
        <v>#N/A</v>
      </c>
      <c r="C414" s="1563">
        <v>60</v>
      </c>
      <c r="D414" s="1563"/>
      <c r="E414" s="1564"/>
      <c r="F414" s="1565"/>
      <c r="G414" s="1561" t="s">
        <v>1</v>
      </c>
      <c r="H414" s="3343" t="e">
        <f>VLOOKUP(I414,'Đội 1'!$A$95:$C$99,3,0)</f>
        <v>#N/A</v>
      </c>
      <c r="I414" s="1563">
        <v>61</v>
      </c>
      <c r="J414" s="1563"/>
    </row>
    <row r="415" spans="1:11" ht="18">
      <c r="A415" s="1561" t="s">
        <v>205</v>
      </c>
      <c r="B415" s="1566" t="s">
        <v>206</v>
      </c>
      <c r="C415" s="1567" t="e">
        <f>VLOOKUP(C414,'Đội 1'!$A$95:$F$99,6,0)</f>
        <v>#N/A</v>
      </c>
      <c r="D415" s="1568" t="e">
        <f>C415*25000</f>
        <v>#N/A</v>
      </c>
      <c r="E415" s="1569"/>
      <c r="F415" s="1570"/>
      <c r="G415" s="1561" t="s">
        <v>205</v>
      </c>
      <c r="H415" s="1566" t="s">
        <v>206</v>
      </c>
      <c r="I415" s="1567" t="e">
        <f>VLOOKUP(I414,'Đội 1'!$A$95:$F$99,6,0)</f>
        <v>#N/A</v>
      </c>
      <c r="J415" s="1568" t="e">
        <f>I415*25000</f>
        <v>#N/A</v>
      </c>
    </row>
    <row r="416" spans="1:11">
      <c r="A416" s="1561" t="s">
        <v>207</v>
      </c>
      <c r="B416" s="1571" t="s">
        <v>208</v>
      </c>
      <c r="C416" s="1567" t="e">
        <f>VLOOKUP(C414,'Đội 1'!$A$95:$N$99,12,0)</f>
        <v>#N/A</v>
      </c>
      <c r="D416" s="2374" t="e">
        <f>+C416*$L$3</f>
        <v>#N/A</v>
      </c>
      <c r="E416" s="1572"/>
      <c r="F416" s="1573"/>
      <c r="G416" s="1561" t="s">
        <v>207</v>
      </c>
      <c r="H416" s="1571" t="s">
        <v>208</v>
      </c>
      <c r="I416" s="1567" t="e">
        <f>VLOOKUP(I414,'Đội 1'!$A$95:$N$99,12,0)</f>
        <v>#N/A</v>
      </c>
      <c r="J416" s="2374" t="e">
        <f>+I416*$L$3</f>
        <v>#N/A</v>
      </c>
    </row>
    <row r="417" spans="1:11">
      <c r="A417" s="1561" t="s">
        <v>1259</v>
      </c>
      <c r="B417" s="1571" t="s">
        <v>209</v>
      </c>
      <c r="C417" s="2369" t="e">
        <f>VLOOKUP(C414,'Đội 1'!$A$95:$O$99,13,0)</f>
        <v>#N/A</v>
      </c>
      <c r="D417" s="2374" t="e">
        <f>+C417*$L$4</f>
        <v>#N/A</v>
      </c>
      <c r="E417" s="1572"/>
      <c r="F417" s="1573"/>
      <c r="G417" s="1561" t="s">
        <v>1259</v>
      </c>
      <c r="H417" s="1571" t="s">
        <v>209</v>
      </c>
      <c r="I417" s="2369" t="e">
        <f>VLOOKUP(I414,'Đội 1'!$A$95:$O$99,13,0)</f>
        <v>#N/A</v>
      </c>
      <c r="J417" s="2374" t="e">
        <f>+I417*$L$4</f>
        <v>#N/A</v>
      </c>
    </row>
    <row r="418" spans="1:11">
      <c r="A418" s="1561" t="s">
        <v>1531</v>
      </c>
      <c r="B418" s="1571"/>
      <c r="C418" s="2369" t="e">
        <f>VLOOKUP(C414,'Đội 1'!$A$95:$P$99,15,0)</f>
        <v>#N/A</v>
      </c>
      <c r="D418" s="2374" t="e">
        <f>+C418*20000+VLOOKUP(C414,'Đội 1'!$A$95:$P$99,14,0)*$L$5</f>
        <v>#N/A</v>
      </c>
      <c r="E418" s="1572"/>
      <c r="F418" s="1573"/>
      <c r="G418" s="1561" t="s">
        <v>1531</v>
      </c>
      <c r="H418" s="1571"/>
      <c r="I418" s="2369" t="e">
        <f>VLOOKUP(I414,'Đội 1'!$A$95:$P$99,15,0)</f>
        <v>#N/A</v>
      </c>
      <c r="J418" s="2374" t="e">
        <f>+I418*20000+VLOOKUP(I414,'Đội 1'!$A$95:$P$99,14,0)*$L$5</f>
        <v>#N/A</v>
      </c>
    </row>
    <row r="419" spans="1:11">
      <c r="A419" s="1561" t="s">
        <v>2021</v>
      </c>
      <c r="B419" s="1571"/>
      <c r="C419" s="2369" t="e">
        <f>+'Đội 1'!#REF!</f>
        <v>#REF!</v>
      </c>
      <c r="D419" s="2374" t="e">
        <f>+C419*'PHAN TOAN'!F28</f>
        <v>#REF!</v>
      </c>
      <c r="E419" s="1572"/>
      <c r="F419" s="1573"/>
      <c r="G419" s="1561" t="s">
        <v>2021</v>
      </c>
      <c r="H419" s="1571"/>
      <c r="I419" s="2369">
        <v>31</v>
      </c>
      <c r="J419" s="2374">
        <f>+I419*$L$6</f>
        <v>624124.85999999987</v>
      </c>
    </row>
    <row r="420" spans="1:11">
      <c r="A420" s="1561" t="s">
        <v>210</v>
      </c>
      <c r="B420" s="1571" t="s">
        <v>211</v>
      </c>
      <c r="C420" s="1567" t="e">
        <f>VLOOKUP(C414,'Đội 1'!$A$95:$J$99,9,0)</f>
        <v>#N/A</v>
      </c>
      <c r="D420" s="2374" t="e">
        <f>VLOOKUP(C414,'Đội 1'!$A$95:$M$99,11,0)</f>
        <v>#N/A</v>
      </c>
      <c r="E420" s="1574"/>
      <c r="F420" s="1573"/>
      <c r="G420" s="1561" t="s">
        <v>210</v>
      </c>
      <c r="H420" s="1571" t="s">
        <v>211</v>
      </c>
      <c r="I420" s="1567" t="e">
        <f>VLOOKUP(I414,'Đội 1'!$A$95:$J$99,9,0)</f>
        <v>#N/A</v>
      </c>
      <c r="J420" s="2374" t="e">
        <f>VLOOKUP(I414,'Đội 1'!$A$95:$M$99,11,0)</f>
        <v>#N/A</v>
      </c>
    </row>
    <row r="421" spans="1:11">
      <c r="A421" s="1568" t="s">
        <v>212</v>
      </c>
      <c r="B421" s="1571" t="s">
        <v>213</v>
      </c>
      <c r="C421" s="1567"/>
      <c r="D421" s="1568"/>
      <c r="E421" s="1575"/>
      <c r="F421" s="1576"/>
      <c r="G421" s="1568" t="s">
        <v>212</v>
      </c>
      <c r="H421" s="1571" t="s">
        <v>213</v>
      </c>
      <c r="I421" s="1567"/>
      <c r="J421" s="1568"/>
    </row>
    <row r="422" spans="1:11">
      <c r="A422" s="1577" t="s">
        <v>214</v>
      </c>
      <c r="B422" s="1571" t="s">
        <v>215</v>
      </c>
      <c r="C422" s="1567"/>
      <c r="D422" s="1568">
        <f>+'Đội 1'!V442</f>
        <v>0</v>
      </c>
      <c r="E422" s="1574"/>
      <c r="F422" s="1576"/>
      <c r="G422" s="1577" t="s">
        <v>214</v>
      </c>
      <c r="H422" s="1571" t="s">
        <v>215</v>
      </c>
      <c r="I422" s="1567"/>
      <c r="J422" s="1568">
        <f>+'Đội 1'!AC442</f>
        <v>0</v>
      </c>
    </row>
    <row r="423" spans="1:11">
      <c r="A423" s="1561" t="s">
        <v>216</v>
      </c>
      <c r="B423" s="1571" t="s">
        <v>217</v>
      </c>
      <c r="C423" s="1567"/>
      <c r="D423" s="1568" t="e">
        <f>VLOOKUP(C414,'Đội 1'!$A$95:$V$99,21,0)</f>
        <v>#N/A</v>
      </c>
      <c r="E423" s="1578"/>
      <c r="F423" s="1560"/>
      <c r="G423" s="1561" t="s">
        <v>216</v>
      </c>
      <c r="H423" s="1571" t="s">
        <v>217</v>
      </c>
      <c r="I423" s="1567"/>
      <c r="J423" s="1568" t="e">
        <f>VLOOKUP(I414,'Đội 1'!$A$95:$V$99,21,0)</f>
        <v>#N/A</v>
      </c>
    </row>
    <row r="424" spans="1:11">
      <c r="A424" s="1568" t="s">
        <v>218</v>
      </c>
      <c r="B424" s="1571" t="s">
        <v>219</v>
      </c>
      <c r="C424" s="1579"/>
      <c r="D424" s="1580" t="e">
        <f>SUM(D415:D420)-D423</f>
        <v>#N/A</v>
      </c>
      <c r="E424" s="1581"/>
      <c r="F424" s="1582"/>
      <c r="G424" s="1568" t="s">
        <v>218</v>
      </c>
      <c r="H424" s="1571" t="s">
        <v>219</v>
      </c>
      <c r="I424" s="1579"/>
      <c r="J424" s="1580" t="e">
        <f>SUM(J415:J420)-J423</f>
        <v>#N/A</v>
      </c>
      <c r="K424" s="3350" t="e">
        <f>J424+D424</f>
        <v>#N/A</v>
      </c>
    </row>
    <row r="425" spans="1:11">
      <c r="A425" s="4836" t="str">
        <f>$K$2</f>
        <v>Tháng 12/24</v>
      </c>
      <c r="B425" s="4836"/>
      <c r="C425" s="4836"/>
      <c r="D425" s="4836"/>
      <c r="E425" s="1560"/>
      <c r="F425" s="1560"/>
      <c r="G425" s="4836" t="str">
        <f>$K$2</f>
        <v>Tháng 12/24</v>
      </c>
      <c r="H425" s="4836"/>
      <c r="I425" s="4836"/>
      <c r="J425" s="4836"/>
    </row>
    <row r="426" spans="1:11" ht="18">
      <c r="A426" s="1561" t="s">
        <v>1</v>
      </c>
      <c r="B426" s="3343" t="e">
        <f>VLOOKUP(C426,'Đội 1'!$A$95:$C$99,3,0)</f>
        <v>#N/A</v>
      </c>
      <c r="C426" s="1563">
        <v>62</v>
      </c>
      <c r="D426" s="1563"/>
      <c r="E426" s="1564"/>
      <c r="F426" s="1565"/>
      <c r="G426" s="1561" t="s">
        <v>1</v>
      </c>
      <c r="H426" s="3343" t="e">
        <f>VLOOKUP(I426,'Đội 1'!$A$95:$C$99,3,0)</f>
        <v>#N/A</v>
      </c>
      <c r="I426" s="1563">
        <v>63</v>
      </c>
      <c r="J426" s="1563"/>
    </row>
    <row r="427" spans="1:11" ht="18">
      <c r="A427" s="1561" t="s">
        <v>205</v>
      </c>
      <c r="B427" s="1566" t="s">
        <v>206</v>
      </c>
      <c r="C427" s="1567" t="e">
        <f>VLOOKUP(C426,'Đội 1'!$A$95:$F$99,6,0)</f>
        <v>#N/A</v>
      </c>
      <c r="D427" s="1568" t="e">
        <f>C427*25000</f>
        <v>#N/A</v>
      </c>
      <c r="E427" s="1569"/>
      <c r="F427" s="1570"/>
      <c r="G427" s="1561" t="s">
        <v>205</v>
      </c>
      <c r="H427" s="1566" t="s">
        <v>206</v>
      </c>
      <c r="I427" s="1567" t="e">
        <f>VLOOKUP(I426,'Đội 1'!$A$95:$F$99,6,0)</f>
        <v>#N/A</v>
      </c>
      <c r="J427" s="1568" t="e">
        <f>I427*25000</f>
        <v>#N/A</v>
      </c>
    </row>
    <row r="428" spans="1:11">
      <c r="A428" s="1561" t="s">
        <v>207</v>
      </c>
      <c r="B428" s="1571" t="s">
        <v>208</v>
      </c>
      <c r="C428" s="1567" t="e">
        <f>VLOOKUP(C426,'Đội 1'!$A$95:$N$99,12,0)</f>
        <v>#N/A</v>
      </c>
      <c r="D428" s="2374" t="e">
        <f>+C428*$L$3</f>
        <v>#N/A</v>
      </c>
      <c r="E428" s="1572"/>
      <c r="F428" s="1573"/>
      <c r="G428" s="1561" t="s">
        <v>207</v>
      </c>
      <c r="H428" s="1571" t="s">
        <v>208</v>
      </c>
      <c r="I428" s="1567" t="e">
        <f>VLOOKUP(I426,'Đội 1'!$A$95:$N$99,12,0)</f>
        <v>#N/A</v>
      </c>
      <c r="J428" s="2374" t="e">
        <f>+I428*$L$3</f>
        <v>#N/A</v>
      </c>
    </row>
    <row r="429" spans="1:11">
      <c r="A429" s="1561" t="s">
        <v>1259</v>
      </c>
      <c r="B429" s="1571" t="s">
        <v>209</v>
      </c>
      <c r="C429" s="2369" t="e">
        <f>VLOOKUP(C426,'Đội 1'!$A$95:$O$99,13,0)</f>
        <v>#N/A</v>
      </c>
      <c r="D429" s="2374" t="e">
        <f>+C429*$L$4</f>
        <v>#N/A</v>
      </c>
      <c r="E429" s="1572"/>
      <c r="F429" s="1573"/>
      <c r="G429" s="1561" t="s">
        <v>1259</v>
      </c>
      <c r="H429" s="1571" t="s">
        <v>209</v>
      </c>
      <c r="I429" s="2369" t="e">
        <f>VLOOKUP(I426,'Đội 1'!$A$95:$O$99,13,0)</f>
        <v>#N/A</v>
      </c>
      <c r="J429" s="2374" t="e">
        <f>+I429*$L$4</f>
        <v>#N/A</v>
      </c>
    </row>
    <row r="430" spans="1:11">
      <c r="A430" s="1561" t="s">
        <v>1531</v>
      </c>
      <c r="B430" s="1571"/>
      <c r="C430" s="2369" t="e">
        <f>VLOOKUP(C426,'Đội 1'!$A$95:$P$99,15,0)</f>
        <v>#N/A</v>
      </c>
      <c r="D430" s="2374" t="e">
        <f>+C430*20000+VLOOKUP(C426,'Đội 1'!$A$95:$P$99,14,0)*$L$5</f>
        <v>#N/A</v>
      </c>
      <c r="E430" s="1572"/>
      <c r="F430" s="1573"/>
      <c r="G430" s="1561" t="s">
        <v>1531</v>
      </c>
      <c r="H430" s="1571"/>
      <c r="I430" s="2369" t="e">
        <f>VLOOKUP(I426,'Đội 1'!$A$95:$P$99,15,0)</f>
        <v>#N/A</v>
      </c>
      <c r="J430" s="2374" t="e">
        <f>+I430*20000+VLOOKUP(I426,'Đội 1'!$A$95:$P$99,14,0)*$L$5</f>
        <v>#N/A</v>
      </c>
    </row>
    <row r="431" spans="1:11" ht="13.5" customHeight="1">
      <c r="A431" s="1561" t="s">
        <v>2021</v>
      </c>
      <c r="B431" s="1571"/>
      <c r="C431" s="2369">
        <v>31</v>
      </c>
      <c r="D431" s="2374">
        <f>+C431*$L$6</f>
        <v>624124.85999999987</v>
      </c>
      <c r="E431" s="1572"/>
      <c r="F431" s="1573"/>
      <c r="G431" s="1561" t="s">
        <v>2021</v>
      </c>
      <c r="H431" s="1571"/>
      <c r="I431" s="2369">
        <v>31</v>
      </c>
      <c r="J431" s="2374">
        <f>+I431*$L$6</f>
        <v>624124.85999999987</v>
      </c>
    </row>
    <row r="432" spans="1:11">
      <c r="A432" s="1561" t="s">
        <v>210</v>
      </c>
      <c r="B432" s="1571" t="s">
        <v>211</v>
      </c>
      <c r="C432" s="1567" t="e">
        <f>VLOOKUP(C426,'Đội 1'!$A$95:$J$99,9,0)</f>
        <v>#N/A</v>
      </c>
      <c r="D432" s="2374" t="e">
        <f>VLOOKUP(C426,'Đội 1'!$A$95:$M$99,11,0)</f>
        <v>#N/A</v>
      </c>
      <c r="E432" s="1574"/>
      <c r="F432" s="1573"/>
      <c r="G432" s="1561" t="s">
        <v>210</v>
      </c>
      <c r="H432" s="1571" t="s">
        <v>211</v>
      </c>
      <c r="I432" s="1567" t="e">
        <f>VLOOKUP(I426,'Đội 1'!$A$95:$J$99,9,0)</f>
        <v>#N/A</v>
      </c>
      <c r="J432" s="2374" t="e">
        <f>VLOOKUP(I426,'Đội 1'!$A$95:$M$99,11,0)</f>
        <v>#N/A</v>
      </c>
    </row>
    <row r="433" spans="1:11">
      <c r="A433" s="1568" t="s">
        <v>212</v>
      </c>
      <c r="B433" s="1571" t="s">
        <v>213</v>
      </c>
      <c r="C433" s="1567"/>
      <c r="D433" s="1568"/>
      <c r="E433" s="1575"/>
      <c r="F433" s="1576"/>
      <c r="G433" s="1568" t="s">
        <v>212</v>
      </c>
      <c r="H433" s="1571" t="s">
        <v>213</v>
      </c>
      <c r="I433" s="1567"/>
      <c r="J433" s="1568"/>
    </row>
    <row r="434" spans="1:11">
      <c r="A434" s="1577" t="s">
        <v>214</v>
      </c>
      <c r="B434" s="1571" t="s">
        <v>215</v>
      </c>
      <c r="C434" s="1567"/>
      <c r="D434" s="1568">
        <f>+'Đội 1'!V454</f>
        <v>0</v>
      </c>
      <c r="E434" s="1574"/>
      <c r="F434" s="1576"/>
      <c r="G434" s="1577" t="s">
        <v>214</v>
      </c>
      <c r="H434" s="1571" t="s">
        <v>215</v>
      </c>
      <c r="I434" s="1567"/>
      <c r="J434" s="1568">
        <f>+'Đội 1'!AC454</f>
        <v>0</v>
      </c>
    </row>
    <row r="435" spans="1:11">
      <c r="A435" s="1561" t="s">
        <v>216</v>
      </c>
      <c r="B435" s="1571" t="s">
        <v>217</v>
      </c>
      <c r="C435" s="1567"/>
      <c r="D435" s="1568" t="e">
        <f>VLOOKUP(C426,'Đội 1'!$A$95:$V$99,21,0)</f>
        <v>#N/A</v>
      </c>
      <c r="E435" s="1578"/>
      <c r="F435" s="1560"/>
      <c r="G435" s="1561" t="s">
        <v>216</v>
      </c>
      <c r="H435" s="1571" t="s">
        <v>217</v>
      </c>
      <c r="I435" s="1567"/>
      <c r="J435" s="1568" t="e">
        <f>VLOOKUP(I426,'Đội 1'!$A$95:$V$99,21,0)</f>
        <v>#N/A</v>
      </c>
    </row>
    <row r="436" spans="1:11">
      <c r="A436" s="1568" t="s">
        <v>218</v>
      </c>
      <c r="B436" s="1571" t="s">
        <v>219</v>
      </c>
      <c r="C436" s="1579"/>
      <c r="D436" s="1580" t="e">
        <f>SUM(D427:D432)-D435</f>
        <v>#N/A</v>
      </c>
      <c r="E436" s="1581"/>
      <c r="F436" s="1582"/>
      <c r="G436" s="1568" t="s">
        <v>218</v>
      </c>
      <c r="H436" s="1571" t="s">
        <v>219</v>
      </c>
      <c r="I436" s="1579"/>
      <c r="J436" s="1580" t="e">
        <f>SUM(J427:J432)-J435</f>
        <v>#N/A</v>
      </c>
      <c r="K436" s="3350" t="e">
        <f>J436+D436</f>
        <v>#N/A</v>
      </c>
    </row>
    <row r="437" spans="1:11">
      <c r="A437" s="1583"/>
      <c r="B437" s="1584"/>
      <c r="C437" s="1585"/>
      <c r="D437" s="1586"/>
      <c r="E437" s="1582"/>
      <c r="F437" s="1586"/>
      <c r="G437" s="1583"/>
      <c r="H437" s="1584"/>
      <c r="I437" s="1585"/>
      <c r="J437" s="1582"/>
    </row>
    <row r="438" spans="1:11">
      <c r="A438" s="1587"/>
      <c r="B438" s="1587"/>
      <c r="C438" s="1588"/>
      <c r="D438" s="3335"/>
      <c r="E438" s="1590"/>
      <c r="F438" s="1587"/>
      <c r="G438" s="1587"/>
      <c r="H438" s="1587"/>
      <c r="I438" s="1588"/>
      <c r="J438" s="1591"/>
      <c r="K438" s="3350"/>
    </row>
    <row r="439" spans="1:11">
      <c r="A439" s="4836" t="str">
        <f>$K$2</f>
        <v>Tháng 12/24</v>
      </c>
      <c r="B439" s="4836"/>
      <c r="C439" s="4836"/>
      <c r="D439" s="4836"/>
      <c r="E439" s="1560"/>
      <c r="F439" s="1560"/>
      <c r="G439" s="4836" t="str">
        <f>$K$2</f>
        <v>Tháng 12/24</v>
      </c>
      <c r="H439" s="4836"/>
      <c r="I439" s="4836"/>
      <c r="J439" s="4836"/>
    </row>
    <row r="440" spans="1:11" ht="18">
      <c r="A440" s="1561" t="s">
        <v>1</v>
      </c>
      <c r="B440" s="3343" t="e">
        <f>VLOOKUP(C440,'Đội 1'!$A$95:$C$99,3,0)</f>
        <v>#N/A</v>
      </c>
      <c r="C440" s="1563">
        <v>64</v>
      </c>
      <c r="D440" s="1563"/>
      <c r="E440" s="1564"/>
      <c r="F440" s="1565"/>
      <c r="G440" s="1561" t="s">
        <v>1</v>
      </c>
      <c r="H440" s="3343" t="e">
        <f>VLOOKUP(I440,'Đội 1'!$A$95:$C$99,3,0)</f>
        <v>#N/A</v>
      </c>
      <c r="I440" s="1563">
        <v>65</v>
      </c>
      <c r="J440" s="1563"/>
    </row>
    <row r="441" spans="1:11" ht="18">
      <c r="A441" s="1561" t="s">
        <v>205</v>
      </c>
      <c r="B441" s="1566" t="s">
        <v>206</v>
      </c>
      <c r="C441" s="1567" t="e">
        <f>VLOOKUP(C440,'Đội 1'!$A$95:$F$99,6,0)</f>
        <v>#N/A</v>
      </c>
      <c r="D441" s="1568" t="e">
        <f>C441*25000</f>
        <v>#N/A</v>
      </c>
      <c r="E441" s="1569"/>
      <c r="F441" s="1570"/>
      <c r="G441" s="1561" t="s">
        <v>205</v>
      </c>
      <c r="H441" s="1566" t="s">
        <v>206</v>
      </c>
      <c r="I441" s="1567" t="e">
        <f>VLOOKUP(I440,'Đội 1'!$A$95:$F$99,6,0)</f>
        <v>#N/A</v>
      </c>
      <c r="J441" s="1568" t="e">
        <f>I441*25000</f>
        <v>#N/A</v>
      </c>
    </row>
    <row r="442" spans="1:11">
      <c r="A442" s="1561" t="s">
        <v>207</v>
      </c>
      <c r="B442" s="1571" t="s">
        <v>208</v>
      </c>
      <c r="C442" s="1567" t="e">
        <f>VLOOKUP(C440,'Đội 1'!$A$95:$N$99,12,0)</f>
        <v>#N/A</v>
      </c>
      <c r="D442" s="2374" t="e">
        <f>+C442*$L$3</f>
        <v>#N/A</v>
      </c>
      <c r="E442" s="1572"/>
      <c r="F442" s="1573"/>
      <c r="G442" s="1561" t="s">
        <v>207</v>
      </c>
      <c r="H442" s="1571" t="s">
        <v>208</v>
      </c>
      <c r="I442" s="1567" t="e">
        <f>VLOOKUP(I440,'Đội 1'!$A$95:$N$99,12,0)</f>
        <v>#N/A</v>
      </c>
      <c r="J442" s="2374" t="e">
        <f>+I442*$L$3</f>
        <v>#N/A</v>
      </c>
    </row>
    <row r="443" spans="1:11">
      <c r="A443" s="1561" t="s">
        <v>1259</v>
      </c>
      <c r="B443" s="1571" t="s">
        <v>209</v>
      </c>
      <c r="C443" s="2369" t="e">
        <f>VLOOKUP(C440,'Đội 1'!$A$95:$O$99,13,0)</f>
        <v>#N/A</v>
      </c>
      <c r="D443" s="2374" t="e">
        <f>+C443*$L$4</f>
        <v>#N/A</v>
      </c>
      <c r="E443" s="1572"/>
      <c r="F443" s="1573"/>
      <c r="G443" s="1561" t="s">
        <v>1259</v>
      </c>
      <c r="H443" s="1571" t="s">
        <v>209</v>
      </c>
      <c r="I443" s="2369" t="e">
        <f>VLOOKUP(I440,'Đội 1'!$A$95:$O$99,13,0)</f>
        <v>#N/A</v>
      </c>
      <c r="J443" s="2374" t="e">
        <f>+I443*$L$4</f>
        <v>#N/A</v>
      </c>
    </row>
    <row r="444" spans="1:11">
      <c r="A444" s="1561" t="s">
        <v>1531</v>
      </c>
      <c r="B444" s="1571"/>
      <c r="C444" s="2369" t="e">
        <f>VLOOKUP(C440,'Đội 1'!$A$95:$P$99,15,0)</f>
        <v>#N/A</v>
      </c>
      <c r="D444" s="2374" t="e">
        <f>+C444*20000+VLOOKUP(C440,'Đội 1'!$A$95:$P$99,14,0)*$L$5</f>
        <v>#N/A</v>
      </c>
      <c r="E444" s="1572"/>
      <c r="F444" s="1573"/>
      <c r="G444" s="1561" t="s">
        <v>1531</v>
      </c>
      <c r="H444" s="1571"/>
      <c r="I444" s="2369" t="e">
        <f>VLOOKUP(I440,'Đội 1'!$A$95:$P$99,15,0)</f>
        <v>#N/A</v>
      </c>
      <c r="J444" s="2374" t="e">
        <f>+I444*20000+VLOOKUP(I440,'Đội 1'!$A$95:$P$99,14,0)*$L$5</f>
        <v>#N/A</v>
      </c>
    </row>
    <row r="445" spans="1:11">
      <c r="A445" s="1561" t="s">
        <v>2021</v>
      </c>
      <c r="B445" s="1571"/>
      <c r="C445" s="2369">
        <v>31</v>
      </c>
      <c r="D445" s="2374">
        <f>+C445*$L$6</f>
        <v>624124.85999999987</v>
      </c>
      <c r="E445" s="1572"/>
      <c r="F445" s="1573"/>
      <c r="G445" s="1561" t="s">
        <v>2021</v>
      </c>
      <c r="H445" s="1571"/>
      <c r="I445" s="2369">
        <v>31</v>
      </c>
      <c r="J445" s="2374">
        <f>+I445*$L$6</f>
        <v>624124.85999999987</v>
      </c>
    </row>
    <row r="446" spans="1:11">
      <c r="A446" s="1561" t="s">
        <v>210</v>
      </c>
      <c r="B446" s="1571" t="s">
        <v>211</v>
      </c>
      <c r="C446" s="1567" t="e">
        <f>VLOOKUP(C440,'Đội 1'!$A$95:$J$99,9,0)</f>
        <v>#N/A</v>
      </c>
      <c r="D446" s="2374" t="e">
        <f>VLOOKUP(C440,'Đội 1'!$A$95:$M$99,11,0)</f>
        <v>#N/A</v>
      </c>
      <c r="E446" s="1574"/>
      <c r="F446" s="1573"/>
      <c r="G446" s="1561" t="s">
        <v>210</v>
      </c>
      <c r="H446" s="1571" t="s">
        <v>211</v>
      </c>
      <c r="I446" s="1567" t="e">
        <f>VLOOKUP(I440,'Đội 1'!$A$95:$J$99,9,0)</f>
        <v>#N/A</v>
      </c>
      <c r="J446" s="2374" t="e">
        <f>VLOOKUP(I440,'Đội 1'!$A$95:$M$99,11,0)</f>
        <v>#N/A</v>
      </c>
    </row>
    <row r="447" spans="1:11">
      <c r="A447" s="1568" t="s">
        <v>212</v>
      </c>
      <c r="B447" s="1571" t="s">
        <v>213</v>
      </c>
      <c r="C447" s="1567"/>
      <c r="D447" s="1568"/>
      <c r="E447" s="1575"/>
      <c r="F447" s="1576"/>
      <c r="G447" s="1568" t="s">
        <v>212</v>
      </c>
      <c r="H447" s="1571" t="s">
        <v>213</v>
      </c>
      <c r="I447" s="1567"/>
      <c r="J447" s="1568"/>
    </row>
    <row r="448" spans="1:11">
      <c r="A448" s="1577" t="s">
        <v>214</v>
      </c>
      <c r="B448" s="1571" t="s">
        <v>215</v>
      </c>
      <c r="C448" s="1567"/>
      <c r="D448" s="1568">
        <f>+'Đội 1'!V468</f>
        <v>0</v>
      </c>
      <c r="E448" s="1574"/>
      <c r="F448" s="1576"/>
      <c r="G448" s="1577" t="s">
        <v>214</v>
      </c>
      <c r="H448" s="1571" t="s">
        <v>215</v>
      </c>
      <c r="I448" s="1567"/>
      <c r="J448" s="1568">
        <f>+'Đội 1'!AC468</f>
        <v>0</v>
      </c>
    </row>
    <row r="449" spans="1:12">
      <c r="A449" s="1561" t="s">
        <v>216</v>
      </c>
      <c r="B449" s="1571" t="s">
        <v>217</v>
      </c>
      <c r="C449" s="1567"/>
      <c r="D449" s="1568" t="e">
        <f>VLOOKUP(C440,'Đội 1'!$A$95:$V$99,21,0)</f>
        <v>#N/A</v>
      </c>
      <c r="E449" s="1578"/>
      <c r="F449" s="1560"/>
      <c r="G449" s="1561" t="s">
        <v>216</v>
      </c>
      <c r="H449" s="1571" t="s">
        <v>217</v>
      </c>
      <c r="I449" s="1567"/>
      <c r="J449" s="1568" t="e">
        <f>VLOOKUP(I440,'Đội 1'!$A$95:$V$99,21,0)</f>
        <v>#N/A</v>
      </c>
    </row>
    <row r="450" spans="1:12">
      <c r="A450" s="1568" t="s">
        <v>218</v>
      </c>
      <c r="B450" s="1571" t="s">
        <v>219</v>
      </c>
      <c r="C450" s="1579"/>
      <c r="D450" s="1580" t="e">
        <f>SUM(D441:D446)-D449</f>
        <v>#N/A</v>
      </c>
      <c r="E450" s="1581"/>
      <c r="F450" s="1582"/>
      <c r="G450" s="1568" t="s">
        <v>218</v>
      </c>
      <c r="H450" s="1571" t="s">
        <v>219</v>
      </c>
      <c r="I450" s="1579"/>
      <c r="J450" s="1580" t="e">
        <f>SUM(J441:J446)-J449</f>
        <v>#N/A</v>
      </c>
      <c r="K450" s="3350" t="e">
        <f>J450+D450</f>
        <v>#N/A</v>
      </c>
    </row>
    <row r="451" spans="1:12">
      <c r="A451" s="1583"/>
      <c r="B451" s="1584"/>
      <c r="C451" s="1585"/>
      <c r="D451" s="1586"/>
      <c r="E451" s="1582"/>
      <c r="F451" s="1586"/>
      <c r="G451" s="1583"/>
      <c r="H451" s="1584"/>
      <c r="I451" s="1585"/>
      <c r="J451" s="1582"/>
    </row>
    <row r="452" spans="1:12">
      <c r="A452" s="1587"/>
      <c r="B452" s="1587"/>
      <c r="C452" s="1588"/>
      <c r="D452" s="3335"/>
      <c r="E452" s="1590"/>
      <c r="F452" s="1587"/>
      <c r="G452" s="1587"/>
      <c r="H452" s="1587"/>
      <c r="I452" s="1588"/>
      <c r="J452" s="1591"/>
      <c r="K452" s="3350"/>
    </row>
    <row r="453" spans="1:12">
      <c r="A453" s="4836" t="str">
        <f>$K$2</f>
        <v>Tháng 12/24</v>
      </c>
      <c r="B453" s="4836"/>
      <c r="C453" s="4836"/>
      <c r="D453" s="4836"/>
      <c r="E453" s="1560"/>
      <c r="F453" s="1560"/>
      <c r="G453" s="4836" t="str">
        <f>$K$2</f>
        <v>Tháng 12/24</v>
      </c>
      <c r="H453" s="4836"/>
      <c r="I453" s="4836"/>
      <c r="J453" s="4836"/>
      <c r="K453" s="3350"/>
    </row>
    <row r="454" spans="1:12" ht="18">
      <c r="A454" s="1561" t="s">
        <v>1</v>
      </c>
      <c r="B454" s="3343" t="e">
        <f>VLOOKUP(C454,'Đội 1'!$A$95:$C$99,3,0)</f>
        <v>#N/A</v>
      </c>
      <c r="C454" s="1563">
        <v>66</v>
      </c>
      <c r="D454" s="1563"/>
      <c r="E454" s="1564"/>
      <c r="F454" s="1565"/>
      <c r="G454" s="1561" t="s">
        <v>1</v>
      </c>
      <c r="H454" s="3343" t="e">
        <f>VLOOKUP(I454,'Đội 1'!$A$95:$C$99,3,0)</f>
        <v>#N/A</v>
      </c>
      <c r="I454" s="1563">
        <v>67</v>
      </c>
      <c r="J454" s="1563"/>
      <c r="K454" s="3353"/>
      <c r="L454" s="3354"/>
    </row>
    <row r="455" spans="1:12" ht="18">
      <c r="A455" s="1561" t="s">
        <v>205</v>
      </c>
      <c r="B455" s="1566" t="s">
        <v>206</v>
      </c>
      <c r="C455" s="1567" t="e">
        <f>VLOOKUP(C454,'Đội 1'!$A$95:$F$99,6,0)</f>
        <v>#N/A</v>
      </c>
      <c r="D455" s="1568" t="e">
        <f>C455*25000</f>
        <v>#N/A</v>
      </c>
      <c r="E455" s="1569"/>
      <c r="F455" s="1570"/>
      <c r="G455" s="1561" t="s">
        <v>205</v>
      </c>
      <c r="H455" s="1566" t="s">
        <v>206</v>
      </c>
      <c r="I455" s="1567" t="e">
        <f>VLOOKUP(I454,'Đội 1'!$A$95:$F$99,6,0)</f>
        <v>#N/A</v>
      </c>
      <c r="J455" s="1568" t="e">
        <f>I455*25000</f>
        <v>#N/A</v>
      </c>
      <c r="K455" s="3353"/>
      <c r="L455" s="3349"/>
    </row>
    <row r="456" spans="1:12">
      <c r="A456" s="1561" t="s">
        <v>207</v>
      </c>
      <c r="B456" s="1571" t="s">
        <v>208</v>
      </c>
      <c r="C456" s="1567" t="e">
        <f>VLOOKUP(C454,'Đội 1'!$A$95:$N$99,12,0)</f>
        <v>#N/A</v>
      </c>
      <c r="D456" s="2374" t="e">
        <f>+C456*$L$3</f>
        <v>#N/A</v>
      </c>
      <c r="E456" s="1572"/>
      <c r="F456" s="1573"/>
      <c r="G456" s="1561" t="s">
        <v>207</v>
      </c>
      <c r="H456" s="1571" t="s">
        <v>208</v>
      </c>
      <c r="I456" s="1567" t="e">
        <f>VLOOKUP(I454,'Đội 1'!$A$95:$N$99,12,0)</f>
        <v>#N/A</v>
      </c>
      <c r="J456" s="2374" t="e">
        <f>+I456*$L$3</f>
        <v>#N/A</v>
      </c>
      <c r="K456" s="3353"/>
      <c r="L456" s="3349"/>
    </row>
    <row r="457" spans="1:12">
      <c r="A457" s="1561" t="s">
        <v>1259</v>
      </c>
      <c r="B457" s="1571" t="s">
        <v>209</v>
      </c>
      <c r="C457" s="2369" t="e">
        <f>VLOOKUP(C454,'Đội 1'!$A$95:$O$99,13,0)</f>
        <v>#N/A</v>
      </c>
      <c r="D457" s="2374" t="e">
        <f>+C457*$L$4</f>
        <v>#N/A</v>
      </c>
      <c r="E457" s="1572"/>
      <c r="F457" s="1573"/>
      <c r="G457" s="1561" t="s">
        <v>1259</v>
      </c>
      <c r="H457" s="1571" t="s">
        <v>209</v>
      </c>
      <c r="I457" s="2369" t="e">
        <f>VLOOKUP(I454,'Đội 1'!$A$95:$O$99,13,0)</f>
        <v>#N/A</v>
      </c>
      <c r="J457" s="2374" t="e">
        <f>+I457*$L$4</f>
        <v>#N/A</v>
      </c>
    </row>
    <row r="458" spans="1:12">
      <c r="A458" s="1561" t="s">
        <v>1531</v>
      </c>
      <c r="B458" s="1571"/>
      <c r="C458" s="2369" t="e">
        <f>VLOOKUP(C454,'Đội 1'!$A$95:$P$99,15,0)</f>
        <v>#N/A</v>
      </c>
      <c r="D458" s="2374" t="e">
        <f>+C458*20000+VLOOKUP(C454,'Đội 1'!$A$95:$P$99,14,0)*$L$5</f>
        <v>#N/A</v>
      </c>
      <c r="E458" s="1572"/>
      <c r="F458" s="1573"/>
      <c r="G458" s="1561" t="s">
        <v>1531</v>
      </c>
      <c r="H458" s="1571"/>
      <c r="I458" s="2369" t="e">
        <f>VLOOKUP(I454,'Đội 1'!$A$95:$P$99,15,0)</f>
        <v>#N/A</v>
      </c>
      <c r="J458" s="2374" t="e">
        <f>+I458*20000+VLOOKUP(I454,'Đội 1'!$A$95:$P$99,14,0)*$L$5</f>
        <v>#N/A</v>
      </c>
    </row>
    <row r="459" spans="1:12">
      <c r="A459" s="1561" t="s">
        <v>2021</v>
      </c>
      <c r="B459" s="1571"/>
      <c r="C459" s="2369">
        <v>31</v>
      </c>
      <c r="D459" s="2374">
        <f>+C459*$L$6</f>
        <v>624124.85999999987</v>
      </c>
      <c r="E459" s="1572"/>
      <c r="F459" s="1573"/>
      <c r="G459" s="1561" t="s">
        <v>2021</v>
      </c>
      <c r="H459" s="1571"/>
      <c r="I459" s="2369">
        <v>31</v>
      </c>
      <c r="J459" s="2374">
        <f>+I459*$L$6</f>
        <v>624124.85999999987</v>
      </c>
    </row>
    <row r="460" spans="1:12">
      <c r="A460" s="1561" t="s">
        <v>210</v>
      </c>
      <c r="B460" s="1571" t="s">
        <v>211</v>
      </c>
      <c r="C460" s="1567" t="e">
        <f>VLOOKUP(C454,'Đội 1'!$A$95:$J$99,9,0)</f>
        <v>#N/A</v>
      </c>
      <c r="D460" s="2374" t="e">
        <f>VLOOKUP(C454,'Đội 1'!$A$95:$M$99,11,0)</f>
        <v>#N/A</v>
      </c>
      <c r="E460" s="1574"/>
      <c r="F460" s="1573"/>
      <c r="G460" s="1561" t="s">
        <v>210</v>
      </c>
      <c r="H460" s="1571" t="s">
        <v>211</v>
      </c>
      <c r="I460" s="1567" t="e">
        <f>VLOOKUP(I454,'Đội 1'!$A$95:$J$99,9,0)</f>
        <v>#N/A</v>
      </c>
      <c r="J460" s="2374" t="e">
        <f>VLOOKUP(I454,'Đội 1'!$A$95:$M$99,11,0)</f>
        <v>#N/A</v>
      </c>
    </row>
    <row r="461" spans="1:12">
      <c r="A461" s="1568" t="s">
        <v>212</v>
      </c>
      <c r="B461" s="1571" t="s">
        <v>213</v>
      </c>
      <c r="C461" s="1567"/>
      <c r="D461" s="1568"/>
      <c r="E461" s="1575"/>
      <c r="F461" s="1576"/>
      <c r="G461" s="1568" t="s">
        <v>212</v>
      </c>
      <c r="H461" s="1571" t="s">
        <v>213</v>
      </c>
      <c r="I461" s="1567"/>
      <c r="J461" s="1568"/>
    </row>
    <row r="462" spans="1:12">
      <c r="A462" s="1577" t="s">
        <v>214</v>
      </c>
      <c r="B462" s="1571" t="s">
        <v>215</v>
      </c>
      <c r="C462" s="1567"/>
      <c r="D462" s="1568">
        <f>+'Đội 1'!V482</f>
        <v>0</v>
      </c>
      <c r="E462" s="1574"/>
      <c r="F462" s="1576"/>
      <c r="G462" s="1577" t="s">
        <v>214</v>
      </c>
      <c r="H462" s="1571" t="s">
        <v>215</v>
      </c>
      <c r="I462" s="1567"/>
      <c r="J462" s="1568"/>
    </row>
    <row r="463" spans="1:12">
      <c r="A463" s="1561" t="s">
        <v>216</v>
      </c>
      <c r="B463" s="1571" t="s">
        <v>217</v>
      </c>
      <c r="C463" s="1567"/>
      <c r="D463" s="1568" t="e">
        <f>VLOOKUP(C454,'Đội 1'!$A$95:$V$99,21,0)</f>
        <v>#N/A</v>
      </c>
      <c r="E463" s="1578"/>
      <c r="F463" s="1560"/>
      <c r="G463" s="1561" t="s">
        <v>216</v>
      </c>
      <c r="H463" s="1571" t="s">
        <v>217</v>
      </c>
      <c r="I463" s="1567"/>
      <c r="J463" s="1568"/>
    </row>
    <row r="464" spans="1:12">
      <c r="A464" s="1568" t="s">
        <v>218</v>
      </c>
      <c r="B464" s="1571" t="s">
        <v>219</v>
      </c>
      <c r="C464" s="1579"/>
      <c r="D464" s="1580" t="e">
        <f>SUM(D455:D460)-D463</f>
        <v>#N/A</v>
      </c>
      <c r="E464" s="1581"/>
      <c r="F464" s="1582"/>
      <c r="G464" s="1568" t="s">
        <v>218</v>
      </c>
      <c r="H464" s="1571" t="s">
        <v>219</v>
      </c>
      <c r="I464" s="1579"/>
      <c r="J464" s="1580" t="e">
        <f>SUM(J455:J460)-J463</f>
        <v>#N/A</v>
      </c>
      <c r="K464" s="3350" t="e">
        <f>J464+D464</f>
        <v>#N/A</v>
      </c>
    </row>
    <row r="465" spans="1:12">
      <c r="A465" s="1583"/>
      <c r="B465" s="1584"/>
      <c r="C465" s="1592"/>
      <c r="D465" s="1593"/>
      <c r="E465" s="1586"/>
      <c r="F465" s="1586"/>
      <c r="G465" s="1583"/>
      <c r="H465" s="1584"/>
      <c r="I465" s="1592"/>
      <c r="J465" s="1593"/>
      <c r="K465" s="3353"/>
      <c r="L465" s="3352"/>
    </row>
    <row r="466" spans="1:12">
      <c r="A466" s="1583"/>
      <c r="B466" s="1584"/>
      <c r="C466" s="1592"/>
      <c r="D466" s="1593"/>
      <c r="E466" s="1586"/>
      <c r="F466" s="1586"/>
      <c r="G466" s="1583"/>
      <c r="H466" s="1584"/>
      <c r="I466" s="1592"/>
      <c r="J466" s="1593"/>
      <c r="K466" s="3353"/>
      <c r="L466" s="3352"/>
    </row>
    <row r="467" spans="1:12">
      <c r="A467" s="4836" t="str">
        <f>$K$2</f>
        <v>Tháng 12/24</v>
      </c>
      <c r="B467" s="4836"/>
      <c r="C467" s="4836"/>
      <c r="D467" s="4836"/>
      <c r="E467" s="1560"/>
      <c r="F467" s="1560"/>
      <c r="G467" s="4836" t="str">
        <f>$K$2</f>
        <v>Tháng 12/24</v>
      </c>
      <c r="H467" s="4836"/>
      <c r="I467" s="4836"/>
      <c r="J467" s="4836"/>
    </row>
    <row r="468" spans="1:12" ht="18">
      <c r="A468" s="1561" t="s">
        <v>1</v>
      </c>
      <c r="B468" s="3343" t="e">
        <f>VLOOKUP(C468,'Đội 1'!$A$95:$C$99,3,0)</f>
        <v>#N/A</v>
      </c>
      <c r="C468" s="1563">
        <v>68</v>
      </c>
      <c r="D468" s="1563"/>
      <c r="E468" s="1564"/>
      <c r="F468" s="1565"/>
      <c r="G468" s="1561" t="s">
        <v>1</v>
      </c>
      <c r="H468" s="3343" t="e">
        <f>VLOOKUP(I468,'Đội 1'!$A$95:$C$99,3,0)</f>
        <v>#N/A</v>
      </c>
      <c r="I468" s="1563">
        <v>69</v>
      </c>
      <c r="J468" s="1563"/>
    </row>
    <row r="469" spans="1:12" ht="18">
      <c r="A469" s="1561" t="s">
        <v>205</v>
      </c>
      <c r="B469" s="1566" t="s">
        <v>206</v>
      </c>
      <c r="C469" s="1567" t="e">
        <f>VLOOKUP(C468,'Đội 1'!$A$95:$F$99,6,0)</f>
        <v>#N/A</v>
      </c>
      <c r="D469" s="1568" t="e">
        <f>C469*25000</f>
        <v>#N/A</v>
      </c>
      <c r="E469" s="1569"/>
      <c r="F469" s="1570"/>
      <c r="G469" s="1561" t="s">
        <v>205</v>
      </c>
      <c r="H469" s="1566" t="s">
        <v>206</v>
      </c>
      <c r="I469" s="1567" t="e">
        <f>VLOOKUP(I468,'Đội 1'!$A$95:$F$99,6,0)</f>
        <v>#N/A</v>
      </c>
      <c r="J469" s="1568" t="e">
        <f>I469*25000</f>
        <v>#N/A</v>
      </c>
    </row>
    <row r="470" spans="1:12">
      <c r="A470" s="1561" t="s">
        <v>207</v>
      </c>
      <c r="B470" s="1571" t="s">
        <v>208</v>
      </c>
      <c r="C470" s="1567" t="e">
        <f>VLOOKUP(C468,'Đội 1'!$A$95:$N$99,12,0)</f>
        <v>#N/A</v>
      </c>
      <c r="D470" s="2374" t="e">
        <f>+C470*$L$3</f>
        <v>#N/A</v>
      </c>
      <c r="E470" s="1572"/>
      <c r="F470" s="1573"/>
      <c r="G470" s="1561" t="s">
        <v>207</v>
      </c>
      <c r="H470" s="1571" t="s">
        <v>208</v>
      </c>
      <c r="I470" s="1567" t="e">
        <f>VLOOKUP(I468,'Đội 1'!$A$95:$N$99,12,0)</f>
        <v>#N/A</v>
      </c>
      <c r="J470" s="2374" t="e">
        <f>+I470*$L$3</f>
        <v>#N/A</v>
      </c>
    </row>
    <row r="471" spans="1:12">
      <c r="A471" s="1561" t="s">
        <v>1259</v>
      </c>
      <c r="B471" s="1571" t="s">
        <v>209</v>
      </c>
      <c r="C471" s="2369" t="e">
        <f>VLOOKUP(C468,'Đội 1'!$A$95:$O$99,13,0)</f>
        <v>#N/A</v>
      </c>
      <c r="D471" s="2374" t="e">
        <f>+C471*$L$4</f>
        <v>#N/A</v>
      </c>
      <c r="E471" s="1572"/>
      <c r="F471" s="1573"/>
      <c r="G471" s="1561" t="s">
        <v>1259</v>
      </c>
      <c r="H471" s="1571" t="s">
        <v>209</v>
      </c>
      <c r="I471" s="2369" t="e">
        <f>VLOOKUP(I468,'Đội 1'!$A$95:$O$99,13,0)</f>
        <v>#N/A</v>
      </c>
      <c r="J471" s="2374" t="e">
        <f>+I471*$L$4</f>
        <v>#N/A</v>
      </c>
    </row>
    <row r="472" spans="1:12">
      <c r="A472" s="1561" t="s">
        <v>1531</v>
      </c>
      <c r="B472" s="1571"/>
      <c r="C472" s="2369" t="e">
        <f>VLOOKUP(C468,'Đội 1'!$A$95:$P$99,15,0)</f>
        <v>#N/A</v>
      </c>
      <c r="D472" s="2374" t="e">
        <f>+C472*20000+VLOOKUP(C468,'Đội 1'!$A$95:$P$99,14,0)*$L$5</f>
        <v>#N/A</v>
      </c>
      <c r="E472" s="1572"/>
      <c r="F472" s="1573"/>
      <c r="G472" s="1561" t="s">
        <v>1531</v>
      </c>
      <c r="H472" s="1571"/>
      <c r="I472" s="2369" t="e">
        <f>VLOOKUP(I468,'Đội 1'!$A$95:$P$99,15,0)</f>
        <v>#N/A</v>
      </c>
      <c r="J472" s="2374" t="e">
        <f>+I472*20000+VLOOKUP(I468,'Đội 1'!$A$95:$P$99,14,0)*$L$5</f>
        <v>#N/A</v>
      </c>
    </row>
    <row r="473" spans="1:12">
      <c r="A473" s="1561" t="s">
        <v>2021</v>
      </c>
      <c r="B473" s="1571"/>
      <c r="C473" s="2369">
        <v>31</v>
      </c>
      <c r="D473" s="2374">
        <f>+C473*$L$6</f>
        <v>624124.85999999987</v>
      </c>
      <c r="E473" s="1572"/>
      <c r="F473" s="1573"/>
      <c r="G473" s="1561" t="s">
        <v>2021</v>
      </c>
      <c r="H473" s="1571"/>
      <c r="I473" s="2369">
        <v>31</v>
      </c>
      <c r="J473" s="2374">
        <f>+I473*$L$6</f>
        <v>624124.85999999987</v>
      </c>
    </row>
    <row r="474" spans="1:12">
      <c r="A474" s="1561" t="s">
        <v>210</v>
      </c>
      <c r="B474" s="1571" t="s">
        <v>211</v>
      </c>
      <c r="C474" s="1567" t="e">
        <f>VLOOKUP(C468,'Đội 1'!$A$95:$J$99,9,0)</f>
        <v>#N/A</v>
      </c>
      <c r="D474" s="2374" t="e">
        <f>VLOOKUP(C468,'Đội 1'!$A$95:$M$99,11,0)</f>
        <v>#N/A</v>
      </c>
      <c r="E474" s="1574"/>
      <c r="F474" s="1573"/>
      <c r="G474" s="1561" t="s">
        <v>210</v>
      </c>
      <c r="H474" s="1571" t="s">
        <v>211</v>
      </c>
      <c r="I474" s="1567" t="e">
        <f>VLOOKUP(I468,'Đội 1'!$A$95:$J$99,9,0)</f>
        <v>#N/A</v>
      </c>
      <c r="J474" s="2374" t="e">
        <f>VLOOKUP(I468,'Đội 1'!$A$95:$M$99,11,0)</f>
        <v>#N/A</v>
      </c>
    </row>
    <row r="475" spans="1:12">
      <c r="A475" s="1568" t="s">
        <v>212</v>
      </c>
      <c r="B475" s="1571" t="s">
        <v>213</v>
      </c>
      <c r="C475" s="1567"/>
      <c r="D475" s="1568"/>
      <c r="E475" s="1575"/>
      <c r="F475" s="1576"/>
      <c r="G475" s="1568" t="s">
        <v>212</v>
      </c>
      <c r="H475" s="1571" t="s">
        <v>213</v>
      </c>
      <c r="I475" s="1567"/>
      <c r="J475" s="1568"/>
    </row>
    <row r="476" spans="1:12">
      <c r="A476" s="1577" t="s">
        <v>214</v>
      </c>
      <c r="B476" s="1571" t="s">
        <v>215</v>
      </c>
      <c r="C476" s="1567"/>
      <c r="D476" s="1568">
        <f>+'Đội 1'!V496</f>
        <v>0</v>
      </c>
      <c r="E476" s="1574"/>
      <c r="F476" s="1576"/>
      <c r="G476" s="1577" t="s">
        <v>214</v>
      </c>
      <c r="H476" s="1571" t="s">
        <v>215</v>
      </c>
      <c r="I476" s="1567"/>
      <c r="J476" s="1568"/>
    </row>
    <row r="477" spans="1:12">
      <c r="A477" s="1561" t="s">
        <v>216</v>
      </c>
      <c r="B477" s="1571" t="s">
        <v>217</v>
      </c>
      <c r="C477" s="1567"/>
      <c r="D477" s="1568" t="e">
        <f>VLOOKUP(C468,'Đội 1'!$A$95:$V$99,21,0)</f>
        <v>#N/A</v>
      </c>
      <c r="E477" s="1578"/>
      <c r="F477" s="1560"/>
      <c r="G477" s="1561" t="s">
        <v>216</v>
      </c>
      <c r="H477" s="1571" t="s">
        <v>217</v>
      </c>
      <c r="I477" s="1567"/>
      <c r="J477" s="1568">
        <v>500000</v>
      </c>
    </row>
    <row r="478" spans="1:12">
      <c r="A478" s="1568" t="s">
        <v>218</v>
      </c>
      <c r="B478" s="1571" t="s">
        <v>219</v>
      </c>
      <c r="C478" s="1579"/>
      <c r="D478" s="1580" t="e">
        <f>SUM(D469:D474)-D477</f>
        <v>#N/A</v>
      </c>
      <c r="E478" s="1581"/>
      <c r="F478" s="1582"/>
      <c r="G478" s="1568" t="s">
        <v>218</v>
      </c>
      <c r="H478" s="1571" t="s">
        <v>219</v>
      </c>
      <c r="I478" s="1579"/>
      <c r="J478" s="1580" t="e">
        <f>SUM(J469:J474)-J477</f>
        <v>#N/A</v>
      </c>
      <c r="K478" s="3350" t="e">
        <f>J478+D478</f>
        <v>#N/A</v>
      </c>
    </row>
    <row r="479" spans="1:12">
      <c r="A479" s="1583"/>
      <c r="B479" s="1584"/>
      <c r="C479" s="1592"/>
      <c r="D479" s="1593"/>
      <c r="E479" s="1586"/>
      <c r="F479" s="1586"/>
      <c r="G479" s="1583"/>
      <c r="H479" s="1584"/>
      <c r="I479" s="1592"/>
      <c r="J479" s="1593"/>
    </row>
    <row r="480" spans="1:12">
      <c r="A480" s="1583"/>
      <c r="B480" s="1584"/>
      <c r="C480" s="1592"/>
      <c r="D480" s="1593"/>
      <c r="E480" s="1586"/>
      <c r="F480" s="1586"/>
      <c r="G480" s="1583"/>
      <c r="H480" s="1584"/>
      <c r="I480" s="1592"/>
      <c r="J480" s="1593"/>
    </row>
    <row r="481" spans="1:11">
      <c r="A481" s="4836" t="str">
        <f>$K$2</f>
        <v>Tháng 12/24</v>
      </c>
      <c r="B481" s="4836"/>
      <c r="C481" s="4836"/>
      <c r="D481" s="4836"/>
      <c r="E481" s="1560"/>
      <c r="F481" s="1560"/>
      <c r="G481" s="4836" t="str">
        <f>$K$2</f>
        <v>Tháng 12/24</v>
      </c>
      <c r="H481" s="4836"/>
      <c r="I481" s="4836"/>
      <c r="J481" s="4836"/>
    </row>
    <row r="482" spans="1:11" ht="18">
      <c r="A482" s="1561" t="s">
        <v>1</v>
      </c>
      <c r="B482" s="3343" t="e">
        <f>VLOOKUP(C482,'Đội 1'!$A$95:$C$99,3,0)</f>
        <v>#N/A</v>
      </c>
      <c r="C482" s="1563">
        <v>70</v>
      </c>
      <c r="D482" s="1563"/>
      <c r="E482" s="1564"/>
      <c r="F482" s="1565"/>
      <c r="G482" s="1561" t="s">
        <v>1</v>
      </c>
      <c r="H482" s="3343" t="e">
        <f>VLOOKUP(I482,'Đội 1'!$A$95:$C$99,3,0)</f>
        <v>#N/A</v>
      </c>
      <c r="I482" s="1563">
        <v>71</v>
      </c>
      <c r="J482" s="1563"/>
    </row>
    <row r="483" spans="1:11" ht="18">
      <c r="A483" s="1561" t="s">
        <v>205</v>
      </c>
      <c r="B483" s="1566" t="s">
        <v>206</v>
      </c>
      <c r="C483" s="1567" t="e">
        <f>VLOOKUP(C482,'Đội 1'!$A$95:$F$99,6,0)</f>
        <v>#N/A</v>
      </c>
      <c r="D483" s="1568" t="e">
        <f>C483*25000</f>
        <v>#N/A</v>
      </c>
      <c r="E483" s="1569"/>
      <c r="F483" s="1570"/>
      <c r="G483" s="1561" t="s">
        <v>205</v>
      </c>
      <c r="H483" s="1566" t="s">
        <v>206</v>
      </c>
      <c r="I483" s="1567" t="e">
        <f>VLOOKUP(I482,'Đội 1'!$A$95:$F$99,6,0)</f>
        <v>#N/A</v>
      </c>
      <c r="J483" s="1568" t="e">
        <f>I483*25000</f>
        <v>#N/A</v>
      </c>
    </row>
    <row r="484" spans="1:11">
      <c r="A484" s="1561" t="s">
        <v>207</v>
      </c>
      <c r="B484" s="1571" t="s">
        <v>208</v>
      </c>
      <c r="C484" s="1567" t="e">
        <f>VLOOKUP(C482,'Đội 1'!$A$95:$N$99,12,0)</f>
        <v>#N/A</v>
      </c>
      <c r="D484" s="2374" t="e">
        <f>+C484*$L$3</f>
        <v>#N/A</v>
      </c>
      <c r="E484" s="1572"/>
      <c r="F484" s="1573"/>
      <c r="G484" s="1561" t="s">
        <v>207</v>
      </c>
      <c r="H484" s="1571" t="s">
        <v>208</v>
      </c>
      <c r="I484" s="1567" t="e">
        <f>VLOOKUP(I482,'Đội 1'!$A$95:$N$99,12,0)</f>
        <v>#N/A</v>
      </c>
      <c r="J484" s="2374" t="e">
        <f>+I484*$L$3</f>
        <v>#N/A</v>
      </c>
    </row>
    <row r="485" spans="1:11">
      <c r="A485" s="1561" t="s">
        <v>1259</v>
      </c>
      <c r="B485" s="1571" t="s">
        <v>209</v>
      </c>
      <c r="C485" s="2369" t="e">
        <f>VLOOKUP(C482,'Đội 1'!$A$95:$O$99,13,0)</f>
        <v>#N/A</v>
      </c>
      <c r="D485" s="2374" t="e">
        <f>+C485*$L$4</f>
        <v>#N/A</v>
      </c>
      <c r="E485" s="1572"/>
      <c r="F485" s="1573"/>
      <c r="G485" s="1561" t="s">
        <v>1259</v>
      </c>
      <c r="H485" s="1571" t="s">
        <v>209</v>
      </c>
      <c r="I485" s="2369" t="e">
        <f>VLOOKUP(I482,'Đội 1'!$A$95:$O$99,13,0)</f>
        <v>#N/A</v>
      </c>
      <c r="J485" s="2374" t="e">
        <f>+I485*$L$4</f>
        <v>#N/A</v>
      </c>
    </row>
    <row r="486" spans="1:11">
      <c r="A486" s="1561" t="s">
        <v>1531</v>
      </c>
      <c r="B486" s="1571"/>
      <c r="C486" s="2369" t="e">
        <f>VLOOKUP(C482,'Đội 1'!$A$95:$P$99,15,0)</f>
        <v>#N/A</v>
      </c>
      <c r="D486" s="2374" t="e">
        <f>+C486*20000+VLOOKUP(C482,'Đội 1'!$A$95:$P$99,14,0)*$L$5</f>
        <v>#N/A</v>
      </c>
      <c r="E486" s="1572"/>
      <c r="F486" s="1573"/>
      <c r="G486" s="1561" t="s">
        <v>1531</v>
      </c>
      <c r="H486" s="1571"/>
      <c r="I486" s="2369" t="e">
        <f>VLOOKUP(I482,'Đội 1'!$A$95:$P$99,15,0)</f>
        <v>#N/A</v>
      </c>
      <c r="J486" s="2374" t="e">
        <f>+I486*20000+VLOOKUP(I482,'Đội 1'!$A$95:$P$99,14,0)*$L$5</f>
        <v>#N/A</v>
      </c>
    </row>
    <row r="487" spans="1:11">
      <c r="A487" s="1561" t="s">
        <v>2021</v>
      </c>
      <c r="B487" s="1571"/>
      <c r="C487" s="2369">
        <v>31</v>
      </c>
      <c r="D487" s="2374">
        <f>+C487*$L$6</f>
        <v>624124.85999999987</v>
      </c>
      <c r="E487" s="1572"/>
      <c r="F487" s="1573"/>
      <c r="G487" s="1561" t="s">
        <v>1971</v>
      </c>
      <c r="H487" s="1571"/>
      <c r="I487" s="2369">
        <v>0</v>
      </c>
      <c r="J487" s="2374">
        <f>+I487*25000</f>
        <v>0</v>
      </c>
    </row>
    <row r="488" spans="1:11">
      <c r="A488" s="1561" t="s">
        <v>210</v>
      </c>
      <c r="B488" s="1571" t="s">
        <v>211</v>
      </c>
      <c r="C488" s="1567" t="e">
        <f>VLOOKUP(C482,'Đội 1'!$A$95:$J$99,9,0)</f>
        <v>#N/A</v>
      </c>
      <c r="D488" s="2374" t="e">
        <f>VLOOKUP(C482,'Đội 1'!$A$95:$M$99,11,0)</f>
        <v>#N/A</v>
      </c>
      <c r="E488" s="1574"/>
      <c r="F488" s="1573"/>
      <c r="G488" s="1561" t="s">
        <v>210</v>
      </c>
      <c r="H488" s="1571" t="s">
        <v>211</v>
      </c>
      <c r="I488" s="1567" t="e">
        <f>VLOOKUP(I482,'Đội 1'!$A$95:$J$99,9,0)</f>
        <v>#N/A</v>
      </c>
      <c r="J488" s="2374" t="e">
        <f>VLOOKUP(I482,'Đội 1'!$A$95:$M$99,11,0)</f>
        <v>#N/A</v>
      </c>
    </row>
    <row r="489" spans="1:11">
      <c r="A489" s="1568" t="s">
        <v>212</v>
      </c>
      <c r="B489" s="1571" t="s">
        <v>213</v>
      </c>
      <c r="C489" s="1567"/>
      <c r="D489" s="1568"/>
      <c r="E489" s="1575"/>
      <c r="F489" s="1576"/>
      <c r="G489" s="1568" t="s">
        <v>212</v>
      </c>
      <c r="H489" s="1571" t="s">
        <v>213</v>
      </c>
      <c r="I489" s="1567"/>
      <c r="J489" s="1568"/>
    </row>
    <row r="490" spans="1:11">
      <c r="A490" s="1577" t="s">
        <v>214</v>
      </c>
      <c r="B490" s="1571" t="s">
        <v>215</v>
      </c>
      <c r="C490" s="1567"/>
      <c r="D490" s="1568">
        <f>+'Đội 1'!V510</f>
        <v>0</v>
      </c>
      <c r="E490" s="1574"/>
      <c r="F490" s="1576"/>
      <c r="G490" s="1577" t="s">
        <v>214</v>
      </c>
      <c r="H490" s="1571" t="s">
        <v>215</v>
      </c>
      <c r="I490" s="1567"/>
      <c r="J490" s="1568"/>
    </row>
    <row r="491" spans="1:11">
      <c r="A491" s="1561" t="s">
        <v>216</v>
      </c>
      <c r="B491" s="1571" t="s">
        <v>217</v>
      </c>
      <c r="C491" s="1567"/>
      <c r="D491" s="1568" t="e">
        <f>VLOOKUP(C482,'Đội 1'!$A$95:$V$99,21,0)</f>
        <v>#N/A</v>
      </c>
      <c r="E491" s="1578"/>
      <c r="F491" s="1560"/>
      <c r="G491" s="1561" t="s">
        <v>216</v>
      </c>
      <c r="H491" s="1571" t="s">
        <v>217</v>
      </c>
      <c r="I491" s="1567"/>
      <c r="J491" s="1568"/>
    </row>
    <row r="492" spans="1:11">
      <c r="A492" s="1568" t="s">
        <v>218</v>
      </c>
      <c r="B492" s="1571" t="s">
        <v>219</v>
      </c>
      <c r="C492" s="1579"/>
      <c r="D492" s="1580" t="e">
        <f>SUM(D483:D488)-D491</f>
        <v>#N/A</v>
      </c>
      <c r="E492" s="1581"/>
      <c r="F492" s="1582"/>
      <c r="G492" s="1568" t="s">
        <v>218</v>
      </c>
      <c r="H492" s="1571" t="s">
        <v>219</v>
      </c>
      <c r="I492" s="1579"/>
      <c r="J492" s="1580" t="e">
        <f>SUM(J483:J488)-J491</f>
        <v>#N/A</v>
      </c>
      <c r="K492" s="3350" t="e">
        <f>J492+D492</f>
        <v>#N/A</v>
      </c>
    </row>
    <row r="493" spans="1:11" ht="52.5" customHeight="1">
      <c r="A493" s="1583"/>
      <c r="B493" s="1584"/>
      <c r="C493" s="1592"/>
      <c r="D493" s="1593"/>
      <c r="E493" s="1586"/>
      <c r="F493" s="1586"/>
      <c r="G493" s="1583"/>
      <c r="H493" s="1584"/>
      <c r="I493" s="1592"/>
      <c r="J493" s="1593"/>
    </row>
    <row r="494" spans="1:11">
      <c r="A494" s="4836" t="str">
        <f>$K$2</f>
        <v>Tháng 12/24</v>
      </c>
      <c r="B494" s="4836"/>
      <c r="C494" s="4836"/>
      <c r="D494" s="4836"/>
      <c r="E494" s="1560"/>
      <c r="F494" s="1560"/>
      <c r="G494" s="4836" t="str">
        <f>$K$2</f>
        <v>Tháng 12/24</v>
      </c>
      <c r="H494" s="4836"/>
      <c r="I494" s="4836"/>
      <c r="J494" s="4836"/>
    </row>
    <row r="495" spans="1:11" ht="18">
      <c r="A495" s="1561" t="s">
        <v>1</v>
      </c>
      <c r="B495" s="3343" t="e">
        <f>VLOOKUP(C495,'Đội 1'!$A$95:$C$99,3,0)</f>
        <v>#N/A</v>
      </c>
      <c r="C495" s="1563">
        <v>72</v>
      </c>
      <c r="D495" s="1563"/>
      <c r="E495" s="1564"/>
      <c r="F495" s="1565"/>
      <c r="G495" s="1561" t="s">
        <v>1</v>
      </c>
      <c r="H495" s="3343" t="e">
        <f>VLOOKUP(I495,'Đội 1'!$A$95:$C$99,3,0)</f>
        <v>#N/A</v>
      </c>
      <c r="I495" s="1563">
        <v>73</v>
      </c>
      <c r="J495" s="1563"/>
    </row>
    <row r="496" spans="1:11" ht="18">
      <c r="A496" s="1561" t="s">
        <v>205</v>
      </c>
      <c r="B496" s="1566" t="s">
        <v>206</v>
      </c>
      <c r="C496" s="1567" t="e">
        <f>VLOOKUP(C495,'Đội 1'!$A$95:$F$99,6,0)</f>
        <v>#N/A</v>
      </c>
      <c r="D496" s="1568" t="e">
        <f>C496*25000</f>
        <v>#N/A</v>
      </c>
      <c r="E496" s="1569"/>
      <c r="F496" s="1570"/>
      <c r="G496" s="1561" t="s">
        <v>205</v>
      </c>
      <c r="H496" s="1566" t="s">
        <v>206</v>
      </c>
      <c r="I496" s="1567" t="e">
        <f>VLOOKUP(I495,'Đội 1'!$A$95:$F$99,6,0)</f>
        <v>#N/A</v>
      </c>
      <c r="J496" s="1568" t="e">
        <f>I496*25000</f>
        <v>#N/A</v>
      </c>
    </row>
    <row r="497" spans="1:11">
      <c r="A497" s="1561" t="s">
        <v>207</v>
      </c>
      <c r="B497" s="1571" t="s">
        <v>208</v>
      </c>
      <c r="C497" s="1567" t="e">
        <f>VLOOKUP(C495,'Đội 1'!$A$95:$N$99,12,0)</f>
        <v>#N/A</v>
      </c>
      <c r="D497" s="2374" t="e">
        <f>+C497*$L$3</f>
        <v>#N/A</v>
      </c>
      <c r="E497" s="1572"/>
      <c r="F497" s="1573"/>
      <c r="G497" s="1561" t="s">
        <v>207</v>
      </c>
      <c r="H497" s="1571" t="s">
        <v>208</v>
      </c>
      <c r="I497" s="1567" t="e">
        <f>VLOOKUP(I495,'Đội 1'!$A$95:$N$99,12,0)</f>
        <v>#N/A</v>
      </c>
      <c r="J497" s="2374" t="e">
        <f>+I497*$L$3</f>
        <v>#N/A</v>
      </c>
    </row>
    <row r="498" spans="1:11">
      <c r="A498" s="1561" t="s">
        <v>1259</v>
      </c>
      <c r="B498" s="1571" t="s">
        <v>209</v>
      </c>
      <c r="C498" s="2369" t="e">
        <f>VLOOKUP(C495,'Đội 1'!$A$95:$O$99,13,0)</f>
        <v>#N/A</v>
      </c>
      <c r="D498" s="2374" t="e">
        <f>+C498*$L$4</f>
        <v>#N/A</v>
      </c>
      <c r="E498" s="1572"/>
      <c r="F498" s="1573"/>
      <c r="G498" s="1561" t="s">
        <v>1259</v>
      </c>
      <c r="H498" s="1571" t="s">
        <v>209</v>
      </c>
      <c r="I498" s="2369" t="e">
        <f>VLOOKUP(I495,'Đội 1'!$A$95:$O$99,13,0)</f>
        <v>#N/A</v>
      </c>
      <c r="J498" s="2374" t="e">
        <f>+I498*$L$4</f>
        <v>#N/A</v>
      </c>
    </row>
    <row r="499" spans="1:11">
      <c r="A499" s="1561" t="s">
        <v>1531</v>
      </c>
      <c r="B499" s="1571"/>
      <c r="C499" s="2369" t="e">
        <f>VLOOKUP(C495,'Đội 1'!$A$95:$P$99,15,0)</f>
        <v>#N/A</v>
      </c>
      <c r="D499" s="2374" t="e">
        <f>+C499*20000+VLOOKUP(C495,'Đội 1'!$A$95:$P$99,14,0)*$L$5</f>
        <v>#N/A</v>
      </c>
      <c r="E499" s="1572"/>
      <c r="F499" s="1573"/>
      <c r="G499" s="1561" t="s">
        <v>1531</v>
      </c>
      <c r="H499" s="1571"/>
      <c r="I499" s="2369" t="e">
        <f>VLOOKUP(I495,'Đội 1'!$A$95:$P$99,15,0)</f>
        <v>#N/A</v>
      </c>
      <c r="J499" s="2374" t="e">
        <f>+I499*20000+VLOOKUP(I495,'Đội 1'!$A$95:$P$99,14,0)*$L$5</f>
        <v>#N/A</v>
      </c>
    </row>
    <row r="500" spans="1:11">
      <c r="A500" s="1561" t="s">
        <v>1971</v>
      </c>
      <c r="B500" s="1571"/>
      <c r="C500" s="2369">
        <v>0</v>
      </c>
      <c r="D500" s="2374">
        <f>+C500*25000</f>
        <v>0</v>
      </c>
      <c r="E500" s="1572"/>
      <c r="F500" s="1573"/>
      <c r="G500" s="1561" t="s">
        <v>1971</v>
      </c>
      <c r="H500" s="1571"/>
      <c r="I500" s="2369">
        <v>0</v>
      </c>
      <c r="J500" s="2374">
        <f>+I500*25000</f>
        <v>0</v>
      </c>
    </row>
    <row r="501" spans="1:11">
      <c r="A501" s="1561" t="s">
        <v>210</v>
      </c>
      <c r="B501" s="1571" t="s">
        <v>211</v>
      </c>
      <c r="C501" s="1567" t="e">
        <f>VLOOKUP(C495,'Đội 1'!$A$95:$J$99,9,0)</f>
        <v>#N/A</v>
      </c>
      <c r="D501" s="2374" t="e">
        <f>VLOOKUP(C495,'Đội 1'!$A$95:$M$99,11,0)</f>
        <v>#N/A</v>
      </c>
      <c r="E501" s="1574"/>
      <c r="F501" s="1573"/>
      <c r="G501" s="1561" t="s">
        <v>210</v>
      </c>
      <c r="H501" s="1571" t="s">
        <v>211</v>
      </c>
      <c r="I501" s="1567" t="e">
        <f>VLOOKUP(I495,'Đội 1'!$A$95:$J$99,9,0)</f>
        <v>#N/A</v>
      </c>
      <c r="J501" s="2374" t="e">
        <f>VLOOKUP(I495,'Đội 1'!$A$95:$M$99,11,0)</f>
        <v>#N/A</v>
      </c>
    </row>
    <row r="502" spans="1:11">
      <c r="A502" s="1568" t="s">
        <v>212</v>
      </c>
      <c r="B502" s="1571" t="s">
        <v>213</v>
      </c>
      <c r="C502" s="1567"/>
      <c r="D502" s="1568"/>
      <c r="E502" s="1575"/>
      <c r="F502" s="1576"/>
      <c r="G502" s="1568" t="s">
        <v>212</v>
      </c>
      <c r="H502" s="1571" t="s">
        <v>213</v>
      </c>
      <c r="I502" s="1567"/>
      <c r="J502" s="1568"/>
    </row>
    <row r="503" spans="1:11">
      <c r="A503" s="1577" t="s">
        <v>214</v>
      </c>
      <c r="B503" s="1571" t="s">
        <v>215</v>
      </c>
      <c r="C503" s="1567"/>
      <c r="D503" s="1568">
        <f>+'Đội 1'!V523</f>
        <v>0</v>
      </c>
      <c r="E503" s="1574"/>
      <c r="F503" s="1576"/>
      <c r="G503" s="1577" t="s">
        <v>214</v>
      </c>
      <c r="H503" s="1571" t="s">
        <v>215</v>
      </c>
      <c r="I503" s="1567"/>
      <c r="J503" s="1568"/>
    </row>
    <row r="504" spans="1:11">
      <c r="A504" s="1561" t="s">
        <v>216</v>
      </c>
      <c r="B504" s="1571" t="s">
        <v>217</v>
      </c>
      <c r="C504" s="1567"/>
      <c r="D504" s="1568" t="e">
        <f>VLOOKUP(C495,'Đội 1'!$A$95:$V$99,21,0)</f>
        <v>#N/A</v>
      </c>
      <c r="E504" s="1578"/>
      <c r="F504" s="1560"/>
      <c r="G504" s="1561" t="s">
        <v>216</v>
      </c>
      <c r="H504" s="1571" t="s">
        <v>217</v>
      </c>
      <c r="I504" s="1567"/>
      <c r="J504" s="1568"/>
    </row>
    <row r="505" spans="1:11">
      <c r="A505" s="1568" t="s">
        <v>218</v>
      </c>
      <c r="B505" s="1571" t="s">
        <v>219</v>
      </c>
      <c r="C505" s="1579"/>
      <c r="D505" s="1580" t="e">
        <f>SUM(D496:D501)-D504</f>
        <v>#N/A</v>
      </c>
      <c r="E505" s="1581"/>
      <c r="F505" s="1582"/>
      <c r="G505" s="1568" t="s">
        <v>218</v>
      </c>
      <c r="H505" s="1571" t="s">
        <v>219</v>
      </c>
      <c r="I505" s="1579"/>
      <c r="J505" s="1580" t="e">
        <f>SUM(J496:J501)-J504</f>
        <v>#N/A</v>
      </c>
      <c r="K505" s="3350" t="e">
        <f>J505+D505</f>
        <v>#N/A</v>
      </c>
    </row>
    <row r="506" spans="1:11">
      <c r="A506" s="1583"/>
      <c r="B506" s="1584"/>
      <c r="C506" s="1592"/>
      <c r="D506" s="1593"/>
      <c r="E506" s="1586"/>
      <c r="F506" s="1586"/>
      <c r="G506" s="1583"/>
      <c r="H506" s="1584"/>
      <c r="I506" s="1592"/>
      <c r="J506" s="1593"/>
    </row>
    <row r="507" spans="1:11">
      <c r="A507" s="4836" t="str">
        <f>$K$2</f>
        <v>Tháng 12/24</v>
      </c>
      <c r="B507" s="4836"/>
      <c r="C507" s="4836"/>
      <c r="D507" s="4836"/>
      <c r="E507" s="1560"/>
      <c r="F507" s="1560"/>
      <c r="G507" s="4836" t="str">
        <f>$K$2</f>
        <v>Tháng 12/24</v>
      </c>
      <c r="H507" s="4836"/>
      <c r="I507" s="4836"/>
      <c r="J507" s="4836"/>
    </row>
    <row r="508" spans="1:11" ht="18">
      <c r="A508" s="1561" t="s">
        <v>1</v>
      </c>
      <c r="B508" s="3343" t="e">
        <f>VLOOKUP(C508,'Đội 1'!$A$95:$C$99,3,0)</f>
        <v>#N/A</v>
      </c>
      <c r="C508" s="1563">
        <v>74</v>
      </c>
      <c r="D508" s="1563"/>
      <c r="E508" s="1564"/>
      <c r="F508" s="1565"/>
      <c r="G508" s="1561" t="s">
        <v>1</v>
      </c>
      <c r="H508" s="3343" t="e">
        <f>VLOOKUP(I508,'Đội 1'!$A$95:$C$99,3,0)</f>
        <v>#N/A</v>
      </c>
      <c r="I508" s="1563">
        <v>75</v>
      </c>
      <c r="J508" s="1563"/>
    </row>
    <row r="509" spans="1:11" ht="18">
      <c r="A509" s="1561" t="s">
        <v>205</v>
      </c>
      <c r="B509" s="1566" t="s">
        <v>206</v>
      </c>
      <c r="C509" s="1567" t="e">
        <f>VLOOKUP(C508,'Đội 1'!$A$95:$F$99,6,0)</f>
        <v>#N/A</v>
      </c>
      <c r="D509" s="1568" t="e">
        <f>C509*25000</f>
        <v>#N/A</v>
      </c>
      <c r="E509" s="1569"/>
      <c r="F509" s="1570"/>
      <c r="G509" s="1561" t="s">
        <v>205</v>
      </c>
      <c r="H509" s="1566" t="s">
        <v>206</v>
      </c>
      <c r="I509" s="1567" t="e">
        <f>VLOOKUP(I508,'Đội 1'!$A$95:$F$99,6,0)</f>
        <v>#N/A</v>
      </c>
      <c r="J509" s="1568" t="e">
        <f>I509*25000</f>
        <v>#N/A</v>
      </c>
    </row>
    <row r="510" spans="1:11">
      <c r="A510" s="1561" t="s">
        <v>207</v>
      </c>
      <c r="B510" s="1571" t="s">
        <v>208</v>
      </c>
      <c r="C510" s="1567" t="e">
        <f>VLOOKUP(C508,'Đội 1'!$A$95:$N$99,12,0)</f>
        <v>#N/A</v>
      </c>
      <c r="D510" s="2374" t="e">
        <f>+C510*$L$3</f>
        <v>#N/A</v>
      </c>
      <c r="E510" s="1572"/>
      <c r="F510" s="1573"/>
      <c r="G510" s="1561" t="s">
        <v>207</v>
      </c>
      <c r="H510" s="1571" t="s">
        <v>208</v>
      </c>
      <c r="I510" s="1567" t="e">
        <f>VLOOKUP(I508,'Đội 1'!$A$95:$N$99,12,0)</f>
        <v>#N/A</v>
      </c>
      <c r="J510" s="2374" t="e">
        <f>+I510*$L$3</f>
        <v>#N/A</v>
      </c>
    </row>
    <row r="511" spans="1:11">
      <c r="A511" s="1561" t="s">
        <v>1259</v>
      </c>
      <c r="B511" s="1571" t="s">
        <v>209</v>
      </c>
      <c r="C511" s="2369" t="e">
        <f>VLOOKUP(C508,'Đội 1'!$A$95:$O$99,13,0)</f>
        <v>#N/A</v>
      </c>
      <c r="D511" s="2374" t="e">
        <f>+C511*$L$4</f>
        <v>#N/A</v>
      </c>
      <c r="E511" s="1572"/>
      <c r="F511" s="1573"/>
      <c r="G511" s="1561" t="s">
        <v>1259</v>
      </c>
      <c r="H511" s="1571" t="s">
        <v>209</v>
      </c>
      <c r="I511" s="2369" t="e">
        <f>VLOOKUP(I508,'Đội 1'!$A$95:$O$99,13,0)</f>
        <v>#N/A</v>
      </c>
      <c r="J511" s="2374" t="e">
        <f>+I511*$L$4</f>
        <v>#N/A</v>
      </c>
    </row>
    <row r="512" spans="1:11">
      <c r="A512" s="1561" t="s">
        <v>1531</v>
      </c>
      <c r="B512" s="1571"/>
      <c r="C512" s="2369" t="e">
        <f>VLOOKUP(C508,'Đội 1'!$A$95:$P$99,15,0)</f>
        <v>#N/A</v>
      </c>
      <c r="D512" s="2374" t="e">
        <f>+C512*20000+VLOOKUP(C508,'Đội 1'!$A$95:$P$99,14,0)*$L$5</f>
        <v>#N/A</v>
      </c>
      <c r="E512" s="1572"/>
      <c r="F512" s="1573"/>
      <c r="G512" s="1561" t="s">
        <v>1531</v>
      </c>
      <c r="H512" s="1571"/>
      <c r="I512" s="2369" t="e">
        <f>VLOOKUP(I508,'Đội 1'!$A$95:$P$99,15,0)</f>
        <v>#N/A</v>
      </c>
      <c r="J512" s="2374" t="e">
        <f>+I512*20000+VLOOKUP(I508,'Đội 1'!$A$95:$P$99,14,0)*$L$5</f>
        <v>#N/A</v>
      </c>
    </row>
    <row r="513" spans="1:14" hidden="1">
      <c r="A513" s="1561" t="s">
        <v>1971</v>
      </c>
      <c r="B513" s="1571"/>
      <c r="C513" s="2369">
        <v>0</v>
      </c>
      <c r="D513" s="2374">
        <f>+C513*25000</f>
        <v>0</v>
      </c>
      <c r="E513" s="1572"/>
      <c r="F513" s="1573"/>
      <c r="G513" s="1561" t="s">
        <v>1971</v>
      </c>
      <c r="H513" s="1571"/>
      <c r="I513" s="2369">
        <v>0</v>
      </c>
      <c r="J513" s="2374">
        <f>+I513*25000</f>
        <v>0</v>
      </c>
    </row>
    <row r="514" spans="1:14">
      <c r="A514" s="1561" t="s">
        <v>210</v>
      </c>
      <c r="B514" s="1571" t="s">
        <v>211</v>
      </c>
      <c r="C514" s="1567" t="e">
        <f>VLOOKUP(C508,'Đội 1'!$A$95:$J$99,9,0)</f>
        <v>#N/A</v>
      </c>
      <c r="D514" s="2374" t="e">
        <f>VLOOKUP(C508,'Đội 1'!$A$95:$M$99,11,0)</f>
        <v>#N/A</v>
      </c>
      <c r="E514" s="1574"/>
      <c r="F514" s="1573"/>
      <c r="G514" s="1561" t="s">
        <v>210</v>
      </c>
      <c r="H514" s="1571" t="s">
        <v>211</v>
      </c>
      <c r="I514" s="1567" t="e">
        <f>VLOOKUP(I508,'Đội 1'!$A$95:$J$99,9,0)</f>
        <v>#N/A</v>
      </c>
      <c r="J514" s="2374" t="e">
        <f>VLOOKUP(I508,'Đội 1'!$A$95:$M$99,11,0)</f>
        <v>#N/A</v>
      </c>
    </row>
    <row r="515" spans="1:14">
      <c r="A515" s="1568" t="s">
        <v>212</v>
      </c>
      <c r="B515" s="1571" t="s">
        <v>213</v>
      </c>
      <c r="C515" s="1567"/>
      <c r="D515" s="1568"/>
      <c r="E515" s="1575"/>
      <c r="F515" s="1576"/>
      <c r="G515" s="1568" t="s">
        <v>212</v>
      </c>
      <c r="H515" s="1571" t="s">
        <v>213</v>
      </c>
      <c r="I515" s="1567"/>
      <c r="J515" s="1568"/>
    </row>
    <row r="516" spans="1:14">
      <c r="A516" s="1577" t="s">
        <v>214</v>
      </c>
      <c r="B516" s="1571" t="s">
        <v>215</v>
      </c>
      <c r="C516" s="1567"/>
      <c r="D516" s="1568">
        <f>+'Đội 1'!V536</f>
        <v>0</v>
      </c>
      <c r="E516" s="1574"/>
      <c r="F516" s="1576"/>
      <c r="G516" s="1577" t="s">
        <v>214</v>
      </c>
      <c r="H516" s="1571" t="s">
        <v>215</v>
      </c>
      <c r="I516" s="1567"/>
      <c r="J516" s="1568"/>
    </row>
    <row r="517" spans="1:14">
      <c r="A517" s="1561" t="s">
        <v>216</v>
      </c>
      <c r="B517" s="1571" t="s">
        <v>217</v>
      </c>
      <c r="C517" s="1567"/>
      <c r="D517" s="1568" t="e">
        <f>VLOOKUP(C508,'Đội 1'!$A$95:$V$99,21,0)</f>
        <v>#N/A</v>
      </c>
      <c r="E517" s="1578"/>
      <c r="F517" s="1560"/>
      <c r="G517" s="1561" t="s">
        <v>216</v>
      </c>
      <c r="H517" s="1571" t="s">
        <v>217</v>
      </c>
      <c r="I517" s="1567"/>
      <c r="J517" s="1568"/>
      <c r="K517" s="3350">
        <f>+'Đội 1'!W99</f>
        <v>0</v>
      </c>
    </row>
    <row r="518" spans="1:14">
      <c r="A518" s="1568" t="s">
        <v>218</v>
      </c>
      <c r="B518" s="1571" t="s">
        <v>219</v>
      </c>
      <c r="C518" s="1579"/>
      <c r="D518" s="1580" t="e">
        <f>SUM(D509:D514)-D517</f>
        <v>#N/A</v>
      </c>
      <c r="E518" s="1581"/>
      <c r="F518" s="1582"/>
      <c r="G518" s="1568" t="s">
        <v>218</v>
      </c>
      <c r="H518" s="1571" t="s">
        <v>219</v>
      </c>
      <c r="I518" s="1579"/>
      <c r="J518" s="1580" t="e">
        <f>SUM(J509:J514)-J517</f>
        <v>#N/A</v>
      </c>
      <c r="K518" s="3350" t="e">
        <f>J518+D518</f>
        <v>#N/A</v>
      </c>
    </row>
    <row r="519" spans="1:14">
      <c r="A519" s="1583"/>
      <c r="B519" s="1584"/>
      <c r="C519" s="1592"/>
      <c r="D519" s="1593"/>
      <c r="E519" s="1586"/>
      <c r="F519" s="1586"/>
      <c r="G519" s="1583"/>
      <c r="H519" s="1584"/>
      <c r="I519" s="1592"/>
      <c r="J519" s="1593"/>
      <c r="K519" s="3420" t="e">
        <f>+SUM(K237:K492)</f>
        <v>#N/A</v>
      </c>
      <c r="L519" s="3350" t="e">
        <f>+K519+K236</f>
        <v>#N/A</v>
      </c>
      <c r="M519" s="3347">
        <f>+'Đội 1'!W100</f>
        <v>121978958.36000004</v>
      </c>
      <c r="N519" s="3350" t="e">
        <f>+M519-L519</f>
        <v>#N/A</v>
      </c>
    </row>
    <row r="520" spans="1:14">
      <c r="A520" s="3344"/>
      <c r="B520" s="4837" t="s">
        <v>1864</v>
      </c>
      <c r="C520" s="4837"/>
      <c r="D520" s="4837"/>
      <c r="E520" s="4837"/>
      <c r="F520" s="4837"/>
      <c r="G520" s="4837"/>
      <c r="H520" s="4837"/>
      <c r="I520" s="4837"/>
      <c r="J520" s="4837"/>
      <c r="K520" s="3355"/>
    </row>
    <row r="521" spans="1:14">
      <c r="A521" s="4841" t="str">
        <f>$K$2</f>
        <v>Tháng 12/24</v>
      </c>
      <c r="B521" s="4841"/>
      <c r="C521" s="4841"/>
      <c r="D521" s="4841"/>
      <c r="E521" s="1560"/>
      <c r="F521" s="1560"/>
      <c r="G521" s="4841" t="str">
        <f>$K$2</f>
        <v>Tháng 12/24</v>
      </c>
      <c r="H521" s="4841"/>
      <c r="I521" s="4841"/>
      <c r="J521" s="4841"/>
      <c r="K521" s="3498"/>
    </row>
    <row r="522" spans="1:14" ht="18">
      <c r="A522" s="1561" t="s">
        <v>1</v>
      </c>
      <c r="B522" s="1562" t="e">
        <f>VLOOKUP(C522,'Đội 2'!#REF!,3,0)</f>
        <v>#REF!</v>
      </c>
      <c r="C522" s="1563">
        <v>1</v>
      </c>
      <c r="D522" s="1563"/>
      <c r="E522" s="1564"/>
      <c r="F522" s="1565"/>
      <c r="G522" s="1561" t="s">
        <v>1</v>
      </c>
      <c r="H522" s="1562" t="e">
        <f>VLOOKUP(I522,'Đội 2'!#REF!,3,0)</f>
        <v>#REF!</v>
      </c>
      <c r="I522" s="1563">
        <v>2</v>
      </c>
      <c r="J522" s="1563"/>
    </row>
    <row r="523" spans="1:14" ht="18">
      <c r="A523" s="1561" t="s">
        <v>205</v>
      </c>
      <c r="B523" s="1566" t="s">
        <v>206</v>
      </c>
      <c r="C523" s="1567" t="e">
        <f>VLOOKUP(C522,'Đội 2'!#REF!,6,0)</f>
        <v>#REF!</v>
      </c>
      <c r="D523" s="1568" t="e">
        <f>C523*25000</f>
        <v>#REF!</v>
      </c>
      <c r="E523" s="1569"/>
      <c r="F523" s="1570"/>
      <c r="G523" s="1561" t="s">
        <v>205</v>
      </c>
      <c r="H523" s="1566" t="s">
        <v>206</v>
      </c>
      <c r="I523" s="1567" t="e">
        <f>VLOOKUP(I522,'Đội 2'!#REF!,6,0)</f>
        <v>#REF!</v>
      </c>
      <c r="J523" s="1568" t="e">
        <f>I523*25000</f>
        <v>#REF!</v>
      </c>
    </row>
    <row r="524" spans="1:14" ht="12.75" customHeight="1">
      <c r="A524" s="1561" t="s">
        <v>207</v>
      </c>
      <c r="B524" s="1571" t="s">
        <v>208</v>
      </c>
      <c r="C524" s="1567" t="e">
        <f>VLOOKUP(C522,'Đội 2'!#REF!,12,0)</f>
        <v>#REF!</v>
      </c>
      <c r="D524" s="2374" t="e">
        <f>+C524*$L$3</f>
        <v>#REF!</v>
      </c>
      <c r="E524" s="1572"/>
      <c r="F524" s="1573"/>
      <c r="G524" s="1561" t="s">
        <v>207</v>
      </c>
      <c r="H524" s="1571" t="s">
        <v>208</v>
      </c>
      <c r="I524" s="1567" t="e">
        <f>VLOOKUP(I522,'Đội 2'!#REF!,12,0)</f>
        <v>#REF!</v>
      </c>
      <c r="J524" s="2374" t="e">
        <f>+I524*$L$3</f>
        <v>#REF!</v>
      </c>
    </row>
    <row r="525" spans="1:14" ht="12.75" customHeight="1">
      <c r="A525" s="1561" t="s">
        <v>1259</v>
      </c>
      <c r="B525" s="1571" t="s">
        <v>209</v>
      </c>
      <c r="C525" s="2369" t="e">
        <f>VLOOKUP(C522,'Đội 2'!#REF!,13,0)</f>
        <v>#REF!</v>
      </c>
      <c r="D525" s="2374" t="e">
        <f>+C525*$L$4</f>
        <v>#REF!</v>
      </c>
      <c r="E525" s="1572"/>
      <c r="F525" s="1573"/>
      <c r="G525" s="1561" t="s">
        <v>1259</v>
      </c>
      <c r="H525" s="1571" t="s">
        <v>209</v>
      </c>
      <c r="I525" s="2369" t="e">
        <f>VLOOKUP(I522,'Đội 2'!#REF!,13,0)</f>
        <v>#REF!</v>
      </c>
      <c r="J525" s="2374" t="e">
        <f>+I525*$L$4</f>
        <v>#REF!</v>
      </c>
    </row>
    <row r="526" spans="1:14">
      <c r="A526" s="1561" t="s">
        <v>1531</v>
      </c>
      <c r="B526" s="1571"/>
      <c r="C526" s="2369" t="e">
        <f>VLOOKUP(C522,'Đội 2'!#REF!,15,0)</f>
        <v>#REF!</v>
      </c>
      <c r="D526" s="2374" t="e">
        <f>+C526*20000+VLOOKUP(C522,'Đội 2'!#REF!,14,0)*$L$5</f>
        <v>#REF!</v>
      </c>
      <c r="E526" s="1572"/>
      <c r="F526" s="1573"/>
      <c r="G526" s="1561" t="s">
        <v>1531</v>
      </c>
      <c r="H526" s="1571"/>
      <c r="I526" s="2369" t="e">
        <f>VLOOKUP(I522,'Đội 2'!#REF!,15,0)</f>
        <v>#REF!</v>
      </c>
      <c r="J526" s="2374" t="e">
        <f>+I526*20000+VLOOKUP(I522,'Đội 2'!#REF!,14,0)*$L$5</f>
        <v>#REF!</v>
      </c>
    </row>
    <row r="527" spans="1:14" hidden="1">
      <c r="A527" s="1561" t="s">
        <v>1971</v>
      </c>
      <c r="B527" s="1571"/>
      <c r="C527" s="2369">
        <v>0</v>
      </c>
      <c r="D527" s="2374">
        <f>+C527*25000</f>
        <v>0</v>
      </c>
      <c r="E527" s="1572"/>
      <c r="F527" s="1573"/>
      <c r="G527" s="1561" t="s">
        <v>1971</v>
      </c>
      <c r="H527" s="1571"/>
      <c r="I527" s="2369">
        <v>0</v>
      </c>
      <c r="J527" s="2374">
        <f>+I527*25000</f>
        <v>0</v>
      </c>
    </row>
    <row r="528" spans="1:14">
      <c r="A528" s="1561" t="s">
        <v>210</v>
      </c>
      <c r="B528" s="1571" t="s">
        <v>211</v>
      </c>
      <c r="C528" s="1567" t="e">
        <f>VLOOKUP(C522,'Đội 2'!#REF!,9,0)</f>
        <v>#REF!</v>
      </c>
      <c r="D528" s="2374" t="e">
        <f>VLOOKUP(C522,'Đội 2'!#REF!,11,0)</f>
        <v>#REF!</v>
      </c>
      <c r="E528" s="1574"/>
      <c r="F528" s="1573"/>
      <c r="G528" s="1561" t="s">
        <v>210</v>
      </c>
      <c r="H528" s="1571" t="s">
        <v>211</v>
      </c>
      <c r="I528" s="1567" t="e">
        <f>VLOOKUP(I522,'Đội 2'!#REF!,9,0)</f>
        <v>#REF!</v>
      </c>
      <c r="J528" s="2374" t="e">
        <f>VLOOKUP(I522,'Đội 2'!#REF!,11,0)</f>
        <v>#REF!</v>
      </c>
    </row>
    <row r="529" spans="1:11">
      <c r="A529" s="1568" t="s">
        <v>212</v>
      </c>
      <c r="B529" s="1571" t="s">
        <v>213</v>
      </c>
      <c r="C529" s="1567"/>
      <c r="D529" s="1568"/>
      <c r="E529" s="1575"/>
      <c r="F529" s="1576"/>
      <c r="G529" s="1568" t="s">
        <v>212</v>
      </c>
      <c r="H529" s="1571" t="s">
        <v>213</v>
      </c>
      <c r="I529" s="1567"/>
      <c r="J529" s="1568"/>
    </row>
    <row r="530" spans="1:11">
      <c r="A530" s="1577" t="s">
        <v>214</v>
      </c>
      <c r="B530" s="1571" t="s">
        <v>215</v>
      </c>
      <c r="C530" s="1567"/>
      <c r="D530" s="1568"/>
      <c r="E530" s="1574"/>
      <c r="F530" s="1576"/>
      <c r="G530" s="1577" t="s">
        <v>214</v>
      </c>
      <c r="H530" s="1571" t="s">
        <v>215</v>
      </c>
      <c r="I530" s="1567"/>
      <c r="J530" s="1568"/>
    </row>
    <row r="531" spans="1:11">
      <c r="A531" s="1561" t="s">
        <v>216</v>
      </c>
      <c r="B531" s="1571" t="s">
        <v>217</v>
      </c>
      <c r="C531" s="1567"/>
      <c r="D531" s="1568">
        <v>0</v>
      </c>
      <c r="E531" s="1578"/>
      <c r="F531" s="1560"/>
      <c r="G531" s="1561" t="s">
        <v>216</v>
      </c>
      <c r="H531" s="1571" t="s">
        <v>217</v>
      </c>
      <c r="I531" s="1567"/>
      <c r="J531" s="1568">
        <v>0</v>
      </c>
    </row>
    <row r="532" spans="1:11">
      <c r="A532" s="1568" t="s">
        <v>218</v>
      </c>
      <c r="B532" s="1571" t="s">
        <v>219</v>
      </c>
      <c r="C532" s="1579"/>
      <c r="D532" s="1580" t="e">
        <f>SUM(D523:D528)-D531</f>
        <v>#REF!</v>
      </c>
      <c r="E532" s="1581"/>
      <c r="F532" s="1582"/>
      <c r="G532" s="1568" t="s">
        <v>218</v>
      </c>
      <c r="H532" s="1571" t="s">
        <v>219</v>
      </c>
      <c r="I532" s="1579"/>
      <c r="J532" s="1580" t="e">
        <f>SUM(J523:J528)-J531</f>
        <v>#REF!</v>
      </c>
      <c r="K532" s="3350" t="e">
        <f>J532+D532</f>
        <v>#REF!</v>
      </c>
    </row>
    <row r="533" spans="1:11">
      <c r="A533" s="1583"/>
      <c r="B533" s="1584"/>
      <c r="C533" s="1585"/>
      <c r="D533" s="1586"/>
      <c r="E533" s="1582"/>
      <c r="F533" s="1586"/>
      <c r="G533" s="1583"/>
      <c r="H533" s="1584"/>
      <c r="I533" s="1585"/>
      <c r="J533" s="1582"/>
    </row>
    <row r="534" spans="1:11">
      <c r="A534" s="1587"/>
      <c r="B534" s="1587"/>
      <c r="C534" s="1588"/>
      <c r="D534" s="3335"/>
      <c r="E534" s="1590"/>
      <c r="F534" s="1587"/>
      <c r="G534" s="1587"/>
      <c r="H534" s="1587"/>
      <c r="I534" s="1588"/>
      <c r="J534" s="1591"/>
      <c r="K534" s="3355"/>
    </row>
    <row r="535" spans="1:11">
      <c r="A535" s="4836" t="str">
        <f>$K$2</f>
        <v>Tháng 12/24</v>
      </c>
      <c r="B535" s="4836"/>
      <c r="C535" s="4836"/>
      <c r="D535" s="4836"/>
      <c r="E535" s="1560"/>
      <c r="F535" s="1560"/>
      <c r="G535" s="4836" t="str">
        <f>$K$2</f>
        <v>Tháng 12/24</v>
      </c>
      <c r="H535" s="4836"/>
      <c r="I535" s="4836"/>
      <c r="J535" s="4836"/>
    </row>
    <row r="536" spans="1:11" ht="18">
      <c r="A536" s="1561" t="s">
        <v>1</v>
      </c>
      <c r="B536" s="1562" t="e">
        <f>VLOOKUP(C536,'Đội 2'!#REF!,3,0)</f>
        <v>#REF!</v>
      </c>
      <c r="C536" s="1563">
        <v>3</v>
      </c>
      <c r="D536" s="1563"/>
      <c r="E536" s="1564"/>
      <c r="F536" s="1565"/>
      <c r="G536" s="1561" t="s">
        <v>1</v>
      </c>
      <c r="H536" s="1562" t="e">
        <f>VLOOKUP(I536,'Đội 2'!#REF!,3,0)</f>
        <v>#REF!</v>
      </c>
      <c r="I536" s="1563">
        <v>4</v>
      </c>
      <c r="J536" s="1563"/>
    </row>
    <row r="537" spans="1:11" ht="18">
      <c r="A537" s="1561" t="s">
        <v>205</v>
      </c>
      <c r="B537" s="1566" t="s">
        <v>206</v>
      </c>
      <c r="C537" s="1567" t="e">
        <f>VLOOKUP(C536,'Đội 2'!#REF!,6,0)</f>
        <v>#REF!</v>
      </c>
      <c r="D537" s="1568" t="e">
        <f>C537*25000</f>
        <v>#REF!</v>
      </c>
      <c r="E537" s="1569"/>
      <c r="F537" s="1570"/>
      <c r="G537" s="1561" t="s">
        <v>205</v>
      </c>
      <c r="H537" s="1566" t="s">
        <v>206</v>
      </c>
      <c r="I537" s="1567" t="e">
        <f>VLOOKUP(I536,'Đội 2'!#REF!,6,0)</f>
        <v>#REF!</v>
      </c>
      <c r="J537" s="1568" t="e">
        <f>I537*25000</f>
        <v>#REF!</v>
      </c>
    </row>
    <row r="538" spans="1:11">
      <c r="A538" s="1561" t="s">
        <v>207</v>
      </c>
      <c r="B538" s="1571" t="s">
        <v>208</v>
      </c>
      <c r="C538" s="1567" t="e">
        <f>VLOOKUP(C536,'Đội 2'!#REF!,12,0)</f>
        <v>#REF!</v>
      </c>
      <c r="D538" s="2374" t="e">
        <f>+C538*$L$3</f>
        <v>#REF!</v>
      </c>
      <c r="E538" s="1572"/>
      <c r="F538" s="1573"/>
      <c r="G538" s="1561" t="s">
        <v>207</v>
      </c>
      <c r="H538" s="1571" t="s">
        <v>208</v>
      </c>
      <c r="I538" s="1567" t="e">
        <f>VLOOKUP(I536,'Đội 2'!#REF!,12,0)</f>
        <v>#REF!</v>
      </c>
      <c r="J538" s="2374" t="e">
        <f>+I538*$L$3</f>
        <v>#REF!</v>
      </c>
    </row>
    <row r="539" spans="1:11">
      <c r="A539" s="1561" t="s">
        <v>1259</v>
      </c>
      <c r="B539" s="1571" t="s">
        <v>209</v>
      </c>
      <c r="C539" s="2369" t="e">
        <f>VLOOKUP(C536,'Đội 2'!#REF!,13,0)</f>
        <v>#REF!</v>
      </c>
      <c r="D539" s="2374" t="e">
        <f>+C539*$L$4</f>
        <v>#REF!</v>
      </c>
      <c r="E539" s="1572"/>
      <c r="F539" s="1573"/>
      <c r="G539" s="1561" t="s">
        <v>1259</v>
      </c>
      <c r="H539" s="1571" t="s">
        <v>209</v>
      </c>
      <c r="I539" s="2369" t="e">
        <f>VLOOKUP(I536,'Đội 2'!#REF!,13,0)</f>
        <v>#REF!</v>
      </c>
      <c r="J539" s="2374" t="e">
        <f>+I539*$L$4</f>
        <v>#REF!</v>
      </c>
    </row>
    <row r="540" spans="1:11">
      <c r="A540" s="1561" t="s">
        <v>1531</v>
      </c>
      <c r="B540" s="1571"/>
      <c r="C540" s="2369" t="e">
        <f>VLOOKUP(C536,'Đội 2'!#REF!,15,0)</f>
        <v>#REF!</v>
      </c>
      <c r="D540" s="2374" t="e">
        <f>+C540*20000+VLOOKUP(C536,'Đội 2'!#REF!,14,0)*$L$5</f>
        <v>#REF!</v>
      </c>
      <c r="E540" s="1572"/>
      <c r="F540" s="1573"/>
      <c r="G540" s="1561" t="s">
        <v>1531</v>
      </c>
      <c r="H540" s="1571"/>
      <c r="I540" s="2369" t="e">
        <f>VLOOKUP(I536,'Đội 2'!#REF!,15,0)</f>
        <v>#REF!</v>
      </c>
      <c r="J540" s="2374" t="e">
        <f>+I540*20000+VLOOKUP(I536,'Đội 2'!#REF!,14,0)*$L$5</f>
        <v>#REF!</v>
      </c>
    </row>
    <row r="541" spans="1:11" hidden="1">
      <c r="A541" s="1561" t="s">
        <v>1971</v>
      </c>
      <c r="B541" s="1571"/>
      <c r="C541" s="2369">
        <v>0</v>
      </c>
      <c r="D541" s="2374">
        <f>+C541*25000</f>
        <v>0</v>
      </c>
      <c r="E541" s="1572"/>
      <c r="F541" s="1573"/>
      <c r="G541" s="1561" t="s">
        <v>1971</v>
      </c>
      <c r="H541" s="1571"/>
      <c r="I541" s="2369">
        <v>0</v>
      </c>
      <c r="J541" s="2374">
        <f>+I541*25000</f>
        <v>0</v>
      </c>
    </row>
    <row r="542" spans="1:11">
      <c r="A542" s="1561" t="s">
        <v>210</v>
      </c>
      <c r="B542" s="1571" t="s">
        <v>211</v>
      </c>
      <c r="C542" s="1567" t="e">
        <f>VLOOKUP(C536,'Đội 2'!#REF!,9,0)</f>
        <v>#REF!</v>
      </c>
      <c r="D542" s="2374" t="e">
        <f>VLOOKUP(C536,'Đội 2'!#REF!,11,0)</f>
        <v>#REF!</v>
      </c>
      <c r="E542" s="1574"/>
      <c r="F542" s="1573"/>
      <c r="G542" s="1561" t="s">
        <v>210</v>
      </c>
      <c r="H542" s="1571" t="s">
        <v>211</v>
      </c>
      <c r="I542" s="1567" t="e">
        <f>VLOOKUP(I536,'Đội 2'!#REF!,9,0)</f>
        <v>#REF!</v>
      </c>
      <c r="J542" s="2374" t="e">
        <f>VLOOKUP(I536,'Đội 2'!#REF!,11,0)</f>
        <v>#REF!</v>
      </c>
    </row>
    <row r="543" spans="1:11">
      <c r="A543" s="1568" t="s">
        <v>212</v>
      </c>
      <c r="B543" s="1571" t="s">
        <v>213</v>
      </c>
      <c r="C543" s="1567"/>
      <c r="D543" s="1568"/>
      <c r="E543" s="1575"/>
      <c r="F543" s="1576"/>
      <c r="G543" s="1568" t="s">
        <v>212</v>
      </c>
      <c r="H543" s="1571" t="s">
        <v>213</v>
      </c>
      <c r="I543" s="1567"/>
      <c r="J543" s="1568"/>
    </row>
    <row r="544" spans="1:11">
      <c r="A544" s="1577" t="s">
        <v>214</v>
      </c>
      <c r="B544" s="1571" t="s">
        <v>215</v>
      </c>
      <c r="C544" s="1567"/>
      <c r="D544" s="1568"/>
      <c r="E544" s="1574"/>
      <c r="F544" s="1576"/>
      <c r="G544" s="1577" t="s">
        <v>214</v>
      </c>
      <c r="H544" s="1571" t="s">
        <v>215</v>
      </c>
      <c r="I544" s="1567"/>
      <c r="J544" s="1568"/>
    </row>
    <row r="545" spans="1:11">
      <c r="A545" s="1561" t="s">
        <v>216</v>
      </c>
      <c r="B545" s="1571" t="s">
        <v>217</v>
      </c>
      <c r="C545" s="1567"/>
      <c r="D545" s="1568">
        <v>0</v>
      </c>
      <c r="E545" s="1578"/>
      <c r="F545" s="1560"/>
      <c r="G545" s="1561" t="s">
        <v>216</v>
      </c>
      <c r="H545" s="1571" t="s">
        <v>217</v>
      </c>
      <c r="I545" s="1567"/>
      <c r="J545" s="1568">
        <v>0</v>
      </c>
    </row>
    <row r="546" spans="1:11">
      <c r="A546" s="1568" t="s">
        <v>218</v>
      </c>
      <c r="B546" s="1571" t="s">
        <v>219</v>
      </c>
      <c r="C546" s="1579"/>
      <c r="D546" s="1580" t="e">
        <f>SUM(D537:D542)-D545</f>
        <v>#REF!</v>
      </c>
      <c r="E546" s="1581"/>
      <c r="F546" s="1582"/>
      <c r="G546" s="1568" t="s">
        <v>218</v>
      </c>
      <c r="H546" s="1571" t="s">
        <v>219</v>
      </c>
      <c r="I546" s="1579"/>
      <c r="J546" s="1580" t="e">
        <f>SUM(J537:J542)-J545</f>
        <v>#REF!</v>
      </c>
      <c r="K546" s="3350" t="e">
        <f>J546+D546</f>
        <v>#REF!</v>
      </c>
    </row>
    <row r="547" spans="1:11">
      <c r="A547" s="1583"/>
      <c r="B547" s="1584"/>
      <c r="C547" s="1585"/>
      <c r="D547" s="1586"/>
      <c r="E547" s="1582"/>
      <c r="F547" s="1586"/>
      <c r="G547" s="1583"/>
      <c r="H547" s="1584"/>
      <c r="I547" s="1585"/>
      <c r="J547" s="1582"/>
    </row>
    <row r="548" spans="1:11">
      <c r="A548" s="1587"/>
      <c r="B548" s="1587"/>
      <c r="C548" s="1588"/>
      <c r="D548" s="3335"/>
      <c r="E548" s="1590"/>
      <c r="F548" s="1587"/>
      <c r="G548" s="1587"/>
      <c r="H548" s="1587"/>
      <c r="I548" s="1588"/>
      <c r="J548" s="1591"/>
      <c r="K548" s="3355"/>
    </row>
    <row r="549" spans="1:11">
      <c r="A549" s="4836" t="str">
        <f>$K$2</f>
        <v>Tháng 12/24</v>
      </c>
      <c r="B549" s="4836"/>
      <c r="C549" s="4836"/>
      <c r="D549" s="4836"/>
      <c r="E549" s="1560"/>
      <c r="F549" s="1560"/>
      <c r="G549" s="4836" t="str">
        <f>$K$2</f>
        <v>Tháng 12/24</v>
      </c>
      <c r="H549" s="4836"/>
      <c r="I549" s="4836"/>
      <c r="J549" s="4836"/>
    </row>
    <row r="550" spans="1:11" ht="18">
      <c r="A550" s="1561" t="s">
        <v>1</v>
      </c>
      <c r="B550" s="1562" t="e">
        <f>VLOOKUP(C550,'Đội 2'!#REF!,3,0)</f>
        <v>#REF!</v>
      </c>
      <c r="C550" s="1563">
        <v>5</v>
      </c>
      <c r="D550" s="1563"/>
      <c r="E550" s="1564"/>
      <c r="F550" s="1565"/>
      <c r="G550" s="1561" t="s">
        <v>1</v>
      </c>
      <c r="H550" s="1562" t="e">
        <f>VLOOKUP(I550,'Đội 2'!#REF!,3,0)</f>
        <v>#REF!</v>
      </c>
      <c r="I550" s="1563">
        <v>6</v>
      </c>
      <c r="J550" s="1563"/>
    </row>
    <row r="551" spans="1:11" ht="18">
      <c r="A551" s="1561" t="s">
        <v>205</v>
      </c>
      <c r="B551" s="1566" t="s">
        <v>206</v>
      </c>
      <c r="C551" s="1567" t="e">
        <f>VLOOKUP(C550,'Đội 2'!#REF!,6,0)</f>
        <v>#REF!</v>
      </c>
      <c r="D551" s="1568" t="e">
        <f>C551*25000</f>
        <v>#REF!</v>
      </c>
      <c r="E551" s="1569"/>
      <c r="F551" s="1570"/>
      <c r="G551" s="1561" t="s">
        <v>205</v>
      </c>
      <c r="H551" s="1566" t="s">
        <v>206</v>
      </c>
      <c r="I551" s="1567" t="e">
        <f>VLOOKUP(I550,'Đội 2'!#REF!,6,0)</f>
        <v>#REF!</v>
      </c>
      <c r="J551" s="1568" t="e">
        <f>I551*25000</f>
        <v>#REF!</v>
      </c>
    </row>
    <row r="552" spans="1:11">
      <c r="A552" s="1561" t="s">
        <v>207</v>
      </c>
      <c r="B552" s="1571" t="s">
        <v>208</v>
      </c>
      <c r="C552" s="1567" t="e">
        <f>VLOOKUP(C550,'Đội 2'!#REF!,12,0)</f>
        <v>#REF!</v>
      </c>
      <c r="D552" s="2374" t="e">
        <f>+C552*$L$3</f>
        <v>#REF!</v>
      </c>
      <c r="E552" s="1572"/>
      <c r="F552" s="1573"/>
      <c r="G552" s="1561" t="s">
        <v>207</v>
      </c>
      <c r="H552" s="1571" t="s">
        <v>208</v>
      </c>
      <c r="I552" s="1567" t="e">
        <f>VLOOKUP(I550,'Đội 2'!#REF!,12,0)</f>
        <v>#REF!</v>
      </c>
      <c r="J552" s="2374" t="e">
        <f>+I552*$L$3</f>
        <v>#REF!</v>
      </c>
    </row>
    <row r="553" spans="1:11">
      <c r="A553" s="1561" t="s">
        <v>1259</v>
      </c>
      <c r="B553" s="1571" t="s">
        <v>209</v>
      </c>
      <c r="C553" s="2369" t="e">
        <f>VLOOKUP(C550,'Đội 2'!#REF!,13,0)</f>
        <v>#REF!</v>
      </c>
      <c r="D553" s="2374" t="e">
        <f>+C553*$L$4</f>
        <v>#REF!</v>
      </c>
      <c r="E553" s="1572"/>
      <c r="F553" s="1573"/>
      <c r="G553" s="1561" t="s">
        <v>1259</v>
      </c>
      <c r="H553" s="1571" t="s">
        <v>209</v>
      </c>
      <c r="I553" s="2369" t="e">
        <f>VLOOKUP(I550,'Đội 2'!#REF!,13,0)</f>
        <v>#REF!</v>
      </c>
      <c r="J553" s="2374" t="e">
        <f>+I553*$L$4</f>
        <v>#REF!</v>
      </c>
    </row>
    <row r="554" spans="1:11">
      <c r="A554" s="1561" t="s">
        <v>1531</v>
      </c>
      <c r="B554" s="1571"/>
      <c r="C554" s="2369" t="e">
        <f>VLOOKUP(C550,'Đội 2'!#REF!,15,0)</f>
        <v>#REF!</v>
      </c>
      <c r="D554" s="2374" t="e">
        <f>+C554*20000+VLOOKUP(C550,'Đội 2'!#REF!,14,0)*$L$5</f>
        <v>#REF!</v>
      </c>
      <c r="E554" s="1572"/>
      <c r="F554" s="1573"/>
      <c r="G554" s="1561" t="s">
        <v>1531</v>
      </c>
      <c r="H554" s="1571"/>
      <c r="I554" s="2369" t="e">
        <f>VLOOKUP(I550,'Đội 2'!#REF!,15,0)</f>
        <v>#REF!</v>
      </c>
      <c r="J554" s="2374" t="e">
        <f>+I554*20000+VLOOKUP(I550,'Đội 2'!#REF!,14,0)*$L$5</f>
        <v>#REF!</v>
      </c>
    </row>
    <row r="555" spans="1:11" hidden="1">
      <c r="A555" s="1561" t="s">
        <v>1971</v>
      </c>
      <c r="B555" s="1571"/>
      <c r="C555" s="2369">
        <v>0</v>
      </c>
      <c r="D555" s="2374">
        <f>+C555*25000</f>
        <v>0</v>
      </c>
      <c r="E555" s="1572"/>
      <c r="F555" s="1573"/>
      <c r="G555" s="1561" t="s">
        <v>1971</v>
      </c>
      <c r="H555" s="1571"/>
      <c r="I555" s="2369">
        <v>0</v>
      </c>
      <c r="J555" s="2374">
        <f>+I555*25000</f>
        <v>0</v>
      </c>
    </row>
    <row r="556" spans="1:11">
      <c r="A556" s="1561" t="s">
        <v>210</v>
      </c>
      <c r="B556" s="1571" t="s">
        <v>211</v>
      </c>
      <c r="C556" s="1567" t="e">
        <f>VLOOKUP(C550,'Đội 2'!#REF!,9,0)</f>
        <v>#REF!</v>
      </c>
      <c r="D556" s="2374" t="e">
        <f>VLOOKUP(C550,'Đội 2'!#REF!,11,0)</f>
        <v>#REF!</v>
      </c>
      <c r="E556" s="1574"/>
      <c r="F556" s="1573"/>
      <c r="G556" s="1561" t="s">
        <v>210</v>
      </c>
      <c r="H556" s="1571" t="s">
        <v>211</v>
      </c>
      <c r="I556" s="1567" t="e">
        <f>VLOOKUP(I550,'Đội 2'!#REF!,9,0)</f>
        <v>#REF!</v>
      </c>
      <c r="J556" s="2374" t="e">
        <f>VLOOKUP(I550,'Đội 2'!#REF!,11,0)</f>
        <v>#REF!</v>
      </c>
    </row>
    <row r="557" spans="1:11">
      <c r="A557" s="1568" t="s">
        <v>212</v>
      </c>
      <c r="B557" s="1571" t="s">
        <v>213</v>
      </c>
      <c r="C557" s="1567"/>
      <c r="D557" s="1568"/>
      <c r="E557" s="1575"/>
      <c r="F557" s="1576"/>
      <c r="G557" s="1568" t="s">
        <v>212</v>
      </c>
      <c r="H557" s="1571" t="s">
        <v>213</v>
      </c>
      <c r="I557" s="1567"/>
      <c r="J557" s="1568"/>
    </row>
    <row r="558" spans="1:11">
      <c r="A558" s="1577" t="s">
        <v>214</v>
      </c>
      <c r="B558" s="1571" t="s">
        <v>215</v>
      </c>
      <c r="C558" s="1567"/>
      <c r="D558" s="1568"/>
      <c r="E558" s="1574"/>
      <c r="F558" s="1576"/>
      <c r="G558" s="1577" t="s">
        <v>214</v>
      </c>
      <c r="H558" s="1571" t="s">
        <v>215</v>
      </c>
      <c r="I558" s="1567"/>
      <c r="J558" s="1568"/>
    </row>
    <row r="559" spans="1:11">
      <c r="A559" s="1561" t="s">
        <v>216</v>
      </c>
      <c r="B559" s="1571" t="s">
        <v>217</v>
      </c>
      <c r="C559" s="1567"/>
      <c r="D559" s="1568">
        <v>0</v>
      </c>
      <c r="E559" s="1578"/>
      <c r="F559" s="1560"/>
      <c r="G559" s="1561" t="s">
        <v>216</v>
      </c>
      <c r="H559" s="1571" t="s">
        <v>217</v>
      </c>
      <c r="I559" s="1567"/>
      <c r="J559" s="1568">
        <v>0</v>
      </c>
    </row>
    <row r="560" spans="1:11">
      <c r="A560" s="1568" t="s">
        <v>218</v>
      </c>
      <c r="B560" s="1571" t="s">
        <v>219</v>
      </c>
      <c r="C560" s="1579"/>
      <c r="D560" s="1580" t="e">
        <f>SUM(D551:D556)-D559</f>
        <v>#REF!</v>
      </c>
      <c r="E560" s="1581"/>
      <c r="F560" s="1582"/>
      <c r="G560" s="1568" t="s">
        <v>218</v>
      </c>
      <c r="H560" s="1571" t="s">
        <v>219</v>
      </c>
      <c r="I560" s="1579"/>
      <c r="J560" s="1580" t="e">
        <f>SUM(J551:J556)-J559</f>
        <v>#REF!</v>
      </c>
      <c r="K560" s="3350" t="e">
        <f>J560+D560</f>
        <v>#REF!</v>
      </c>
    </row>
    <row r="561" spans="1:11">
      <c r="A561" s="1583"/>
      <c r="B561" s="1584"/>
      <c r="C561" s="1585"/>
      <c r="D561" s="1586"/>
      <c r="E561" s="1582"/>
      <c r="F561" s="1586"/>
      <c r="G561" s="1583"/>
      <c r="H561" s="1584"/>
      <c r="I561" s="1585"/>
      <c r="J561" s="1582"/>
    </row>
    <row r="562" spans="1:11">
      <c r="A562" s="1587"/>
      <c r="B562" s="1587"/>
      <c r="C562" s="1588"/>
      <c r="D562" s="1589"/>
      <c r="E562" s="1590"/>
      <c r="F562" s="1587"/>
      <c r="G562" s="1587"/>
      <c r="H562" s="1587"/>
      <c r="I562" s="1588"/>
      <c r="J562" s="1591"/>
      <c r="K562" s="3355"/>
    </row>
    <row r="563" spans="1:11">
      <c r="A563" s="4836" t="str">
        <f>$K$2</f>
        <v>Tháng 12/24</v>
      </c>
      <c r="B563" s="4836"/>
      <c r="C563" s="4836"/>
      <c r="D563" s="4836"/>
      <c r="E563" s="1560"/>
      <c r="F563" s="1560"/>
      <c r="G563" s="4836" t="str">
        <f>$K$2</f>
        <v>Tháng 12/24</v>
      </c>
      <c r="H563" s="4836"/>
      <c r="I563" s="4836"/>
      <c r="J563" s="4836"/>
    </row>
    <row r="564" spans="1:11" ht="10.5" customHeight="1">
      <c r="A564" s="1561" t="s">
        <v>1</v>
      </c>
      <c r="B564" s="1562" t="e">
        <f>VLOOKUP(C564,'Đội 2'!#REF!,3,0)</f>
        <v>#REF!</v>
      </c>
      <c r="C564" s="1563">
        <v>7</v>
      </c>
      <c r="D564" s="1563"/>
      <c r="E564" s="1564"/>
      <c r="F564" s="1565"/>
      <c r="G564" s="1561" t="s">
        <v>1</v>
      </c>
      <c r="H564" s="1562" t="e">
        <f>VLOOKUP(I564,'Đội 2'!#REF!,3,0)</f>
        <v>#REF!</v>
      </c>
      <c r="I564" s="1563">
        <v>8</v>
      </c>
      <c r="J564" s="1563"/>
    </row>
    <row r="565" spans="1:11" ht="12.75" customHeight="1">
      <c r="A565" s="1561" t="s">
        <v>205</v>
      </c>
      <c r="B565" s="1566" t="s">
        <v>206</v>
      </c>
      <c r="C565" s="1567" t="e">
        <f>VLOOKUP(C564,'Đội 2'!#REF!,6,0)</f>
        <v>#REF!</v>
      </c>
      <c r="D565" s="1568" t="e">
        <f>C565*25000</f>
        <v>#REF!</v>
      </c>
      <c r="E565" s="1569"/>
      <c r="F565" s="1570"/>
      <c r="G565" s="1561" t="s">
        <v>205</v>
      </c>
      <c r="H565" s="1566" t="s">
        <v>206</v>
      </c>
      <c r="I565" s="1567" t="e">
        <f>VLOOKUP(I564,'Đội 2'!#REF!,6,0)</f>
        <v>#REF!</v>
      </c>
      <c r="J565" s="1568" t="e">
        <f>I565*25000</f>
        <v>#REF!</v>
      </c>
    </row>
    <row r="566" spans="1:11">
      <c r="A566" s="1561" t="s">
        <v>207</v>
      </c>
      <c r="B566" s="1571" t="s">
        <v>208</v>
      </c>
      <c r="C566" s="1567" t="e">
        <f>VLOOKUP(C564,'Đội 2'!#REF!,12,0)</f>
        <v>#REF!</v>
      </c>
      <c r="D566" s="2374" t="e">
        <f>+C566*$L$3</f>
        <v>#REF!</v>
      </c>
      <c r="E566" s="1572"/>
      <c r="F566" s="1573"/>
      <c r="G566" s="1561" t="s">
        <v>207</v>
      </c>
      <c r="H566" s="1571" t="s">
        <v>208</v>
      </c>
      <c r="I566" s="1567" t="e">
        <f>VLOOKUP(I564,'Đội 2'!#REF!,12,0)</f>
        <v>#REF!</v>
      </c>
      <c r="J566" s="2374" t="e">
        <f>+I566*$L$3</f>
        <v>#REF!</v>
      </c>
    </row>
    <row r="567" spans="1:11">
      <c r="A567" s="1561" t="s">
        <v>1259</v>
      </c>
      <c r="B567" s="1571" t="s">
        <v>209</v>
      </c>
      <c r="C567" s="2369" t="e">
        <f>VLOOKUP(C564,'Đội 2'!#REF!,13,0)</f>
        <v>#REF!</v>
      </c>
      <c r="D567" s="2374" t="e">
        <f>+C567*$L$4</f>
        <v>#REF!</v>
      </c>
      <c r="E567" s="1572"/>
      <c r="F567" s="1573"/>
      <c r="G567" s="1561" t="s">
        <v>1259</v>
      </c>
      <c r="H567" s="1571" t="s">
        <v>209</v>
      </c>
      <c r="I567" s="2369" t="e">
        <f>VLOOKUP(I564,'Đội 2'!#REF!,13,0)</f>
        <v>#REF!</v>
      </c>
      <c r="J567" s="2374" t="e">
        <f>+I567*$L$4</f>
        <v>#REF!</v>
      </c>
    </row>
    <row r="568" spans="1:11">
      <c r="A568" s="1561" t="s">
        <v>1531</v>
      </c>
      <c r="B568" s="1571"/>
      <c r="C568" s="2369" t="e">
        <f>VLOOKUP(C564,'Đội 2'!#REF!,15,0)</f>
        <v>#REF!</v>
      </c>
      <c r="D568" s="2374" t="e">
        <f>+C568*20000+VLOOKUP(C564,'Đội 2'!#REF!,14,0)*$L$5</f>
        <v>#REF!</v>
      </c>
      <c r="E568" s="1572"/>
      <c r="F568" s="1573"/>
      <c r="G568" s="1561" t="s">
        <v>1531</v>
      </c>
      <c r="H568" s="1571"/>
      <c r="I568" s="2369" t="e">
        <f>VLOOKUP(I564,'Đội 2'!#REF!,15,0)</f>
        <v>#REF!</v>
      </c>
      <c r="J568" s="2374" t="e">
        <f>+I568*20000+VLOOKUP(I564,'Đội 2'!#REF!,14,0)*$L$5</f>
        <v>#REF!</v>
      </c>
    </row>
    <row r="569" spans="1:11" hidden="1">
      <c r="A569" s="1561" t="s">
        <v>1971</v>
      </c>
      <c r="B569" s="1571"/>
      <c r="C569" s="2369">
        <v>0</v>
      </c>
      <c r="D569" s="2374">
        <f>+C569*25000</f>
        <v>0</v>
      </c>
      <c r="E569" s="1572"/>
      <c r="F569" s="1573"/>
      <c r="G569" s="1561" t="s">
        <v>1971</v>
      </c>
      <c r="H569" s="1571"/>
      <c r="I569" s="2369">
        <v>0</v>
      </c>
      <c r="J569" s="2374">
        <f>+I569*25000</f>
        <v>0</v>
      </c>
    </row>
    <row r="570" spans="1:11">
      <c r="A570" s="1561" t="s">
        <v>210</v>
      </c>
      <c r="B570" s="1571" t="s">
        <v>211</v>
      </c>
      <c r="C570" s="1567" t="e">
        <f>VLOOKUP(C564,'Đội 2'!#REF!,9,0)</f>
        <v>#REF!</v>
      </c>
      <c r="D570" s="2374" t="e">
        <f>VLOOKUP(C564,'Đội 2'!#REF!,11,0)</f>
        <v>#REF!</v>
      </c>
      <c r="E570" s="1574"/>
      <c r="F570" s="1573"/>
      <c r="G570" s="1561" t="s">
        <v>210</v>
      </c>
      <c r="H570" s="1571" t="s">
        <v>211</v>
      </c>
      <c r="I570" s="1567" t="e">
        <f>VLOOKUP(I564,'Đội 2'!#REF!,9,0)</f>
        <v>#REF!</v>
      </c>
      <c r="J570" s="2374" t="e">
        <f>VLOOKUP(I564,'Đội 2'!#REF!,11,0)</f>
        <v>#REF!</v>
      </c>
    </row>
    <row r="571" spans="1:11">
      <c r="A571" s="1568" t="s">
        <v>212</v>
      </c>
      <c r="B571" s="1571" t="s">
        <v>213</v>
      </c>
      <c r="C571" s="1567"/>
      <c r="D571" s="1568"/>
      <c r="E571" s="1575"/>
      <c r="F571" s="1576"/>
      <c r="G571" s="1568" t="s">
        <v>212</v>
      </c>
      <c r="H571" s="1571" t="s">
        <v>213</v>
      </c>
      <c r="I571" s="1567"/>
      <c r="J571" s="1568"/>
    </row>
    <row r="572" spans="1:11">
      <c r="A572" s="1577" t="s">
        <v>214</v>
      </c>
      <c r="B572" s="1571" t="s">
        <v>215</v>
      </c>
      <c r="C572" s="1567"/>
      <c r="D572" s="1568"/>
      <c r="E572" s="1574"/>
      <c r="F572" s="1576"/>
      <c r="G572" s="1577" t="s">
        <v>214</v>
      </c>
      <c r="H572" s="1571" t="s">
        <v>215</v>
      </c>
      <c r="I572" s="1567"/>
      <c r="J572" s="1568"/>
    </row>
    <row r="573" spans="1:11">
      <c r="A573" s="1561" t="s">
        <v>216</v>
      </c>
      <c r="B573" s="1571" t="s">
        <v>217</v>
      </c>
      <c r="C573" s="1567"/>
      <c r="D573" s="1568">
        <v>0</v>
      </c>
      <c r="E573" s="1578"/>
      <c r="F573" s="1560"/>
      <c r="G573" s="1561" t="s">
        <v>216</v>
      </c>
      <c r="H573" s="1571" t="s">
        <v>217</v>
      </c>
      <c r="I573" s="1567"/>
      <c r="J573" s="1568">
        <v>0</v>
      </c>
    </row>
    <row r="574" spans="1:11">
      <c r="A574" s="1568" t="s">
        <v>218</v>
      </c>
      <c r="B574" s="1571" t="s">
        <v>219</v>
      </c>
      <c r="C574" s="1579"/>
      <c r="D574" s="1580" t="e">
        <f>SUM(D565:D570)-D573</f>
        <v>#REF!</v>
      </c>
      <c r="E574" s="1581"/>
      <c r="F574" s="1582"/>
      <c r="G574" s="1568" t="s">
        <v>218</v>
      </c>
      <c r="H574" s="1571" t="s">
        <v>219</v>
      </c>
      <c r="I574" s="1579"/>
      <c r="J574" s="1580" t="e">
        <f>SUM(J565:J570)-J573</f>
        <v>#REF!</v>
      </c>
      <c r="K574" s="3350" t="e">
        <f>J574+D574</f>
        <v>#REF!</v>
      </c>
    </row>
    <row r="575" spans="1:11">
      <c r="A575" s="1583"/>
      <c r="B575" s="1584"/>
      <c r="C575" s="1585"/>
      <c r="D575" s="1586"/>
      <c r="E575" s="1582"/>
      <c r="F575" s="1586"/>
      <c r="G575" s="1583"/>
      <c r="H575" s="1584"/>
      <c r="I575" s="1585"/>
      <c r="J575" s="1582"/>
    </row>
    <row r="576" spans="1:11">
      <c r="A576" s="1587"/>
      <c r="B576" s="1587"/>
      <c r="C576" s="1588"/>
      <c r="D576" s="3335"/>
      <c r="E576" s="1590"/>
      <c r="F576" s="1587"/>
      <c r="G576" s="1587"/>
      <c r="H576" s="1587"/>
      <c r="I576" s="1588"/>
      <c r="J576" s="1591"/>
      <c r="K576" s="3355"/>
    </row>
    <row r="577" spans="1:11">
      <c r="A577" s="4836" t="str">
        <f>$K$2</f>
        <v>Tháng 12/24</v>
      </c>
      <c r="B577" s="4836"/>
      <c r="C577" s="4836"/>
      <c r="D577" s="4836"/>
      <c r="E577" s="1560"/>
      <c r="F577" s="1560"/>
      <c r="G577" s="4836" t="str">
        <f>$K$2</f>
        <v>Tháng 12/24</v>
      </c>
      <c r="H577" s="4836"/>
      <c r="I577" s="4836"/>
      <c r="J577" s="4836"/>
    </row>
    <row r="578" spans="1:11" ht="18">
      <c r="A578" s="1561" t="s">
        <v>1</v>
      </c>
      <c r="B578" s="1562" t="e">
        <f>VLOOKUP(C578,'Đội 2'!#REF!,3,0)</f>
        <v>#REF!</v>
      </c>
      <c r="C578" s="1563">
        <v>9</v>
      </c>
      <c r="D578" s="1563"/>
      <c r="E578" s="1564"/>
      <c r="F578" s="1565"/>
      <c r="G578" s="1561" t="s">
        <v>1</v>
      </c>
      <c r="H578" s="1562" t="e">
        <f>VLOOKUP(I578,'Đội 2'!#REF!,3,0)</f>
        <v>#REF!</v>
      </c>
      <c r="I578" s="1563">
        <v>10</v>
      </c>
      <c r="J578" s="1563"/>
    </row>
    <row r="579" spans="1:11" ht="18">
      <c r="A579" s="1561" t="s">
        <v>205</v>
      </c>
      <c r="B579" s="1566" t="s">
        <v>206</v>
      </c>
      <c r="C579" s="1567" t="e">
        <f>VLOOKUP(C578,'Đội 2'!#REF!,6,0)</f>
        <v>#REF!</v>
      </c>
      <c r="D579" s="1568" t="e">
        <f>C579*25000</f>
        <v>#REF!</v>
      </c>
      <c r="E579" s="1569"/>
      <c r="F579" s="1570"/>
      <c r="G579" s="1561" t="s">
        <v>205</v>
      </c>
      <c r="H579" s="1566" t="s">
        <v>206</v>
      </c>
      <c r="I579" s="1567" t="e">
        <f>VLOOKUP(I578,'Đội 2'!#REF!,6,0)</f>
        <v>#REF!</v>
      </c>
      <c r="J579" s="1568" t="e">
        <f>I579*25000</f>
        <v>#REF!</v>
      </c>
    </row>
    <row r="580" spans="1:11">
      <c r="A580" s="1561" t="s">
        <v>207</v>
      </c>
      <c r="B580" s="1571" t="s">
        <v>208</v>
      </c>
      <c r="C580" s="1567" t="e">
        <f>VLOOKUP(C578,'Đội 2'!#REF!,12,0)</f>
        <v>#REF!</v>
      </c>
      <c r="D580" s="2374" t="e">
        <f>+C580*$L$3</f>
        <v>#REF!</v>
      </c>
      <c r="E580" s="1572"/>
      <c r="F580" s="1573"/>
      <c r="G580" s="1561" t="s">
        <v>207</v>
      </c>
      <c r="H580" s="1571" t="s">
        <v>208</v>
      </c>
      <c r="I580" s="1567" t="e">
        <f>VLOOKUP(I578,'Đội 2'!#REF!,12,0)</f>
        <v>#REF!</v>
      </c>
      <c r="J580" s="2374" t="e">
        <f>+I580*$L$3</f>
        <v>#REF!</v>
      </c>
    </row>
    <row r="581" spans="1:11">
      <c r="A581" s="1561" t="s">
        <v>1259</v>
      </c>
      <c r="B581" s="1571" t="s">
        <v>209</v>
      </c>
      <c r="C581" s="2369" t="e">
        <f>VLOOKUP(C578,'Đội 2'!#REF!,13,0)</f>
        <v>#REF!</v>
      </c>
      <c r="D581" s="2374" t="e">
        <f>+C581*$L$4</f>
        <v>#REF!</v>
      </c>
      <c r="E581" s="1572"/>
      <c r="F581" s="1573"/>
      <c r="G581" s="1561" t="s">
        <v>1259</v>
      </c>
      <c r="H581" s="1571" t="s">
        <v>209</v>
      </c>
      <c r="I581" s="2369" t="e">
        <f>VLOOKUP(I578,'Đội 2'!#REF!,13,0)</f>
        <v>#REF!</v>
      </c>
      <c r="J581" s="2374" t="e">
        <f>+I581*$L$4</f>
        <v>#REF!</v>
      </c>
    </row>
    <row r="582" spans="1:11">
      <c r="A582" s="1561" t="s">
        <v>1531</v>
      </c>
      <c r="B582" s="1571"/>
      <c r="C582" s="2369" t="e">
        <f>VLOOKUP(C578,'Đội 2'!#REF!,15,0)</f>
        <v>#REF!</v>
      </c>
      <c r="D582" s="2374" t="e">
        <f>+C582*20000+VLOOKUP(C578,'Đội 2'!#REF!,14,0)*$L$5</f>
        <v>#REF!</v>
      </c>
      <c r="E582" s="1572"/>
      <c r="F582" s="1573"/>
      <c r="G582" s="1561" t="s">
        <v>1531</v>
      </c>
      <c r="H582" s="1571"/>
      <c r="I582" s="2369" t="e">
        <f>VLOOKUP(I578,'Đội 2'!#REF!,15,0)</f>
        <v>#REF!</v>
      </c>
      <c r="J582" s="2374" t="e">
        <f>+I582*20000+VLOOKUP(I578,'Đội 2'!#REF!,14,0)*$L$5</f>
        <v>#REF!</v>
      </c>
    </row>
    <row r="583" spans="1:11" hidden="1">
      <c r="A583" s="1561" t="s">
        <v>1971</v>
      </c>
      <c r="B583" s="1571"/>
      <c r="C583" s="2369">
        <v>0</v>
      </c>
      <c r="D583" s="2374">
        <f>+C583*25000</f>
        <v>0</v>
      </c>
      <c r="E583" s="1572"/>
      <c r="F583" s="1573"/>
      <c r="G583" s="1561" t="s">
        <v>1971</v>
      </c>
      <c r="H583" s="1571"/>
      <c r="I583" s="2369">
        <v>0</v>
      </c>
      <c r="J583" s="2374">
        <f>+I583*25000</f>
        <v>0</v>
      </c>
    </row>
    <row r="584" spans="1:11">
      <c r="A584" s="1561" t="s">
        <v>210</v>
      </c>
      <c r="B584" s="1571" t="s">
        <v>211</v>
      </c>
      <c r="C584" s="1567" t="e">
        <f>VLOOKUP(C578,'Đội 2'!#REF!,9,0)</f>
        <v>#REF!</v>
      </c>
      <c r="D584" s="2374" t="e">
        <f>VLOOKUP(C578,'Đội 2'!#REF!,11,0)</f>
        <v>#REF!</v>
      </c>
      <c r="E584" s="1574"/>
      <c r="F584" s="1573"/>
      <c r="G584" s="1561" t="s">
        <v>210</v>
      </c>
      <c r="H584" s="1571" t="s">
        <v>211</v>
      </c>
      <c r="I584" s="1567" t="e">
        <f>VLOOKUP(I578,'Đội 2'!#REF!,9,0)</f>
        <v>#REF!</v>
      </c>
      <c r="J584" s="2374" t="e">
        <f>VLOOKUP(I578,'Đội 2'!#REF!,11,0)</f>
        <v>#REF!</v>
      </c>
    </row>
    <row r="585" spans="1:11">
      <c r="A585" s="1568" t="s">
        <v>212</v>
      </c>
      <c r="B585" s="1571" t="s">
        <v>213</v>
      </c>
      <c r="C585" s="1567"/>
      <c r="D585" s="1568"/>
      <c r="E585" s="1575"/>
      <c r="F585" s="1576"/>
      <c r="G585" s="1568" t="s">
        <v>212</v>
      </c>
      <c r="H585" s="1571" t="s">
        <v>213</v>
      </c>
      <c r="I585" s="1567"/>
      <c r="J585" s="1568"/>
    </row>
    <row r="586" spans="1:11">
      <c r="A586" s="1577" t="s">
        <v>214</v>
      </c>
      <c r="B586" s="1571" t="s">
        <v>215</v>
      </c>
      <c r="C586" s="1567"/>
      <c r="D586" s="1568"/>
      <c r="E586" s="1574"/>
      <c r="F586" s="1576"/>
      <c r="G586" s="1577" t="s">
        <v>214</v>
      </c>
      <c r="H586" s="1571" t="s">
        <v>215</v>
      </c>
      <c r="I586" s="1567"/>
      <c r="J586" s="1568"/>
    </row>
    <row r="587" spans="1:11">
      <c r="A587" s="1561" t="s">
        <v>216</v>
      </c>
      <c r="B587" s="1571" t="s">
        <v>217</v>
      </c>
      <c r="C587" s="1567"/>
      <c r="D587" s="1568">
        <v>0</v>
      </c>
      <c r="E587" s="1578"/>
      <c r="F587" s="1560"/>
      <c r="G587" s="1561" t="s">
        <v>216</v>
      </c>
      <c r="H587" s="1571" t="s">
        <v>217</v>
      </c>
      <c r="I587" s="1567"/>
      <c r="J587" s="1568">
        <v>0</v>
      </c>
    </row>
    <row r="588" spans="1:11">
      <c r="A588" s="1568" t="s">
        <v>218</v>
      </c>
      <c r="B588" s="1571" t="s">
        <v>219</v>
      </c>
      <c r="C588" s="1579"/>
      <c r="D588" s="1580" t="e">
        <f>SUM(D579:D584)-D587</f>
        <v>#REF!</v>
      </c>
      <c r="E588" s="1581"/>
      <c r="F588" s="1582"/>
      <c r="G588" s="1568" t="s">
        <v>218</v>
      </c>
      <c r="H588" s="1571" t="s">
        <v>219</v>
      </c>
      <c r="I588" s="1579"/>
      <c r="J588" s="1580" t="e">
        <f>SUM(J579:J584)-J587</f>
        <v>#REF!</v>
      </c>
      <c r="K588" s="3350" t="e">
        <f>J588+D588</f>
        <v>#REF!</v>
      </c>
    </row>
    <row r="589" spans="1:11">
      <c r="A589" s="1583"/>
      <c r="B589" s="1584"/>
      <c r="C589" s="1585"/>
      <c r="D589" s="1586"/>
      <c r="E589" s="1582"/>
      <c r="F589" s="1586"/>
      <c r="G589" s="1583"/>
      <c r="H589" s="1584"/>
      <c r="I589" s="1585"/>
      <c r="J589" s="1582"/>
    </row>
    <row r="590" spans="1:11">
      <c r="A590" s="1587"/>
      <c r="B590" s="1587"/>
      <c r="C590" s="1588"/>
      <c r="D590" s="3335"/>
      <c r="E590" s="1590"/>
      <c r="F590" s="1587"/>
      <c r="G590" s="1587"/>
      <c r="H590" s="1587"/>
      <c r="I590" s="1588"/>
      <c r="J590" s="1591"/>
      <c r="K590" s="3355"/>
    </row>
    <row r="591" spans="1:11">
      <c r="A591" s="4836" t="str">
        <f>$K$2</f>
        <v>Tháng 12/24</v>
      </c>
      <c r="B591" s="4836"/>
      <c r="C591" s="4836"/>
      <c r="D591" s="4836"/>
      <c r="E591" s="1560"/>
      <c r="F591" s="1560"/>
      <c r="G591" s="4836" t="str">
        <f>$K$2</f>
        <v>Tháng 12/24</v>
      </c>
      <c r="H591" s="4836"/>
      <c r="I591" s="4836"/>
      <c r="J591" s="4836"/>
    </row>
    <row r="592" spans="1:11" ht="18">
      <c r="A592" s="1561" t="s">
        <v>1</v>
      </c>
      <c r="B592" s="1562" t="e">
        <f>VLOOKUP(C592,'Đội 2'!#REF!,3,0)</f>
        <v>#REF!</v>
      </c>
      <c r="C592" s="1563">
        <v>11</v>
      </c>
      <c r="D592" s="1563"/>
      <c r="E592" s="1564"/>
      <c r="F592" s="1565"/>
      <c r="G592" s="1561" t="s">
        <v>1</v>
      </c>
      <c r="H592" s="1562" t="e">
        <f>VLOOKUP(I592,'Đội 2'!#REF!,3,0)</f>
        <v>#REF!</v>
      </c>
      <c r="I592" s="1563">
        <v>12</v>
      </c>
      <c r="J592" s="1563"/>
    </row>
    <row r="593" spans="1:11" ht="18">
      <c r="A593" s="1561" t="s">
        <v>205</v>
      </c>
      <c r="B593" s="1566" t="s">
        <v>206</v>
      </c>
      <c r="C593" s="1567" t="e">
        <f>VLOOKUP(C592,'Đội 2'!#REF!,6,0)</f>
        <v>#REF!</v>
      </c>
      <c r="D593" s="1568" t="e">
        <f>C593*25000</f>
        <v>#REF!</v>
      </c>
      <c r="E593" s="1569"/>
      <c r="F593" s="1570"/>
      <c r="G593" s="1561" t="s">
        <v>205</v>
      </c>
      <c r="H593" s="1566" t="s">
        <v>206</v>
      </c>
      <c r="I593" s="1567" t="e">
        <f>VLOOKUP(I592,'Đội 2'!#REF!,6,0)</f>
        <v>#REF!</v>
      </c>
      <c r="J593" s="1568" t="e">
        <f>I593*25000</f>
        <v>#REF!</v>
      </c>
    </row>
    <row r="594" spans="1:11">
      <c r="A594" s="1561" t="s">
        <v>207</v>
      </c>
      <c r="B594" s="1571" t="s">
        <v>208</v>
      </c>
      <c r="C594" s="1567" t="e">
        <f>VLOOKUP(C592,'Đội 2'!#REF!,12,0)</f>
        <v>#REF!</v>
      </c>
      <c r="D594" s="2374" t="e">
        <f>+C594*$L$3</f>
        <v>#REF!</v>
      </c>
      <c r="E594" s="1572"/>
      <c r="F594" s="1573"/>
      <c r="G594" s="1561" t="s">
        <v>207</v>
      </c>
      <c r="H594" s="1571" t="s">
        <v>208</v>
      </c>
      <c r="I594" s="1567" t="e">
        <f>VLOOKUP(I592,'Đội 2'!#REF!,12,0)</f>
        <v>#REF!</v>
      </c>
      <c r="J594" s="2374" t="e">
        <f>+I594*$L$3</f>
        <v>#REF!</v>
      </c>
    </row>
    <row r="595" spans="1:11">
      <c r="A595" s="1561" t="s">
        <v>1259</v>
      </c>
      <c r="B595" s="1571" t="s">
        <v>209</v>
      </c>
      <c r="C595" s="2369" t="e">
        <f>VLOOKUP(C592,'Đội 2'!#REF!,13,0)</f>
        <v>#REF!</v>
      </c>
      <c r="D595" s="2374" t="e">
        <f>+C595*$L$4</f>
        <v>#REF!</v>
      </c>
      <c r="E595" s="1572"/>
      <c r="F595" s="1573"/>
      <c r="G595" s="1561" t="s">
        <v>1259</v>
      </c>
      <c r="H595" s="1571" t="s">
        <v>209</v>
      </c>
      <c r="I595" s="2369" t="e">
        <f>VLOOKUP(I592,'Đội 2'!#REF!,13,0)</f>
        <v>#REF!</v>
      </c>
      <c r="J595" s="2374" t="e">
        <f>+I595*$L$4</f>
        <v>#REF!</v>
      </c>
    </row>
    <row r="596" spans="1:11">
      <c r="A596" s="1561" t="s">
        <v>1531</v>
      </c>
      <c r="B596" s="1571"/>
      <c r="C596" s="2369" t="e">
        <f>VLOOKUP(C592,'Đội 2'!#REF!,15,0)</f>
        <v>#REF!</v>
      </c>
      <c r="D596" s="2374" t="e">
        <f>+C596*20000+VLOOKUP(C592,'Đội 2'!#REF!,14,0)*$L$5</f>
        <v>#REF!</v>
      </c>
      <c r="E596" s="1572"/>
      <c r="F596" s="1573"/>
      <c r="G596" s="1561" t="s">
        <v>1531</v>
      </c>
      <c r="H596" s="1571"/>
      <c r="I596" s="2369" t="e">
        <f>VLOOKUP(I592,'Đội 2'!#REF!,15,0)</f>
        <v>#REF!</v>
      </c>
      <c r="J596" s="2374" t="e">
        <f>+I596*20000+VLOOKUP(I592,'Đội 2'!#REF!,14,0)*$L$5</f>
        <v>#REF!</v>
      </c>
    </row>
    <row r="597" spans="1:11" hidden="1">
      <c r="A597" s="1561" t="s">
        <v>1971</v>
      </c>
      <c r="B597" s="1571"/>
      <c r="C597" s="2369">
        <v>0</v>
      </c>
      <c r="D597" s="2374">
        <f>+C597*25000</f>
        <v>0</v>
      </c>
      <c r="E597" s="1572"/>
      <c r="F597" s="1573"/>
      <c r="G597" s="1561" t="s">
        <v>1971</v>
      </c>
      <c r="H597" s="1571"/>
      <c r="I597" s="2369">
        <v>0</v>
      </c>
      <c r="J597" s="2374">
        <f>+I597*25000</f>
        <v>0</v>
      </c>
    </row>
    <row r="598" spans="1:11">
      <c r="A598" s="1561" t="s">
        <v>210</v>
      </c>
      <c r="B598" s="1571" t="s">
        <v>211</v>
      </c>
      <c r="C598" s="1567" t="e">
        <f>VLOOKUP(C592,'Đội 2'!#REF!,9,0)</f>
        <v>#REF!</v>
      </c>
      <c r="D598" s="2374" t="e">
        <f>VLOOKUP(C592,'Đội 2'!#REF!,11,0)</f>
        <v>#REF!</v>
      </c>
      <c r="E598" s="1574"/>
      <c r="F598" s="1573"/>
      <c r="G598" s="1561" t="s">
        <v>210</v>
      </c>
      <c r="H598" s="1571" t="s">
        <v>211</v>
      </c>
      <c r="I598" s="1567" t="e">
        <f>VLOOKUP(I592,'Đội 2'!#REF!,9,0)</f>
        <v>#REF!</v>
      </c>
      <c r="J598" s="2374" t="e">
        <f>VLOOKUP(I592,'Đội 2'!#REF!,11,0)</f>
        <v>#REF!</v>
      </c>
    </row>
    <row r="599" spans="1:11">
      <c r="A599" s="1568" t="s">
        <v>212</v>
      </c>
      <c r="B599" s="1571" t="s">
        <v>213</v>
      </c>
      <c r="C599" s="1567"/>
      <c r="D599" s="1568"/>
      <c r="E599" s="1575"/>
      <c r="F599" s="1576"/>
      <c r="G599" s="1568" t="s">
        <v>212</v>
      </c>
      <c r="H599" s="1571" t="s">
        <v>213</v>
      </c>
      <c r="I599" s="1567"/>
      <c r="J599" s="1568"/>
    </row>
    <row r="600" spans="1:11">
      <c r="A600" s="1577" t="s">
        <v>214</v>
      </c>
      <c r="B600" s="1571" t="s">
        <v>215</v>
      </c>
      <c r="C600" s="1567"/>
      <c r="D600" s="1568"/>
      <c r="E600" s="1574"/>
      <c r="F600" s="1576"/>
      <c r="G600" s="1577" t="s">
        <v>214</v>
      </c>
      <c r="H600" s="1571" t="s">
        <v>215</v>
      </c>
      <c r="I600" s="1567"/>
      <c r="J600" s="1568"/>
    </row>
    <row r="601" spans="1:11">
      <c r="A601" s="1561" t="s">
        <v>216</v>
      </c>
      <c r="B601" s="1571" t="s">
        <v>217</v>
      </c>
      <c r="C601" s="1567"/>
      <c r="D601" s="1568">
        <v>0</v>
      </c>
      <c r="E601" s="1578"/>
      <c r="F601" s="1560"/>
      <c r="G601" s="1561" t="s">
        <v>216</v>
      </c>
      <c r="H601" s="1571" t="s">
        <v>217</v>
      </c>
      <c r="I601" s="1567"/>
      <c r="J601" s="1568">
        <v>0</v>
      </c>
    </row>
    <row r="602" spans="1:11">
      <c r="A602" s="1568" t="s">
        <v>218</v>
      </c>
      <c r="B602" s="1571" t="s">
        <v>219</v>
      </c>
      <c r="C602" s="1579"/>
      <c r="D602" s="1580" t="e">
        <f>SUM(D593:D598)-D601</f>
        <v>#REF!</v>
      </c>
      <c r="E602" s="1581"/>
      <c r="F602" s="1582"/>
      <c r="G602" s="1568" t="s">
        <v>218</v>
      </c>
      <c r="H602" s="1571" t="s">
        <v>219</v>
      </c>
      <c r="I602" s="1579"/>
      <c r="J602" s="1580" t="e">
        <f>SUM(J593:J598)-J601</f>
        <v>#REF!</v>
      </c>
      <c r="K602" s="3350" t="e">
        <f>J602+D602</f>
        <v>#REF!</v>
      </c>
    </row>
    <row r="603" spans="1:11">
      <c r="A603" s="1583"/>
      <c r="B603" s="1584"/>
      <c r="C603" s="1585"/>
      <c r="D603" s="1586"/>
      <c r="E603" s="1582"/>
      <c r="F603" s="1586"/>
      <c r="G603" s="1583"/>
      <c r="H603" s="1584"/>
      <c r="I603" s="1585"/>
      <c r="J603" s="1582"/>
    </row>
    <row r="604" spans="1:11">
      <c r="A604" s="1587"/>
      <c r="B604" s="1587"/>
      <c r="C604" s="1588"/>
      <c r="D604" s="1589"/>
      <c r="E604" s="1590"/>
      <c r="F604" s="1587"/>
      <c r="G604" s="1587"/>
      <c r="H604" s="1587"/>
      <c r="I604" s="1588"/>
      <c r="J604" s="1591"/>
      <c r="K604" s="3355"/>
    </row>
    <row r="605" spans="1:11">
      <c r="A605" s="4836" t="str">
        <f>$K$2</f>
        <v>Tháng 12/24</v>
      </c>
      <c r="B605" s="4836"/>
      <c r="C605" s="4836"/>
      <c r="D605" s="4836"/>
      <c r="E605" s="1560"/>
      <c r="F605" s="1560"/>
      <c r="G605" s="4836" t="str">
        <f>$K$2</f>
        <v>Tháng 12/24</v>
      </c>
      <c r="H605" s="4836"/>
      <c r="I605" s="4836"/>
      <c r="J605" s="4836"/>
    </row>
    <row r="606" spans="1:11" ht="18">
      <c r="A606" s="1561" t="s">
        <v>1</v>
      </c>
      <c r="B606" s="1562" t="e">
        <f>VLOOKUP(C606,'Đội 2'!#REF!,3,0)</f>
        <v>#REF!</v>
      </c>
      <c r="C606" s="1563">
        <v>13</v>
      </c>
      <c r="D606" s="1563"/>
      <c r="E606" s="1564"/>
      <c r="F606" s="1565"/>
      <c r="G606" s="1561" t="s">
        <v>1</v>
      </c>
      <c r="H606" s="1562" t="e">
        <f>VLOOKUP(I606,'Đội 2'!#REF!,3,0)</f>
        <v>#REF!</v>
      </c>
      <c r="I606" s="1563">
        <v>14</v>
      </c>
      <c r="J606" s="1563"/>
    </row>
    <row r="607" spans="1:11" ht="18">
      <c r="A607" s="1561" t="s">
        <v>205</v>
      </c>
      <c r="B607" s="1566" t="s">
        <v>206</v>
      </c>
      <c r="C607" s="1567" t="e">
        <f>VLOOKUP(C606,'Đội 2'!#REF!,6,0)</f>
        <v>#REF!</v>
      </c>
      <c r="D607" s="1568" t="e">
        <f>C607*25000</f>
        <v>#REF!</v>
      </c>
      <c r="E607" s="1569"/>
      <c r="F607" s="1570"/>
      <c r="G607" s="1561" t="s">
        <v>205</v>
      </c>
      <c r="H607" s="1566" t="s">
        <v>206</v>
      </c>
      <c r="I607" s="1567" t="e">
        <f>VLOOKUP(I606,'Đội 2'!#REF!,6,0)</f>
        <v>#REF!</v>
      </c>
      <c r="J607" s="1568" t="e">
        <f>I607*25000</f>
        <v>#REF!</v>
      </c>
    </row>
    <row r="608" spans="1:11">
      <c r="A608" s="1561" t="s">
        <v>207</v>
      </c>
      <c r="B608" s="1571" t="s">
        <v>208</v>
      </c>
      <c r="C608" s="1567" t="e">
        <f>VLOOKUP(C606,'Đội 2'!#REF!,12,0)</f>
        <v>#REF!</v>
      </c>
      <c r="D608" s="2374" t="e">
        <f>+C608*$L$3</f>
        <v>#REF!</v>
      </c>
      <c r="E608" s="1572"/>
      <c r="F608" s="1573"/>
      <c r="G608" s="1561" t="s">
        <v>207</v>
      </c>
      <c r="H608" s="1571" t="s">
        <v>208</v>
      </c>
      <c r="I608" s="1567" t="e">
        <f>VLOOKUP(I606,'Đội 2'!#REF!,12,0)</f>
        <v>#REF!</v>
      </c>
      <c r="J608" s="2374" t="e">
        <f>+I608*$L$3</f>
        <v>#REF!</v>
      </c>
    </row>
    <row r="609" spans="1:11">
      <c r="A609" s="1561" t="s">
        <v>1259</v>
      </c>
      <c r="B609" s="1571" t="s">
        <v>209</v>
      </c>
      <c r="C609" s="2369" t="e">
        <f>VLOOKUP(C606,'Đội 2'!#REF!,13,0)</f>
        <v>#REF!</v>
      </c>
      <c r="D609" s="2374" t="e">
        <f>+C609*$L$4</f>
        <v>#REF!</v>
      </c>
      <c r="E609" s="1572"/>
      <c r="F609" s="1573"/>
      <c r="G609" s="1561" t="s">
        <v>1259</v>
      </c>
      <c r="H609" s="1571" t="s">
        <v>209</v>
      </c>
      <c r="I609" s="2369" t="e">
        <f>VLOOKUP(I606,'Đội 2'!#REF!,13,0)</f>
        <v>#REF!</v>
      </c>
      <c r="J609" s="2374" t="e">
        <f>+I609*$L$4</f>
        <v>#REF!</v>
      </c>
    </row>
    <row r="610" spans="1:11">
      <c r="A610" s="1561" t="s">
        <v>1531</v>
      </c>
      <c r="B610" s="1571"/>
      <c r="C610" s="2369" t="e">
        <f>VLOOKUP(C606,'Đội 2'!#REF!,15,0)</f>
        <v>#REF!</v>
      </c>
      <c r="D610" s="2374" t="e">
        <f>+C610*20000+VLOOKUP(C606,'Đội 2'!#REF!,14,0)*$L$5</f>
        <v>#REF!</v>
      </c>
      <c r="E610" s="1572"/>
      <c r="F610" s="1573"/>
      <c r="G610" s="1561" t="s">
        <v>1531</v>
      </c>
      <c r="H610" s="1571"/>
      <c r="I610" s="2369" t="e">
        <f>VLOOKUP(I606,'Đội 2'!#REF!,15,0)</f>
        <v>#REF!</v>
      </c>
      <c r="J610" s="2374" t="e">
        <f>+I610*20000+VLOOKUP(I606,'Đội 2'!#REF!,14,0)*$L$5</f>
        <v>#REF!</v>
      </c>
    </row>
    <row r="611" spans="1:11" hidden="1">
      <c r="A611" s="1561" t="s">
        <v>1971</v>
      </c>
      <c r="B611" s="1571"/>
      <c r="C611" s="2369">
        <v>0</v>
      </c>
      <c r="D611" s="2374">
        <f>+C611*25000</f>
        <v>0</v>
      </c>
      <c r="E611" s="1572"/>
      <c r="F611" s="1573"/>
      <c r="G611" s="1561" t="s">
        <v>1971</v>
      </c>
      <c r="H611" s="1571"/>
      <c r="I611" s="2369">
        <v>0</v>
      </c>
      <c r="J611" s="2374">
        <f>+I611*25000</f>
        <v>0</v>
      </c>
    </row>
    <row r="612" spans="1:11">
      <c r="A612" s="1561" t="s">
        <v>210</v>
      </c>
      <c r="B612" s="1571" t="s">
        <v>211</v>
      </c>
      <c r="C612" s="1567" t="e">
        <f>VLOOKUP(C606,'Đội 2'!#REF!,9,0)</f>
        <v>#REF!</v>
      </c>
      <c r="D612" s="2374" t="e">
        <f>VLOOKUP(C606,'Đội 2'!#REF!,11,0)</f>
        <v>#REF!</v>
      </c>
      <c r="E612" s="1574"/>
      <c r="F612" s="1573"/>
      <c r="G612" s="1561" t="s">
        <v>210</v>
      </c>
      <c r="H612" s="1571" t="s">
        <v>211</v>
      </c>
      <c r="I612" s="1567" t="e">
        <f>VLOOKUP(I606,'Đội 2'!#REF!,9,0)</f>
        <v>#REF!</v>
      </c>
      <c r="J612" s="2374" t="e">
        <f>VLOOKUP(I606,'Đội 2'!#REF!,11,0)</f>
        <v>#REF!</v>
      </c>
    </row>
    <row r="613" spans="1:11">
      <c r="A613" s="1568" t="s">
        <v>212</v>
      </c>
      <c r="B613" s="1571" t="s">
        <v>213</v>
      </c>
      <c r="C613" s="1567"/>
      <c r="D613" s="1568"/>
      <c r="E613" s="1575"/>
      <c r="F613" s="1576"/>
      <c r="G613" s="1568" t="s">
        <v>212</v>
      </c>
      <c r="H613" s="1571" t="s">
        <v>213</v>
      </c>
      <c r="I613" s="1567"/>
      <c r="J613" s="1568"/>
    </row>
    <row r="614" spans="1:11">
      <c r="A614" s="1577" t="s">
        <v>214</v>
      </c>
      <c r="B614" s="1571" t="s">
        <v>215</v>
      </c>
      <c r="C614" s="1567"/>
      <c r="D614" s="1568"/>
      <c r="E614" s="1574"/>
      <c r="F614" s="1576"/>
      <c r="G614" s="1577" t="s">
        <v>214</v>
      </c>
      <c r="H614" s="1571" t="s">
        <v>215</v>
      </c>
      <c r="I614" s="1567"/>
      <c r="J614" s="1568"/>
    </row>
    <row r="615" spans="1:11">
      <c r="A615" s="1561" t="s">
        <v>216</v>
      </c>
      <c r="B615" s="1571" t="s">
        <v>217</v>
      </c>
      <c r="C615" s="1567"/>
      <c r="D615" s="1568">
        <v>0</v>
      </c>
      <c r="E615" s="1578"/>
      <c r="F615" s="1560"/>
      <c r="G615" s="1561" t="s">
        <v>216</v>
      </c>
      <c r="H615" s="1571" t="s">
        <v>217</v>
      </c>
      <c r="I615" s="1567"/>
      <c r="J615" s="1568">
        <v>0</v>
      </c>
    </row>
    <row r="616" spans="1:11">
      <c r="A616" s="1568" t="s">
        <v>218</v>
      </c>
      <c r="B616" s="1571" t="s">
        <v>219</v>
      </c>
      <c r="C616" s="1579"/>
      <c r="D616" s="1580" t="e">
        <f>SUM(D607:D612)-D615</f>
        <v>#REF!</v>
      </c>
      <c r="E616" s="1581"/>
      <c r="F616" s="1582"/>
      <c r="G616" s="1568" t="s">
        <v>218</v>
      </c>
      <c r="H616" s="1571" t="s">
        <v>219</v>
      </c>
      <c r="I616" s="1579"/>
      <c r="J616" s="1580" t="e">
        <f>SUM(J607:J612)-J615</f>
        <v>#REF!</v>
      </c>
      <c r="K616" s="3350" t="e">
        <f>J616+D616</f>
        <v>#REF!</v>
      </c>
    </row>
    <row r="617" spans="1:11">
      <c r="A617" s="1583"/>
      <c r="B617" s="1584"/>
      <c r="C617" s="1585"/>
      <c r="D617" s="1586"/>
      <c r="E617" s="1582"/>
      <c r="F617" s="1586"/>
      <c r="G617" s="1583"/>
      <c r="H617" s="1584"/>
      <c r="I617" s="1585"/>
      <c r="J617" s="1582"/>
    </row>
    <row r="618" spans="1:11">
      <c r="A618" s="1587"/>
      <c r="B618" s="1587"/>
      <c r="C618" s="1588"/>
      <c r="D618" s="3335"/>
      <c r="E618" s="1590"/>
      <c r="F618" s="1587"/>
      <c r="G618" s="1587"/>
      <c r="H618" s="1587"/>
      <c r="I618" s="1588"/>
      <c r="J618" s="1591"/>
      <c r="K618" s="3355"/>
    </row>
    <row r="619" spans="1:11">
      <c r="A619" s="4836" t="str">
        <f>$K$2</f>
        <v>Tháng 12/24</v>
      </c>
      <c r="B619" s="4836"/>
      <c r="C619" s="4836"/>
      <c r="D619" s="4836"/>
      <c r="E619" s="1560"/>
      <c r="F619" s="1560"/>
      <c r="G619" s="4836" t="str">
        <f>$K$2</f>
        <v>Tháng 12/24</v>
      </c>
      <c r="H619" s="4836"/>
      <c r="I619" s="4836"/>
      <c r="J619" s="4836"/>
    </row>
    <row r="620" spans="1:11" ht="18">
      <c r="A620" s="1561" t="s">
        <v>1</v>
      </c>
      <c r="B620" s="1562" t="e">
        <f>VLOOKUP(C620,'Đội 2'!#REF!,3,0)</f>
        <v>#REF!</v>
      </c>
      <c r="C620" s="1563">
        <v>15</v>
      </c>
      <c r="D620" s="1563"/>
      <c r="E620" s="1564"/>
      <c r="F620" s="1565"/>
      <c r="G620" s="1561" t="s">
        <v>1</v>
      </c>
      <c r="H620" s="1562" t="e">
        <f>VLOOKUP(I620,'Đội 2'!#REF!,3,0)</f>
        <v>#REF!</v>
      </c>
      <c r="I620" s="1563">
        <v>16</v>
      </c>
      <c r="J620" s="1563"/>
    </row>
    <row r="621" spans="1:11" ht="18">
      <c r="A621" s="1561" t="s">
        <v>205</v>
      </c>
      <c r="B621" s="1566" t="s">
        <v>206</v>
      </c>
      <c r="C621" s="1567" t="e">
        <f>VLOOKUP(C620,'Đội 2'!#REF!,6,0)</f>
        <v>#REF!</v>
      </c>
      <c r="D621" s="1568" t="e">
        <f>C621*25000</f>
        <v>#REF!</v>
      </c>
      <c r="E621" s="1569"/>
      <c r="F621" s="1570"/>
      <c r="G621" s="1561" t="s">
        <v>205</v>
      </c>
      <c r="H621" s="1566" t="s">
        <v>206</v>
      </c>
      <c r="I621" s="1567" t="e">
        <f>VLOOKUP(I620,'Đội 2'!#REF!,6,0)</f>
        <v>#REF!</v>
      </c>
      <c r="J621" s="1568" t="e">
        <f>I621*25000</f>
        <v>#REF!</v>
      </c>
    </row>
    <row r="622" spans="1:11">
      <c r="A622" s="1561" t="s">
        <v>207</v>
      </c>
      <c r="B622" s="1571" t="s">
        <v>208</v>
      </c>
      <c r="C622" s="1567" t="e">
        <f>VLOOKUP(C620,'Đội 2'!#REF!,12,0)</f>
        <v>#REF!</v>
      </c>
      <c r="D622" s="2374" t="e">
        <f>+C622*$L$3</f>
        <v>#REF!</v>
      </c>
      <c r="E622" s="1572"/>
      <c r="F622" s="1573"/>
      <c r="G622" s="1561" t="s">
        <v>207</v>
      </c>
      <c r="H622" s="1571" t="s">
        <v>208</v>
      </c>
      <c r="I622" s="1567" t="e">
        <f>VLOOKUP(I620,'Đội 2'!#REF!,12,0)</f>
        <v>#REF!</v>
      </c>
      <c r="J622" s="2374" t="e">
        <f>+I622*$L$3</f>
        <v>#REF!</v>
      </c>
    </row>
    <row r="623" spans="1:11">
      <c r="A623" s="1561" t="s">
        <v>1259</v>
      </c>
      <c r="B623" s="1571" t="s">
        <v>209</v>
      </c>
      <c r="C623" s="2369" t="e">
        <f>VLOOKUP(C620,'Đội 2'!#REF!,13,0)</f>
        <v>#REF!</v>
      </c>
      <c r="D623" s="2374" t="e">
        <f>+C623*$L$4</f>
        <v>#REF!</v>
      </c>
      <c r="E623" s="1572"/>
      <c r="F623" s="1573"/>
      <c r="G623" s="1561" t="s">
        <v>1259</v>
      </c>
      <c r="H623" s="1571" t="s">
        <v>209</v>
      </c>
      <c r="I623" s="2369" t="e">
        <f>VLOOKUP(I620,'Đội 2'!#REF!,13,0)</f>
        <v>#REF!</v>
      </c>
      <c r="J623" s="2374" t="e">
        <f>+I623*$L$4</f>
        <v>#REF!</v>
      </c>
    </row>
    <row r="624" spans="1:11">
      <c r="A624" s="1561" t="s">
        <v>1531</v>
      </c>
      <c r="B624" s="1571"/>
      <c r="C624" s="2369" t="e">
        <f>VLOOKUP(C620,'Đội 2'!#REF!,15,0)</f>
        <v>#REF!</v>
      </c>
      <c r="D624" s="2374" t="e">
        <f>+C624*20000+VLOOKUP(C620,'Đội 2'!#REF!,14,0)*$L$5</f>
        <v>#REF!</v>
      </c>
      <c r="E624" s="1572"/>
      <c r="F624" s="1573"/>
      <c r="G624" s="1561" t="s">
        <v>1531</v>
      </c>
      <c r="H624" s="1571"/>
      <c r="I624" s="2369" t="e">
        <f>VLOOKUP(I620,'Đội 2'!#REF!,15,0)</f>
        <v>#REF!</v>
      </c>
      <c r="J624" s="2374" t="e">
        <f>+I624*20000+VLOOKUP(I620,'Đội 2'!#REF!,14,0)*$L$5</f>
        <v>#REF!</v>
      </c>
    </row>
    <row r="625" spans="1:11" hidden="1">
      <c r="A625" s="1561" t="s">
        <v>1971</v>
      </c>
      <c r="B625" s="1571"/>
      <c r="C625" s="2369">
        <v>0</v>
      </c>
      <c r="D625" s="2374">
        <f>+C625*25000</f>
        <v>0</v>
      </c>
      <c r="E625" s="1572"/>
      <c r="F625" s="1573"/>
      <c r="G625" s="1561" t="s">
        <v>1971</v>
      </c>
      <c r="H625" s="1571"/>
      <c r="I625" s="2369">
        <v>0</v>
      </c>
      <c r="J625" s="2374">
        <f>+I625*25000</f>
        <v>0</v>
      </c>
    </row>
    <row r="626" spans="1:11">
      <c r="A626" s="1561" t="s">
        <v>210</v>
      </c>
      <c r="B626" s="1571" t="s">
        <v>211</v>
      </c>
      <c r="C626" s="1567" t="e">
        <f>VLOOKUP(C620,'Đội 2'!#REF!,9,0)</f>
        <v>#REF!</v>
      </c>
      <c r="D626" s="2374" t="e">
        <f>VLOOKUP(C620,'Đội 2'!#REF!,11,0)</f>
        <v>#REF!</v>
      </c>
      <c r="E626" s="1574"/>
      <c r="F626" s="1573"/>
      <c r="G626" s="1561" t="s">
        <v>210</v>
      </c>
      <c r="H626" s="1571" t="s">
        <v>211</v>
      </c>
      <c r="I626" s="1567" t="e">
        <f>VLOOKUP(I620,'Đội 2'!#REF!,9,0)</f>
        <v>#REF!</v>
      </c>
      <c r="J626" s="2374" t="e">
        <f>VLOOKUP(I620,'Đội 2'!#REF!,11,0)</f>
        <v>#REF!</v>
      </c>
    </row>
    <row r="627" spans="1:11">
      <c r="A627" s="1568" t="s">
        <v>212</v>
      </c>
      <c r="B627" s="1571" t="s">
        <v>213</v>
      </c>
      <c r="C627" s="1567"/>
      <c r="D627" s="1568"/>
      <c r="E627" s="1575"/>
      <c r="F627" s="1576"/>
      <c r="G627" s="1568" t="s">
        <v>212</v>
      </c>
      <c r="H627" s="1571" t="s">
        <v>213</v>
      </c>
      <c r="I627" s="1567"/>
      <c r="J627" s="1568"/>
    </row>
    <row r="628" spans="1:11">
      <c r="A628" s="1577" t="s">
        <v>214</v>
      </c>
      <c r="B628" s="1571" t="s">
        <v>215</v>
      </c>
      <c r="C628" s="1567"/>
      <c r="D628" s="1568"/>
      <c r="E628" s="1574"/>
      <c r="F628" s="1576"/>
      <c r="G628" s="1577" t="s">
        <v>214</v>
      </c>
      <c r="H628" s="1571" t="s">
        <v>215</v>
      </c>
      <c r="I628" s="1567"/>
      <c r="J628" s="1568"/>
    </row>
    <row r="629" spans="1:11">
      <c r="A629" s="1561" t="s">
        <v>216</v>
      </c>
      <c r="B629" s="1571" t="s">
        <v>217</v>
      </c>
      <c r="C629" s="1567"/>
      <c r="D629" s="1568">
        <v>0</v>
      </c>
      <c r="E629" s="1578"/>
      <c r="F629" s="1560"/>
      <c r="G629" s="1561" t="s">
        <v>216</v>
      </c>
      <c r="H629" s="1571" t="s">
        <v>217</v>
      </c>
      <c r="I629" s="1567"/>
      <c r="J629" s="1568">
        <v>0</v>
      </c>
    </row>
    <row r="630" spans="1:11">
      <c r="A630" s="1568" t="s">
        <v>218</v>
      </c>
      <c r="B630" s="1571" t="s">
        <v>219</v>
      </c>
      <c r="C630" s="1579"/>
      <c r="D630" s="1580" t="e">
        <f>SUM(D621:D626)-D629</f>
        <v>#REF!</v>
      </c>
      <c r="E630" s="1581"/>
      <c r="F630" s="1582"/>
      <c r="G630" s="1568" t="s">
        <v>218</v>
      </c>
      <c r="H630" s="1571" t="s">
        <v>219</v>
      </c>
      <c r="I630" s="1579"/>
      <c r="J630" s="1580" t="e">
        <f>SUM(J621:J626)-J629</f>
        <v>#REF!</v>
      </c>
      <c r="K630" s="3350" t="e">
        <f>J630+D630</f>
        <v>#REF!</v>
      </c>
    </row>
    <row r="631" spans="1:11">
      <c r="A631" s="1583"/>
      <c r="B631" s="1584"/>
      <c r="C631" s="1585"/>
      <c r="D631" s="1586"/>
      <c r="E631" s="1582"/>
      <c r="F631" s="1586"/>
      <c r="G631" s="1583"/>
      <c r="H631" s="1584"/>
      <c r="I631" s="1585"/>
      <c r="J631" s="1582"/>
    </row>
    <row r="632" spans="1:11">
      <c r="A632" s="1587"/>
      <c r="B632" s="1587"/>
      <c r="C632" s="1588"/>
      <c r="D632" s="3335"/>
      <c r="E632" s="1590"/>
      <c r="F632" s="1587"/>
      <c r="G632" s="1587"/>
      <c r="H632" s="1587"/>
      <c r="I632" s="1588"/>
      <c r="J632" s="1591"/>
      <c r="K632" s="3355"/>
    </row>
    <row r="633" spans="1:11">
      <c r="A633" s="4836" t="str">
        <f>$K$2</f>
        <v>Tháng 12/24</v>
      </c>
      <c r="B633" s="4836"/>
      <c r="C633" s="4836"/>
      <c r="D633" s="4836"/>
      <c r="E633" s="1560"/>
      <c r="F633" s="1560"/>
      <c r="G633" s="4836" t="str">
        <f>$K$2</f>
        <v>Tháng 12/24</v>
      </c>
      <c r="H633" s="4836"/>
      <c r="I633" s="4836"/>
      <c r="J633" s="4836"/>
    </row>
    <row r="634" spans="1:11" ht="18">
      <c r="A634" s="1561" t="s">
        <v>1</v>
      </c>
      <c r="B634" s="1562" t="e">
        <f>VLOOKUP(C634,'Đội 2'!#REF!,3,0)</f>
        <v>#REF!</v>
      </c>
      <c r="C634" s="1563">
        <v>17</v>
      </c>
      <c r="D634" s="1563"/>
      <c r="E634" s="1564"/>
      <c r="F634" s="1565"/>
      <c r="G634" s="1561" t="s">
        <v>1</v>
      </c>
      <c r="H634" s="1562" t="e">
        <f>VLOOKUP(I634,'Đội 2'!#REF!,3,0)</f>
        <v>#REF!</v>
      </c>
      <c r="I634" s="1563">
        <v>18</v>
      </c>
      <c r="J634" s="1563"/>
    </row>
    <row r="635" spans="1:11" ht="18">
      <c r="A635" s="1561" t="s">
        <v>205</v>
      </c>
      <c r="B635" s="1566" t="s">
        <v>206</v>
      </c>
      <c r="C635" s="1567" t="e">
        <f>VLOOKUP(C634,'Đội 2'!#REF!,6,0)</f>
        <v>#REF!</v>
      </c>
      <c r="D635" s="1568" t="e">
        <f>C635*25000</f>
        <v>#REF!</v>
      </c>
      <c r="E635" s="1569"/>
      <c r="F635" s="1570"/>
      <c r="G635" s="1561" t="s">
        <v>205</v>
      </c>
      <c r="H635" s="1566" t="s">
        <v>206</v>
      </c>
      <c r="I635" s="1567" t="e">
        <f>VLOOKUP(I634,'Đội 2'!#REF!,6,0)</f>
        <v>#REF!</v>
      </c>
      <c r="J635" s="1568" t="e">
        <f>I635*25000</f>
        <v>#REF!</v>
      </c>
    </row>
    <row r="636" spans="1:11">
      <c r="A636" s="1561" t="s">
        <v>207</v>
      </c>
      <c r="B636" s="1571" t="s">
        <v>208</v>
      </c>
      <c r="C636" s="1567" t="e">
        <f>VLOOKUP(C634,'Đội 2'!#REF!,12,0)</f>
        <v>#REF!</v>
      </c>
      <c r="D636" s="2374" t="e">
        <f>+C636*$L$3</f>
        <v>#REF!</v>
      </c>
      <c r="E636" s="1572"/>
      <c r="F636" s="1573"/>
      <c r="G636" s="1561" t="s">
        <v>207</v>
      </c>
      <c r="H636" s="1571" t="s">
        <v>208</v>
      </c>
      <c r="I636" s="1567" t="e">
        <f>VLOOKUP(I634,'Đội 2'!#REF!,12,0)</f>
        <v>#REF!</v>
      </c>
      <c r="J636" s="2374" t="e">
        <f>+I636*$L$3</f>
        <v>#REF!</v>
      </c>
    </row>
    <row r="637" spans="1:11">
      <c r="A637" s="1561" t="s">
        <v>1259</v>
      </c>
      <c r="B637" s="1571" t="s">
        <v>209</v>
      </c>
      <c r="C637" s="2369" t="e">
        <f>VLOOKUP(C634,'Đội 2'!#REF!,13,0)</f>
        <v>#REF!</v>
      </c>
      <c r="D637" s="2374" t="e">
        <f>+C637*$L$4</f>
        <v>#REF!</v>
      </c>
      <c r="E637" s="1572"/>
      <c r="F637" s="1573"/>
      <c r="G637" s="1561" t="s">
        <v>1259</v>
      </c>
      <c r="H637" s="1571" t="s">
        <v>209</v>
      </c>
      <c r="I637" s="2369" t="e">
        <f>VLOOKUP(I634,'Đội 2'!#REF!,13,0)</f>
        <v>#REF!</v>
      </c>
      <c r="J637" s="2374" t="e">
        <f>+I637*$L$4</f>
        <v>#REF!</v>
      </c>
    </row>
    <row r="638" spans="1:11">
      <c r="A638" s="1561" t="s">
        <v>1531</v>
      </c>
      <c r="B638" s="1571"/>
      <c r="C638" s="2369" t="e">
        <f>VLOOKUP(C634,'Đội 2'!#REF!,15,0)</f>
        <v>#REF!</v>
      </c>
      <c r="D638" s="2374" t="e">
        <f>+C638*20000+VLOOKUP(C634,'Đội 2'!#REF!,14,0)*$L$5</f>
        <v>#REF!</v>
      </c>
      <c r="E638" s="1572"/>
      <c r="F638" s="1573"/>
      <c r="G638" s="1561" t="s">
        <v>1531</v>
      </c>
      <c r="H638" s="1571"/>
      <c r="I638" s="2369" t="e">
        <f>VLOOKUP(I634,'Đội 2'!#REF!,15,0)</f>
        <v>#REF!</v>
      </c>
      <c r="J638" s="2374" t="e">
        <f>+I638*20000+VLOOKUP(I634,'Đội 2'!#REF!,14,0)*$L$5</f>
        <v>#REF!</v>
      </c>
    </row>
    <row r="639" spans="1:11" hidden="1">
      <c r="A639" s="1561" t="s">
        <v>1971</v>
      </c>
      <c r="B639" s="1571"/>
      <c r="C639" s="2369">
        <v>0</v>
      </c>
      <c r="D639" s="2374">
        <f>+C639*25000</f>
        <v>0</v>
      </c>
      <c r="E639" s="1572"/>
      <c r="F639" s="1573"/>
      <c r="G639" s="1561" t="s">
        <v>1971</v>
      </c>
      <c r="H639" s="1571"/>
      <c r="I639" s="2369">
        <v>0</v>
      </c>
      <c r="J639" s="2374">
        <f>+I639*25000</f>
        <v>0</v>
      </c>
    </row>
    <row r="640" spans="1:11">
      <c r="A640" s="1561" t="s">
        <v>210</v>
      </c>
      <c r="B640" s="1571" t="s">
        <v>211</v>
      </c>
      <c r="C640" s="1567" t="e">
        <f>VLOOKUP(C634,'Đội 2'!#REF!,9,0)</f>
        <v>#REF!</v>
      </c>
      <c r="D640" s="2374" t="e">
        <f>VLOOKUP(C634,'Đội 2'!#REF!,11,0)</f>
        <v>#REF!</v>
      </c>
      <c r="E640" s="1574"/>
      <c r="F640" s="1573"/>
      <c r="G640" s="1561" t="s">
        <v>210</v>
      </c>
      <c r="H640" s="1571" t="s">
        <v>211</v>
      </c>
      <c r="I640" s="1567" t="e">
        <f>VLOOKUP(I634,'Đội 2'!#REF!,9,0)</f>
        <v>#REF!</v>
      </c>
      <c r="J640" s="2374" t="e">
        <f>VLOOKUP(I634,'Đội 2'!#REF!,11,0)</f>
        <v>#REF!</v>
      </c>
    </row>
    <row r="641" spans="1:11">
      <c r="A641" s="1568" t="s">
        <v>212</v>
      </c>
      <c r="B641" s="1571" t="s">
        <v>213</v>
      </c>
      <c r="C641" s="1567"/>
      <c r="D641" s="1568"/>
      <c r="E641" s="1575"/>
      <c r="F641" s="1576"/>
      <c r="G641" s="1568" t="s">
        <v>212</v>
      </c>
      <c r="H641" s="1571" t="s">
        <v>213</v>
      </c>
      <c r="I641" s="1567"/>
      <c r="J641" s="1568"/>
    </row>
    <row r="642" spans="1:11">
      <c r="A642" s="1577" t="s">
        <v>214</v>
      </c>
      <c r="B642" s="1571" t="s">
        <v>215</v>
      </c>
      <c r="C642" s="1567"/>
      <c r="D642" s="1568"/>
      <c r="E642" s="1574"/>
      <c r="F642" s="1576"/>
      <c r="G642" s="1577" t="s">
        <v>214</v>
      </c>
      <c r="H642" s="1571" t="s">
        <v>215</v>
      </c>
      <c r="I642" s="1567"/>
      <c r="J642" s="1568"/>
    </row>
    <row r="643" spans="1:11">
      <c r="A643" s="1561" t="s">
        <v>216</v>
      </c>
      <c r="B643" s="1571" t="s">
        <v>217</v>
      </c>
      <c r="C643" s="1567"/>
      <c r="D643" s="1568">
        <v>0</v>
      </c>
      <c r="E643" s="1578"/>
      <c r="F643" s="1560"/>
      <c r="G643" s="1561" t="s">
        <v>216</v>
      </c>
      <c r="H643" s="1571" t="s">
        <v>217</v>
      </c>
      <c r="I643" s="1567"/>
      <c r="J643" s="1568">
        <v>0</v>
      </c>
    </row>
    <row r="644" spans="1:11" ht="12.75" customHeight="1">
      <c r="A644" s="1568" t="s">
        <v>218</v>
      </c>
      <c r="B644" s="1571" t="s">
        <v>219</v>
      </c>
      <c r="C644" s="1579"/>
      <c r="D644" s="1580" t="e">
        <f>SUM(D635:D640)-D643</f>
        <v>#REF!</v>
      </c>
      <c r="E644" s="1581"/>
      <c r="F644" s="1582"/>
      <c r="G644" s="1568" t="s">
        <v>218</v>
      </c>
      <c r="H644" s="1571" t="s">
        <v>219</v>
      </c>
      <c r="I644" s="1579"/>
      <c r="J644" s="1580" t="e">
        <f>SUM(J635:J640)-J643</f>
        <v>#REF!</v>
      </c>
      <c r="K644" s="3350" t="e">
        <f>J644+D644</f>
        <v>#REF!</v>
      </c>
    </row>
    <row r="645" spans="1:11" ht="12.75" customHeight="1">
      <c r="A645" s="1583"/>
      <c r="B645" s="1584"/>
      <c r="C645" s="1592"/>
      <c r="D645" s="1593"/>
      <c r="E645" s="1586"/>
      <c r="F645" s="1586"/>
      <c r="G645" s="1583"/>
      <c r="H645" s="1584"/>
      <c r="I645" s="1592"/>
      <c r="J645" s="1593"/>
      <c r="K645" s="3355"/>
    </row>
    <row r="646" spans="1:11" ht="12.75" customHeight="1">
      <c r="A646" s="4836" t="str">
        <f>$K$2</f>
        <v>Tháng 12/24</v>
      </c>
      <c r="B646" s="4836"/>
      <c r="C646" s="4836"/>
      <c r="D646" s="4836"/>
      <c r="E646" s="1560"/>
      <c r="F646" s="1560"/>
      <c r="G646" s="4836" t="str">
        <f>$K$2</f>
        <v>Tháng 12/24</v>
      </c>
      <c r="H646" s="4836"/>
      <c r="I646" s="4836"/>
      <c r="J646" s="4836"/>
    </row>
    <row r="647" spans="1:11" ht="12.75" customHeight="1">
      <c r="A647" s="1561" t="s">
        <v>1</v>
      </c>
      <c r="B647" s="1562" t="e">
        <f>VLOOKUP(C647,'Đội 2'!#REF!,3,0)</f>
        <v>#REF!</v>
      </c>
      <c r="C647" s="1563">
        <v>19</v>
      </c>
      <c r="D647" s="1563"/>
      <c r="E647" s="1564"/>
      <c r="F647" s="1565"/>
      <c r="G647" s="1561" t="s">
        <v>1</v>
      </c>
      <c r="H647" s="1562" t="e">
        <f>VLOOKUP(I647,'Đội 2'!#REF!,3,0)</f>
        <v>#REF!</v>
      </c>
      <c r="I647" s="1563">
        <v>20</v>
      </c>
      <c r="J647" s="1563"/>
    </row>
    <row r="648" spans="1:11" ht="18">
      <c r="A648" s="1561" t="s">
        <v>205</v>
      </c>
      <c r="B648" s="1566" t="s">
        <v>206</v>
      </c>
      <c r="C648" s="1567" t="e">
        <f>VLOOKUP(C647,'Đội 2'!#REF!,6,0)</f>
        <v>#REF!</v>
      </c>
      <c r="D648" s="1568" t="e">
        <f>C648*25000</f>
        <v>#REF!</v>
      </c>
      <c r="E648" s="1569"/>
      <c r="F648" s="1570"/>
      <c r="G648" s="1561" t="s">
        <v>205</v>
      </c>
      <c r="H648" s="1566" t="s">
        <v>206</v>
      </c>
      <c r="I648" s="1567" t="e">
        <f>VLOOKUP(I647,'Đội 2'!#REF!,6,0)</f>
        <v>#REF!</v>
      </c>
      <c r="J648" s="1568" t="e">
        <f>I648*25000</f>
        <v>#REF!</v>
      </c>
    </row>
    <row r="649" spans="1:11">
      <c r="A649" s="1561" t="s">
        <v>207</v>
      </c>
      <c r="B649" s="1571" t="s">
        <v>208</v>
      </c>
      <c r="C649" s="1567" t="e">
        <f>VLOOKUP(C647,'Đội 2'!#REF!,12,0)</f>
        <v>#REF!</v>
      </c>
      <c r="D649" s="2374" t="e">
        <f>+C649*$L$3</f>
        <v>#REF!</v>
      </c>
      <c r="E649" s="1572"/>
      <c r="F649" s="1573"/>
      <c r="G649" s="1561" t="s">
        <v>207</v>
      </c>
      <c r="H649" s="1571" t="s">
        <v>208</v>
      </c>
      <c r="I649" s="1567" t="e">
        <f>VLOOKUP(I647,'Đội 2'!#REF!,12,0)</f>
        <v>#REF!</v>
      </c>
      <c r="J649" s="2374" t="e">
        <f>+I649*$L$3</f>
        <v>#REF!</v>
      </c>
    </row>
    <row r="650" spans="1:11">
      <c r="A650" s="1561" t="s">
        <v>1259</v>
      </c>
      <c r="B650" s="1571" t="s">
        <v>209</v>
      </c>
      <c r="C650" s="2369" t="e">
        <f>VLOOKUP(C647,'Đội 2'!#REF!,13,0)</f>
        <v>#REF!</v>
      </c>
      <c r="D650" s="2374" t="e">
        <f>+C650*$L$4</f>
        <v>#REF!</v>
      </c>
      <c r="E650" s="1572"/>
      <c r="F650" s="1573"/>
      <c r="G650" s="1561" t="s">
        <v>1259</v>
      </c>
      <c r="H650" s="1571" t="s">
        <v>209</v>
      </c>
      <c r="I650" s="2369" t="e">
        <f>VLOOKUP(I647,'Đội 2'!#REF!,13,0)</f>
        <v>#REF!</v>
      </c>
      <c r="J650" s="2374" t="e">
        <f>+I650*$L$4</f>
        <v>#REF!</v>
      </c>
    </row>
    <row r="651" spans="1:11">
      <c r="A651" s="1561" t="s">
        <v>1531</v>
      </c>
      <c r="B651" s="1571"/>
      <c r="C651" s="2369" t="e">
        <f>VLOOKUP(C647,'Đội 2'!#REF!,15,0)</f>
        <v>#REF!</v>
      </c>
      <c r="D651" s="2374" t="e">
        <f>+C651*20000+VLOOKUP(C647,'Đội 2'!#REF!,14,0)*$L$5</f>
        <v>#REF!</v>
      </c>
      <c r="E651" s="1572"/>
      <c r="F651" s="1573"/>
      <c r="G651" s="1561" t="s">
        <v>1531</v>
      </c>
      <c r="H651" s="1571"/>
      <c r="I651" s="2369" t="e">
        <f>VLOOKUP(I647,'Đội 2'!#REF!,15,0)</f>
        <v>#REF!</v>
      </c>
      <c r="J651" s="2374" t="e">
        <f>+I651*20000+VLOOKUP(I647,'Đội 2'!#REF!,14,0)*$L$5</f>
        <v>#REF!</v>
      </c>
    </row>
    <row r="652" spans="1:11" hidden="1">
      <c r="A652" s="1561" t="s">
        <v>1971</v>
      </c>
      <c r="B652" s="1571"/>
      <c r="C652" s="2369">
        <v>0</v>
      </c>
      <c r="D652" s="2374">
        <f>+C652*25000</f>
        <v>0</v>
      </c>
      <c r="E652" s="1572"/>
      <c r="F652" s="1573"/>
      <c r="G652" s="1561" t="s">
        <v>1971</v>
      </c>
      <c r="H652" s="1571"/>
      <c r="I652" s="2369">
        <v>0</v>
      </c>
      <c r="J652" s="2374">
        <f>+I652*25000</f>
        <v>0</v>
      </c>
    </row>
    <row r="653" spans="1:11">
      <c r="A653" s="1561" t="s">
        <v>210</v>
      </c>
      <c r="B653" s="1571" t="s">
        <v>211</v>
      </c>
      <c r="C653" s="1567" t="e">
        <f>VLOOKUP(C647,'Đội 2'!#REF!,9,0)</f>
        <v>#REF!</v>
      </c>
      <c r="D653" s="2374" t="e">
        <f>VLOOKUP(C647,'Đội 2'!#REF!,11,0)</f>
        <v>#REF!</v>
      </c>
      <c r="E653" s="1574"/>
      <c r="F653" s="1573"/>
      <c r="G653" s="1561" t="s">
        <v>210</v>
      </c>
      <c r="H653" s="1571" t="s">
        <v>211</v>
      </c>
      <c r="I653" s="1567" t="e">
        <f>VLOOKUP(I647,'Đội 2'!#REF!,9,0)</f>
        <v>#REF!</v>
      </c>
      <c r="J653" s="2374" t="e">
        <f>VLOOKUP(I647,'Đội 2'!#REF!,11,0)</f>
        <v>#REF!</v>
      </c>
    </row>
    <row r="654" spans="1:11">
      <c r="A654" s="1568" t="s">
        <v>212</v>
      </c>
      <c r="B654" s="1571" t="s">
        <v>213</v>
      </c>
      <c r="C654" s="1567"/>
      <c r="D654" s="1568"/>
      <c r="E654" s="1575"/>
      <c r="F654" s="1576"/>
      <c r="G654" s="1568" t="s">
        <v>212</v>
      </c>
      <c r="H654" s="1571" t="s">
        <v>213</v>
      </c>
      <c r="I654" s="1567"/>
      <c r="J654" s="1568"/>
    </row>
    <row r="655" spans="1:11">
      <c r="A655" s="1577" t="s">
        <v>214</v>
      </c>
      <c r="B655" s="1571" t="s">
        <v>215</v>
      </c>
      <c r="C655" s="1567"/>
      <c r="D655" s="1568"/>
      <c r="E655" s="1574"/>
      <c r="F655" s="1576"/>
      <c r="G655" s="1577" t="s">
        <v>214</v>
      </c>
      <c r="H655" s="1571" t="s">
        <v>215</v>
      </c>
      <c r="I655" s="1567"/>
      <c r="J655" s="1568"/>
    </row>
    <row r="656" spans="1:11">
      <c r="A656" s="1561" t="s">
        <v>216</v>
      </c>
      <c r="B656" s="1571" t="s">
        <v>217</v>
      </c>
      <c r="C656" s="1567"/>
      <c r="D656" s="1568">
        <v>0</v>
      </c>
      <c r="E656" s="1578"/>
      <c r="F656" s="1560"/>
      <c r="G656" s="1561" t="s">
        <v>216</v>
      </c>
      <c r="H656" s="1571" t="s">
        <v>217</v>
      </c>
      <c r="I656" s="1567"/>
      <c r="J656" s="1568">
        <v>0</v>
      </c>
    </row>
    <row r="657" spans="1:11">
      <c r="A657" s="1568" t="s">
        <v>218</v>
      </c>
      <c r="B657" s="1571" t="s">
        <v>219</v>
      </c>
      <c r="C657" s="1579"/>
      <c r="D657" s="1580" t="e">
        <f>SUM(D648:D653)-D656</f>
        <v>#REF!</v>
      </c>
      <c r="E657" s="1581"/>
      <c r="F657" s="1582"/>
      <c r="G657" s="1568" t="s">
        <v>218</v>
      </c>
      <c r="H657" s="1571" t="s">
        <v>219</v>
      </c>
      <c r="I657" s="1579"/>
      <c r="J657" s="1580" t="e">
        <f>SUM(J648:J653)-J656</f>
        <v>#REF!</v>
      </c>
      <c r="K657" s="3350" t="e">
        <f>J657+D657</f>
        <v>#REF!</v>
      </c>
    </row>
    <row r="658" spans="1:11">
      <c r="A658" s="1583"/>
      <c r="B658" s="1584"/>
      <c r="C658" s="1585"/>
      <c r="D658" s="1586"/>
      <c r="E658" s="1582"/>
      <c r="F658" s="1586"/>
      <c r="G658" s="1583"/>
      <c r="H658" s="1584"/>
      <c r="I658" s="1585"/>
      <c r="J658" s="1582"/>
    </row>
    <row r="659" spans="1:11">
      <c r="A659" s="1587"/>
      <c r="B659" s="1587"/>
      <c r="C659" s="1588"/>
      <c r="D659" s="3335"/>
      <c r="E659" s="1590"/>
      <c r="F659" s="1587"/>
      <c r="G659" s="1587"/>
      <c r="H659" s="1587"/>
      <c r="I659" s="1588"/>
      <c r="J659" s="1591"/>
      <c r="K659" s="3355"/>
    </row>
    <row r="660" spans="1:11">
      <c r="A660" s="4836" t="str">
        <f>$K$2</f>
        <v>Tháng 12/24</v>
      </c>
      <c r="B660" s="4836"/>
      <c r="C660" s="4836"/>
      <c r="D660" s="4836"/>
      <c r="E660" s="1560"/>
      <c r="F660" s="1560"/>
      <c r="G660" s="4836" t="str">
        <f>$K$2</f>
        <v>Tháng 12/24</v>
      </c>
      <c r="H660" s="4836"/>
      <c r="I660" s="4836"/>
      <c r="J660" s="4836"/>
    </row>
    <row r="661" spans="1:11" ht="18">
      <c r="A661" s="1561" t="s">
        <v>1</v>
      </c>
      <c r="B661" s="1562" t="e">
        <f>VLOOKUP(C661,'Đội 2'!#REF!,3,0)</f>
        <v>#REF!</v>
      </c>
      <c r="C661" s="1563">
        <v>21</v>
      </c>
      <c r="D661" s="1563"/>
      <c r="E661" s="1564"/>
      <c r="F661" s="1565"/>
      <c r="G661" s="1561" t="s">
        <v>1</v>
      </c>
      <c r="H661" s="1562" t="e">
        <f>VLOOKUP(I661,'Đội 2'!#REF!,3,0)</f>
        <v>#REF!</v>
      </c>
      <c r="I661" s="1563">
        <v>22</v>
      </c>
      <c r="J661" s="1563"/>
    </row>
    <row r="662" spans="1:11" ht="18">
      <c r="A662" s="1561" t="s">
        <v>205</v>
      </c>
      <c r="B662" s="1566" t="s">
        <v>206</v>
      </c>
      <c r="C662" s="1567" t="e">
        <f>VLOOKUP(C661,'Đội 2'!#REF!,6,0)</f>
        <v>#REF!</v>
      </c>
      <c r="D662" s="1568" t="e">
        <f>C662*25000</f>
        <v>#REF!</v>
      </c>
      <c r="E662" s="1569"/>
      <c r="F662" s="1570"/>
      <c r="G662" s="1561" t="s">
        <v>205</v>
      </c>
      <c r="H662" s="1566" t="s">
        <v>206</v>
      </c>
      <c r="I662" s="1567" t="e">
        <f>VLOOKUP(I661,'Đội 2'!#REF!,6,0)</f>
        <v>#REF!</v>
      </c>
      <c r="J662" s="1568" t="e">
        <f>I662*25000</f>
        <v>#REF!</v>
      </c>
    </row>
    <row r="663" spans="1:11">
      <c r="A663" s="1561" t="s">
        <v>207</v>
      </c>
      <c r="B663" s="1571" t="s">
        <v>208</v>
      </c>
      <c r="C663" s="1567" t="e">
        <f>VLOOKUP(C661,'Đội 2'!#REF!,12,0)</f>
        <v>#REF!</v>
      </c>
      <c r="D663" s="2374" t="e">
        <f>+C663*$L$3</f>
        <v>#REF!</v>
      </c>
      <c r="E663" s="1572"/>
      <c r="F663" s="1573"/>
      <c r="G663" s="1561" t="s">
        <v>207</v>
      </c>
      <c r="H663" s="1571" t="s">
        <v>208</v>
      </c>
      <c r="I663" s="1567" t="e">
        <f>VLOOKUP(I661,'Đội 2'!#REF!,12,0)</f>
        <v>#REF!</v>
      </c>
      <c r="J663" s="2374" t="e">
        <f>+I663*$L$3</f>
        <v>#REF!</v>
      </c>
    </row>
    <row r="664" spans="1:11">
      <c r="A664" s="1561" t="s">
        <v>1259</v>
      </c>
      <c r="B664" s="1571" t="s">
        <v>209</v>
      </c>
      <c r="C664" s="2369" t="e">
        <f>VLOOKUP(C661,'Đội 2'!#REF!,13,0)</f>
        <v>#REF!</v>
      </c>
      <c r="D664" s="2374" t="e">
        <f>+C664*$L$4</f>
        <v>#REF!</v>
      </c>
      <c r="E664" s="1572"/>
      <c r="F664" s="1573"/>
      <c r="G664" s="1561" t="s">
        <v>1259</v>
      </c>
      <c r="H664" s="1571" t="s">
        <v>209</v>
      </c>
      <c r="I664" s="2369" t="e">
        <f>VLOOKUP(I661,'Đội 2'!#REF!,13,0)</f>
        <v>#REF!</v>
      </c>
      <c r="J664" s="2374" t="e">
        <f>+I664*$L$4</f>
        <v>#REF!</v>
      </c>
    </row>
    <row r="665" spans="1:11">
      <c r="A665" s="1561" t="s">
        <v>1531</v>
      </c>
      <c r="B665" s="1571"/>
      <c r="C665" s="2369" t="e">
        <f>VLOOKUP(C661,'Đội 2'!#REF!,15,0)</f>
        <v>#REF!</v>
      </c>
      <c r="D665" s="2374" t="e">
        <f>+C665*20000+VLOOKUP(C661,'Đội 2'!#REF!,14,0)*$L$5</f>
        <v>#REF!</v>
      </c>
      <c r="E665" s="1572"/>
      <c r="F665" s="1573"/>
      <c r="G665" s="1561" t="s">
        <v>1531</v>
      </c>
      <c r="H665" s="1571"/>
      <c r="I665" s="2369" t="e">
        <f>VLOOKUP(I661,'Đội 2'!#REF!,15,0)</f>
        <v>#REF!</v>
      </c>
      <c r="J665" s="2374" t="e">
        <f>+I665*20000+VLOOKUP(I661,'Đội 2'!#REF!,14,0)*$L$5</f>
        <v>#REF!</v>
      </c>
    </row>
    <row r="666" spans="1:11" hidden="1">
      <c r="A666" s="1561" t="s">
        <v>1971</v>
      </c>
      <c r="B666" s="1571"/>
      <c r="C666" s="2369">
        <v>0</v>
      </c>
      <c r="D666" s="2374">
        <f>+C666*25000</f>
        <v>0</v>
      </c>
      <c r="E666" s="1572"/>
      <c r="F666" s="1573"/>
      <c r="G666" s="1561" t="s">
        <v>1971</v>
      </c>
      <c r="H666" s="1571"/>
      <c r="I666" s="2369">
        <v>0</v>
      </c>
      <c r="J666" s="2374">
        <f>+I666*25000</f>
        <v>0</v>
      </c>
    </row>
    <row r="667" spans="1:11">
      <c r="A667" s="1561" t="s">
        <v>210</v>
      </c>
      <c r="B667" s="1571" t="s">
        <v>211</v>
      </c>
      <c r="C667" s="1567" t="e">
        <f>VLOOKUP(C661,'Đội 2'!#REF!,9,0)</f>
        <v>#REF!</v>
      </c>
      <c r="D667" s="2374" t="e">
        <f>VLOOKUP(C661,'Đội 2'!#REF!,11,0)</f>
        <v>#REF!</v>
      </c>
      <c r="E667" s="1574"/>
      <c r="F667" s="1573"/>
      <c r="G667" s="1561" t="s">
        <v>210</v>
      </c>
      <c r="H667" s="1571" t="s">
        <v>211</v>
      </c>
      <c r="I667" s="1567" t="e">
        <f>VLOOKUP(I661,'Đội 2'!#REF!,9,0)</f>
        <v>#REF!</v>
      </c>
      <c r="J667" s="2374" t="e">
        <f>VLOOKUP(I661,'Đội 2'!#REF!,11,0)</f>
        <v>#REF!</v>
      </c>
    </row>
    <row r="668" spans="1:11">
      <c r="A668" s="1568" t="s">
        <v>212</v>
      </c>
      <c r="B668" s="1571" t="s">
        <v>213</v>
      </c>
      <c r="C668" s="1567"/>
      <c r="D668" s="1568"/>
      <c r="E668" s="1575"/>
      <c r="F668" s="1576"/>
      <c r="G668" s="1568" t="s">
        <v>212</v>
      </c>
      <c r="H668" s="1571" t="s">
        <v>213</v>
      </c>
      <c r="I668" s="1567"/>
      <c r="J668" s="1568"/>
    </row>
    <row r="669" spans="1:11">
      <c r="A669" s="1577" t="s">
        <v>214</v>
      </c>
      <c r="B669" s="1571" t="s">
        <v>215</v>
      </c>
      <c r="C669" s="1567"/>
      <c r="D669" s="1568"/>
      <c r="E669" s="1574"/>
      <c r="F669" s="1576"/>
      <c r="G669" s="1577" t="s">
        <v>214</v>
      </c>
      <c r="H669" s="1571" t="s">
        <v>215</v>
      </c>
      <c r="I669" s="1567"/>
      <c r="J669" s="1568"/>
    </row>
    <row r="670" spans="1:11">
      <c r="A670" s="1561" t="s">
        <v>216</v>
      </c>
      <c r="B670" s="1571" t="s">
        <v>217</v>
      </c>
      <c r="C670" s="1567"/>
      <c r="D670" s="1568">
        <v>0</v>
      </c>
      <c r="E670" s="1578"/>
      <c r="F670" s="1560"/>
      <c r="G670" s="1561" t="s">
        <v>216</v>
      </c>
      <c r="H670" s="1571" t="s">
        <v>217</v>
      </c>
      <c r="I670" s="1567"/>
      <c r="J670" s="1568">
        <v>0</v>
      </c>
    </row>
    <row r="671" spans="1:11">
      <c r="A671" s="1568" t="s">
        <v>218</v>
      </c>
      <c r="B671" s="1571" t="s">
        <v>219</v>
      </c>
      <c r="C671" s="1579"/>
      <c r="D671" s="1580" t="e">
        <f>SUM(D662:D667)-D670</f>
        <v>#REF!</v>
      </c>
      <c r="E671" s="1581"/>
      <c r="F671" s="1582"/>
      <c r="G671" s="1568" t="s">
        <v>218</v>
      </c>
      <c r="H671" s="1571" t="s">
        <v>219</v>
      </c>
      <c r="I671" s="1579"/>
      <c r="J671" s="1580" t="e">
        <f>SUM(J662:J667)-J670</f>
        <v>#REF!</v>
      </c>
      <c r="K671" s="3350" t="e">
        <f>J671+D671</f>
        <v>#REF!</v>
      </c>
    </row>
    <row r="672" spans="1:11">
      <c r="A672" s="1583"/>
      <c r="B672" s="1584"/>
      <c r="C672" s="1585"/>
      <c r="D672" s="1586"/>
      <c r="E672" s="1582"/>
      <c r="F672" s="1586"/>
      <c r="G672" s="1583"/>
      <c r="H672" s="1584"/>
      <c r="I672" s="1585"/>
      <c r="J672" s="1582"/>
    </row>
    <row r="673" spans="1:11">
      <c r="A673" s="1587"/>
      <c r="B673" s="1587"/>
      <c r="C673" s="1588"/>
      <c r="D673" s="3335"/>
      <c r="E673" s="1590"/>
      <c r="F673" s="1587"/>
      <c r="G673" s="1587"/>
      <c r="H673" s="1587"/>
      <c r="I673" s="1588"/>
      <c r="J673" s="1591"/>
      <c r="K673" s="3355"/>
    </row>
    <row r="674" spans="1:11">
      <c r="A674" s="4836" t="str">
        <f>$K$2</f>
        <v>Tháng 12/24</v>
      </c>
      <c r="B674" s="4836"/>
      <c r="C674" s="4836"/>
      <c r="D674" s="4836"/>
      <c r="E674" s="1560"/>
      <c r="F674" s="1560"/>
      <c r="G674" s="4836" t="str">
        <f>$K$2</f>
        <v>Tháng 12/24</v>
      </c>
      <c r="H674" s="4836"/>
      <c r="I674" s="4836"/>
      <c r="J674" s="4836"/>
    </row>
    <row r="675" spans="1:11" ht="18">
      <c r="A675" s="1561" t="s">
        <v>1</v>
      </c>
      <c r="B675" s="1562" t="e">
        <f>VLOOKUP(C675,'Đội 2'!#REF!,3,0)</f>
        <v>#REF!</v>
      </c>
      <c r="C675" s="1563">
        <v>23</v>
      </c>
      <c r="D675" s="1563"/>
      <c r="E675" s="1564"/>
      <c r="F675" s="1565"/>
      <c r="G675" s="1561" t="s">
        <v>1</v>
      </c>
      <c r="H675" s="1562" t="e">
        <f>VLOOKUP(I675,'Đội 2'!#REF!,3,0)</f>
        <v>#REF!</v>
      </c>
      <c r="I675" s="1563">
        <v>24</v>
      </c>
      <c r="J675" s="1563"/>
    </row>
    <row r="676" spans="1:11" ht="18">
      <c r="A676" s="1561" t="s">
        <v>205</v>
      </c>
      <c r="B676" s="1566" t="s">
        <v>206</v>
      </c>
      <c r="C676" s="1567" t="e">
        <f>VLOOKUP(C675,'Đội 2'!#REF!,6,0)</f>
        <v>#REF!</v>
      </c>
      <c r="D676" s="1568" t="e">
        <f>C676*25000</f>
        <v>#REF!</v>
      </c>
      <c r="E676" s="1569"/>
      <c r="F676" s="1570"/>
      <c r="G676" s="1561" t="s">
        <v>205</v>
      </c>
      <c r="H676" s="1566" t="s">
        <v>206</v>
      </c>
      <c r="I676" s="1567" t="e">
        <f>VLOOKUP(I675,'Đội 2'!#REF!,6,0)</f>
        <v>#REF!</v>
      </c>
      <c r="J676" s="1568" t="e">
        <f>I676*25000</f>
        <v>#REF!</v>
      </c>
    </row>
    <row r="677" spans="1:11">
      <c r="A677" s="1561" t="s">
        <v>207</v>
      </c>
      <c r="B677" s="1571" t="s">
        <v>208</v>
      </c>
      <c r="C677" s="1567" t="e">
        <f>VLOOKUP(C675,'Đội 2'!#REF!,12,0)</f>
        <v>#REF!</v>
      </c>
      <c r="D677" s="2374" t="e">
        <f>+C677*$L$3</f>
        <v>#REF!</v>
      </c>
      <c r="E677" s="1572"/>
      <c r="F677" s="1573"/>
      <c r="G677" s="1561" t="s">
        <v>207</v>
      </c>
      <c r="H677" s="1571" t="s">
        <v>208</v>
      </c>
      <c r="I677" s="1567" t="e">
        <f>VLOOKUP(I675,'Đội 2'!#REF!,12,0)</f>
        <v>#REF!</v>
      </c>
      <c r="J677" s="2374" t="e">
        <f>+I677*$L$3</f>
        <v>#REF!</v>
      </c>
    </row>
    <row r="678" spans="1:11">
      <c r="A678" s="1561" t="s">
        <v>1259</v>
      </c>
      <c r="B678" s="1571" t="s">
        <v>209</v>
      </c>
      <c r="C678" s="2369" t="e">
        <f>VLOOKUP(C675,'Đội 2'!#REF!,13,0)</f>
        <v>#REF!</v>
      </c>
      <c r="D678" s="2374" t="e">
        <f>+C678*$L$4</f>
        <v>#REF!</v>
      </c>
      <c r="E678" s="1572"/>
      <c r="F678" s="1573"/>
      <c r="G678" s="1561" t="s">
        <v>1259</v>
      </c>
      <c r="H678" s="1571" t="s">
        <v>209</v>
      </c>
      <c r="I678" s="2369" t="e">
        <f>VLOOKUP(I675,'Đội 2'!#REF!,13,0)</f>
        <v>#REF!</v>
      </c>
      <c r="J678" s="2374" t="e">
        <f>+I678*$L$4</f>
        <v>#REF!</v>
      </c>
    </row>
    <row r="679" spans="1:11">
      <c r="A679" s="1561" t="s">
        <v>1531</v>
      </c>
      <c r="B679" s="1571"/>
      <c r="C679" s="2369" t="e">
        <f>VLOOKUP(C675,'Đội 2'!#REF!,15,0)</f>
        <v>#REF!</v>
      </c>
      <c r="D679" s="2374" t="e">
        <f>+C679*20000+VLOOKUP(C675,'Đội 2'!#REF!,14,0)*$L$5</f>
        <v>#REF!</v>
      </c>
      <c r="E679" s="1572"/>
      <c r="F679" s="1573"/>
      <c r="G679" s="1561" t="s">
        <v>1531</v>
      </c>
      <c r="H679" s="1571"/>
      <c r="I679" s="2369" t="e">
        <f>VLOOKUP(I675,'Đội 2'!#REF!,15,0)</f>
        <v>#REF!</v>
      </c>
      <c r="J679" s="2374" t="e">
        <f>+I679*20000+VLOOKUP(I675,'Đội 2'!#REF!,14,0)*$L$5</f>
        <v>#REF!</v>
      </c>
    </row>
    <row r="680" spans="1:11" hidden="1">
      <c r="A680" s="1561" t="s">
        <v>1971</v>
      </c>
      <c r="B680" s="1571"/>
      <c r="C680" s="2369">
        <v>0</v>
      </c>
      <c r="D680" s="2374">
        <f>+C680*25000</f>
        <v>0</v>
      </c>
      <c r="E680" s="1572"/>
      <c r="F680" s="1573"/>
      <c r="G680" s="1561" t="s">
        <v>1971</v>
      </c>
      <c r="H680" s="1571"/>
      <c r="I680" s="2369">
        <v>0</v>
      </c>
      <c r="J680" s="2374">
        <f>+I680*25000</f>
        <v>0</v>
      </c>
    </row>
    <row r="681" spans="1:11">
      <c r="A681" s="1561" t="s">
        <v>210</v>
      </c>
      <c r="B681" s="1571" t="s">
        <v>211</v>
      </c>
      <c r="C681" s="1567" t="e">
        <f>VLOOKUP(C675,'Đội 2'!#REF!,9,0)</f>
        <v>#REF!</v>
      </c>
      <c r="D681" s="2374" t="e">
        <f>VLOOKUP(C675,'Đội 2'!#REF!,11,0)</f>
        <v>#REF!</v>
      </c>
      <c r="E681" s="1574"/>
      <c r="F681" s="1573"/>
      <c r="G681" s="1561" t="s">
        <v>210</v>
      </c>
      <c r="H681" s="1571" t="s">
        <v>211</v>
      </c>
      <c r="I681" s="1567" t="e">
        <f>VLOOKUP(I675,'Đội 2'!#REF!,9,0)</f>
        <v>#REF!</v>
      </c>
      <c r="J681" s="2374" t="e">
        <f>VLOOKUP(I675,'Đội 2'!#REF!,11,0)</f>
        <v>#REF!</v>
      </c>
    </row>
    <row r="682" spans="1:11">
      <c r="A682" s="1568" t="s">
        <v>212</v>
      </c>
      <c r="B682" s="1571" t="s">
        <v>213</v>
      </c>
      <c r="C682" s="1567"/>
      <c r="D682" s="1568"/>
      <c r="E682" s="1575"/>
      <c r="F682" s="1576"/>
      <c r="G682" s="1568" t="s">
        <v>212</v>
      </c>
      <c r="H682" s="1571" t="s">
        <v>213</v>
      </c>
      <c r="I682" s="1567"/>
      <c r="J682" s="1568"/>
    </row>
    <row r="683" spans="1:11">
      <c r="A683" s="1577" t="s">
        <v>214</v>
      </c>
      <c r="B683" s="1571" t="s">
        <v>215</v>
      </c>
      <c r="C683" s="1567"/>
      <c r="D683" s="1568"/>
      <c r="E683" s="1574"/>
      <c r="F683" s="1576"/>
      <c r="G683" s="1577" t="s">
        <v>214</v>
      </c>
      <c r="H683" s="1571" t="s">
        <v>215</v>
      </c>
      <c r="I683" s="1567"/>
      <c r="J683" s="1568"/>
    </row>
    <row r="684" spans="1:11">
      <c r="A684" s="1561" t="s">
        <v>216</v>
      </c>
      <c r="B684" s="1571" t="s">
        <v>217</v>
      </c>
      <c r="C684" s="1567"/>
      <c r="D684" s="1568">
        <v>0</v>
      </c>
      <c r="E684" s="1578"/>
      <c r="F684" s="1560"/>
      <c r="G684" s="1561" t="s">
        <v>216</v>
      </c>
      <c r="H684" s="1571" t="s">
        <v>217</v>
      </c>
      <c r="I684" s="1567"/>
      <c r="J684" s="1568">
        <v>0</v>
      </c>
    </row>
    <row r="685" spans="1:11">
      <c r="A685" s="1568" t="s">
        <v>218</v>
      </c>
      <c r="B685" s="1571" t="s">
        <v>219</v>
      </c>
      <c r="C685" s="1579"/>
      <c r="D685" s="1580" t="e">
        <f>SUM(D676:D681)-D684</f>
        <v>#REF!</v>
      </c>
      <c r="E685" s="1581"/>
      <c r="F685" s="1582"/>
      <c r="G685" s="1568" t="s">
        <v>218</v>
      </c>
      <c r="H685" s="1571" t="s">
        <v>219</v>
      </c>
      <c r="I685" s="1579"/>
      <c r="J685" s="1580" t="e">
        <f>SUM(J676:J681)-J684</f>
        <v>#REF!</v>
      </c>
      <c r="K685" s="3350" t="e">
        <f>J685+D685</f>
        <v>#REF!</v>
      </c>
    </row>
    <row r="686" spans="1:11">
      <c r="A686" s="1583"/>
      <c r="B686" s="1584"/>
      <c r="C686" s="1592"/>
      <c r="D686" s="1593"/>
      <c r="E686" s="1586"/>
      <c r="F686" s="1586"/>
      <c r="G686" s="1583"/>
      <c r="H686" s="1584"/>
      <c r="I686" s="1592"/>
      <c r="J686" s="1593"/>
    </row>
    <row r="687" spans="1:11" ht="12.75" customHeight="1">
      <c r="A687" s="1583"/>
      <c r="B687" s="1584"/>
      <c r="C687" s="1592"/>
      <c r="D687" s="1593"/>
      <c r="E687" s="1586"/>
      <c r="F687" s="1586"/>
      <c r="G687" s="1583"/>
      <c r="H687" s="1584"/>
      <c r="I687" s="1592"/>
      <c r="J687" s="1593"/>
    </row>
    <row r="688" spans="1:11" ht="12.75" customHeight="1">
      <c r="A688" s="1583"/>
      <c r="B688" s="1584"/>
      <c r="C688" s="1592"/>
      <c r="D688" s="1593"/>
      <c r="E688" s="1586"/>
      <c r="F688" s="1586"/>
      <c r="G688" s="1583"/>
      <c r="H688" s="1584"/>
      <c r="I688" s="1592"/>
      <c r="J688" s="1593"/>
    </row>
    <row r="689" spans="1:11">
      <c r="A689" s="1583"/>
      <c r="B689" s="1584"/>
      <c r="C689" s="1592"/>
      <c r="D689" s="1593"/>
      <c r="E689" s="1586"/>
      <c r="F689" s="1586"/>
      <c r="G689" s="1583"/>
      <c r="H689" s="1584"/>
      <c r="I689" s="1592"/>
      <c r="J689" s="1593"/>
    </row>
    <row r="690" spans="1:11">
      <c r="A690" s="1583"/>
      <c r="B690" s="1584"/>
      <c r="C690" s="1592"/>
      <c r="D690" s="1593"/>
      <c r="E690" s="1586"/>
      <c r="F690" s="1586"/>
      <c r="G690" s="1583"/>
      <c r="H690" s="1584"/>
      <c r="I690" s="1592"/>
      <c r="J690" s="1593"/>
      <c r="K690" s="3355"/>
    </row>
    <row r="691" spans="1:11">
      <c r="A691" s="4836" t="str">
        <f>$K$2</f>
        <v>Tháng 12/24</v>
      </c>
      <c r="B691" s="4836"/>
      <c r="C691" s="4836"/>
      <c r="D691" s="4836"/>
      <c r="E691" s="1560"/>
      <c r="F691" s="1560"/>
      <c r="G691" s="4836" t="str">
        <f>$K$2</f>
        <v>Tháng 12/24</v>
      </c>
      <c r="H691" s="4836"/>
      <c r="I691" s="4836"/>
      <c r="J691" s="4836"/>
    </row>
    <row r="692" spans="1:11" ht="18">
      <c r="A692" s="1561" t="s">
        <v>1</v>
      </c>
      <c r="B692" s="1562" t="e">
        <f>VLOOKUP(C692,'Đội 2'!#REF!,3,0)</f>
        <v>#REF!</v>
      </c>
      <c r="C692" s="1563">
        <v>25</v>
      </c>
      <c r="D692" s="1563"/>
      <c r="E692" s="1564"/>
      <c r="F692" s="1565"/>
      <c r="G692" s="1561" t="s">
        <v>1</v>
      </c>
      <c r="H692" s="1562" t="e">
        <f>VLOOKUP(I692,'Đội 2'!#REF!,3,0)</f>
        <v>#REF!</v>
      </c>
      <c r="I692" s="1563">
        <v>26</v>
      </c>
      <c r="J692" s="1563"/>
    </row>
    <row r="693" spans="1:11" ht="18">
      <c r="A693" s="1561" t="s">
        <v>205</v>
      </c>
      <c r="B693" s="1566" t="s">
        <v>206</v>
      </c>
      <c r="C693" s="1567" t="e">
        <f>VLOOKUP(C692,'Đội 2'!#REF!,6,0)</f>
        <v>#REF!</v>
      </c>
      <c r="D693" s="1568" t="e">
        <f>C693*25000</f>
        <v>#REF!</v>
      </c>
      <c r="E693" s="1569"/>
      <c r="F693" s="1570"/>
      <c r="G693" s="1561" t="s">
        <v>205</v>
      </c>
      <c r="H693" s="1566" t="s">
        <v>206</v>
      </c>
      <c r="I693" s="1567" t="e">
        <f>VLOOKUP(I692,'Đội 2'!#REF!,6,0)</f>
        <v>#REF!</v>
      </c>
      <c r="J693" s="1568" t="e">
        <f>I693*25000</f>
        <v>#REF!</v>
      </c>
    </row>
    <row r="694" spans="1:11">
      <c r="A694" s="1561" t="s">
        <v>207</v>
      </c>
      <c r="B694" s="1571" t="s">
        <v>208</v>
      </c>
      <c r="C694" s="1567" t="e">
        <f>VLOOKUP(C692,'Đội 2'!#REF!,12,0)</f>
        <v>#REF!</v>
      </c>
      <c r="D694" s="2374" t="e">
        <f>+C694*$L$3</f>
        <v>#REF!</v>
      </c>
      <c r="E694" s="1572"/>
      <c r="F694" s="1573"/>
      <c r="G694" s="1561" t="s">
        <v>207</v>
      </c>
      <c r="H694" s="1571" t="s">
        <v>208</v>
      </c>
      <c r="I694" s="1567" t="e">
        <f>VLOOKUP(I692,'Đội 2'!#REF!,12,0)</f>
        <v>#REF!</v>
      </c>
      <c r="J694" s="2374" t="e">
        <f>+I694*$L$3</f>
        <v>#REF!</v>
      </c>
    </row>
    <row r="695" spans="1:11">
      <c r="A695" s="1561" t="s">
        <v>1259</v>
      </c>
      <c r="B695" s="1571" t="s">
        <v>209</v>
      </c>
      <c r="C695" s="2369" t="e">
        <f>VLOOKUP(C692,'Đội 2'!#REF!,13,0)</f>
        <v>#REF!</v>
      </c>
      <c r="D695" s="2374" t="e">
        <f>+C695*$L$4</f>
        <v>#REF!</v>
      </c>
      <c r="E695" s="1572"/>
      <c r="F695" s="1573"/>
      <c r="G695" s="1561" t="s">
        <v>1259</v>
      </c>
      <c r="H695" s="1571" t="s">
        <v>209</v>
      </c>
      <c r="I695" s="2369" t="e">
        <f>VLOOKUP(I692,'Đội 2'!#REF!,13,0)</f>
        <v>#REF!</v>
      </c>
      <c r="J695" s="2374" t="e">
        <f>+I695*$L$4</f>
        <v>#REF!</v>
      </c>
    </row>
    <row r="696" spans="1:11">
      <c r="A696" s="1561" t="s">
        <v>1531</v>
      </c>
      <c r="B696" s="1571"/>
      <c r="C696" s="2369" t="e">
        <f>VLOOKUP(C692,'Đội 2'!#REF!,15,0)</f>
        <v>#REF!</v>
      </c>
      <c r="D696" s="2374" t="e">
        <f>+C696*20000+VLOOKUP(C692,'Đội 2'!#REF!,14,0)*$L$5</f>
        <v>#REF!</v>
      </c>
      <c r="E696" s="1572"/>
      <c r="F696" s="1573"/>
      <c r="G696" s="1561" t="s">
        <v>1531</v>
      </c>
      <c r="H696" s="1571"/>
      <c r="I696" s="2369" t="e">
        <f>VLOOKUP(I692,'Đội 2'!#REF!,15,0)</f>
        <v>#REF!</v>
      </c>
      <c r="J696" s="2374" t="e">
        <f>+I696*20000+VLOOKUP(I692,'Đội 2'!#REF!,14,0)*$L$5</f>
        <v>#REF!</v>
      </c>
    </row>
    <row r="697" spans="1:11" hidden="1">
      <c r="A697" s="1561" t="s">
        <v>1971</v>
      </c>
      <c r="B697" s="1571"/>
      <c r="C697" s="2369">
        <v>0</v>
      </c>
      <c r="D697" s="2374">
        <f>+C697*25000</f>
        <v>0</v>
      </c>
      <c r="E697" s="1572"/>
      <c r="F697" s="1573"/>
      <c r="G697" s="1561" t="s">
        <v>1971</v>
      </c>
      <c r="H697" s="1571"/>
      <c r="I697" s="2369">
        <v>0</v>
      </c>
      <c r="J697" s="2374">
        <f>+I697*25000</f>
        <v>0</v>
      </c>
    </row>
    <row r="698" spans="1:11">
      <c r="A698" s="1561" t="s">
        <v>210</v>
      </c>
      <c r="B698" s="1571" t="s">
        <v>211</v>
      </c>
      <c r="C698" s="1567" t="e">
        <f>VLOOKUP(C692,'Đội 2'!#REF!,9,0)</f>
        <v>#REF!</v>
      </c>
      <c r="D698" s="2374" t="e">
        <f>VLOOKUP(C692,'Đội 2'!#REF!,11,0)</f>
        <v>#REF!</v>
      </c>
      <c r="E698" s="1574"/>
      <c r="F698" s="1573"/>
      <c r="G698" s="1561" t="s">
        <v>210</v>
      </c>
      <c r="H698" s="1571" t="s">
        <v>211</v>
      </c>
      <c r="I698" s="1567" t="e">
        <f>VLOOKUP(I692,'Đội 2'!#REF!,9,0)</f>
        <v>#REF!</v>
      </c>
      <c r="J698" s="2374" t="e">
        <f>VLOOKUP(I692,'Đội 2'!#REF!,11,0)</f>
        <v>#REF!</v>
      </c>
    </row>
    <row r="699" spans="1:11">
      <c r="A699" s="1568" t="s">
        <v>212</v>
      </c>
      <c r="B699" s="1571" t="s">
        <v>213</v>
      </c>
      <c r="C699" s="1567"/>
      <c r="D699" s="1568"/>
      <c r="E699" s="1575"/>
      <c r="F699" s="1576"/>
      <c r="G699" s="1568" t="s">
        <v>212</v>
      </c>
      <c r="H699" s="1571" t="s">
        <v>213</v>
      </c>
      <c r="I699" s="1567"/>
      <c r="J699" s="1568"/>
    </row>
    <row r="700" spans="1:11">
      <c r="A700" s="1577" t="s">
        <v>214</v>
      </c>
      <c r="B700" s="1571" t="s">
        <v>215</v>
      </c>
      <c r="C700" s="1567"/>
      <c r="D700" s="1568"/>
      <c r="E700" s="1574"/>
      <c r="F700" s="1576"/>
      <c r="G700" s="1577" t="s">
        <v>214</v>
      </c>
      <c r="H700" s="1571" t="s">
        <v>215</v>
      </c>
      <c r="I700" s="1567"/>
      <c r="J700" s="1568"/>
    </row>
    <row r="701" spans="1:11">
      <c r="A701" s="1561" t="s">
        <v>216</v>
      </c>
      <c r="B701" s="1571" t="s">
        <v>217</v>
      </c>
      <c r="C701" s="1567"/>
      <c r="D701" s="1568">
        <v>0</v>
      </c>
      <c r="E701" s="1578"/>
      <c r="F701" s="1560"/>
      <c r="G701" s="1561" t="s">
        <v>216</v>
      </c>
      <c r="H701" s="1571" t="s">
        <v>217</v>
      </c>
      <c r="I701" s="1567"/>
      <c r="J701" s="1568">
        <v>0</v>
      </c>
    </row>
    <row r="702" spans="1:11">
      <c r="A702" s="1568" t="s">
        <v>218</v>
      </c>
      <c r="B702" s="1571" t="s">
        <v>219</v>
      </c>
      <c r="C702" s="1579"/>
      <c r="D702" s="1580" t="e">
        <f>SUM(D693:D698)-D701</f>
        <v>#REF!</v>
      </c>
      <c r="E702" s="1581"/>
      <c r="F702" s="1582"/>
      <c r="G702" s="1568" t="s">
        <v>218</v>
      </c>
      <c r="H702" s="1571" t="s">
        <v>219</v>
      </c>
      <c r="I702" s="1579"/>
      <c r="J702" s="1580" t="e">
        <f>SUM(J693:J698)-J701</f>
        <v>#REF!</v>
      </c>
      <c r="K702" s="3350" t="e">
        <f>J702+D702</f>
        <v>#REF!</v>
      </c>
    </row>
    <row r="703" spans="1:11">
      <c r="A703" s="1583"/>
      <c r="B703" s="1584"/>
      <c r="C703" s="1585"/>
      <c r="D703" s="1586"/>
      <c r="E703" s="1582"/>
      <c r="F703" s="1586"/>
      <c r="G703" s="1583"/>
      <c r="H703" s="1584"/>
      <c r="I703" s="1585"/>
      <c r="J703" s="1582"/>
    </row>
    <row r="704" spans="1:11">
      <c r="A704" s="1587"/>
      <c r="B704" s="1587"/>
      <c r="C704" s="1588"/>
      <c r="D704" s="3335"/>
      <c r="E704" s="1590"/>
      <c r="F704" s="1587"/>
      <c r="G704" s="1587"/>
      <c r="H704" s="1587"/>
      <c r="I704" s="1588"/>
      <c r="J704" s="1591"/>
      <c r="K704" s="3355"/>
    </row>
    <row r="705" spans="1:11">
      <c r="A705" s="4836" t="str">
        <f>$K$2</f>
        <v>Tháng 12/24</v>
      </c>
      <c r="B705" s="4836"/>
      <c r="C705" s="4836"/>
      <c r="D705" s="4836"/>
      <c r="E705" s="1560"/>
      <c r="F705" s="1560"/>
      <c r="G705" s="4836" t="str">
        <f>$K$2</f>
        <v>Tháng 12/24</v>
      </c>
      <c r="H705" s="4836"/>
      <c r="I705" s="4836"/>
      <c r="J705" s="4836"/>
    </row>
    <row r="706" spans="1:11" ht="18">
      <c r="A706" s="1561" t="s">
        <v>1</v>
      </c>
      <c r="B706" s="1562" t="e">
        <f>VLOOKUP(C706,'Đội 2'!#REF!,3,0)</f>
        <v>#REF!</v>
      </c>
      <c r="C706" s="1563">
        <v>27</v>
      </c>
      <c r="D706" s="1563"/>
      <c r="E706" s="1564"/>
      <c r="F706" s="1565"/>
      <c r="G706" s="1561" t="s">
        <v>1</v>
      </c>
      <c r="H706" s="1562" t="e">
        <f>VLOOKUP(I706,'Đội 2'!#REF!,3,0)</f>
        <v>#REF!</v>
      </c>
      <c r="I706" s="1563">
        <v>28</v>
      </c>
      <c r="J706" s="1563"/>
    </row>
    <row r="707" spans="1:11" ht="18">
      <c r="A707" s="1561" t="s">
        <v>205</v>
      </c>
      <c r="B707" s="1566" t="s">
        <v>206</v>
      </c>
      <c r="C707" s="1567" t="e">
        <f>VLOOKUP(C706,'Đội 2'!#REF!,6,0)</f>
        <v>#REF!</v>
      </c>
      <c r="D707" s="1568" t="e">
        <f>C707*25000</f>
        <v>#REF!</v>
      </c>
      <c r="E707" s="1569"/>
      <c r="F707" s="1570"/>
      <c r="G707" s="1561" t="s">
        <v>205</v>
      </c>
      <c r="H707" s="1566" t="s">
        <v>206</v>
      </c>
      <c r="I707" s="1567" t="e">
        <f>VLOOKUP(I706,'Đội 2'!#REF!,6,0)</f>
        <v>#REF!</v>
      </c>
      <c r="J707" s="1568" t="e">
        <f>I707*25000</f>
        <v>#REF!</v>
      </c>
    </row>
    <row r="708" spans="1:11">
      <c r="A708" s="1561" t="s">
        <v>207</v>
      </c>
      <c r="B708" s="1571" t="s">
        <v>208</v>
      </c>
      <c r="C708" s="1567" t="e">
        <f>VLOOKUP(C706,'Đội 2'!#REF!,12,0)</f>
        <v>#REF!</v>
      </c>
      <c r="D708" s="2374" t="e">
        <f>+C708*$L$3</f>
        <v>#REF!</v>
      </c>
      <c r="E708" s="1572"/>
      <c r="F708" s="1573"/>
      <c r="G708" s="1561" t="s">
        <v>207</v>
      </c>
      <c r="H708" s="1571" t="s">
        <v>208</v>
      </c>
      <c r="I708" s="1567" t="e">
        <f>VLOOKUP(I706,'Đội 2'!#REF!,12,0)</f>
        <v>#REF!</v>
      </c>
      <c r="J708" s="2374" t="e">
        <f>+I708*$L$3</f>
        <v>#REF!</v>
      </c>
    </row>
    <row r="709" spans="1:11">
      <c r="A709" s="1561" t="s">
        <v>1259</v>
      </c>
      <c r="B709" s="1571" t="s">
        <v>209</v>
      </c>
      <c r="C709" s="2369" t="e">
        <f>VLOOKUP(C706,'Đội 2'!#REF!,13,0)</f>
        <v>#REF!</v>
      </c>
      <c r="D709" s="2374" t="e">
        <f>+C709*$L$4</f>
        <v>#REF!</v>
      </c>
      <c r="E709" s="1572"/>
      <c r="F709" s="1573"/>
      <c r="G709" s="1561" t="s">
        <v>1259</v>
      </c>
      <c r="H709" s="1571" t="s">
        <v>209</v>
      </c>
      <c r="I709" s="2369" t="e">
        <f>VLOOKUP(I706,'Đội 2'!#REF!,13,0)</f>
        <v>#REF!</v>
      </c>
      <c r="J709" s="2374" t="e">
        <f>+I709*$L$4</f>
        <v>#REF!</v>
      </c>
    </row>
    <row r="710" spans="1:11">
      <c r="A710" s="1561" t="s">
        <v>1531</v>
      </c>
      <c r="B710" s="1571"/>
      <c r="C710" s="2369" t="e">
        <f>VLOOKUP(C706,'Đội 2'!#REF!,15,0)</f>
        <v>#REF!</v>
      </c>
      <c r="D710" s="2374" t="e">
        <f>+C710*20000+VLOOKUP(C706,'Đội 2'!#REF!,14,0)*$L$5</f>
        <v>#REF!</v>
      </c>
      <c r="E710" s="1572"/>
      <c r="F710" s="1573"/>
      <c r="G710" s="1561" t="s">
        <v>1531</v>
      </c>
      <c r="H710" s="1571"/>
      <c r="I710" s="2369" t="e">
        <f>VLOOKUP(I706,'Đội 2'!#REF!,15,0)</f>
        <v>#REF!</v>
      </c>
      <c r="J710" s="2374" t="e">
        <f>+I710*20000+VLOOKUP(I706,'Đội 2'!#REF!,14,0)*$L$5</f>
        <v>#REF!</v>
      </c>
    </row>
    <row r="711" spans="1:11" hidden="1">
      <c r="A711" s="1561" t="s">
        <v>1971</v>
      </c>
      <c r="B711" s="1571"/>
      <c r="C711" s="2369">
        <v>0</v>
      </c>
      <c r="D711" s="2374">
        <f>+C711*25000</f>
        <v>0</v>
      </c>
      <c r="E711" s="1572"/>
      <c r="F711" s="1573"/>
      <c r="G711" s="1561" t="s">
        <v>1971</v>
      </c>
      <c r="H711" s="1571"/>
      <c r="I711" s="2369">
        <v>0</v>
      </c>
      <c r="J711" s="2374">
        <f>+I711*25000</f>
        <v>0</v>
      </c>
    </row>
    <row r="712" spans="1:11">
      <c r="A712" s="1561" t="s">
        <v>210</v>
      </c>
      <c r="B712" s="1571" t="s">
        <v>211</v>
      </c>
      <c r="C712" s="1567" t="e">
        <f>VLOOKUP(C706,'Đội 2'!#REF!,9,0)</f>
        <v>#REF!</v>
      </c>
      <c r="D712" s="2374" t="e">
        <f>VLOOKUP(C706,'Đội 2'!#REF!,11,0)</f>
        <v>#REF!</v>
      </c>
      <c r="E712" s="1574"/>
      <c r="F712" s="1573"/>
      <c r="G712" s="1561" t="s">
        <v>210</v>
      </c>
      <c r="H712" s="1571" t="s">
        <v>211</v>
      </c>
      <c r="I712" s="1567" t="e">
        <f>VLOOKUP(I706,'Đội 2'!#REF!,9,0)</f>
        <v>#REF!</v>
      </c>
      <c r="J712" s="2374" t="e">
        <f>VLOOKUP(I706,'Đội 2'!#REF!,11,0)</f>
        <v>#REF!</v>
      </c>
    </row>
    <row r="713" spans="1:11">
      <c r="A713" s="1568" t="s">
        <v>212</v>
      </c>
      <c r="B713" s="1571" t="s">
        <v>213</v>
      </c>
      <c r="C713" s="1567"/>
      <c r="D713" s="1568"/>
      <c r="E713" s="1575"/>
      <c r="F713" s="1576"/>
      <c r="G713" s="1568" t="s">
        <v>212</v>
      </c>
      <c r="H713" s="1571" t="s">
        <v>213</v>
      </c>
      <c r="I713" s="1567"/>
      <c r="J713" s="1568"/>
    </row>
    <row r="714" spans="1:11">
      <c r="A714" s="1577" t="s">
        <v>214</v>
      </c>
      <c r="B714" s="1571" t="s">
        <v>215</v>
      </c>
      <c r="C714" s="1567"/>
      <c r="D714" s="1568"/>
      <c r="E714" s="1574"/>
      <c r="F714" s="1576"/>
      <c r="G714" s="1577" t="s">
        <v>214</v>
      </c>
      <c r="H714" s="1571" t="s">
        <v>215</v>
      </c>
      <c r="I714" s="1567"/>
      <c r="J714" s="1568"/>
    </row>
    <row r="715" spans="1:11">
      <c r="A715" s="1561" t="s">
        <v>216</v>
      </c>
      <c r="B715" s="1571" t="s">
        <v>217</v>
      </c>
      <c r="C715" s="1567"/>
      <c r="D715" s="1568">
        <v>0</v>
      </c>
      <c r="E715" s="1578"/>
      <c r="F715" s="1560"/>
      <c r="G715" s="1561" t="s">
        <v>216</v>
      </c>
      <c r="H715" s="1571" t="s">
        <v>217</v>
      </c>
      <c r="I715" s="1567"/>
      <c r="J715" s="1568">
        <v>0</v>
      </c>
    </row>
    <row r="716" spans="1:11">
      <c r="A716" s="1568" t="s">
        <v>218</v>
      </c>
      <c r="B716" s="1571" t="s">
        <v>219</v>
      </c>
      <c r="C716" s="1579"/>
      <c r="D716" s="1580" t="e">
        <f>SUM(D707:D712)-D715</f>
        <v>#REF!</v>
      </c>
      <c r="E716" s="1581"/>
      <c r="F716" s="1582"/>
      <c r="G716" s="1568" t="s">
        <v>218</v>
      </c>
      <c r="H716" s="1571" t="s">
        <v>219</v>
      </c>
      <c r="I716" s="1579"/>
      <c r="J716" s="1580" t="e">
        <f>SUM(J707:J712)-J715</f>
        <v>#REF!</v>
      </c>
      <c r="K716" s="3350" t="e">
        <f>J716+D716</f>
        <v>#REF!</v>
      </c>
    </row>
    <row r="717" spans="1:11">
      <c r="A717" s="1583"/>
      <c r="B717" s="1584"/>
      <c r="C717" s="1585"/>
      <c r="D717" s="1586"/>
      <c r="E717" s="1582"/>
      <c r="F717" s="1586"/>
      <c r="G717" s="1583"/>
      <c r="H717" s="1584"/>
      <c r="I717" s="1585"/>
      <c r="J717" s="1582"/>
    </row>
    <row r="718" spans="1:11">
      <c r="A718" s="1587"/>
      <c r="B718" s="1587"/>
      <c r="C718" s="1588"/>
      <c r="D718" s="3335"/>
      <c r="E718" s="1590"/>
      <c r="F718" s="1587"/>
      <c r="G718" s="1587"/>
      <c r="H718" s="1587"/>
      <c r="I718" s="1588"/>
      <c r="J718" s="1591"/>
      <c r="K718" s="3355"/>
    </row>
    <row r="719" spans="1:11">
      <c r="A719" s="4836" t="str">
        <f>$K$2</f>
        <v>Tháng 12/24</v>
      </c>
      <c r="B719" s="4836"/>
      <c r="C719" s="4836"/>
      <c r="D719" s="4836"/>
      <c r="E719" s="1560"/>
      <c r="F719" s="1560"/>
      <c r="G719" s="4836" t="str">
        <f>$K$2</f>
        <v>Tháng 12/24</v>
      </c>
      <c r="H719" s="4836"/>
      <c r="I719" s="4836"/>
      <c r="J719" s="4836"/>
    </row>
    <row r="720" spans="1:11" ht="18">
      <c r="A720" s="1561" t="s">
        <v>1</v>
      </c>
      <c r="B720" s="1562" t="e">
        <f>VLOOKUP(C720,'Đội 2'!#REF!,3,0)</f>
        <v>#REF!</v>
      </c>
      <c r="C720" s="1563">
        <v>29</v>
      </c>
      <c r="D720" s="1563"/>
      <c r="E720" s="1564"/>
      <c r="F720" s="1565"/>
      <c r="G720" s="1561" t="s">
        <v>1</v>
      </c>
      <c r="H720" s="1562" t="e">
        <f>VLOOKUP(I720,'Đội 2'!#REF!,3,0)</f>
        <v>#REF!</v>
      </c>
      <c r="I720" s="1563">
        <v>30</v>
      </c>
      <c r="J720" s="1563"/>
    </row>
    <row r="721" spans="1:11" ht="18">
      <c r="A721" s="1561" t="s">
        <v>205</v>
      </c>
      <c r="B721" s="1566" t="s">
        <v>206</v>
      </c>
      <c r="C721" s="1567" t="e">
        <f>VLOOKUP(C720,'Đội 2'!#REF!,6,0)</f>
        <v>#REF!</v>
      </c>
      <c r="D721" s="1568" t="e">
        <f>C721*25000</f>
        <v>#REF!</v>
      </c>
      <c r="E721" s="1569"/>
      <c r="F721" s="1570"/>
      <c r="G721" s="1561" t="s">
        <v>205</v>
      </c>
      <c r="H721" s="1566" t="s">
        <v>206</v>
      </c>
      <c r="I721" s="1567" t="e">
        <f>VLOOKUP(I720,'Đội 2'!#REF!,6,0)</f>
        <v>#REF!</v>
      </c>
      <c r="J721" s="1568" t="e">
        <f>I721*25000</f>
        <v>#REF!</v>
      </c>
    </row>
    <row r="722" spans="1:11">
      <c r="A722" s="1561" t="s">
        <v>207</v>
      </c>
      <c r="B722" s="1571" t="s">
        <v>208</v>
      </c>
      <c r="C722" s="1567" t="e">
        <f>VLOOKUP(C720,'Đội 2'!#REF!,12,0)</f>
        <v>#REF!</v>
      </c>
      <c r="D722" s="2374" t="e">
        <f>+C722*$L$3</f>
        <v>#REF!</v>
      </c>
      <c r="E722" s="1572"/>
      <c r="F722" s="1573"/>
      <c r="G722" s="1561" t="s">
        <v>207</v>
      </c>
      <c r="H722" s="1571" t="s">
        <v>208</v>
      </c>
      <c r="I722" s="1567" t="e">
        <f>VLOOKUP(I720,'Đội 2'!#REF!,12,0)</f>
        <v>#REF!</v>
      </c>
      <c r="J722" s="2374" t="e">
        <f>+I722*$L$3</f>
        <v>#REF!</v>
      </c>
    </row>
    <row r="723" spans="1:11">
      <c r="A723" s="1561" t="s">
        <v>1259</v>
      </c>
      <c r="B723" s="1571" t="s">
        <v>209</v>
      </c>
      <c r="C723" s="2369" t="e">
        <f>VLOOKUP(C720,'Đội 2'!#REF!,13,0)</f>
        <v>#REF!</v>
      </c>
      <c r="D723" s="2374" t="e">
        <f>+C723*$L$4</f>
        <v>#REF!</v>
      </c>
      <c r="E723" s="1572"/>
      <c r="F723" s="1573"/>
      <c r="G723" s="1561" t="s">
        <v>1259</v>
      </c>
      <c r="H723" s="1571" t="s">
        <v>209</v>
      </c>
      <c r="I723" s="2369" t="e">
        <f>VLOOKUP(I720,'Đội 2'!#REF!,13,0)</f>
        <v>#REF!</v>
      </c>
      <c r="J723" s="2374" t="e">
        <f>+I723*$L$4</f>
        <v>#REF!</v>
      </c>
    </row>
    <row r="724" spans="1:11">
      <c r="A724" s="1561" t="s">
        <v>1531</v>
      </c>
      <c r="B724" s="1571"/>
      <c r="C724" s="2369" t="e">
        <f>VLOOKUP(C720,'Đội 2'!#REF!,15,0)</f>
        <v>#REF!</v>
      </c>
      <c r="D724" s="2374" t="e">
        <f>+C724*20000+VLOOKUP(C720,'Đội 2'!#REF!,14,0)*$L$5</f>
        <v>#REF!</v>
      </c>
      <c r="E724" s="1572"/>
      <c r="F724" s="1573"/>
      <c r="G724" s="1561" t="s">
        <v>1531</v>
      </c>
      <c r="H724" s="1571"/>
      <c r="I724" s="2369" t="e">
        <f>VLOOKUP(I720,'Đội 2'!#REF!,15,0)</f>
        <v>#REF!</v>
      </c>
      <c r="J724" s="2374" t="e">
        <f>+I724*20000+VLOOKUP(I720,'Đội 2'!#REF!,14,0)*$L$5</f>
        <v>#REF!</v>
      </c>
    </row>
    <row r="725" spans="1:11" hidden="1">
      <c r="A725" s="1561" t="s">
        <v>1971</v>
      </c>
      <c r="B725" s="1571"/>
      <c r="C725" s="2369">
        <v>0</v>
      </c>
      <c r="D725" s="2374">
        <f>+C725*25000</f>
        <v>0</v>
      </c>
      <c r="E725" s="1572"/>
      <c r="F725" s="1573"/>
      <c r="G725" s="1561" t="s">
        <v>1971</v>
      </c>
      <c r="H725" s="1571"/>
      <c r="I725" s="2369">
        <v>0</v>
      </c>
      <c r="J725" s="2374">
        <f>+I725*25000</f>
        <v>0</v>
      </c>
    </row>
    <row r="726" spans="1:11">
      <c r="A726" s="1561" t="s">
        <v>210</v>
      </c>
      <c r="B726" s="1571" t="s">
        <v>211</v>
      </c>
      <c r="C726" s="1567" t="e">
        <f>VLOOKUP(C720,'Đội 2'!#REF!,9,0)</f>
        <v>#REF!</v>
      </c>
      <c r="D726" s="2374" t="e">
        <f>VLOOKUP(C720,'Đội 2'!#REF!,11,0)</f>
        <v>#REF!</v>
      </c>
      <c r="E726" s="1574"/>
      <c r="F726" s="1573"/>
      <c r="G726" s="1561" t="s">
        <v>210</v>
      </c>
      <c r="H726" s="1571" t="s">
        <v>211</v>
      </c>
      <c r="I726" s="1567" t="e">
        <f>VLOOKUP(I720,'Đội 2'!#REF!,9,0)</f>
        <v>#REF!</v>
      </c>
      <c r="J726" s="2374" t="e">
        <f>VLOOKUP(I720,'Đội 2'!#REF!,11,0)</f>
        <v>#REF!</v>
      </c>
    </row>
    <row r="727" spans="1:11">
      <c r="A727" s="1568" t="s">
        <v>212</v>
      </c>
      <c r="B727" s="1571" t="s">
        <v>213</v>
      </c>
      <c r="C727" s="1567"/>
      <c r="D727" s="1568"/>
      <c r="E727" s="1575"/>
      <c r="F727" s="1576"/>
      <c r="G727" s="1568" t="s">
        <v>212</v>
      </c>
      <c r="H727" s="1571" t="s">
        <v>213</v>
      </c>
      <c r="I727" s="1567"/>
      <c r="J727" s="1568"/>
    </row>
    <row r="728" spans="1:11" ht="12.75" customHeight="1">
      <c r="A728" s="1577" t="s">
        <v>214</v>
      </c>
      <c r="B728" s="1571" t="s">
        <v>215</v>
      </c>
      <c r="C728" s="1567"/>
      <c r="D728" s="1568"/>
      <c r="E728" s="1574"/>
      <c r="F728" s="1576"/>
      <c r="G728" s="1577" t="s">
        <v>214</v>
      </c>
      <c r="H728" s="1571" t="s">
        <v>215</v>
      </c>
      <c r="I728" s="1567"/>
      <c r="J728" s="1568"/>
    </row>
    <row r="729" spans="1:11" ht="12.75" customHeight="1">
      <c r="A729" s="1561" t="s">
        <v>216</v>
      </c>
      <c r="B729" s="1571" t="s">
        <v>217</v>
      </c>
      <c r="C729" s="1567"/>
      <c r="D729" s="1568">
        <v>0</v>
      </c>
      <c r="E729" s="1578"/>
      <c r="F729" s="1560"/>
      <c r="G729" s="1561" t="s">
        <v>216</v>
      </c>
      <c r="H729" s="1571" t="s">
        <v>217</v>
      </c>
      <c r="I729" s="1567"/>
      <c r="J729" s="1568">
        <v>0</v>
      </c>
    </row>
    <row r="730" spans="1:11" ht="12.75" customHeight="1">
      <c r="A730" s="1568" t="s">
        <v>218</v>
      </c>
      <c r="B730" s="1571" t="s">
        <v>219</v>
      </c>
      <c r="C730" s="1579"/>
      <c r="D730" s="1580" t="e">
        <f>SUM(D721:D726)-D729</f>
        <v>#REF!</v>
      </c>
      <c r="E730" s="1581"/>
      <c r="F730" s="1582"/>
      <c r="G730" s="1568" t="s">
        <v>218</v>
      </c>
      <c r="H730" s="1571" t="s">
        <v>219</v>
      </c>
      <c r="I730" s="1579"/>
      <c r="J730" s="1580" t="e">
        <f>SUM(J721:J726)-J729</f>
        <v>#REF!</v>
      </c>
      <c r="K730" s="3350" t="e">
        <f>J730+D730</f>
        <v>#REF!</v>
      </c>
    </row>
    <row r="731" spans="1:11">
      <c r="A731" s="3337"/>
      <c r="B731" s="1584"/>
      <c r="C731" s="3338"/>
      <c r="D731" s="1583"/>
      <c r="E731" s="3337"/>
      <c r="F731" s="3337"/>
      <c r="G731" s="3337"/>
      <c r="H731" s="1584"/>
      <c r="I731" s="3338"/>
      <c r="J731" s="1583"/>
    </row>
    <row r="732" spans="1:11" ht="37.5" customHeight="1">
      <c r="A732" s="3337"/>
      <c r="B732" s="1584"/>
      <c r="C732" s="3338"/>
      <c r="D732" s="1583"/>
      <c r="E732" s="3337"/>
      <c r="F732" s="3337"/>
      <c r="G732" s="3337"/>
      <c r="H732" s="1584"/>
      <c r="I732" s="3338"/>
      <c r="J732" s="1583"/>
    </row>
    <row r="733" spans="1:11" ht="75.75" customHeight="1">
      <c r="A733" s="3337"/>
      <c r="B733" s="1584"/>
      <c r="C733" s="3338"/>
      <c r="D733" s="1583"/>
      <c r="E733" s="3337"/>
      <c r="F733" s="3337"/>
      <c r="G733" s="3337"/>
      <c r="H733" s="1584"/>
      <c r="I733" s="3338"/>
      <c r="J733" s="1583"/>
      <c r="K733" s="3355"/>
    </row>
    <row r="734" spans="1:11">
      <c r="A734" s="4836" t="str">
        <f>$K$2</f>
        <v>Tháng 12/24</v>
      </c>
      <c r="B734" s="4836"/>
      <c r="C734" s="4836"/>
      <c r="D734" s="4836"/>
      <c r="E734" s="1560"/>
      <c r="F734" s="1560"/>
      <c r="G734" s="4836" t="str">
        <f>$K$2</f>
        <v>Tháng 12/24</v>
      </c>
      <c r="H734" s="4836"/>
      <c r="I734" s="4836"/>
      <c r="J734" s="4836"/>
    </row>
    <row r="735" spans="1:11" ht="18">
      <c r="A735" s="1561" t="s">
        <v>1</v>
      </c>
      <c r="B735" s="1562" t="e">
        <f>VLOOKUP(C735,'Đội 2'!#REF!,3,0)</f>
        <v>#REF!</v>
      </c>
      <c r="C735" s="1563">
        <v>31</v>
      </c>
      <c r="D735" s="1563"/>
      <c r="E735" s="1564"/>
      <c r="F735" s="1565"/>
      <c r="G735" s="1561" t="s">
        <v>1</v>
      </c>
      <c r="H735" s="1562" t="e">
        <f>VLOOKUP(I735,'Đội 2'!#REF!,3,0)</f>
        <v>#REF!</v>
      </c>
      <c r="I735" s="1563">
        <v>32</v>
      </c>
      <c r="J735" s="1563"/>
    </row>
    <row r="736" spans="1:11" ht="18">
      <c r="A736" s="1561" t="s">
        <v>205</v>
      </c>
      <c r="B736" s="1566" t="s">
        <v>206</v>
      </c>
      <c r="C736" s="1567" t="e">
        <f>VLOOKUP(C735,'Đội 2'!#REF!,6,0)</f>
        <v>#REF!</v>
      </c>
      <c r="D736" s="1568" t="e">
        <f>C736*25000</f>
        <v>#REF!</v>
      </c>
      <c r="E736" s="1569"/>
      <c r="F736" s="1570"/>
      <c r="G736" s="1561" t="s">
        <v>205</v>
      </c>
      <c r="H736" s="1566" t="s">
        <v>206</v>
      </c>
      <c r="I736" s="1567" t="e">
        <f>VLOOKUP(I735,'Đội 2'!#REF!,6,0)</f>
        <v>#REF!</v>
      </c>
      <c r="J736" s="1568" t="e">
        <f>I736*25000</f>
        <v>#REF!</v>
      </c>
    </row>
    <row r="737" spans="1:11">
      <c r="A737" s="1561" t="s">
        <v>207</v>
      </c>
      <c r="B737" s="1571" t="s">
        <v>208</v>
      </c>
      <c r="C737" s="1567" t="e">
        <f>VLOOKUP(C735,'Đội 2'!#REF!,12,0)</f>
        <v>#REF!</v>
      </c>
      <c r="D737" s="2374" t="e">
        <f>+C737*$L$3</f>
        <v>#REF!</v>
      </c>
      <c r="E737" s="1572"/>
      <c r="F737" s="1573"/>
      <c r="G737" s="1561" t="s">
        <v>207</v>
      </c>
      <c r="H737" s="1571" t="s">
        <v>208</v>
      </c>
      <c r="I737" s="1567" t="e">
        <f>VLOOKUP(I735,'Đội 2'!#REF!,12,0)</f>
        <v>#REF!</v>
      </c>
      <c r="J737" s="2374" t="e">
        <f>+I737*$L$3</f>
        <v>#REF!</v>
      </c>
    </row>
    <row r="738" spans="1:11">
      <c r="A738" s="1561" t="s">
        <v>1259</v>
      </c>
      <c r="B738" s="1571" t="s">
        <v>209</v>
      </c>
      <c r="C738" s="2369" t="e">
        <f>VLOOKUP(C735,'Đội 2'!#REF!,13,0)</f>
        <v>#REF!</v>
      </c>
      <c r="D738" s="2374" t="e">
        <f>+C738*$L$4</f>
        <v>#REF!</v>
      </c>
      <c r="E738" s="1572"/>
      <c r="F738" s="1573"/>
      <c r="G738" s="1561" t="s">
        <v>1259</v>
      </c>
      <c r="H738" s="1571" t="s">
        <v>209</v>
      </c>
      <c r="I738" s="2369" t="e">
        <f>VLOOKUP(I735,'Đội 2'!#REF!,13,0)</f>
        <v>#REF!</v>
      </c>
      <c r="J738" s="2374" t="e">
        <f>+I738*$L$4</f>
        <v>#REF!</v>
      </c>
    </row>
    <row r="739" spans="1:11">
      <c r="A739" s="1561" t="s">
        <v>1531</v>
      </c>
      <c r="B739" s="1571"/>
      <c r="C739" s="2369" t="e">
        <f>VLOOKUP(C735,'Đội 2'!#REF!,15,0)</f>
        <v>#REF!</v>
      </c>
      <c r="D739" s="2374" t="e">
        <f>+C739*20000+VLOOKUP(C735,'Đội 2'!#REF!,14,0)*$L$5</f>
        <v>#REF!</v>
      </c>
      <c r="E739" s="1572"/>
      <c r="F739" s="1573"/>
      <c r="G739" s="1561" t="s">
        <v>1531</v>
      </c>
      <c r="H739" s="1571"/>
      <c r="I739" s="2369" t="e">
        <f>VLOOKUP(I735,'Đội 2'!#REF!,15,0)</f>
        <v>#REF!</v>
      </c>
      <c r="J739" s="2374" t="e">
        <f>+I739*20000+VLOOKUP(I735,'Đội 2'!#REF!,14,0)*$L$5</f>
        <v>#REF!</v>
      </c>
    </row>
    <row r="740" spans="1:11" hidden="1">
      <c r="A740" s="1561" t="s">
        <v>1971</v>
      </c>
      <c r="B740" s="1571"/>
      <c r="C740" s="2369">
        <v>0</v>
      </c>
      <c r="D740" s="2374">
        <f>+C740*25000</f>
        <v>0</v>
      </c>
      <c r="E740" s="1572"/>
      <c r="F740" s="1573"/>
      <c r="G740" s="1561" t="s">
        <v>1971</v>
      </c>
      <c r="H740" s="1571"/>
      <c r="I740" s="2369">
        <v>0</v>
      </c>
      <c r="J740" s="2374">
        <f>+I740*25000</f>
        <v>0</v>
      </c>
    </row>
    <row r="741" spans="1:11">
      <c r="A741" s="1561" t="s">
        <v>210</v>
      </c>
      <c r="B741" s="1571" t="s">
        <v>211</v>
      </c>
      <c r="C741" s="1567" t="e">
        <f>VLOOKUP(C735,'Đội 2'!#REF!,9,0)</f>
        <v>#REF!</v>
      </c>
      <c r="D741" s="2374" t="e">
        <f>VLOOKUP(C735,'Đội 2'!#REF!,11,0)</f>
        <v>#REF!</v>
      </c>
      <c r="E741" s="1574"/>
      <c r="F741" s="1573"/>
      <c r="G741" s="1561" t="s">
        <v>210</v>
      </c>
      <c r="H741" s="1571" t="s">
        <v>211</v>
      </c>
      <c r="I741" s="1567" t="e">
        <f>VLOOKUP(I735,'Đội 2'!#REF!,9,0)</f>
        <v>#REF!</v>
      </c>
      <c r="J741" s="2374" t="e">
        <f>VLOOKUP(I735,'Đội 2'!#REF!,11,0)</f>
        <v>#REF!</v>
      </c>
    </row>
    <row r="742" spans="1:11">
      <c r="A742" s="1568" t="s">
        <v>212</v>
      </c>
      <c r="B742" s="1571" t="s">
        <v>213</v>
      </c>
      <c r="C742" s="1567"/>
      <c r="D742" s="1568"/>
      <c r="E742" s="1575"/>
      <c r="F742" s="1576"/>
      <c r="G742" s="1568" t="s">
        <v>212</v>
      </c>
      <c r="H742" s="1571" t="s">
        <v>213</v>
      </c>
      <c r="I742" s="1567"/>
      <c r="J742" s="1568"/>
    </row>
    <row r="743" spans="1:11">
      <c r="A743" s="1577" t="s">
        <v>214</v>
      </c>
      <c r="B743" s="1571" t="s">
        <v>215</v>
      </c>
      <c r="C743" s="1567"/>
      <c r="D743" s="1568"/>
      <c r="E743" s="1574"/>
      <c r="F743" s="1576"/>
      <c r="G743" s="1577" t="s">
        <v>214</v>
      </c>
      <c r="H743" s="1571" t="s">
        <v>215</v>
      </c>
      <c r="I743" s="1567"/>
      <c r="J743" s="1568"/>
    </row>
    <row r="744" spans="1:11">
      <c r="A744" s="1561" t="s">
        <v>216</v>
      </c>
      <c r="B744" s="1571" t="s">
        <v>217</v>
      </c>
      <c r="C744" s="1567"/>
      <c r="D744" s="1568">
        <v>0</v>
      </c>
      <c r="E744" s="1578"/>
      <c r="F744" s="1560"/>
      <c r="G744" s="1561" t="s">
        <v>216</v>
      </c>
      <c r="H744" s="1571" t="s">
        <v>217</v>
      </c>
      <c r="I744" s="1567"/>
      <c r="J744" s="1568">
        <v>0</v>
      </c>
    </row>
    <row r="745" spans="1:11">
      <c r="A745" s="1568" t="s">
        <v>218</v>
      </c>
      <c r="B745" s="1571" t="s">
        <v>219</v>
      </c>
      <c r="C745" s="1579"/>
      <c r="D745" s="1580" t="e">
        <f>SUM(D736:D741)-D744</f>
        <v>#REF!</v>
      </c>
      <c r="E745" s="1581"/>
      <c r="F745" s="1582"/>
      <c r="G745" s="1568" t="s">
        <v>218</v>
      </c>
      <c r="H745" s="1571" t="s">
        <v>219</v>
      </c>
      <c r="I745" s="1579"/>
      <c r="J745" s="1580" t="e">
        <f>SUM(J736:J741)-J744</f>
        <v>#REF!</v>
      </c>
      <c r="K745" s="3350" t="e">
        <f>J745+D745</f>
        <v>#REF!</v>
      </c>
    </row>
    <row r="746" spans="1:11">
      <c r="A746" s="1583"/>
      <c r="B746" s="1584"/>
      <c r="C746" s="1585"/>
      <c r="D746" s="1586"/>
      <c r="E746" s="1582"/>
      <c r="F746" s="1586"/>
      <c r="G746" s="1583"/>
      <c r="H746" s="1584"/>
      <c r="I746" s="1585"/>
      <c r="J746" s="1582"/>
    </row>
    <row r="747" spans="1:11">
      <c r="A747" s="1587"/>
      <c r="B747" s="1587"/>
      <c r="C747" s="1588"/>
      <c r="D747" s="3335"/>
      <c r="E747" s="1590"/>
      <c r="F747" s="1587"/>
      <c r="G747" s="1587"/>
      <c r="H747" s="1587"/>
      <c r="I747" s="1588"/>
      <c r="J747" s="1591"/>
      <c r="K747" s="3355"/>
    </row>
    <row r="748" spans="1:11">
      <c r="A748" s="4836" t="str">
        <f>$K$2</f>
        <v>Tháng 12/24</v>
      </c>
      <c r="B748" s="4836"/>
      <c r="C748" s="4836"/>
      <c r="D748" s="4836"/>
      <c r="E748" s="1560"/>
      <c r="F748" s="1560"/>
      <c r="G748" s="4836" t="str">
        <f>$K$2</f>
        <v>Tháng 12/24</v>
      </c>
      <c r="H748" s="4836"/>
      <c r="I748" s="4836"/>
      <c r="J748" s="4836"/>
    </row>
    <row r="749" spans="1:11" ht="18">
      <c r="A749" s="1561" t="s">
        <v>1</v>
      </c>
      <c r="B749" s="1562" t="e">
        <f>VLOOKUP(C749,'Đội 2'!#REF!,3,0)</f>
        <v>#REF!</v>
      </c>
      <c r="C749" s="1563">
        <v>33</v>
      </c>
      <c r="D749" s="1563"/>
      <c r="E749" s="1564"/>
      <c r="F749" s="1565"/>
      <c r="G749" s="1561" t="s">
        <v>1</v>
      </c>
      <c r="H749" s="1562" t="e">
        <f>VLOOKUP(I749,'Đội 2'!#REF!,3,0)</f>
        <v>#REF!</v>
      </c>
      <c r="I749" s="1563">
        <v>34</v>
      </c>
      <c r="J749" s="1563"/>
    </row>
    <row r="750" spans="1:11" ht="18">
      <c r="A750" s="1561" t="s">
        <v>205</v>
      </c>
      <c r="B750" s="1566" t="s">
        <v>206</v>
      </c>
      <c r="C750" s="1567" t="e">
        <f>VLOOKUP(C749,'Đội 2'!#REF!,6,0)</f>
        <v>#REF!</v>
      </c>
      <c r="D750" s="1568" t="e">
        <f>C750*25000</f>
        <v>#REF!</v>
      </c>
      <c r="E750" s="1569"/>
      <c r="F750" s="1570"/>
      <c r="G750" s="1561" t="s">
        <v>205</v>
      </c>
      <c r="H750" s="1566" t="s">
        <v>206</v>
      </c>
      <c r="I750" s="1567" t="e">
        <f>VLOOKUP(I749,'Đội 2'!#REF!,6,0)</f>
        <v>#REF!</v>
      </c>
      <c r="J750" s="1568" t="e">
        <f>I750*25000</f>
        <v>#REF!</v>
      </c>
    </row>
    <row r="751" spans="1:11">
      <c r="A751" s="1561" t="s">
        <v>207</v>
      </c>
      <c r="B751" s="1571" t="s">
        <v>208</v>
      </c>
      <c r="C751" s="1567" t="e">
        <f>VLOOKUP(C749,'Đội 2'!#REF!,12,0)</f>
        <v>#REF!</v>
      </c>
      <c r="D751" s="2374" t="e">
        <f>+C751*$L$3</f>
        <v>#REF!</v>
      </c>
      <c r="E751" s="1572"/>
      <c r="F751" s="1573"/>
      <c r="G751" s="1561" t="s">
        <v>207</v>
      </c>
      <c r="H751" s="1571" t="s">
        <v>208</v>
      </c>
      <c r="I751" s="1567" t="e">
        <f>VLOOKUP(I749,'Đội 2'!#REF!,12,0)</f>
        <v>#REF!</v>
      </c>
      <c r="J751" s="2374" t="e">
        <f>+I751*$L$3</f>
        <v>#REF!</v>
      </c>
    </row>
    <row r="752" spans="1:11">
      <c r="A752" s="1561" t="s">
        <v>1259</v>
      </c>
      <c r="B752" s="1571" t="s">
        <v>209</v>
      </c>
      <c r="C752" s="2369" t="e">
        <f>VLOOKUP(C749,'Đội 2'!#REF!,13,0)</f>
        <v>#REF!</v>
      </c>
      <c r="D752" s="2374" t="e">
        <f>+C752*$L$4</f>
        <v>#REF!</v>
      </c>
      <c r="E752" s="1572"/>
      <c r="F752" s="1573"/>
      <c r="G752" s="1561" t="s">
        <v>1259</v>
      </c>
      <c r="H752" s="1571" t="s">
        <v>209</v>
      </c>
      <c r="I752" s="2369" t="e">
        <f>VLOOKUP(I749,'Đội 2'!#REF!,13,0)</f>
        <v>#REF!</v>
      </c>
      <c r="J752" s="2374" t="e">
        <f>+I752*$L$4</f>
        <v>#REF!</v>
      </c>
    </row>
    <row r="753" spans="1:11">
      <c r="A753" s="1561" t="s">
        <v>1531</v>
      </c>
      <c r="B753" s="1571"/>
      <c r="C753" s="2369" t="e">
        <f>VLOOKUP(C749,'Đội 2'!#REF!,15,0)</f>
        <v>#REF!</v>
      </c>
      <c r="D753" s="2374" t="e">
        <f>+C753*20000+VLOOKUP(C749,'Đội 2'!#REF!,14,0)*$L$5</f>
        <v>#REF!</v>
      </c>
      <c r="E753" s="1572"/>
      <c r="F753" s="1573"/>
      <c r="G753" s="1561" t="s">
        <v>1531</v>
      </c>
      <c r="H753" s="1571"/>
      <c r="I753" s="2369" t="e">
        <f>VLOOKUP(I749,'Đội 2'!#REF!,15,0)</f>
        <v>#REF!</v>
      </c>
      <c r="J753" s="2374" t="e">
        <f>+I753*20000+VLOOKUP(I749,'Đội 2'!#REF!,14,0)*$L$5</f>
        <v>#REF!</v>
      </c>
    </row>
    <row r="754" spans="1:11" hidden="1">
      <c r="A754" s="1561" t="s">
        <v>1971</v>
      </c>
      <c r="B754" s="1571"/>
      <c r="C754" s="2369">
        <v>0</v>
      </c>
      <c r="D754" s="2374">
        <f>+C754*25000</f>
        <v>0</v>
      </c>
      <c r="E754" s="1572"/>
      <c r="F754" s="1573"/>
      <c r="G754" s="1561" t="s">
        <v>1971</v>
      </c>
      <c r="H754" s="1571"/>
      <c r="I754" s="2369">
        <v>0</v>
      </c>
      <c r="J754" s="2374">
        <f>+I754*25000</f>
        <v>0</v>
      </c>
    </row>
    <row r="755" spans="1:11">
      <c r="A755" s="1561" t="s">
        <v>210</v>
      </c>
      <c r="B755" s="1571" t="s">
        <v>211</v>
      </c>
      <c r="C755" s="1567" t="e">
        <f>VLOOKUP(C749,'Đội 2'!#REF!,9,0)</f>
        <v>#REF!</v>
      </c>
      <c r="D755" s="2374" t="e">
        <f>VLOOKUP(C749,'Đội 2'!#REF!,11,0)</f>
        <v>#REF!</v>
      </c>
      <c r="E755" s="1574"/>
      <c r="F755" s="1573"/>
      <c r="G755" s="1561" t="s">
        <v>210</v>
      </c>
      <c r="H755" s="1571" t="s">
        <v>211</v>
      </c>
      <c r="I755" s="1567" t="e">
        <f>VLOOKUP(I749,'Đội 2'!#REF!,9,0)</f>
        <v>#REF!</v>
      </c>
      <c r="J755" s="2374" t="e">
        <f>VLOOKUP(I749,'Đội 2'!#REF!,11,0)</f>
        <v>#REF!</v>
      </c>
    </row>
    <row r="756" spans="1:11">
      <c r="A756" s="1568" t="s">
        <v>212</v>
      </c>
      <c r="B756" s="1571" t="s">
        <v>213</v>
      </c>
      <c r="C756" s="1567"/>
      <c r="D756" s="1568"/>
      <c r="E756" s="1575"/>
      <c r="F756" s="1576"/>
      <c r="G756" s="1568" t="s">
        <v>212</v>
      </c>
      <c r="H756" s="1571" t="s">
        <v>213</v>
      </c>
      <c r="I756" s="1567"/>
      <c r="J756" s="1568"/>
    </row>
    <row r="757" spans="1:11">
      <c r="A757" s="1577" t="s">
        <v>214</v>
      </c>
      <c r="B757" s="1571" t="s">
        <v>215</v>
      </c>
      <c r="C757" s="1567"/>
      <c r="D757" s="1568"/>
      <c r="E757" s="1574"/>
      <c r="F757" s="1576"/>
      <c r="G757" s="1577" t="s">
        <v>214</v>
      </c>
      <c r="H757" s="1571" t="s">
        <v>215</v>
      </c>
      <c r="I757" s="1567"/>
      <c r="J757" s="1568"/>
    </row>
    <row r="758" spans="1:11">
      <c r="A758" s="1561" t="s">
        <v>216</v>
      </c>
      <c r="B758" s="1571" t="s">
        <v>217</v>
      </c>
      <c r="C758" s="1567"/>
      <c r="D758" s="1568">
        <v>0</v>
      </c>
      <c r="E758" s="1578"/>
      <c r="F758" s="1560"/>
      <c r="G758" s="1561" t="s">
        <v>216</v>
      </c>
      <c r="H758" s="1571" t="s">
        <v>217</v>
      </c>
      <c r="I758" s="1567"/>
      <c r="J758" s="1568">
        <v>0</v>
      </c>
    </row>
    <row r="759" spans="1:11">
      <c r="A759" s="1568" t="s">
        <v>218</v>
      </c>
      <c r="B759" s="1571" t="s">
        <v>219</v>
      </c>
      <c r="C759" s="1579"/>
      <c r="D759" s="1580" t="e">
        <f>SUM(D750:D755)-D758</f>
        <v>#REF!</v>
      </c>
      <c r="E759" s="1581"/>
      <c r="F759" s="1582"/>
      <c r="G759" s="1568" t="s">
        <v>218</v>
      </c>
      <c r="H759" s="1571" t="s">
        <v>219</v>
      </c>
      <c r="I759" s="1579"/>
      <c r="J759" s="1580" t="e">
        <f>SUM(J750:J755)-J758</f>
        <v>#REF!</v>
      </c>
      <c r="K759" s="3350" t="e">
        <f>J759+D759</f>
        <v>#REF!</v>
      </c>
    </row>
    <row r="760" spans="1:11">
      <c r="A760" s="1583"/>
      <c r="B760" s="1584"/>
      <c r="C760" s="1585"/>
      <c r="D760" s="1586"/>
      <c r="E760" s="1582"/>
      <c r="F760" s="1586"/>
      <c r="G760" s="1583"/>
      <c r="H760" s="1584"/>
      <c r="I760" s="1585"/>
      <c r="J760" s="1582"/>
    </row>
    <row r="761" spans="1:11">
      <c r="A761" s="1587"/>
      <c r="B761" s="1587"/>
      <c r="C761" s="1588"/>
      <c r="D761" s="3335"/>
      <c r="E761" s="1590"/>
      <c r="F761" s="1587"/>
      <c r="G761" s="1587"/>
      <c r="H761" s="1587"/>
      <c r="I761" s="1588"/>
      <c r="J761" s="1591"/>
      <c r="K761" s="3355"/>
    </row>
    <row r="762" spans="1:11">
      <c r="A762" s="4836" t="str">
        <f>$K$2</f>
        <v>Tháng 12/24</v>
      </c>
      <c r="B762" s="4836"/>
      <c r="C762" s="4836"/>
      <c r="D762" s="4836"/>
      <c r="E762" s="1560"/>
      <c r="F762" s="1560"/>
      <c r="G762" s="4836" t="str">
        <f>$K$2</f>
        <v>Tháng 12/24</v>
      </c>
      <c r="H762" s="4836"/>
      <c r="I762" s="4836"/>
      <c r="J762" s="4836"/>
    </row>
    <row r="763" spans="1:11" ht="18">
      <c r="A763" s="1561" t="s">
        <v>1</v>
      </c>
      <c r="B763" s="1562" t="e">
        <f>VLOOKUP(C763,'Đội 2'!#REF!,3,0)</f>
        <v>#REF!</v>
      </c>
      <c r="C763" s="1563">
        <v>35</v>
      </c>
      <c r="D763" s="1563"/>
      <c r="E763" s="1564"/>
      <c r="F763" s="1565"/>
      <c r="G763" s="1561" t="s">
        <v>1</v>
      </c>
      <c r="H763" s="1562" t="e">
        <f>VLOOKUP(I763,'Đội 2'!#REF!,3,0)</f>
        <v>#REF!</v>
      </c>
      <c r="I763" s="1563">
        <v>36</v>
      </c>
      <c r="J763" s="1563"/>
    </row>
    <row r="764" spans="1:11" ht="18">
      <c r="A764" s="1561" t="s">
        <v>205</v>
      </c>
      <c r="B764" s="1566" t="s">
        <v>206</v>
      </c>
      <c r="C764" s="1567" t="e">
        <f>VLOOKUP(C763,'Đội 2'!#REF!,6,0)</f>
        <v>#REF!</v>
      </c>
      <c r="D764" s="1568" t="e">
        <f>C764*25000</f>
        <v>#REF!</v>
      </c>
      <c r="E764" s="1569"/>
      <c r="F764" s="1570"/>
      <c r="G764" s="1561" t="s">
        <v>205</v>
      </c>
      <c r="H764" s="1566" t="s">
        <v>206</v>
      </c>
      <c r="I764" s="1567" t="e">
        <f>VLOOKUP(I763,'Đội 2'!#REF!,6,0)</f>
        <v>#REF!</v>
      </c>
      <c r="J764" s="1568" t="e">
        <f>I764*25000</f>
        <v>#REF!</v>
      </c>
    </row>
    <row r="765" spans="1:11">
      <c r="A765" s="1561" t="s">
        <v>207</v>
      </c>
      <c r="B765" s="1571" t="s">
        <v>208</v>
      </c>
      <c r="C765" s="1567" t="e">
        <f>VLOOKUP(C763,'Đội 2'!#REF!,12,0)</f>
        <v>#REF!</v>
      </c>
      <c r="D765" s="2374" t="e">
        <f>+C765*$L$3</f>
        <v>#REF!</v>
      </c>
      <c r="E765" s="1572"/>
      <c r="F765" s="1573"/>
      <c r="G765" s="1561" t="s">
        <v>207</v>
      </c>
      <c r="H765" s="1571" t="s">
        <v>208</v>
      </c>
      <c r="I765" s="1567" t="e">
        <f>VLOOKUP(I763,'Đội 2'!#REF!,12,0)</f>
        <v>#REF!</v>
      </c>
      <c r="J765" s="2374" t="e">
        <f>+I765*$L$3</f>
        <v>#REF!</v>
      </c>
    </row>
    <row r="766" spans="1:11">
      <c r="A766" s="1561" t="s">
        <v>1259</v>
      </c>
      <c r="B766" s="1571" t="s">
        <v>209</v>
      </c>
      <c r="C766" s="2369" t="e">
        <f>VLOOKUP(C763,'Đội 2'!#REF!,13,0)</f>
        <v>#REF!</v>
      </c>
      <c r="D766" s="2374" t="e">
        <f>+C766*$L$4</f>
        <v>#REF!</v>
      </c>
      <c r="E766" s="1572"/>
      <c r="F766" s="1573"/>
      <c r="G766" s="1561" t="s">
        <v>1259</v>
      </c>
      <c r="H766" s="1571" t="s">
        <v>209</v>
      </c>
      <c r="I766" s="2369" t="e">
        <f>VLOOKUP(I763,'Đội 2'!#REF!,13,0)</f>
        <v>#REF!</v>
      </c>
      <c r="J766" s="2374" t="e">
        <f>+I766*$L$4</f>
        <v>#REF!</v>
      </c>
    </row>
    <row r="767" spans="1:11">
      <c r="A767" s="1561" t="s">
        <v>1531</v>
      </c>
      <c r="B767" s="1571"/>
      <c r="C767" s="2369" t="e">
        <f>VLOOKUP(C763,'Đội 2'!#REF!,15,0)</f>
        <v>#REF!</v>
      </c>
      <c r="D767" s="2374" t="e">
        <f>+C767*20000+VLOOKUP(C763,'Đội 2'!#REF!,14,0)*$L$5</f>
        <v>#REF!</v>
      </c>
      <c r="E767" s="1572"/>
      <c r="F767" s="1573"/>
      <c r="G767" s="1561" t="s">
        <v>1531</v>
      </c>
      <c r="H767" s="1571"/>
      <c r="I767" s="2369" t="e">
        <f>VLOOKUP(I763,'Đội 2'!#REF!,15,0)</f>
        <v>#REF!</v>
      </c>
      <c r="J767" s="2374" t="e">
        <f>+I767*20000+VLOOKUP(I763,'Đội 2'!#REF!,14,0)*$L$5</f>
        <v>#REF!</v>
      </c>
    </row>
    <row r="768" spans="1:11" hidden="1">
      <c r="A768" s="1561" t="s">
        <v>1971</v>
      </c>
      <c r="B768" s="1571"/>
      <c r="C768" s="2369">
        <v>0</v>
      </c>
      <c r="D768" s="2374">
        <f>+C768*25000</f>
        <v>0</v>
      </c>
      <c r="E768" s="1572"/>
      <c r="F768" s="1573"/>
      <c r="G768" s="1561" t="s">
        <v>1971</v>
      </c>
      <c r="H768" s="1571"/>
      <c r="I768" s="2369">
        <v>0</v>
      </c>
      <c r="J768" s="2374">
        <f>+I768*25000</f>
        <v>0</v>
      </c>
    </row>
    <row r="769" spans="1:11">
      <c r="A769" s="1561" t="s">
        <v>210</v>
      </c>
      <c r="B769" s="1571" t="s">
        <v>211</v>
      </c>
      <c r="C769" s="1567" t="e">
        <f>VLOOKUP(C763,'Đội 2'!#REF!,9,0)</f>
        <v>#REF!</v>
      </c>
      <c r="D769" s="2374" t="e">
        <f>VLOOKUP(C763,'Đội 2'!#REF!,11,0)</f>
        <v>#REF!</v>
      </c>
      <c r="E769" s="1574"/>
      <c r="F769" s="1573"/>
      <c r="G769" s="1561" t="s">
        <v>210</v>
      </c>
      <c r="H769" s="1571" t="s">
        <v>211</v>
      </c>
      <c r="I769" s="1567" t="e">
        <f>VLOOKUP(I763,'Đội 2'!#REF!,9,0)</f>
        <v>#REF!</v>
      </c>
      <c r="J769" s="2374" t="e">
        <f>VLOOKUP(I763,'Đội 2'!#REF!,11,0)</f>
        <v>#REF!</v>
      </c>
    </row>
    <row r="770" spans="1:11">
      <c r="A770" s="1568" t="s">
        <v>212</v>
      </c>
      <c r="B770" s="1571" t="s">
        <v>213</v>
      </c>
      <c r="C770" s="1567"/>
      <c r="D770" s="1568"/>
      <c r="E770" s="1575"/>
      <c r="F770" s="1576"/>
      <c r="G770" s="1568" t="s">
        <v>212</v>
      </c>
      <c r="H770" s="1571" t="s">
        <v>213</v>
      </c>
      <c r="I770" s="1567"/>
      <c r="J770" s="1568"/>
    </row>
    <row r="771" spans="1:11">
      <c r="A771" s="1577" t="s">
        <v>214</v>
      </c>
      <c r="B771" s="1571" t="s">
        <v>215</v>
      </c>
      <c r="C771" s="1567"/>
      <c r="D771" s="1568"/>
      <c r="E771" s="1574"/>
      <c r="F771" s="1576"/>
      <c r="G771" s="1577" t="s">
        <v>214</v>
      </c>
      <c r="H771" s="1571" t="s">
        <v>215</v>
      </c>
      <c r="I771" s="1567"/>
      <c r="J771" s="1568"/>
    </row>
    <row r="772" spans="1:11">
      <c r="A772" s="1561" t="s">
        <v>216</v>
      </c>
      <c r="B772" s="1571" t="s">
        <v>217</v>
      </c>
      <c r="C772" s="1567"/>
      <c r="D772" s="1568">
        <v>0</v>
      </c>
      <c r="E772" s="1578"/>
      <c r="F772" s="1560"/>
      <c r="G772" s="1561" t="s">
        <v>216</v>
      </c>
      <c r="H772" s="1571" t="s">
        <v>217</v>
      </c>
      <c r="I772" s="1567"/>
      <c r="J772" s="1568">
        <v>0</v>
      </c>
    </row>
    <row r="773" spans="1:11">
      <c r="A773" s="1568" t="s">
        <v>218</v>
      </c>
      <c r="B773" s="1571" t="s">
        <v>219</v>
      </c>
      <c r="C773" s="1579"/>
      <c r="D773" s="1580" t="e">
        <f>SUM(D764:D769)-D772</f>
        <v>#REF!</v>
      </c>
      <c r="E773" s="1581"/>
      <c r="F773" s="1582"/>
      <c r="G773" s="1568" t="s">
        <v>218</v>
      </c>
      <c r="H773" s="1571" t="s">
        <v>219</v>
      </c>
      <c r="I773" s="1579"/>
      <c r="J773" s="1580" t="e">
        <f>SUM(J764:J769)-J772</f>
        <v>#REF!</v>
      </c>
      <c r="K773" s="3350" t="e">
        <f>J773+D773</f>
        <v>#REF!</v>
      </c>
    </row>
    <row r="774" spans="1:11">
      <c r="A774" s="3337"/>
      <c r="B774" s="1584"/>
      <c r="C774" s="3338"/>
      <c r="D774" s="1583"/>
      <c r="E774" s="3337"/>
      <c r="F774" s="3337"/>
      <c r="G774" s="3337"/>
      <c r="H774" s="1584"/>
      <c r="I774" s="3338"/>
      <c r="J774" s="1583"/>
    </row>
    <row r="775" spans="1:11">
      <c r="A775" s="3337"/>
      <c r="B775" s="1584"/>
      <c r="C775" s="3338"/>
      <c r="D775" s="1583"/>
      <c r="E775" s="3337"/>
      <c r="F775" s="3337"/>
      <c r="G775" s="3337"/>
      <c r="H775" s="1584"/>
      <c r="I775" s="3338"/>
      <c r="J775" s="1583"/>
    </row>
    <row r="776" spans="1:11">
      <c r="A776" s="3337"/>
      <c r="B776" s="1584"/>
      <c r="C776" s="3338"/>
      <c r="D776" s="1583"/>
      <c r="E776" s="3339"/>
      <c r="F776" s="3337"/>
      <c r="G776" s="3337"/>
      <c r="H776" s="1584"/>
      <c r="I776" s="3338"/>
      <c r="J776" s="1583"/>
    </row>
    <row r="777" spans="1:11">
      <c r="A777" s="1583"/>
      <c r="B777" s="1584"/>
      <c r="C777" s="3338"/>
      <c r="D777" s="1583"/>
      <c r="E777" s="1584"/>
      <c r="F777" s="1584"/>
      <c r="G777" s="1583"/>
      <c r="H777" s="1584"/>
      <c r="I777" s="3338"/>
      <c r="J777" s="1583"/>
      <c r="K777" s="3355"/>
    </row>
    <row r="778" spans="1:11">
      <c r="A778" s="4836" t="str">
        <f>$K$2</f>
        <v>Tháng 12/24</v>
      </c>
      <c r="B778" s="4836"/>
      <c r="C778" s="4836"/>
      <c r="D778" s="4836"/>
      <c r="E778" s="1560"/>
      <c r="F778" s="1560"/>
      <c r="G778" s="4836" t="str">
        <f>$K$2</f>
        <v>Tháng 12/24</v>
      </c>
      <c r="H778" s="4836"/>
      <c r="I778" s="4836"/>
      <c r="J778" s="4836"/>
    </row>
    <row r="779" spans="1:11" ht="18">
      <c r="A779" s="1561" t="s">
        <v>1</v>
      </c>
      <c r="B779" s="1562" t="e">
        <f>VLOOKUP(C779,'Đội 2'!#REF!,3,0)</f>
        <v>#REF!</v>
      </c>
      <c r="C779" s="1563">
        <v>37</v>
      </c>
      <c r="D779" s="1563"/>
      <c r="E779" s="1564"/>
      <c r="F779" s="1565"/>
      <c r="G779" s="1561" t="s">
        <v>1</v>
      </c>
      <c r="H779" s="1562" t="e">
        <f>VLOOKUP(I779,'Đội 2'!#REF!,3,0)</f>
        <v>#REF!</v>
      </c>
      <c r="I779" s="1563">
        <v>38</v>
      </c>
      <c r="J779" s="1563"/>
    </row>
    <row r="780" spans="1:11" ht="18">
      <c r="A780" s="1561" t="s">
        <v>205</v>
      </c>
      <c r="B780" s="1566" t="s">
        <v>206</v>
      </c>
      <c r="C780" s="1567" t="e">
        <f>VLOOKUP(C779,'Đội 2'!#REF!,6,0)</f>
        <v>#REF!</v>
      </c>
      <c r="D780" s="1568" t="e">
        <f>C780*25000</f>
        <v>#REF!</v>
      </c>
      <c r="E780" s="1569"/>
      <c r="F780" s="1570"/>
      <c r="G780" s="1561" t="s">
        <v>205</v>
      </c>
      <c r="H780" s="1566" t="s">
        <v>206</v>
      </c>
      <c r="I780" s="1567" t="e">
        <f>VLOOKUP(I779,'Đội 2'!#REF!,6,0)</f>
        <v>#REF!</v>
      </c>
      <c r="J780" s="1568" t="e">
        <f>I780*25000</f>
        <v>#REF!</v>
      </c>
    </row>
    <row r="781" spans="1:11">
      <c r="A781" s="1561" t="s">
        <v>207</v>
      </c>
      <c r="B781" s="1571" t="s">
        <v>208</v>
      </c>
      <c r="C781" s="1567" t="e">
        <f>VLOOKUP(C779,'Đội 2'!#REF!,12,0)</f>
        <v>#REF!</v>
      </c>
      <c r="D781" s="2374" t="e">
        <f>+C781*$L$3</f>
        <v>#REF!</v>
      </c>
      <c r="E781" s="1572"/>
      <c r="F781" s="1573"/>
      <c r="G781" s="1561" t="s">
        <v>207</v>
      </c>
      <c r="H781" s="1571" t="s">
        <v>208</v>
      </c>
      <c r="I781" s="1567" t="e">
        <f>VLOOKUP(I779,'Đội 2'!#REF!,12,0)</f>
        <v>#REF!</v>
      </c>
      <c r="J781" s="2374" t="e">
        <f>+I781*$L$3</f>
        <v>#REF!</v>
      </c>
    </row>
    <row r="782" spans="1:11">
      <c r="A782" s="1561" t="s">
        <v>1259</v>
      </c>
      <c r="B782" s="1571" t="s">
        <v>209</v>
      </c>
      <c r="C782" s="2369" t="e">
        <f>VLOOKUP(C779,'Đội 2'!#REF!,13,0)</f>
        <v>#REF!</v>
      </c>
      <c r="D782" s="2374" t="e">
        <f>+C782*$L$4</f>
        <v>#REF!</v>
      </c>
      <c r="E782" s="1572"/>
      <c r="F782" s="1573"/>
      <c r="G782" s="1561" t="s">
        <v>1259</v>
      </c>
      <c r="H782" s="1571" t="s">
        <v>209</v>
      </c>
      <c r="I782" s="2369" t="e">
        <f>VLOOKUP(I779,'Đội 2'!#REF!,13,0)</f>
        <v>#REF!</v>
      </c>
      <c r="J782" s="2374" t="e">
        <f>+I782*$L$4</f>
        <v>#REF!</v>
      </c>
    </row>
    <row r="783" spans="1:11">
      <c r="A783" s="1561" t="s">
        <v>1531</v>
      </c>
      <c r="B783" s="1571"/>
      <c r="C783" s="2369" t="e">
        <f>VLOOKUP(C779,'Đội 2'!#REF!,15,0)</f>
        <v>#REF!</v>
      </c>
      <c r="D783" s="2374" t="e">
        <f>+C783*20000+VLOOKUP(C779,'Đội 2'!#REF!,14,0)*$L$5</f>
        <v>#REF!</v>
      </c>
      <c r="E783" s="1572"/>
      <c r="F783" s="1573"/>
      <c r="G783" s="1561" t="s">
        <v>1531</v>
      </c>
      <c r="H783" s="1571"/>
      <c r="I783" s="2369" t="e">
        <f>VLOOKUP(I779,'Đội 2'!#REF!,15,0)</f>
        <v>#REF!</v>
      </c>
      <c r="J783" s="2374" t="e">
        <f>+I783*20000+VLOOKUP(I779,'Đội 2'!#REF!,14,0)*$L$5</f>
        <v>#REF!</v>
      </c>
    </row>
    <row r="784" spans="1:11" hidden="1">
      <c r="A784" s="1561" t="s">
        <v>1971</v>
      </c>
      <c r="B784" s="1571"/>
      <c r="C784" s="2369">
        <v>0</v>
      </c>
      <c r="D784" s="2374">
        <f>+C784*25000</f>
        <v>0</v>
      </c>
      <c r="E784" s="1572"/>
      <c r="F784" s="1573"/>
      <c r="G784" s="1561" t="s">
        <v>1971</v>
      </c>
      <c r="H784" s="1571"/>
      <c r="I784" s="2369">
        <v>0</v>
      </c>
      <c r="J784" s="2374">
        <f>+I784*25000</f>
        <v>0</v>
      </c>
    </row>
    <row r="785" spans="1:11">
      <c r="A785" s="1561" t="s">
        <v>210</v>
      </c>
      <c r="B785" s="1571" t="s">
        <v>211</v>
      </c>
      <c r="C785" s="1567" t="e">
        <f>VLOOKUP(C779,'Đội 2'!#REF!,9,0)</f>
        <v>#REF!</v>
      </c>
      <c r="D785" s="2374" t="e">
        <f>VLOOKUP(C779,'Đội 2'!#REF!,11,0)</f>
        <v>#REF!</v>
      </c>
      <c r="E785" s="1574"/>
      <c r="F785" s="1573"/>
      <c r="G785" s="1561" t="s">
        <v>210</v>
      </c>
      <c r="H785" s="1571" t="s">
        <v>211</v>
      </c>
      <c r="I785" s="1567" t="e">
        <f>VLOOKUP(I779,'Đội 2'!#REF!,9,0)</f>
        <v>#REF!</v>
      </c>
      <c r="J785" s="2374" t="e">
        <f>VLOOKUP(I779,'Đội 2'!#REF!,11,0)</f>
        <v>#REF!</v>
      </c>
    </row>
    <row r="786" spans="1:11">
      <c r="A786" s="1568" t="s">
        <v>212</v>
      </c>
      <c r="B786" s="1571" t="s">
        <v>213</v>
      </c>
      <c r="C786" s="1567"/>
      <c r="D786" s="1568"/>
      <c r="E786" s="1575"/>
      <c r="F786" s="1576"/>
      <c r="G786" s="1568" t="s">
        <v>212</v>
      </c>
      <c r="H786" s="1571" t="s">
        <v>213</v>
      </c>
      <c r="I786" s="1567"/>
      <c r="J786" s="1568"/>
    </row>
    <row r="787" spans="1:11">
      <c r="A787" s="1577" t="s">
        <v>214</v>
      </c>
      <c r="B787" s="1571" t="s">
        <v>215</v>
      </c>
      <c r="C787" s="1567"/>
      <c r="D787" s="1568"/>
      <c r="E787" s="1574"/>
      <c r="F787" s="1576"/>
      <c r="G787" s="1577" t="s">
        <v>214</v>
      </c>
      <c r="H787" s="1571" t="s">
        <v>215</v>
      </c>
      <c r="I787" s="1567"/>
      <c r="J787" s="1568"/>
    </row>
    <row r="788" spans="1:11">
      <c r="A788" s="1561" t="s">
        <v>216</v>
      </c>
      <c r="B788" s="1571" t="s">
        <v>217</v>
      </c>
      <c r="C788" s="1567"/>
      <c r="D788" s="1568">
        <v>0</v>
      </c>
      <c r="E788" s="1578"/>
      <c r="F788" s="1560"/>
      <c r="G788" s="1561" t="s">
        <v>216</v>
      </c>
      <c r="H788" s="1571" t="s">
        <v>217</v>
      </c>
      <c r="I788" s="1567"/>
      <c r="J788" s="1568">
        <v>0</v>
      </c>
    </row>
    <row r="789" spans="1:11">
      <c r="A789" s="1568" t="s">
        <v>218</v>
      </c>
      <c r="B789" s="1571" t="s">
        <v>219</v>
      </c>
      <c r="C789" s="1579"/>
      <c r="D789" s="1580" t="e">
        <f>SUM(D780:D785)-D788</f>
        <v>#REF!</v>
      </c>
      <c r="E789" s="1581"/>
      <c r="F789" s="1582"/>
      <c r="G789" s="1568" t="s">
        <v>218</v>
      </c>
      <c r="H789" s="1571" t="s">
        <v>219</v>
      </c>
      <c r="I789" s="1579"/>
      <c r="J789" s="1580" t="e">
        <f>SUM(J780:J785)-J788</f>
        <v>#REF!</v>
      </c>
      <c r="K789" s="3350" t="e">
        <f>J789+D789</f>
        <v>#REF!</v>
      </c>
    </row>
    <row r="790" spans="1:11">
      <c r="A790" s="1583"/>
      <c r="B790" s="1584"/>
      <c r="C790" s="1585"/>
      <c r="D790" s="1586"/>
      <c r="E790" s="1582"/>
      <c r="F790" s="1586"/>
      <c r="G790" s="1583"/>
      <c r="H790" s="1584"/>
      <c r="I790" s="1585"/>
      <c r="J790" s="1582"/>
    </row>
    <row r="791" spans="1:11">
      <c r="A791" s="1587"/>
      <c r="B791" s="1587"/>
      <c r="C791" s="1588"/>
      <c r="D791" s="3335"/>
      <c r="E791" s="1590"/>
      <c r="F791" s="1587"/>
      <c r="G791" s="1587"/>
      <c r="H791" s="1587"/>
      <c r="I791" s="1588"/>
      <c r="J791" s="1591"/>
      <c r="K791" s="3355"/>
    </row>
    <row r="792" spans="1:11">
      <c r="A792" s="4836" t="str">
        <f>$K$2</f>
        <v>Tháng 12/24</v>
      </c>
      <c r="B792" s="4836"/>
      <c r="C792" s="4836"/>
      <c r="D792" s="4836"/>
      <c r="E792" s="1560"/>
      <c r="F792" s="1560"/>
      <c r="G792" s="4836" t="str">
        <f>$K$2</f>
        <v>Tháng 12/24</v>
      </c>
      <c r="H792" s="4836"/>
      <c r="I792" s="4836"/>
      <c r="J792" s="4836"/>
    </row>
    <row r="793" spans="1:11" ht="18">
      <c r="A793" s="1561" t="s">
        <v>1</v>
      </c>
      <c r="B793" s="1562" t="e">
        <f>VLOOKUP(C793,'Đội 2'!#REF!,3,0)</f>
        <v>#REF!</v>
      </c>
      <c r="C793" s="1563">
        <v>39</v>
      </c>
      <c r="D793" s="1563"/>
      <c r="E793" s="1564"/>
      <c r="F793" s="1565"/>
      <c r="G793" s="1561" t="s">
        <v>1</v>
      </c>
      <c r="H793" s="1562" t="e">
        <f>VLOOKUP(I793,'Đội 2'!#REF!,3,0)</f>
        <v>#REF!</v>
      </c>
      <c r="I793" s="1563">
        <v>40</v>
      </c>
      <c r="J793" s="1563"/>
    </row>
    <row r="794" spans="1:11" ht="18">
      <c r="A794" s="1561" t="s">
        <v>205</v>
      </c>
      <c r="B794" s="1566" t="s">
        <v>206</v>
      </c>
      <c r="C794" s="1567" t="e">
        <f>VLOOKUP(C793,'Đội 2'!#REF!,6,0)</f>
        <v>#REF!</v>
      </c>
      <c r="D794" s="1568" t="e">
        <f>C794*25000</f>
        <v>#REF!</v>
      </c>
      <c r="E794" s="1569"/>
      <c r="F794" s="1570"/>
      <c r="G794" s="1561" t="s">
        <v>205</v>
      </c>
      <c r="H794" s="1566" t="s">
        <v>206</v>
      </c>
      <c r="I794" s="1567" t="e">
        <f>VLOOKUP(I793,'Đội 2'!#REF!,6,0)</f>
        <v>#REF!</v>
      </c>
      <c r="J794" s="1568" t="e">
        <f>I794*25000</f>
        <v>#REF!</v>
      </c>
    </row>
    <row r="795" spans="1:11">
      <c r="A795" s="1561" t="s">
        <v>207</v>
      </c>
      <c r="B795" s="1571" t="s">
        <v>208</v>
      </c>
      <c r="C795" s="1567" t="e">
        <f>VLOOKUP(C793,'Đội 2'!#REF!,12,0)</f>
        <v>#REF!</v>
      </c>
      <c r="D795" s="2374" t="e">
        <f>+C795*$L$3</f>
        <v>#REF!</v>
      </c>
      <c r="E795" s="1572"/>
      <c r="F795" s="1573"/>
      <c r="G795" s="1561" t="s">
        <v>207</v>
      </c>
      <c r="H795" s="1571" t="s">
        <v>208</v>
      </c>
      <c r="I795" s="1567" t="e">
        <f>VLOOKUP(I793,'Đội 2'!#REF!,12,0)</f>
        <v>#REF!</v>
      </c>
      <c r="J795" s="2374" t="e">
        <f>+I795*$L$3</f>
        <v>#REF!</v>
      </c>
    </row>
    <row r="796" spans="1:11">
      <c r="A796" s="1561" t="s">
        <v>1259</v>
      </c>
      <c r="B796" s="1571" t="s">
        <v>209</v>
      </c>
      <c r="C796" s="2369" t="e">
        <f>VLOOKUP(C793,'Đội 2'!#REF!,13,0)</f>
        <v>#REF!</v>
      </c>
      <c r="D796" s="2374" t="e">
        <f>+C796*$L$4</f>
        <v>#REF!</v>
      </c>
      <c r="E796" s="1572"/>
      <c r="F796" s="1573"/>
      <c r="G796" s="1561" t="s">
        <v>1259</v>
      </c>
      <c r="H796" s="1571" t="s">
        <v>209</v>
      </c>
      <c r="I796" s="2369" t="e">
        <f>VLOOKUP(I793,'Đội 2'!#REF!,13,0)</f>
        <v>#REF!</v>
      </c>
      <c r="J796" s="2374" t="e">
        <f>+I796*$L$4</f>
        <v>#REF!</v>
      </c>
    </row>
    <row r="797" spans="1:11">
      <c r="A797" s="1561" t="s">
        <v>1531</v>
      </c>
      <c r="B797" s="1571"/>
      <c r="C797" s="2369" t="e">
        <f>VLOOKUP(C793,'Đội 2'!#REF!,15,0)</f>
        <v>#REF!</v>
      </c>
      <c r="D797" s="2374" t="e">
        <f>+C797*20000+VLOOKUP(C793,'Đội 2'!#REF!,14,0)*$L$5</f>
        <v>#REF!</v>
      </c>
      <c r="E797" s="1572"/>
      <c r="F797" s="1573"/>
      <c r="G797" s="1561" t="s">
        <v>1531</v>
      </c>
      <c r="H797" s="1571"/>
      <c r="I797" s="2369" t="e">
        <f>VLOOKUP(I793,'Đội 2'!#REF!,15,0)</f>
        <v>#REF!</v>
      </c>
      <c r="J797" s="2374" t="e">
        <f>+I797*20000+VLOOKUP(I793,'Đội 2'!#REF!,14,0)*$L$5</f>
        <v>#REF!</v>
      </c>
    </row>
    <row r="798" spans="1:11" hidden="1">
      <c r="A798" s="1561" t="s">
        <v>1971</v>
      </c>
      <c r="B798" s="1571"/>
      <c r="C798" s="2369">
        <v>0</v>
      </c>
      <c r="D798" s="2374">
        <f>+C798*25000</f>
        <v>0</v>
      </c>
      <c r="E798" s="1572"/>
      <c r="F798" s="1573"/>
      <c r="G798" s="1561" t="s">
        <v>1971</v>
      </c>
      <c r="H798" s="1571"/>
      <c r="I798" s="2369">
        <v>0</v>
      </c>
      <c r="J798" s="2374">
        <f>+I798*25000</f>
        <v>0</v>
      </c>
    </row>
    <row r="799" spans="1:11">
      <c r="A799" s="1561" t="s">
        <v>210</v>
      </c>
      <c r="B799" s="1571" t="s">
        <v>211</v>
      </c>
      <c r="C799" s="1567" t="e">
        <f>VLOOKUP(C793,'Đội 2'!#REF!,9,0)</f>
        <v>#REF!</v>
      </c>
      <c r="D799" s="2374" t="e">
        <f>VLOOKUP(C793,'Đội 2'!#REF!,11,0)</f>
        <v>#REF!</v>
      </c>
      <c r="E799" s="1574"/>
      <c r="F799" s="1573"/>
      <c r="G799" s="1561" t="s">
        <v>210</v>
      </c>
      <c r="H799" s="1571" t="s">
        <v>211</v>
      </c>
      <c r="I799" s="1567" t="e">
        <f>VLOOKUP(I793,'Đội 2'!#REF!,9,0)</f>
        <v>#REF!</v>
      </c>
      <c r="J799" s="2374" t="e">
        <f>VLOOKUP(I793,'Đội 2'!#REF!,11,0)</f>
        <v>#REF!</v>
      </c>
    </row>
    <row r="800" spans="1:11">
      <c r="A800" s="1568" t="s">
        <v>212</v>
      </c>
      <c r="B800" s="1571" t="s">
        <v>213</v>
      </c>
      <c r="C800" s="1567"/>
      <c r="D800" s="1568"/>
      <c r="E800" s="1575"/>
      <c r="F800" s="1576"/>
      <c r="G800" s="1568" t="s">
        <v>212</v>
      </c>
      <c r="H800" s="1571" t="s">
        <v>213</v>
      </c>
      <c r="I800" s="1567"/>
      <c r="J800" s="1568"/>
    </row>
    <row r="801" spans="1:11">
      <c r="A801" s="1577" t="s">
        <v>214</v>
      </c>
      <c r="B801" s="1571" t="s">
        <v>215</v>
      </c>
      <c r="C801" s="1567"/>
      <c r="D801" s="1568"/>
      <c r="E801" s="1574"/>
      <c r="F801" s="1576"/>
      <c r="G801" s="1577" t="s">
        <v>214</v>
      </c>
      <c r="H801" s="1571" t="s">
        <v>215</v>
      </c>
      <c r="I801" s="1567"/>
      <c r="J801" s="1568"/>
    </row>
    <row r="802" spans="1:11">
      <c r="A802" s="1561" t="s">
        <v>216</v>
      </c>
      <c r="B802" s="1571" t="s">
        <v>217</v>
      </c>
      <c r="C802" s="1567"/>
      <c r="D802" s="1568">
        <v>0</v>
      </c>
      <c r="E802" s="1578"/>
      <c r="F802" s="1560"/>
      <c r="G802" s="1561" t="s">
        <v>216</v>
      </c>
      <c r="H802" s="1571" t="s">
        <v>217</v>
      </c>
      <c r="I802" s="1567"/>
      <c r="J802" s="1568">
        <v>0</v>
      </c>
    </row>
    <row r="803" spans="1:11">
      <c r="A803" s="1568" t="s">
        <v>218</v>
      </c>
      <c r="B803" s="1571" t="s">
        <v>219</v>
      </c>
      <c r="C803" s="1579"/>
      <c r="D803" s="1580" t="e">
        <f>SUM(D794:D799)-D802</f>
        <v>#REF!</v>
      </c>
      <c r="E803" s="1581"/>
      <c r="F803" s="1582"/>
      <c r="G803" s="1568" t="s">
        <v>218</v>
      </c>
      <c r="H803" s="1571" t="s">
        <v>219</v>
      </c>
      <c r="I803" s="1579"/>
      <c r="J803" s="1580" t="e">
        <f>SUM(J794:J799)-J802</f>
        <v>#REF!</v>
      </c>
      <c r="K803" s="3350" t="e">
        <f>J803+D803</f>
        <v>#REF!</v>
      </c>
    </row>
    <row r="804" spans="1:11">
      <c r="A804" s="1583"/>
      <c r="B804" s="1584"/>
      <c r="C804" s="1585"/>
      <c r="D804" s="1586"/>
      <c r="E804" s="1582"/>
      <c r="F804" s="1586"/>
      <c r="G804" s="1583"/>
      <c r="H804" s="1584"/>
      <c r="I804" s="1585"/>
      <c r="J804" s="1582"/>
    </row>
    <row r="805" spans="1:11">
      <c r="A805" s="1587"/>
      <c r="B805" s="1587"/>
      <c r="C805" s="1588"/>
      <c r="D805" s="3335"/>
      <c r="E805" s="1590"/>
      <c r="F805" s="1587"/>
      <c r="G805" s="1587"/>
      <c r="H805" s="1587"/>
      <c r="I805" s="1588"/>
      <c r="J805" s="1591"/>
      <c r="K805" s="3355"/>
    </row>
    <row r="806" spans="1:11">
      <c r="A806" s="4836" t="str">
        <f>$K$2</f>
        <v>Tháng 12/24</v>
      </c>
      <c r="B806" s="4836"/>
      <c r="C806" s="4836"/>
      <c r="D806" s="4836"/>
      <c r="E806" s="1560"/>
      <c r="F806" s="1560"/>
      <c r="G806" s="4836" t="str">
        <f>$K$2</f>
        <v>Tháng 12/24</v>
      </c>
      <c r="H806" s="4836"/>
      <c r="I806" s="4836"/>
      <c r="J806" s="4836"/>
    </row>
    <row r="807" spans="1:11" ht="18">
      <c r="A807" s="1561" t="s">
        <v>1</v>
      </c>
      <c r="B807" s="1562" t="e">
        <f>VLOOKUP(C807,'Đội 2'!#REF!,3,0)</f>
        <v>#REF!</v>
      </c>
      <c r="C807" s="1563">
        <v>41</v>
      </c>
      <c r="D807" s="1563"/>
      <c r="E807" s="1564"/>
      <c r="F807" s="1565"/>
      <c r="G807" s="1561" t="s">
        <v>1</v>
      </c>
      <c r="H807" s="1562" t="e">
        <f>VLOOKUP(I807,'Đội 2'!#REF!,3,0)</f>
        <v>#REF!</v>
      </c>
      <c r="I807" s="1563">
        <v>42</v>
      </c>
      <c r="J807" s="1563"/>
    </row>
    <row r="808" spans="1:11" ht="18">
      <c r="A808" s="1561" t="s">
        <v>205</v>
      </c>
      <c r="B808" s="1566" t="s">
        <v>206</v>
      </c>
      <c r="C808" s="1567" t="e">
        <f>VLOOKUP(C807,'Đội 2'!#REF!,6,0)</f>
        <v>#REF!</v>
      </c>
      <c r="D808" s="1568" t="e">
        <f>C808*25000</f>
        <v>#REF!</v>
      </c>
      <c r="E808" s="1569"/>
      <c r="F808" s="1570"/>
      <c r="G808" s="1561" t="s">
        <v>205</v>
      </c>
      <c r="H808" s="1566" t="s">
        <v>206</v>
      </c>
      <c r="I808" s="1567" t="e">
        <f>VLOOKUP(I807,'Đội 2'!#REF!,6,0)</f>
        <v>#REF!</v>
      </c>
      <c r="J808" s="1568" t="e">
        <f>I808*25000</f>
        <v>#REF!</v>
      </c>
    </row>
    <row r="809" spans="1:11">
      <c r="A809" s="1561" t="s">
        <v>207</v>
      </c>
      <c r="B809" s="1571" t="s">
        <v>208</v>
      </c>
      <c r="C809" s="1567" t="e">
        <f>VLOOKUP(C807,'Đội 2'!#REF!,12,0)</f>
        <v>#REF!</v>
      </c>
      <c r="D809" s="2374" t="e">
        <f>+C809*$L$3</f>
        <v>#REF!</v>
      </c>
      <c r="E809" s="1572"/>
      <c r="F809" s="1573"/>
      <c r="G809" s="1561" t="s">
        <v>207</v>
      </c>
      <c r="H809" s="1571" t="s">
        <v>208</v>
      </c>
      <c r="I809" s="1567" t="e">
        <f>VLOOKUP(I807,'Đội 2'!#REF!,12,0)</f>
        <v>#REF!</v>
      </c>
      <c r="J809" s="2374" t="e">
        <f>+I809*$L$3</f>
        <v>#REF!</v>
      </c>
    </row>
    <row r="810" spans="1:11">
      <c r="A810" s="1561" t="s">
        <v>1259</v>
      </c>
      <c r="B810" s="1571" t="s">
        <v>209</v>
      </c>
      <c r="C810" s="2369" t="e">
        <f>VLOOKUP(C807,'Đội 2'!#REF!,13,0)</f>
        <v>#REF!</v>
      </c>
      <c r="D810" s="2374" t="e">
        <f>+C810*$L$4</f>
        <v>#REF!</v>
      </c>
      <c r="E810" s="1572"/>
      <c r="F810" s="1573"/>
      <c r="G810" s="1561" t="s">
        <v>1259</v>
      </c>
      <c r="H810" s="1571" t="s">
        <v>209</v>
      </c>
      <c r="I810" s="2369" t="e">
        <f>VLOOKUP(I807,'Đội 2'!#REF!,13,0)</f>
        <v>#REF!</v>
      </c>
      <c r="J810" s="2374" t="e">
        <f>+I810*$L$4</f>
        <v>#REF!</v>
      </c>
    </row>
    <row r="811" spans="1:11">
      <c r="A811" s="1561" t="s">
        <v>1531</v>
      </c>
      <c r="B811" s="1571"/>
      <c r="C811" s="2369" t="e">
        <f>VLOOKUP(C807,'Đội 2'!#REF!,15,0)</f>
        <v>#REF!</v>
      </c>
      <c r="D811" s="2374" t="e">
        <f>+C811*20000+VLOOKUP(C807,'Đội 2'!#REF!,14,0)*$L$5</f>
        <v>#REF!</v>
      </c>
      <c r="E811" s="1572"/>
      <c r="F811" s="1573"/>
      <c r="G811" s="1561" t="s">
        <v>1531</v>
      </c>
      <c r="H811" s="1571"/>
      <c r="I811" s="2369" t="e">
        <f>VLOOKUP(I807,'Đội 2'!#REF!,15,0)</f>
        <v>#REF!</v>
      </c>
      <c r="J811" s="2374" t="e">
        <f>+I811*20000+VLOOKUP(I807,'Đội 2'!#REF!,14,0)*$L$5</f>
        <v>#REF!</v>
      </c>
    </row>
    <row r="812" spans="1:11" hidden="1">
      <c r="A812" s="1561" t="s">
        <v>1971</v>
      </c>
      <c r="B812" s="1571"/>
      <c r="C812" s="2369">
        <v>0</v>
      </c>
      <c r="D812" s="2374">
        <f>+C812*25000</f>
        <v>0</v>
      </c>
      <c r="E812" s="1572"/>
      <c r="F812" s="1573"/>
      <c r="G812" s="1561" t="s">
        <v>1971</v>
      </c>
      <c r="H812" s="1571"/>
      <c r="I812" s="2369">
        <v>0</v>
      </c>
      <c r="J812" s="2374">
        <f>+I812*25000</f>
        <v>0</v>
      </c>
    </row>
    <row r="813" spans="1:11">
      <c r="A813" s="1561" t="s">
        <v>210</v>
      </c>
      <c r="B813" s="1571" t="s">
        <v>211</v>
      </c>
      <c r="C813" s="1567" t="e">
        <f>VLOOKUP(C807,'Đội 2'!#REF!,9,0)</f>
        <v>#REF!</v>
      </c>
      <c r="D813" s="2374" t="e">
        <f>VLOOKUP(C807,'Đội 2'!#REF!,11,0)</f>
        <v>#REF!</v>
      </c>
      <c r="E813" s="1574"/>
      <c r="F813" s="1573"/>
      <c r="G813" s="1561" t="s">
        <v>210</v>
      </c>
      <c r="H813" s="1571" t="s">
        <v>211</v>
      </c>
      <c r="I813" s="1567" t="e">
        <f>VLOOKUP(I807,'Đội 2'!#REF!,9,0)</f>
        <v>#REF!</v>
      </c>
      <c r="J813" s="2374" t="e">
        <f>VLOOKUP(I807,'Đội 2'!#REF!,11,0)</f>
        <v>#REF!</v>
      </c>
    </row>
    <row r="814" spans="1:11">
      <c r="A814" s="1568" t="s">
        <v>212</v>
      </c>
      <c r="B814" s="1571" t="s">
        <v>213</v>
      </c>
      <c r="C814" s="1567"/>
      <c r="D814" s="1568"/>
      <c r="E814" s="1575"/>
      <c r="F814" s="1576"/>
      <c r="G814" s="1568" t="s">
        <v>212</v>
      </c>
      <c r="H814" s="1571" t="s">
        <v>213</v>
      </c>
      <c r="I814" s="1567"/>
      <c r="J814" s="1568"/>
    </row>
    <row r="815" spans="1:11">
      <c r="A815" s="1577" t="s">
        <v>214</v>
      </c>
      <c r="B815" s="1571" t="s">
        <v>215</v>
      </c>
      <c r="C815" s="1567"/>
      <c r="D815" s="1568"/>
      <c r="E815" s="1574"/>
      <c r="F815" s="1576"/>
      <c r="G815" s="1577" t="s">
        <v>214</v>
      </c>
      <c r="H815" s="1571" t="s">
        <v>215</v>
      </c>
      <c r="I815" s="1567"/>
      <c r="J815" s="1568"/>
    </row>
    <row r="816" spans="1:11">
      <c r="A816" s="1561" t="s">
        <v>216</v>
      </c>
      <c r="B816" s="1571" t="s">
        <v>217</v>
      </c>
      <c r="C816" s="1567"/>
      <c r="D816" s="1568">
        <v>0</v>
      </c>
      <c r="E816" s="1578"/>
      <c r="F816" s="1560"/>
      <c r="G816" s="1561" t="s">
        <v>216</v>
      </c>
      <c r="H816" s="1571" t="s">
        <v>217</v>
      </c>
      <c r="I816" s="1567"/>
      <c r="J816" s="1568">
        <v>0</v>
      </c>
    </row>
    <row r="817" spans="1:11">
      <c r="A817" s="1568" t="s">
        <v>218</v>
      </c>
      <c r="B817" s="1571" t="s">
        <v>219</v>
      </c>
      <c r="C817" s="1579"/>
      <c r="D817" s="1580" t="e">
        <f>SUM(D808:D813)-D816</f>
        <v>#REF!</v>
      </c>
      <c r="E817" s="1581"/>
      <c r="F817" s="1582"/>
      <c r="G817" s="1568" t="s">
        <v>218</v>
      </c>
      <c r="H817" s="1571" t="s">
        <v>219</v>
      </c>
      <c r="I817" s="1579"/>
      <c r="J817" s="1580" t="e">
        <f>SUM(J808:J813)-J816</f>
        <v>#REF!</v>
      </c>
      <c r="K817" s="3350" t="e">
        <f>J817+D817</f>
        <v>#REF!</v>
      </c>
    </row>
    <row r="818" spans="1:11">
      <c r="K818" s="3355"/>
    </row>
    <row r="819" spans="1:11">
      <c r="A819" s="4836" t="str">
        <f>$K$2</f>
        <v>Tháng 12/24</v>
      </c>
      <c r="B819" s="4836"/>
      <c r="C819" s="4836"/>
      <c r="D819" s="4836"/>
      <c r="E819" s="1560"/>
      <c r="F819" s="1560"/>
      <c r="G819" s="4836" t="str">
        <f>$K$2</f>
        <v>Tháng 12/24</v>
      </c>
      <c r="H819" s="4836"/>
      <c r="I819" s="4836"/>
      <c r="J819" s="4836"/>
    </row>
    <row r="820" spans="1:11" ht="18">
      <c r="A820" s="1561" t="s">
        <v>1</v>
      </c>
      <c r="B820" s="1562" t="e">
        <f>VLOOKUP(C820,'Đội 2'!#REF!,3,0)</f>
        <v>#REF!</v>
      </c>
      <c r="C820" s="1563">
        <v>43</v>
      </c>
      <c r="D820" s="1563"/>
      <c r="E820" s="1564"/>
      <c r="F820" s="1565"/>
      <c r="G820" s="1561" t="s">
        <v>1</v>
      </c>
      <c r="H820" s="1562" t="e">
        <f>VLOOKUP(I820,'Đội 2'!#REF!,3,0)</f>
        <v>#REF!</v>
      </c>
      <c r="I820" s="1563">
        <v>44</v>
      </c>
      <c r="J820" s="1563"/>
    </row>
    <row r="821" spans="1:11" ht="18">
      <c r="A821" s="1561" t="s">
        <v>205</v>
      </c>
      <c r="B821" s="1566" t="s">
        <v>206</v>
      </c>
      <c r="C821" s="1567" t="e">
        <f>VLOOKUP(C820,'Đội 2'!#REF!,6,0)</f>
        <v>#REF!</v>
      </c>
      <c r="D821" s="1568" t="e">
        <f>C821*25000</f>
        <v>#REF!</v>
      </c>
      <c r="E821" s="1569"/>
      <c r="F821" s="1570"/>
      <c r="G821" s="1561" t="s">
        <v>205</v>
      </c>
      <c r="H821" s="1566" t="s">
        <v>206</v>
      </c>
      <c r="I821" s="1567" t="e">
        <f>VLOOKUP(I820,'Đội 2'!#REF!,6,0)</f>
        <v>#REF!</v>
      </c>
      <c r="J821" s="1568" t="e">
        <f>I821*25000</f>
        <v>#REF!</v>
      </c>
    </row>
    <row r="822" spans="1:11">
      <c r="A822" s="1561" t="s">
        <v>207</v>
      </c>
      <c r="B822" s="1571" t="s">
        <v>208</v>
      </c>
      <c r="C822" s="1567" t="e">
        <f>VLOOKUP(C820,'Đội 2'!#REF!,12,0)</f>
        <v>#REF!</v>
      </c>
      <c r="D822" s="2374" t="e">
        <f>+C822*$L$3</f>
        <v>#REF!</v>
      </c>
      <c r="E822" s="1572"/>
      <c r="F822" s="1573"/>
      <c r="G822" s="1561" t="s">
        <v>207</v>
      </c>
      <c r="H822" s="1571" t="s">
        <v>208</v>
      </c>
      <c r="I822" s="1567" t="e">
        <f>VLOOKUP(I820,'Đội 2'!#REF!,12,0)</f>
        <v>#REF!</v>
      </c>
      <c r="J822" s="2374" t="e">
        <f>+I822*$L$3</f>
        <v>#REF!</v>
      </c>
    </row>
    <row r="823" spans="1:11">
      <c r="A823" s="1561" t="s">
        <v>1259</v>
      </c>
      <c r="B823" s="1571" t="s">
        <v>209</v>
      </c>
      <c r="C823" s="2369" t="e">
        <f>VLOOKUP(C820,'Đội 2'!#REF!,13,0)</f>
        <v>#REF!</v>
      </c>
      <c r="D823" s="2374" t="e">
        <f>+C823*$L$4</f>
        <v>#REF!</v>
      </c>
      <c r="E823" s="1572"/>
      <c r="F823" s="1573"/>
      <c r="G823" s="1561" t="s">
        <v>1259</v>
      </c>
      <c r="H823" s="1571" t="s">
        <v>209</v>
      </c>
      <c r="I823" s="2369" t="e">
        <f>VLOOKUP(I820,'Đội 2'!#REF!,13,0)</f>
        <v>#REF!</v>
      </c>
      <c r="J823" s="2374" t="e">
        <f>+I823*$L$4</f>
        <v>#REF!</v>
      </c>
    </row>
    <row r="824" spans="1:11">
      <c r="A824" s="1561" t="s">
        <v>1531</v>
      </c>
      <c r="B824" s="1571"/>
      <c r="C824" s="2369" t="e">
        <f>VLOOKUP(C820,'Đội 2'!#REF!,15,0)</f>
        <v>#REF!</v>
      </c>
      <c r="D824" s="2374" t="e">
        <f>+C824*20000+VLOOKUP(C820,'Đội 2'!#REF!,14,0)*$L$5</f>
        <v>#REF!</v>
      </c>
      <c r="E824" s="1572"/>
      <c r="F824" s="1573"/>
      <c r="G824" s="1561" t="s">
        <v>1531</v>
      </c>
      <c r="H824" s="1571"/>
      <c r="I824" s="2369" t="e">
        <f>VLOOKUP(I820,'Đội 2'!#REF!,15,0)</f>
        <v>#REF!</v>
      </c>
      <c r="J824" s="2374" t="e">
        <f>+I824*20000+VLOOKUP(I820,'Đội 2'!#REF!,14,0)*$L$5</f>
        <v>#REF!</v>
      </c>
    </row>
    <row r="825" spans="1:11" hidden="1">
      <c r="A825" s="1561" t="s">
        <v>1971</v>
      </c>
      <c r="B825" s="1571"/>
      <c r="C825" s="2369">
        <v>0</v>
      </c>
      <c r="D825" s="2374">
        <f>+C825*25000</f>
        <v>0</v>
      </c>
      <c r="E825" s="1572"/>
      <c r="F825" s="1573"/>
      <c r="G825" s="1561" t="s">
        <v>1971</v>
      </c>
      <c r="H825" s="1571"/>
      <c r="I825" s="2369">
        <v>0</v>
      </c>
      <c r="J825" s="2374">
        <f>+I825*25000</f>
        <v>0</v>
      </c>
    </row>
    <row r="826" spans="1:11">
      <c r="A826" s="1561" t="s">
        <v>210</v>
      </c>
      <c r="B826" s="1571" t="s">
        <v>211</v>
      </c>
      <c r="C826" s="1567" t="e">
        <f>VLOOKUP(C820,'Đội 2'!#REF!,9,0)</f>
        <v>#REF!</v>
      </c>
      <c r="D826" s="2374" t="e">
        <f>VLOOKUP(C820,'Đội 2'!#REF!,11,0)</f>
        <v>#REF!</v>
      </c>
      <c r="E826" s="1574"/>
      <c r="F826" s="1573"/>
      <c r="G826" s="1561" t="s">
        <v>210</v>
      </c>
      <c r="H826" s="1571" t="s">
        <v>211</v>
      </c>
      <c r="I826" s="1567" t="e">
        <f>VLOOKUP(I820,'Đội 2'!#REF!,9,0)</f>
        <v>#REF!</v>
      </c>
      <c r="J826" s="2374" t="e">
        <f>VLOOKUP(I820,'Đội 2'!#REF!,11,0)</f>
        <v>#REF!</v>
      </c>
    </row>
    <row r="827" spans="1:11">
      <c r="A827" s="1568" t="s">
        <v>212</v>
      </c>
      <c r="B827" s="1571" t="s">
        <v>213</v>
      </c>
      <c r="C827" s="1567"/>
      <c r="D827" s="1568"/>
      <c r="E827" s="1575"/>
      <c r="F827" s="1576"/>
      <c r="G827" s="1568" t="s">
        <v>212</v>
      </c>
      <c r="H827" s="1571" t="s">
        <v>213</v>
      </c>
      <c r="I827" s="1567"/>
      <c r="J827" s="1568"/>
    </row>
    <row r="828" spans="1:11">
      <c r="A828" s="1577" t="s">
        <v>214</v>
      </c>
      <c r="B828" s="1571" t="s">
        <v>215</v>
      </c>
      <c r="C828" s="1567"/>
      <c r="D828" s="1568"/>
      <c r="E828" s="1574"/>
      <c r="F828" s="1576"/>
      <c r="G828" s="1577" t="s">
        <v>214</v>
      </c>
      <c r="H828" s="1571" t="s">
        <v>215</v>
      </c>
      <c r="I828" s="1567"/>
      <c r="J828" s="1568"/>
    </row>
    <row r="829" spans="1:11">
      <c r="A829" s="1561" t="s">
        <v>216</v>
      </c>
      <c r="B829" s="1571" t="s">
        <v>217</v>
      </c>
      <c r="C829" s="1567"/>
      <c r="D829" s="1568">
        <v>0</v>
      </c>
      <c r="E829" s="1578"/>
      <c r="F829" s="1560"/>
      <c r="G829" s="1561" t="s">
        <v>216</v>
      </c>
      <c r="H829" s="1571" t="s">
        <v>217</v>
      </c>
      <c r="I829" s="1567"/>
      <c r="J829" s="1568">
        <v>0</v>
      </c>
    </row>
    <row r="830" spans="1:11">
      <c r="A830" s="1568" t="s">
        <v>218</v>
      </c>
      <c r="B830" s="1571" t="s">
        <v>219</v>
      </c>
      <c r="C830" s="1579"/>
      <c r="D830" s="1580" t="e">
        <f>SUM(D821:D826)-D829</f>
        <v>#REF!</v>
      </c>
      <c r="E830" s="1581"/>
      <c r="F830" s="1582"/>
      <c r="G830" s="1568" t="s">
        <v>218</v>
      </c>
      <c r="H830" s="1571" t="s">
        <v>219</v>
      </c>
      <c r="I830" s="1579"/>
      <c r="J830" s="1580" t="e">
        <f>SUM(J821:J826)-J829</f>
        <v>#REF!</v>
      </c>
      <c r="K830" s="3350" t="e">
        <f>J830+D830</f>
        <v>#REF!</v>
      </c>
    </row>
    <row r="831" spans="1:11">
      <c r="A831" s="1583"/>
      <c r="B831" s="1584"/>
      <c r="C831" s="1585"/>
      <c r="D831" s="1586"/>
      <c r="E831" s="1582"/>
      <c r="F831" s="1586"/>
      <c r="G831" s="1583"/>
      <c r="H831" s="1584"/>
      <c r="I831" s="1585"/>
      <c r="J831" s="1582"/>
    </row>
    <row r="832" spans="1:11">
      <c r="A832" s="1587"/>
      <c r="B832" s="1587"/>
      <c r="C832" s="1588"/>
      <c r="D832" s="3335"/>
      <c r="E832" s="1590"/>
      <c r="F832" s="1587"/>
      <c r="G832" s="1587"/>
      <c r="H832" s="1587"/>
      <c r="I832" s="1588"/>
      <c r="J832" s="1591"/>
      <c r="K832" s="3355"/>
    </row>
    <row r="833" spans="1:11">
      <c r="A833" s="4836" t="str">
        <f>$K$2</f>
        <v>Tháng 12/24</v>
      </c>
      <c r="B833" s="4836"/>
      <c r="C833" s="4836"/>
      <c r="D833" s="4836"/>
      <c r="E833" s="1560"/>
      <c r="F833" s="1560"/>
      <c r="G833" s="4836" t="str">
        <f>$K$2</f>
        <v>Tháng 12/24</v>
      </c>
      <c r="H833" s="4836"/>
      <c r="I833" s="4836"/>
      <c r="J833" s="4836"/>
    </row>
    <row r="834" spans="1:11" ht="18">
      <c r="A834" s="1561" t="s">
        <v>1</v>
      </c>
      <c r="B834" s="1562" t="e">
        <f>VLOOKUP(C834,'Đội 2'!#REF!,3,0)</f>
        <v>#REF!</v>
      </c>
      <c r="C834" s="1563">
        <v>45</v>
      </c>
      <c r="D834" s="1563"/>
      <c r="E834" s="1564"/>
      <c r="F834" s="1565"/>
      <c r="G834" s="1561" t="s">
        <v>1</v>
      </c>
      <c r="H834" s="1562" t="e">
        <f>VLOOKUP(I834,'Đội 2'!#REF!,3,0)</f>
        <v>#REF!</v>
      </c>
      <c r="I834" s="1563">
        <v>46</v>
      </c>
      <c r="J834" s="1563"/>
    </row>
    <row r="835" spans="1:11" ht="18">
      <c r="A835" s="1561" t="s">
        <v>205</v>
      </c>
      <c r="B835" s="1566" t="s">
        <v>206</v>
      </c>
      <c r="C835" s="1567" t="e">
        <f>VLOOKUP(C834,'Đội 2'!#REF!,6,0)</f>
        <v>#REF!</v>
      </c>
      <c r="D835" s="1568" t="e">
        <f>C835*25000</f>
        <v>#REF!</v>
      </c>
      <c r="E835" s="1569"/>
      <c r="F835" s="1570"/>
      <c r="G835" s="1561" t="s">
        <v>205</v>
      </c>
      <c r="H835" s="1566" t="s">
        <v>206</v>
      </c>
      <c r="I835" s="1567" t="e">
        <f>VLOOKUP(I834,'Đội 2'!#REF!,6,0)</f>
        <v>#REF!</v>
      </c>
      <c r="J835" s="1568" t="e">
        <f>I835*25000</f>
        <v>#REF!</v>
      </c>
    </row>
    <row r="836" spans="1:11">
      <c r="A836" s="1561" t="s">
        <v>207</v>
      </c>
      <c r="B836" s="1571" t="s">
        <v>208</v>
      </c>
      <c r="C836" s="1567" t="e">
        <f>VLOOKUP(C834,'Đội 2'!#REF!,12,0)</f>
        <v>#REF!</v>
      </c>
      <c r="D836" s="2374" t="e">
        <f>+C836*$L$3</f>
        <v>#REF!</v>
      </c>
      <c r="E836" s="1572"/>
      <c r="F836" s="1573"/>
      <c r="G836" s="1561" t="s">
        <v>207</v>
      </c>
      <c r="H836" s="1571" t="s">
        <v>208</v>
      </c>
      <c r="I836" s="1567" t="e">
        <f>VLOOKUP(I834,'Đội 2'!#REF!,12,0)</f>
        <v>#REF!</v>
      </c>
      <c r="J836" s="2374" t="e">
        <f>+I836*$L$3</f>
        <v>#REF!</v>
      </c>
    </row>
    <row r="837" spans="1:11">
      <c r="A837" s="1561" t="s">
        <v>1259</v>
      </c>
      <c r="B837" s="1571" t="s">
        <v>209</v>
      </c>
      <c r="C837" s="2369" t="e">
        <f>VLOOKUP(C834,'Đội 2'!#REF!,13,0)</f>
        <v>#REF!</v>
      </c>
      <c r="D837" s="2374" t="e">
        <f>+C837*$L$4</f>
        <v>#REF!</v>
      </c>
      <c r="E837" s="1572"/>
      <c r="F837" s="1573"/>
      <c r="G837" s="1561" t="s">
        <v>1259</v>
      </c>
      <c r="H837" s="1571" t="s">
        <v>209</v>
      </c>
      <c r="I837" s="2369" t="e">
        <f>VLOOKUP(I834,'Đội 2'!#REF!,13,0)</f>
        <v>#REF!</v>
      </c>
      <c r="J837" s="2374" t="e">
        <f>+I837*$L$4</f>
        <v>#REF!</v>
      </c>
    </row>
    <row r="838" spans="1:11">
      <c r="A838" s="1561" t="s">
        <v>1531</v>
      </c>
      <c r="B838" s="1571"/>
      <c r="C838" s="2369" t="e">
        <f>VLOOKUP(C834,'Đội 2'!#REF!,15,0)</f>
        <v>#REF!</v>
      </c>
      <c r="D838" s="2374" t="e">
        <f>+C838*20000+VLOOKUP(C834,'Đội 2'!#REF!,14,0)*$L$5</f>
        <v>#REF!</v>
      </c>
      <c r="E838" s="1572"/>
      <c r="F838" s="1573"/>
      <c r="G838" s="1561" t="s">
        <v>1531</v>
      </c>
      <c r="H838" s="1571"/>
      <c r="I838" s="2369" t="e">
        <f>VLOOKUP(I834,'Đội 2'!#REF!,15,0)</f>
        <v>#REF!</v>
      </c>
      <c r="J838" s="2374" t="e">
        <f>+I838*20000+VLOOKUP(I834,'Đội 2'!#REF!,14,0)*$L$5</f>
        <v>#REF!</v>
      </c>
    </row>
    <row r="839" spans="1:11" hidden="1">
      <c r="A839" s="1561" t="s">
        <v>1971</v>
      </c>
      <c r="B839" s="1571"/>
      <c r="C839" s="2369">
        <v>0</v>
      </c>
      <c r="D839" s="2374">
        <f>+C839*25000</f>
        <v>0</v>
      </c>
      <c r="E839" s="1572"/>
      <c r="F839" s="1573"/>
      <c r="G839" s="1561" t="s">
        <v>1971</v>
      </c>
      <c r="H839" s="1571"/>
      <c r="I839" s="2369">
        <v>0</v>
      </c>
      <c r="J839" s="2374">
        <f>+I839*25000</f>
        <v>0</v>
      </c>
    </row>
    <row r="840" spans="1:11">
      <c r="A840" s="1561" t="s">
        <v>210</v>
      </c>
      <c r="B840" s="1571" t="s">
        <v>211</v>
      </c>
      <c r="C840" s="1567" t="e">
        <f>VLOOKUP(C834,'Đội 2'!#REF!,9,0)</f>
        <v>#REF!</v>
      </c>
      <c r="D840" s="2374" t="e">
        <f>VLOOKUP(C834,'Đội 2'!#REF!,11,0)</f>
        <v>#REF!</v>
      </c>
      <c r="E840" s="1574"/>
      <c r="F840" s="1573"/>
      <c r="G840" s="1561" t="s">
        <v>210</v>
      </c>
      <c r="H840" s="1571" t="s">
        <v>211</v>
      </c>
      <c r="I840" s="1567" t="e">
        <f>VLOOKUP(I834,'Đội 2'!#REF!,9,0)</f>
        <v>#REF!</v>
      </c>
      <c r="J840" s="2374" t="e">
        <f>VLOOKUP(I834,'Đội 2'!#REF!,11,0)</f>
        <v>#REF!</v>
      </c>
    </row>
    <row r="841" spans="1:11">
      <c r="A841" s="1568" t="s">
        <v>212</v>
      </c>
      <c r="B841" s="1571" t="s">
        <v>213</v>
      </c>
      <c r="C841" s="1567"/>
      <c r="D841" s="1568"/>
      <c r="E841" s="1575"/>
      <c r="F841" s="1576"/>
      <c r="G841" s="1568" t="s">
        <v>212</v>
      </c>
      <c r="H841" s="1571" t="s">
        <v>213</v>
      </c>
      <c r="I841" s="1567"/>
      <c r="J841" s="1568"/>
    </row>
    <row r="842" spans="1:11">
      <c r="A842" s="1577" t="s">
        <v>214</v>
      </c>
      <c r="B842" s="1571" t="s">
        <v>215</v>
      </c>
      <c r="C842" s="1567"/>
      <c r="D842" s="1568"/>
      <c r="E842" s="1574"/>
      <c r="F842" s="1576"/>
      <c r="G842" s="1577" t="s">
        <v>214</v>
      </c>
      <c r="H842" s="1571" t="s">
        <v>215</v>
      </c>
      <c r="I842" s="1567"/>
      <c r="J842" s="1568"/>
    </row>
    <row r="843" spans="1:11">
      <c r="A843" s="1561" t="s">
        <v>216</v>
      </c>
      <c r="B843" s="1571" t="s">
        <v>217</v>
      </c>
      <c r="C843" s="1567"/>
      <c r="D843" s="1568">
        <v>0</v>
      </c>
      <c r="E843" s="1578"/>
      <c r="F843" s="1560"/>
      <c r="G843" s="1561" t="s">
        <v>216</v>
      </c>
      <c r="H843" s="1571" t="s">
        <v>217</v>
      </c>
      <c r="I843" s="1567"/>
      <c r="J843" s="1568">
        <v>0</v>
      </c>
    </row>
    <row r="844" spans="1:11">
      <c r="A844" s="1568" t="s">
        <v>218</v>
      </c>
      <c r="B844" s="1571" t="s">
        <v>219</v>
      </c>
      <c r="C844" s="1579"/>
      <c r="D844" s="1580" t="e">
        <f>SUM(D835:D840)-D843</f>
        <v>#REF!</v>
      </c>
      <c r="E844" s="1581"/>
      <c r="F844" s="1582"/>
      <c r="G844" s="1568" t="s">
        <v>218</v>
      </c>
      <c r="H844" s="1571" t="s">
        <v>219</v>
      </c>
      <c r="I844" s="1579"/>
      <c r="J844" s="1580" t="e">
        <f>SUM(J835:J840)-J843</f>
        <v>#REF!</v>
      </c>
      <c r="K844" s="3350" t="e">
        <f>J844+D844</f>
        <v>#REF!</v>
      </c>
    </row>
    <row r="845" spans="1:11">
      <c r="A845" s="1583"/>
      <c r="B845" s="1584"/>
      <c r="C845" s="1585"/>
      <c r="D845" s="1586"/>
      <c r="E845" s="1582"/>
      <c r="F845" s="1586"/>
      <c r="G845" s="1583"/>
      <c r="H845" s="1584"/>
      <c r="I845" s="1585"/>
      <c r="J845" s="1582"/>
    </row>
    <row r="846" spans="1:11">
      <c r="A846" s="1587"/>
      <c r="B846" s="1587"/>
      <c r="C846" s="1588"/>
      <c r="D846" s="3335"/>
      <c r="E846" s="1590"/>
      <c r="F846" s="1587"/>
      <c r="G846" s="1587"/>
      <c r="H846" s="1587"/>
      <c r="I846" s="1588"/>
      <c r="J846" s="1591"/>
      <c r="K846" s="3355"/>
    </row>
    <row r="847" spans="1:11">
      <c r="A847" s="4836" t="str">
        <f>$K$2</f>
        <v>Tháng 12/24</v>
      </c>
      <c r="B847" s="4836"/>
      <c r="C847" s="4836"/>
      <c r="D847" s="4836"/>
      <c r="E847" s="1560"/>
      <c r="F847" s="1560"/>
      <c r="G847" s="4836" t="str">
        <f>$K$2</f>
        <v>Tháng 12/24</v>
      </c>
      <c r="H847" s="4836"/>
      <c r="I847" s="4836"/>
      <c r="J847" s="4836"/>
    </row>
    <row r="848" spans="1:11" ht="18">
      <c r="A848" s="1561" t="s">
        <v>1</v>
      </c>
      <c r="B848" s="1562" t="e">
        <f>VLOOKUP(C848,'Đội 2'!#REF!,3,0)</f>
        <v>#REF!</v>
      </c>
      <c r="C848" s="1563">
        <v>47</v>
      </c>
      <c r="D848" s="1563"/>
      <c r="E848" s="1564"/>
      <c r="F848" s="1565"/>
      <c r="G848" s="1561" t="s">
        <v>1</v>
      </c>
      <c r="H848" s="1562" t="e">
        <f>VLOOKUP(I848,'Đội 2'!#REF!,3,0)</f>
        <v>#REF!</v>
      </c>
      <c r="I848" s="1563">
        <v>48</v>
      </c>
      <c r="J848" s="1563"/>
    </row>
    <row r="849" spans="1:11" ht="18">
      <c r="A849" s="1561" t="s">
        <v>205</v>
      </c>
      <c r="B849" s="1566" t="s">
        <v>206</v>
      </c>
      <c r="C849" s="1567" t="e">
        <f>VLOOKUP(C848,'Đội 2'!#REF!,6,0)</f>
        <v>#REF!</v>
      </c>
      <c r="D849" s="1568" t="e">
        <f>C849*25000</f>
        <v>#REF!</v>
      </c>
      <c r="E849" s="1569"/>
      <c r="F849" s="1570"/>
      <c r="G849" s="1561" t="s">
        <v>205</v>
      </c>
      <c r="H849" s="1566" t="s">
        <v>206</v>
      </c>
      <c r="I849" s="1567" t="e">
        <f>VLOOKUP(I848,'Đội 2'!#REF!,6,0)</f>
        <v>#REF!</v>
      </c>
      <c r="J849" s="1568" t="e">
        <f>I849*25000</f>
        <v>#REF!</v>
      </c>
    </row>
    <row r="850" spans="1:11">
      <c r="A850" s="1561" t="s">
        <v>207</v>
      </c>
      <c r="B850" s="1571" t="s">
        <v>208</v>
      </c>
      <c r="C850" s="1567" t="e">
        <f>VLOOKUP(C848,'Đội 2'!#REF!,12,0)</f>
        <v>#REF!</v>
      </c>
      <c r="D850" s="2374" t="e">
        <f>+C850*$L$3</f>
        <v>#REF!</v>
      </c>
      <c r="E850" s="1572"/>
      <c r="F850" s="1573"/>
      <c r="G850" s="1561" t="s">
        <v>207</v>
      </c>
      <c r="H850" s="1571" t="s">
        <v>208</v>
      </c>
      <c r="I850" s="1567" t="e">
        <f>VLOOKUP(I848,'Đội 2'!#REF!,12,0)</f>
        <v>#REF!</v>
      </c>
      <c r="J850" s="2374" t="e">
        <f>+I850*$L$3</f>
        <v>#REF!</v>
      </c>
    </row>
    <row r="851" spans="1:11">
      <c r="A851" s="1561" t="s">
        <v>1259</v>
      </c>
      <c r="B851" s="1571" t="s">
        <v>209</v>
      </c>
      <c r="C851" s="2369" t="e">
        <f>VLOOKUP(C848,'Đội 2'!#REF!,13,0)</f>
        <v>#REF!</v>
      </c>
      <c r="D851" s="2374" t="e">
        <f>+C851*$L$4</f>
        <v>#REF!</v>
      </c>
      <c r="E851" s="1572"/>
      <c r="F851" s="1573"/>
      <c r="G851" s="1561" t="s">
        <v>1259</v>
      </c>
      <c r="H851" s="1571" t="s">
        <v>209</v>
      </c>
      <c r="I851" s="2369" t="e">
        <f>VLOOKUP(I848,'Đội 2'!#REF!,13,0)</f>
        <v>#REF!</v>
      </c>
      <c r="J851" s="2374" t="e">
        <f>+I851*$L$4</f>
        <v>#REF!</v>
      </c>
    </row>
    <row r="852" spans="1:11">
      <c r="A852" s="1561" t="s">
        <v>1531</v>
      </c>
      <c r="B852" s="1571"/>
      <c r="C852" s="2369" t="e">
        <f>VLOOKUP(C848,'Đội 2'!#REF!,15,0)</f>
        <v>#REF!</v>
      </c>
      <c r="D852" s="2374" t="e">
        <f>+C852*20000+VLOOKUP(C848,'Đội 2'!#REF!,14,0)*$L$5</f>
        <v>#REF!</v>
      </c>
      <c r="E852" s="1572"/>
      <c r="F852" s="1573"/>
      <c r="G852" s="1561" t="s">
        <v>1531</v>
      </c>
      <c r="H852" s="1571"/>
      <c r="I852" s="2369" t="e">
        <f>VLOOKUP(I848,'Đội 2'!#REF!,15,0)</f>
        <v>#REF!</v>
      </c>
      <c r="J852" s="2374" t="e">
        <f>+I852*20000+VLOOKUP(I848,'Đội 2'!#REF!,14,0)*$L$5</f>
        <v>#REF!</v>
      </c>
    </row>
    <row r="853" spans="1:11" hidden="1">
      <c r="A853" s="1561" t="s">
        <v>1971</v>
      </c>
      <c r="B853" s="1571"/>
      <c r="C853" s="2369">
        <v>0</v>
      </c>
      <c r="D853" s="2374">
        <f>+C853*25000</f>
        <v>0</v>
      </c>
      <c r="E853" s="1572"/>
      <c r="F853" s="1573"/>
      <c r="G853" s="1561" t="s">
        <v>1971</v>
      </c>
      <c r="H853" s="1571"/>
      <c r="I853" s="2369">
        <v>0</v>
      </c>
      <c r="J853" s="2374">
        <f>+I853*25000</f>
        <v>0</v>
      </c>
    </row>
    <row r="854" spans="1:11">
      <c r="A854" s="1561" t="s">
        <v>210</v>
      </c>
      <c r="B854" s="1571" t="s">
        <v>211</v>
      </c>
      <c r="C854" s="1567" t="e">
        <f>VLOOKUP(C848,'Đội 2'!#REF!,9,0)</f>
        <v>#REF!</v>
      </c>
      <c r="D854" s="2374" t="e">
        <f>VLOOKUP(C848,'Đội 2'!#REF!,11,0)</f>
        <v>#REF!</v>
      </c>
      <c r="E854" s="1574"/>
      <c r="F854" s="1573"/>
      <c r="G854" s="1561" t="s">
        <v>210</v>
      </c>
      <c r="H854" s="1571" t="s">
        <v>211</v>
      </c>
      <c r="I854" s="1567" t="e">
        <f>VLOOKUP(I848,'Đội 2'!#REF!,9,0)</f>
        <v>#REF!</v>
      </c>
      <c r="J854" s="2374" t="e">
        <f>VLOOKUP(I848,'Đội 2'!#REF!,11,0)</f>
        <v>#REF!</v>
      </c>
    </row>
    <row r="855" spans="1:11">
      <c r="A855" s="1568" t="s">
        <v>212</v>
      </c>
      <c r="B855" s="1571" t="s">
        <v>213</v>
      </c>
      <c r="C855" s="1567"/>
      <c r="D855" s="1568"/>
      <c r="E855" s="1575"/>
      <c r="F855" s="1576"/>
      <c r="G855" s="1568" t="s">
        <v>212</v>
      </c>
      <c r="H855" s="1571" t="s">
        <v>213</v>
      </c>
      <c r="I855" s="1567"/>
      <c r="J855" s="1568"/>
    </row>
    <row r="856" spans="1:11">
      <c r="A856" s="1577" t="s">
        <v>214</v>
      </c>
      <c r="B856" s="1571" t="s">
        <v>215</v>
      </c>
      <c r="C856" s="1567"/>
      <c r="D856" s="1568"/>
      <c r="E856" s="1574"/>
      <c r="F856" s="1576"/>
      <c r="G856" s="1577" t="s">
        <v>214</v>
      </c>
      <c r="H856" s="1571" t="s">
        <v>215</v>
      </c>
      <c r="I856" s="1567"/>
      <c r="J856" s="1568"/>
    </row>
    <row r="857" spans="1:11">
      <c r="A857" s="1561" t="s">
        <v>216</v>
      </c>
      <c r="B857" s="1571" t="s">
        <v>217</v>
      </c>
      <c r="C857" s="1567"/>
      <c r="D857" s="1568">
        <v>0</v>
      </c>
      <c r="E857" s="1578"/>
      <c r="F857" s="1560"/>
      <c r="G857" s="1561" t="s">
        <v>216</v>
      </c>
      <c r="H857" s="1571" t="s">
        <v>217</v>
      </c>
      <c r="I857" s="1567"/>
      <c r="J857" s="1568">
        <v>0</v>
      </c>
    </row>
    <row r="858" spans="1:11">
      <c r="A858" s="1568" t="s">
        <v>218</v>
      </c>
      <c r="B858" s="1571" t="s">
        <v>219</v>
      </c>
      <c r="C858" s="1579"/>
      <c r="D858" s="1580" t="e">
        <f>SUM(D849:D854)-D857</f>
        <v>#REF!</v>
      </c>
      <c r="E858" s="1581"/>
      <c r="F858" s="1582"/>
      <c r="G858" s="1568" t="s">
        <v>218</v>
      </c>
      <c r="H858" s="1571" t="s">
        <v>219</v>
      </c>
      <c r="I858" s="1579"/>
      <c r="J858" s="1580" t="e">
        <f>SUM(J849:J854)-J857</f>
        <v>#REF!</v>
      </c>
      <c r="K858" s="3350" t="e">
        <f>J858+D858</f>
        <v>#REF!</v>
      </c>
    </row>
    <row r="859" spans="1:11">
      <c r="A859" s="1568"/>
      <c r="B859" s="1571"/>
      <c r="C859" s="1579"/>
      <c r="D859" s="1580"/>
      <c r="E859" s="1582"/>
      <c r="F859" s="1582"/>
      <c r="G859" s="1568"/>
      <c r="H859" s="1571"/>
      <c r="I859" s="1579"/>
      <c r="J859" s="1580"/>
      <c r="K859" s="3355"/>
    </row>
    <row r="860" spans="1:11">
      <c r="A860" s="4836" t="str">
        <f>$K$2</f>
        <v>Tháng 12/24</v>
      </c>
      <c r="B860" s="4836"/>
      <c r="C860" s="4836"/>
      <c r="D860" s="4836"/>
      <c r="E860" s="1560"/>
      <c r="F860" s="1560"/>
      <c r="G860" s="4836" t="str">
        <f>$K$2</f>
        <v>Tháng 12/24</v>
      </c>
      <c r="H860" s="4836"/>
      <c r="I860" s="4836"/>
      <c r="J860" s="4836"/>
    </row>
    <row r="861" spans="1:11" ht="18">
      <c r="A861" s="1561" t="s">
        <v>1</v>
      </c>
      <c r="B861" s="1562" t="e">
        <f>VLOOKUP(C861,'Đội 2'!#REF!,3,0)</f>
        <v>#REF!</v>
      </c>
      <c r="C861" s="1563">
        <v>49</v>
      </c>
      <c r="D861" s="1563"/>
      <c r="E861" s="1564"/>
      <c r="F861" s="1565"/>
      <c r="G861" s="1561" t="s">
        <v>1</v>
      </c>
      <c r="H861" s="1562" t="e">
        <f>VLOOKUP(I861,'Đội 2'!#REF!,3,0)</f>
        <v>#REF!</v>
      </c>
      <c r="I861" s="1563">
        <v>50</v>
      </c>
      <c r="J861" s="1563"/>
    </row>
    <row r="862" spans="1:11" ht="18">
      <c r="A862" s="1561" t="s">
        <v>205</v>
      </c>
      <c r="B862" s="1566" t="s">
        <v>206</v>
      </c>
      <c r="C862" s="1567" t="e">
        <f>VLOOKUP(C861,'Đội 2'!#REF!,6,0)</f>
        <v>#REF!</v>
      </c>
      <c r="D862" s="1568" t="e">
        <f>C862*25000</f>
        <v>#REF!</v>
      </c>
      <c r="E862" s="1569"/>
      <c r="F862" s="1570"/>
      <c r="G862" s="1561" t="s">
        <v>205</v>
      </c>
      <c r="H862" s="1566" t="s">
        <v>206</v>
      </c>
      <c r="I862" s="1567" t="e">
        <f>VLOOKUP(I861,'Đội 2'!#REF!,6,0)</f>
        <v>#REF!</v>
      </c>
      <c r="J862" s="1568" t="e">
        <f>I862*25000</f>
        <v>#REF!</v>
      </c>
    </row>
    <row r="863" spans="1:11">
      <c r="A863" s="1561" t="s">
        <v>207</v>
      </c>
      <c r="B863" s="1571" t="s">
        <v>208</v>
      </c>
      <c r="C863" s="1567" t="e">
        <f>VLOOKUP(C861,'Đội 2'!#REF!,12,0)</f>
        <v>#REF!</v>
      </c>
      <c r="D863" s="2374" t="e">
        <f>+C863*$L$3</f>
        <v>#REF!</v>
      </c>
      <c r="E863" s="1572"/>
      <c r="F863" s="1573"/>
      <c r="G863" s="1561" t="s">
        <v>207</v>
      </c>
      <c r="H863" s="1571" t="s">
        <v>208</v>
      </c>
      <c r="I863" s="1567" t="e">
        <f>VLOOKUP(I861,'Đội 2'!#REF!,12,0)</f>
        <v>#REF!</v>
      </c>
      <c r="J863" s="2374" t="e">
        <f>+I863*$L$3</f>
        <v>#REF!</v>
      </c>
    </row>
    <row r="864" spans="1:11">
      <c r="A864" s="1561" t="s">
        <v>1259</v>
      </c>
      <c r="B864" s="1571" t="s">
        <v>209</v>
      </c>
      <c r="C864" s="2369" t="e">
        <f>VLOOKUP(C861,'Đội 2'!#REF!,13,0)</f>
        <v>#REF!</v>
      </c>
      <c r="D864" s="2374" t="e">
        <f>+C864*$L$4</f>
        <v>#REF!</v>
      </c>
      <c r="E864" s="1572"/>
      <c r="F864" s="1573"/>
      <c r="G864" s="1561" t="s">
        <v>1259</v>
      </c>
      <c r="H864" s="1571" t="s">
        <v>209</v>
      </c>
      <c r="I864" s="2369" t="e">
        <f>VLOOKUP(I861,'Đội 2'!#REF!,13,0)</f>
        <v>#REF!</v>
      </c>
      <c r="J864" s="2374" t="e">
        <f>+I864*$L$4</f>
        <v>#REF!</v>
      </c>
    </row>
    <row r="865" spans="1:11">
      <c r="A865" s="1561" t="s">
        <v>1531</v>
      </c>
      <c r="B865" s="1571"/>
      <c r="C865" s="2369" t="e">
        <f>VLOOKUP(C861,'Đội 2'!#REF!,15,0)</f>
        <v>#REF!</v>
      </c>
      <c r="D865" s="2374" t="e">
        <f>+C865*20000+VLOOKUP(C861,'Đội 2'!#REF!,14,0)*$L$5</f>
        <v>#REF!</v>
      </c>
      <c r="E865" s="1572"/>
      <c r="F865" s="1573"/>
      <c r="G865" s="1561" t="s">
        <v>1531</v>
      </c>
      <c r="H865" s="1571"/>
      <c r="I865" s="2369" t="e">
        <f>VLOOKUP(I861,'Đội 2'!#REF!,15,0)</f>
        <v>#REF!</v>
      </c>
      <c r="J865" s="2374" t="e">
        <f>+I865*20000+VLOOKUP(I861,'Đội 2'!#REF!,14,0)*$L$5</f>
        <v>#REF!</v>
      </c>
    </row>
    <row r="866" spans="1:11" hidden="1">
      <c r="A866" s="1561" t="s">
        <v>1971</v>
      </c>
      <c r="B866" s="1571"/>
      <c r="C866" s="2369">
        <v>0</v>
      </c>
      <c r="D866" s="2374">
        <f>+C866*25000</f>
        <v>0</v>
      </c>
      <c r="E866" s="1572"/>
      <c r="F866" s="1573"/>
      <c r="G866" s="1561" t="s">
        <v>1971</v>
      </c>
      <c r="H866" s="1571"/>
      <c r="I866" s="2369">
        <v>0</v>
      </c>
      <c r="J866" s="2374">
        <f>+I866*25000</f>
        <v>0</v>
      </c>
    </row>
    <row r="867" spans="1:11">
      <c r="A867" s="1561" t="s">
        <v>210</v>
      </c>
      <c r="B867" s="1571" t="s">
        <v>211</v>
      </c>
      <c r="C867" s="1567" t="e">
        <f>VLOOKUP(C861,'Đội 2'!#REF!,9,0)</f>
        <v>#REF!</v>
      </c>
      <c r="D867" s="2374" t="e">
        <f>VLOOKUP(C861,'Đội 2'!#REF!,11,0)</f>
        <v>#REF!</v>
      </c>
      <c r="E867" s="1574"/>
      <c r="F867" s="1573"/>
      <c r="G867" s="1561" t="s">
        <v>210</v>
      </c>
      <c r="H867" s="1571" t="s">
        <v>211</v>
      </c>
      <c r="I867" s="1567" t="e">
        <f>VLOOKUP(I861,'Đội 2'!#REF!,9,0)</f>
        <v>#REF!</v>
      </c>
      <c r="J867" s="2374" t="e">
        <f>VLOOKUP(I861,'Đội 2'!#REF!,11,0)</f>
        <v>#REF!</v>
      </c>
    </row>
    <row r="868" spans="1:11">
      <c r="A868" s="1568" t="s">
        <v>212</v>
      </c>
      <c r="B868" s="1571" t="s">
        <v>213</v>
      </c>
      <c r="C868" s="1567"/>
      <c r="D868" s="1568"/>
      <c r="E868" s="1575"/>
      <c r="F868" s="1576"/>
      <c r="G868" s="1568" t="s">
        <v>212</v>
      </c>
      <c r="H868" s="1571" t="s">
        <v>213</v>
      </c>
      <c r="I868" s="1567"/>
      <c r="J868" s="1568"/>
    </row>
    <row r="869" spans="1:11">
      <c r="A869" s="1577" t="s">
        <v>214</v>
      </c>
      <c r="B869" s="1571" t="s">
        <v>215</v>
      </c>
      <c r="C869" s="1567"/>
      <c r="D869" s="1568"/>
      <c r="E869" s="1574"/>
      <c r="F869" s="1576"/>
      <c r="G869" s="1577" t="s">
        <v>214</v>
      </c>
      <c r="H869" s="1571" t="s">
        <v>215</v>
      </c>
      <c r="I869" s="1567"/>
      <c r="J869" s="1568"/>
    </row>
    <row r="870" spans="1:11">
      <c r="A870" s="1561" t="s">
        <v>216</v>
      </c>
      <c r="B870" s="1571" t="s">
        <v>217</v>
      </c>
      <c r="C870" s="1567"/>
      <c r="D870" s="1568">
        <v>0</v>
      </c>
      <c r="E870" s="1578"/>
      <c r="F870" s="1560"/>
      <c r="G870" s="1561" t="s">
        <v>216</v>
      </c>
      <c r="H870" s="1571" t="s">
        <v>217</v>
      </c>
      <c r="I870" s="1567"/>
      <c r="J870" s="1568">
        <v>0</v>
      </c>
    </row>
    <row r="871" spans="1:11">
      <c r="A871" s="1568" t="s">
        <v>218</v>
      </c>
      <c r="B871" s="1571" t="s">
        <v>219</v>
      </c>
      <c r="C871" s="1579"/>
      <c r="D871" s="1580" t="e">
        <f>SUM(D862:D867)-D870</f>
        <v>#REF!</v>
      </c>
      <c r="E871" s="1581"/>
      <c r="F871" s="1582"/>
      <c r="G871" s="1568" t="s">
        <v>218</v>
      </c>
      <c r="H871" s="1571" t="s">
        <v>219</v>
      </c>
      <c r="I871" s="1579"/>
      <c r="J871" s="1580" t="e">
        <f>SUM(J862:J867)-J870</f>
        <v>#REF!</v>
      </c>
      <c r="K871" s="3350" t="e">
        <f>J871+D871</f>
        <v>#REF!</v>
      </c>
    </row>
    <row r="872" spans="1:11">
      <c r="A872" s="1583"/>
      <c r="B872" s="1584"/>
      <c r="C872" s="1585"/>
      <c r="D872" s="1586"/>
      <c r="E872" s="1582"/>
      <c r="F872" s="1586"/>
      <c r="G872" s="1583"/>
      <c r="H872" s="1584"/>
      <c r="I872" s="1585"/>
      <c r="J872" s="1582"/>
    </row>
    <row r="873" spans="1:11">
      <c r="A873" s="1587"/>
      <c r="B873" s="1587"/>
      <c r="C873" s="1588"/>
      <c r="D873" s="3335"/>
      <c r="E873" s="1590"/>
      <c r="F873" s="1587"/>
      <c r="G873" s="1587"/>
      <c r="H873" s="1587"/>
      <c r="I873" s="1588"/>
      <c r="J873" s="1591"/>
      <c r="K873" s="3355"/>
    </row>
    <row r="874" spans="1:11">
      <c r="A874" s="4836" t="str">
        <f>$K$2</f>
        <v>Tháng 12/24</v>
      </c>
      <c r="B874" s="4836"/>
      <c r="C874" s="4836"/>
      <c r="D874" s="4836"/>
      <c r="E874" s="1560"/>
      <c r="F874" s="1560"/>
      <c r="G874" s="4836" t="str">
        <f>$K$2</f>
        <v>Tháng 12/24</v>
      </c>
      <c r="H874" s="4836"/>
      <c r="I874" s="4836"/>
      <c r="J874" s="4836"/>
    </row>
    <row r="875" spans="1:11" ht="18">
      <c r="A875" s="1561" t="s">
        <v>1</v>
      </c>
      <c r="B875" s="1562" t="e">
        <f>VLOOKUP(C875,'Đội 2'!#REF!,3,0)</f>
        <v>#REF!</v>
      </c>
      <c r="C875" s="1563">
        <v>51</v>
      </c>
      <c r="D875" s="1563"/>
      <c r="E875" s="1564"/>
      <c r="F875" s="1565"/>
      <c r="G875" s="1561" t="s">
        <v>1</v>
      </c>
      <c r="H875" s="1562" t="e">
        <f>VLOOKUP(I875,'Đội 2'!#REF!,3,0)</f>
        <v>#REF!</v>
      </c>
      <c r="I875" s="1563">
        <v>52</v>
      </c>
      <c r="J875" s="1563"/>
    </row>
    <row r="876" spans="1:11" ht="18">
      <c r="A876" s="1561" t="s">
        <v>205</v>
      </c>
      <c r="B876" s="1566" t="s">
        <v>206</v>
      </c>
      <c r="C876" s="1567" t="e">
        <f>VLOOKUP(C875,'Đội 2'!#REF!,6,0)</f>
        <v>#REF!</v>
      </c>
      <c r="D876" s="1568" t="e">
        <f>C876*25000</f>
        <v>#REF!</v>
      </c>
      <c r="E876" s="1569"/>
      <c r="F876" s="1570"/>
      <c r="G876" s="1561" t="s">
        <v>205</v>
      </c>
      <c r="H876" s="1566" t="s">
        <v>206</v>
      </c>
      <c r="I876" s="1567" t="e">
        <f>VLOOKUP(I875,'Đội 2'!#REF!,6,0)</f>
        <v>#REF!</v>
      </c>
      <c r="J876" s="1568" t="e">
        <f>I876*25000</f>
        <v>#REF!</v>
      </c>
    </row>
    <row r="877" spans="1:11">
      <c r="A877" s="1561" t="s">
        <v>207</v>
      </c>
      <c r="B877" s="1571" t="s">
        <v>208</v>
      </c>
      <c r="C877" s="1567" t="e">
        <f>VLOOKUP(C875,'Đội 2'!#REF!,12,0)</f>
        <v>#REF!</v>
      </c>
      <c r="D877" s="2374" t="e">
        <f>+C877*$L$3</f>
        <v>#REF!</v>
      </c>
      <c r="E877" s="1572"/>
      <c r="F877" s="1573"/>
      <c r="G877" s="1561" t="s">
        <v>207</v>
      </c>
      <c r="H877" s="1571" t="s">
        <v>208</v>
      </c>
      <c r="I877" s="1567" t="e">
        <f>VLOOKUP(I875,'Đội 2'!#REF!,12,0)</f>
        <v>#REF!</v>
      </c>
      <c r="J877" s="2374" t="e">
        <f>+I877*$L$3</f>
        <v>#REF!</v>
      </c>
    </row>
    <row r="878" spans="1:11">
      <c r="A878" s="1561" t="s">
        <v>1259</v>
      </c>
      <c r="B878" s="1571" t="s">
        <v>209</v>
      </c>
      <c r="C878" s="2369" t="e">
        <f>VLOOKUP(C875,'Đội 2'!#REF!,13,0)</f>
        <v>#REF!</v>
      </c>
      <c r="D878" s="2374" t="e">
        <f>+C878*$L$4</f>
        <v>#REF!</v>
      </c>
      <c r="E878" s="1572"/>
      <c r="F878" s="1573"/>
      <c r="G878" s="1561" t="s">
        <v>1259</v>
      </c>
      <c r="H878" s="1571" t="s">
        <v>209</v>
      </c>
      <c r="I878" s="2369" t="e">
        <f>VLOOKUP(I875,'Đội 2'!#REF!,13,0)</f>
        <v>#REF!</v>
      </c>
      <c r="J878" s="2374" t="e">
        <f>+I878*$L$4</f>
        <v>#REF!</v>
      </c>
    </row>
    <row r="879" spans="1:11">
      <c r="A879" s="1561" t="s">
        <v>1531</v>
      </c>
      <c r="B879" s="1571"/>
      <c r="C879" s="2369" t="e">
        <f>VLOOKUP(C875,'Đội 2'!#REF!,15,0)</f>
        <v>#REF!</v>
      </c>
      <c r="D879" s="2374" t="e">
        <f>+C879*20000+VLOOKUP(C875,'Đội 2'!#REF!,14,0)*$L$5</f>
        <v>#REF!</v>
      </c>
      <c r="E879" s="1572"/>
      <c r="F879" s="1573"/>
      <c r="G879" s="1561" t="s">
        <v>1531</v>
      </c>
      <c r="H879" s="1571"/>
      <c r="I879" s="2369" t="e">
        <f>VLOOKUP(I875,'Đội 2'!#REF!,15,0)</f>
        <v>#REF!</v>
      </c>
      <c r="J879" s="2374" t="e">
        <f>+I879*20000+VLOOKUP(I875,'Đội 2'!#REF!,14,0)*$L$5</f>
        <v>#REF!</v>
      </c>
    </row>
    <row r="880" spans="1:11" hidden="1">
      <c r="A880" s="1561" t="s">
        <v>1971</v>
      </c>
      <c r="B880" s="1571"/>
      <c r="C880" s="2369">
        <v>0</v>
      </c>
      <c r="D880" s="2374">
        <f>+C880*25000</f>
        <v>0</v>
      </c>
      <c r="E880" s="1572"/>
      <c r="F880" s="1573"/>
      <c r="G880" s="1561" t="s">
        <v>1971</v>
      </c>
      <c r="H880" s="1571"/>
      <c r="I880" s="2369">
        <v>0</v>
      </c>
      <c r="J880" s="2374">
        <f>+I880*25000</f>
        <v>0</v>
      </c>
    </row>
    <row r="881" spans="1:11">
      <c r="A881" s="1561" t="s">
        <v>210</v>
      </c>
      <c r="B881" s="1571" t="s">
        <v>211</v>
      </c>
      <c r="C881" s="1567" t="e">
        <f>VLOOKUP(C875,'Đội 2'!#REF!,9,0)</f>
        <v>#REF!</v>
      </c>
      <c r="D881" s="2374" t="e">
        <f>VLOOKUP(C875,'Đội 2'!#REF!,11,0)</f>
        <v>#REF!</v>
      </c>
      <c r="E881" s="1574"/>
      <c r="F881" s="1573"/>
      <c r="G881" s="1561" t="s">
        <v>210</v>
      </c>
      <c r="H881" s="1571" t="s">
        <v>211</v>
      </c>
      <c r="I881" s="1567" t="e">
        <f>VLOOKUP(I875,'Đội 2'!#REF!,9,0)</f>
        <v>#REF!</v>
      </c>
      <c r="J881" s="2374" t="e">
        <f>VLOOKUP(I875,'Đội 2'!#REF!,11,0)</f>
        <v>#REF!</v>
      </c>
    </row>
    <row r="882" spans="1:11">
      <c r="A882" s="1568" t="s">
        <v>212</v>
      </c>
      <c r="B882" s="1571" t="s">
        <v>213</v>
      </c>
      <c r="C882" s="1567"/>
      <c r="D882" s="1568"/>
      <c r="E882" s="1575"/>
      <c r="F882" s="1576"/>
      <c r="G882" s="1568" t="s">
        <v>212</v>
      </c>
      <c r="H882" s="1571" t="s">
        <v>213</v>
      </c>
      <c r="I882" s="1567"/>
      <c r="J882" s="1568"/>
    </row>
    <row r="883" spans="1:11">
      <c r="A883" s="1577" t="s">
        <v>214</v>
      </c>
      <c r="B883" s="1571" t="s">
        <v>215</v>
      </c>
      <c r="C883" s="1567"/>
      <c r="D883" s="1568"/>
      <c r="E883" s="1574"/>
      <c r="F883" s="1576"/>
      <c r="G883" s="1577" t="s">
        <v>214</v>
      </c>
      <c r="H883" s="1571" t="s">
        <v>215</v>
      </c>
      <c r="I883" s="1567"/>
      <c r="J883" s="1568"/>
    </row>
    <row r="884" spans="1:11">
      <c r="A884" s="1561" t="s">
        <v>216</v>
      </c>
      <c r="B884" s="1571" t="s">
        <v>217</v>
      </c>
      <c r="C884" s="1567"/>
      <c r="D884" s="1568">
        <v>0</v>
      </c>
      <c r="E884" s="1578"/>
      <c r="F884" s="1560"/>
      <c r="G884" s="1561" t="s">
        <v>216</v>
      </c>
      <c r="H884" s="1571" t="s">
        <v>217</v>
      </c>
      <c r="I884" s="1567"/>
      <c r="J884" s="1568">
        <v>0</v>
      </c>
    </row>
    <row r="885" spans="1:11">
      <c r="A885" s="1568" t="s">
        <v>218</v>
      </c>
      <c r="B885" s="1571" t="s">
        <v>219</v>
      </c>
      <c r="C885" s="1579"/>
      <c r="D885" s="1580" t="e">
        <f>SUM(D876:D881)-D884</f>
        <v>#REF!</v>
      </c>
      <c r="E885" s="1581"/>
      <c r="F885" s="1582"/>
      <c r="G885" s="1568" t="s">
        <v>218</v>
      </c>
      <c r="H885" s="1571" t="s">
        <v>219</v>
      </c>
      <c r="I885" s="1579"/>
      <c r="J885" s="1580" t="e">
        <f>SUM(J876:J881)-J884</f>
        <v>#REF!</v>
      </c>
      <c r="K885" s="3350" t="e">
        <f>J885+D885</f>
        <v>#REF!</v>
      </c>
    </row>
    <row r="886" spans="1:11">
      <c r="A886" s="1583"/>
      <c r="B886" s="1584"/>
      <c r="C886" s="1585"/>
      <c r="D886" s="1586"/>
      <c r="E886" s="1582"/>
      <c r="F886" s="1586"/>
      <c r="G886" s="1583"/>
      <c r="H886" s="1584"/>
      <c r="I886" s="1585"/>
      <c r="J886" s="1582"/>
    </row>
    <row r="887" spans="1:11">
      <c r="A887" s="1587"/>
      <c r="B887" s="1587"/>
      <c r="C887" s="1588"/>
      <c r="D887" s="3335"/>
      <c r="E887" s="1590"/>
      <c r="F887" s="1587"/>
      <c r="G887" s="1587"/>
      <c r="H887" s="1587"/>
      <c r="I887" s="1588"/>
      <c r="J887" s="1591"/>
      <c r="K887" s="3355"/>
    </row>
    <row r="888" spans="1:11">
      <c r="A888" s="4836" t="str">
        <f>$K$2</f>
        <v>Tháng 12/24</v>
      </c>
      <c r="B888" s="4836"/>
      <c r="C888" s="4836"/>
      <c r="D888" s="4836"/>
      <c r="E888" s="1560"/>
      <c r="F888" s="1560"/>
      <c r="G888" s="4836" t="str">
        <f>$K$2</f>
        <v>Tháng 12/24</v>
      </c>
      <c r="H888" s="4836"/>
      <c r="I888" s="4836"/>
      <c r="J888" s="4836"/>
    </row>
    <row r="889" spans="1:11" ht="18">
      <c r="A889" s="1561" t="s">
        <v>1</v>
      </c>
      <c r="B889" s="1562" t="e">
        <f>VLOOKUP(C889,'Đội 2'!#REF!,3,0)</f>
        <v>#REF!</v>
      </c>
      <c r="C889" s="1563">
        <v>53</v>
      </c>
      <c r="D889" s="1563"/>
      <c r="E889" s="1564"/>
      <c r="F889" s="1565"/>
      <c r="G889" s="1561" t="s">
        <v>1</v>
      </c>
      <c r="H889" s="1562" t="e">
        <f>VLOOKUP(I889,'Đội 2'!#REF!,3,0)</f>
        <v>#REF!</v>
      </c>
      <c r="I889" s="1563">
        <v>54</v>
      </c>
      <c r="J889" s="1563"/>
    </row>
    <row r="890" spans="1:11" ht="18">
      <c r="A890" s="1561" t="s">
        <v>205</v>
      </c>
      <c r="B890" s="1566" t="s">
        <v>206</v>
      </c>
      <c r="C890" s="1567" t="e">
        <f>VLOOKUP(C889,'Đội 2'!#REF!,6,0)</f>
        <v>#REF!</v>
      </c>
      <c r="D890" s="1568" t="e">
        <f>C890*25000</f>
        <v>#REF!</v>
      </c>
      <c r="E890" s="1569"/>
      <c r="F890" s="1570"/>
      <c r="G890" s="1561" t="s">
        <v>205</v>
      </c>
      <c r="H890" s="1566" t="s">
        <v>206</v>
      </c>
      <c r="I890" s="1567" t="e">
        <f>VLOOKUP(I889,'Đội 2'!#REF!,6,0)</f>
        <v>#REF!</v>
      </c>
      <c r="J890" s="1568" t="e">
        <f>I890*25000</f>
        <v>#REF!</v>
      </c>
    </row>
    <row r="891" spans="1:11">
      <c r="A891" s="1561" t="s">
        <v>207</v>
      </c>
      <c r="B891" s="1571" t="s">
        <v>208</v>
      </c>
      <c r="C891" s="1567" t="e">
        <f>VLOOKUP(C889,'Đội 2'!#REF!,12,0)</f>
        <v>#REF!</v>
      </c>
      <c r="D891" s="2374" t="e">
        <f>+C891*$L$3</f>
        <v>#REF!</v>
      </c>
      <c r="E891" s="1572"/>
      <c r="F891" s="1573"/>
      <c r="G891" s="1561" t="s">
        <v>207</v>
      </c>
      <c r="H891" s="1571" t="s">
        <v>208</v>
      </c>
      <c r="I891" s="1567" t="e">
        <f>VLOOKUP(I889,'Đội 2'!#REF!,12,0)</f>
        <v>#REF!</v>
      </c>
      <c r="J891" s="2374" t="e">
        <f>+I891*$L$3</f>
        <v>#REF!</v>
      </c>
    </row>
    <row r="892" spans="1:11">
      <c r="A892" s="1561" t="s">
        <v>1259</v>
      </c>
      <c r="B892" s="1571" t="s">
        <v>209</v>
      </c>
      <c r="C892" s="2369" t="e">
        <f>VLOOKUP(C889,'Đội 2'!#REF!,13,0)</f>
        <v>#REF!</v>
      </c>
      <c r="D892" s="2374" t="e">
        <f>+C892*$L$4</f>
        <v>#REF!</v>
      </c>
      <c r="E892" s="1572"/>
      <c r="F892" s="1573"/>
      <c r="G892" s="1561" t="s">
        <v>1259</v>
      </c>
      <c r="H892" s="1571" t="s">
        <v>209</v>
      </c>
      <c r="I892" s="2369" t="e">
        <f>VLOOKUP(I889,'Đội 2'!#REF!,13,0)</f>
        <v>#REF!</v>
      </c>
      <c r="J892" s="2374" t="e">
        <f>+I892*$L$4</f>
        <v>#REF!</v>
      </c>
    </row>
    <row r="893" spans="1:11">
      <c r="A893" s="1561" t="s">
        <v>1531</v>
      </c>
      <c r="B893" s="1571"/>
      <c r="C893" s="2369" t="e">
        <f>VLOOKUP(C889,'Đội 2'!#REF!,15,0)</f>
        <v>#REF!</v>
      </c>
      <c r="D893" s="2374" t="e">
        <f>+C893*20000+VLOOKUP(C889,'Đội 2'!#REF!,14,0)*$L$5</f>
        <v>#REF!</v>
      </c>
      <c r="E893" s="1572"/>
      <c r="F893" s="1573"/>
      <c r="G893" s="1561" t="s">
        <v>1531</v>
      </c>
      <c r="H893" s="1571"/>
      <c r="I893" s="2369" t="e">
        <f>VLOOKUP(I889,'Đội 2'!#REF!,15,0)</f>
        <v>#REF!</v>
      </c>
      <c r="J893" s="2374" t="e">
        <f>+I893*20000+VLOOKUP(I889,'Đội 2'!#REF!,14,0)*$L$5</f>
        <v>#REF!</v>
      </c>
    </row>
    <row r="894" spans="1:11" hidden="1">
      <c r="A894" s="1561" t="s">
        <v>1971</v>
      </c>
      <c r="B894" s="1571"/>
      <c r="C894" s="2369">
        <v>0</v>
      </c>
      <c r="D894" s="2374">
        <f>+C894*25000</f>
        <v>0</v>
      </c>
      <c r="E894" s="1572"/>
      <c r="F894" s="1573"/>
      <c r="G894" s="1561" t="s">
        <v>1971</v>
      </c>
      <c r="H894" s="1571"/>
      <c r="I894" s="2369">
        <v>0</v>
      </c>
      <c r="J894" s="2374">
        <f>+I894*25000</f>
        <v>0</v>
      </c>
    </row>
    <row r="895" spans="1:11">
      <c r="A895" s="1561" t="s">
        <v>210</v>
      </c>
      <c r="B895" s="1571" t="s">
        <v>211</v>
      </c>
      <c r="C895" s="1567" t="e">
        <f>VLOOKUP(C889,'Đội 2'!#REF!,9,0)</f>
        <v>#REF!</v>
      </c>
      <c r="D895" s="2374" t="e">
        <f>VLOOKUP(C889,'Đội 2'!#REF!,11,0)</f>
        <v>#REF!</v>
      </c>
      <c r="E895" s="1574"/>
      <c r="F895" s="1573"/>
      <c r="G895" s="1561" t="s">
        <v>210</v>
      </c>
      <c r="H895" s="1571" t="s">
        <v>211</v>
      </c>
      <c r="I895" s="1567" t="e">
        <f>VLOOKUP(I889,'Đội 2'!#REF!,9,0)</f>
        <v>#REF!</v>
      </c>
      <c r="J895" s="2374" t="e">
        <f>VLOOKUP(I889,'Đội 2'!#REF!,11,0)</f>
        <v>#REF!</v>
      </c>
    </row>
    <row r="896" spans="1:11">
      <c r="A896" s="1568" t="s">
        <v>212</v>
      </c>
      <c r="B896" s="1571" t="s">
        <v>213</v>
      </c>
      <c r="C896" s="1567"/>
      <c r="D896" s="1568"/>
      <c r="E896" s="1575"/>
      <c r="F896" s="1576"/>
      <c r="G896" s="1568" t="s">
        <v>212</v>
      </c>
      <c r="H896" s="1571" t="s">
        <v>213</v>
      </c>
      <c r="I896" s="1567"/>
      <c r="J896" s="1568"/>
    </row>
    <row r="897" spans="1:11">
      <c r="A897" s="1577" t="s">
        <v>214</v>
      </c>
      <c r="B897" s="1571" t="s">
        <v>215</v>
      </c>
      <c r="C897" s="1567"/>
      <c r="D897" s="1568"/>
      <c r="E897" s="1574"/>
      <c r="F897" s="1576"/>
      <c r="G897" s="1577" t="s">
        <v>214</v>
      </c>
      <c r="H897" s="1571" t="s">
        <v>215</v>
      </c>
      <c r="I897" s="1567"/>
      <c r="J897" s="1568"/>
    </row>
    <row r="898" spans="1:11">
      <c r="A898" s="1561" t="s">
        <v>216</v>
      </c>
      <c r="B898" s="1571" t="s">
        <v>217</v>
      </c>
      <c r="C898" s="1567"/>
      <c r="D898" s="1568">
        <v>0</v>
      </c>
      <c r="E898" s="1578"/>
      <c r="F898" s="1560"/>
      <c r="G898" s="1561" t="s">
        <v>216</v>
      </c>
      <c r="H898" s="1571" t="s">
        <v>217</v>
      </c>
      <c r="I898" s="1567"/>
      <c r="J898" s="1568">
        <v>0</v>
      </c>
    </row>
    <row r="899" spans="1:11">
      <c r="A899" s="1568" t="s">
        <v>218</v>
      </c>
      <c r="B899" s="1571" t="s">
        <v>219</v>
      </c>
      <c r="C899" s="1579"/>
      <c r="D899" s="1580" t="e">
        <f>SUM(D890:D895)-D898</f>
        <v>#REF!</v>
      </c>
      <c r="E899" s="1581"/>
      <c r="F899" s="1582"/>
      <c r="G899" s="1568" t="s">
        <v>218</v>
      </c>
      <c r="H899" s="1571" t="s">
        <v>219</v>
      </c>
      <c r="I899" s="1579"/>
      <c r="J899" s="1580" t="e">
        <f>SUM(J890:J895)-J898</f>
        <v>#REF!</v>
      </c>
      <c r="K899" s="3350" t="e">
        <f>J899+D899</f>
        <v>#REF!</v>
      </c>
    </row>
    <row r="900" spans="1:11">
      <c r="A900" s="1568"/>
      <c r="B900" s="1571"/>
      <c r="C900" s="1579"/>
      <c r="D900" s="1580"/>
      <c r="E900" s="1582"/>
      <c r="F900" s="1582"/>
      <c r="G900" s="1568"/>
      <c r="H900" s="1571"/>
      <c r="I900" s="1579"/>
      <c r="J900" s="1580"/>
      <c r="K900" s="3355"/>
    </row>
    <row r="901" spans="1:11">
      <c r="A901" s="4836" t="str">
        <f>$K$2</f>
        <v>Tháng 12/24</v>
      </c>
      <c r="B901" s="4836"/>
      <c r="C901" s="4836"/>
      <c r="D901" s="4836"/>
      <c r="E901" s="1560"/>
      <c r="F901" s="1560"/>
      <c r="G901" s="4836" t="str">
        <f>$K$2</f>
        <v>Tháng 12/24</v>
      </c>
      <c r="H901" s="4836"/>
      <c r="I901" s="4836"/>
      <c r="J901" s="4836"/>
    </row>
    <row r="902" spans="1:11" ht="18">
      <c r="A902" s="1561" t="s">
        <v>1</v>
      </c>
      <c r="B902" s="1562" t="e">
        <f>VLOOKUP(C902,'Đội 2'!#REF!,3,0)</f>
        <v>#REF!</v>
      </c>
      <c r="C902" s="1563">
        <v>55</v>
      </c>
      <c r="D902" s="1563"/>
      <c r="E902" s="1564"/>
      <c r="F902" s="1565"/>
      <c r="G902" s="1561" t="s">
        <v>1</v>
      </c>
      <c r="H902" s="1562" t="e">
        <f>VLOOKUP(I902,'Đội 2'!#REF!,3,0)</f>
        <v>#REF!</v>
      </c>
      <c r="I902" s="1563">
        <v>56</v>
      </c>
      <c r="J902" s="1563"/>
    </row>
    <row r="903" spans="1:11" ht="18">
      <c r="A903" s="1561" t="s">
        <v>205</v>
      </c>
      <c r="B903" s="1566" t="s">
        <v>206</v>
      </c>
      <c r="C903" s="1567" t="e">
        <f>VLOOKUP(C902,'Đội 2'!#REF!,6,0)</f>
        <v>#REF!</v>
      </c>
      <c r="D903" s="1568" t="e">
        <f>C903*25000</f>
        <v>#REF!</v>
      </c>
      <c r="E903" s="1569"/>
      <c r="F903" s="1570"/>
      <c r="G903" s="1561" t="s">
        <v>205</v>
      </c>
      <c r="H903" s="1566" t="s">
        <v>206</v>
      </c>
      <c r="I903" s="1567" t="e">
        <f>VLOOKUP(I902,'Đội 2'!#REF!,6,0)</f>
        <v>#REF!</v>
      </c>
      <c r="J903" s="1568" t="e">
        <f>I903*25000</f>
        <v>#REF!</v>
      </c>
    </row>
    <row r="904" spans="1:11">
      <c r="A904" s="1561" t="s">
        <v>207</v>
      </c>
      <c r="B904" s="1571" t="s">
        <v>208</v>
      </c>
      <c r="C904" s="1567" t="e">
        <f>VLOOKUP(C902,'Đội 2'!#REF!,12,0)</f>
        <v>#REF!</v>
      </c>
      <c r="D904" s="2374" t="e">
        <f>+C904*$L$3</f>
        <v>#REF!</v>
      </c>
      <c r="E904" s="1572"/>
      <c r="F904" s="1573"/>
      <c r="G904" s="1561" t="s">
        <v>207</v>
      </c>
      <c r="H904" s="1571" t="s">
        <v>208</v>
      </c>
      <c r="I904" s="1567" t="e">
        <f>VLOOKUP(I902,'Đội 2'!#REF!,12,0)</f>
        <v>#REF!</v>
      </c>
      <c r="J904" s="2374" t="e">
        <f>+I904*$L$3</f>
        <v>#REF!</v>
      </c>
    </row>
    <row r="905" spans="1:11">
      <c r="A905" s="1561" t="s">
        <v>1259</v>
      </c>
      <c r="B905" s="1571" t="s">
        <v>209</v>
      </c>
      <c r="C905" s="2369" t="e">
        <f>VLOOKUP(C902,'Đội 2'!#REF!,13,0)</f>
        <v>#REF!</v>
      </c>
      <c r="D905" s="2374" t="e">
        <f>+C905*$L$4</f>
        <v>#REF!</v>
      </c>
      <c r="E905" s="1572"/>
      <c r="F905" s="1573"/>
      <c r="G905" s="1561" t="s">
        <v>1259</v>
      </c>
      <c r="H905" s="1571" t="s">
        <v>209</v>
      </c>
      <c r="I905" s="2369" t="e">
        <f>VLOOKUP(I902,'Đội 2'!#REF!,13,0)</f>
        <v>#REF!</v>
      </c>
      <c r="J905" s="2374" t="e">
        <f>+I905*$L$4</f>
        <v>#REF!</v>
      </c>
    </row>
    <row r="906" spans="1:11">
      <c r="A906" s="1561" t="s">
        <v>1531</v>
      </c>
      <c r="B906" s="1571"/>
      <c r="C906" s="2369" t="e">
        <f>VLOOKUP(C902,'Đội 2'!#REF!,15,0)</f>
        <v>#REF!</v>
      </c>
      <c r="D906" s="2374" t="e">
        <f>+C906*20000+VLOOKUP(C902,'Đội 2'!#REF!,14,0)*$L$5</f>
        <v>#REF!</v>
      </c>
      <c r="E906" s="1572"/>
      <c r="F906" s="1573"/>
      <c r="G906" s="1561" t="s">
        <v>1531</v>
      </c>
      <c r="H906" s="1571"/>
      <c r="I906" s="2369" t="e">
        <f>VLOOKUP(I902,'Đội 2'!#REF!,15,0)</f>
        <v>#REF!</v>
      </c>
      <c r="J906" s="2374" t="e">
        <f>+I906*20000+VLOOKUP(I902,'Đội 2'!#REF!,14,0)*$L$5</f>
        <v>#REF!</v>
      </c>
    </row>
    <row r="907" spans="1:11" hidden="1">
      <c r="A907" s="1561" t="s">
        <v>1971</v>
      </c>
      <c r="B907" s="1571"/>
      <c r="C907" s="2369">
        <v>0</v>
      </c>
      <c r="D907" s="2374">
        <f>+C907*25000</f>
        <v>0</v>
      </c>
      <c r="E907" s="1572"/>
      <c r="F907" s="1573"/>
      <c r="G907" s="1561" t="s">
        <v>1971</v>
      </c>
      <c r="H907" s="1571"/>
      <c r="I907" s="2369">
        <v>0</v>
      </c>
      <c r="J907" s="2374">
        <f>+I907*25000</f>
        <v>0</v>
      </c>
    </row>
    <row r="908" spans="1:11">
      <c r="A908" s="1561" t="s">
        <v>210</v>
      </c>
      <c r="B908" s="1571" t="s">
        <v>211</v>
      </c>
      <c r="C908" s="1567" t="e">
        <f>VLOOKUP(C902,'Đội 2'!#REF!,9,0)</f>
        <v>#REF!</v>
      </c>
      <c r="D908" s="2374" t="e">
        <f>VLOOKUP(C902,'Đội 2'!#REF!,11,0)</f>
        <v>#REF!</v>
      </c>
      <c r="E908" s="1574"/>
      <c r="F908" s="1573"/>
      <c r="G908" s="1561" t="s">
        <v>210</v>
      </c>
      <c r="H908" s="1571" t="s">
        <v>211</v>
      </c>
      <c r="I908" s="1567" t="e">
        <f>VLOOKUP(I902,'Đội 2'!#REF!,9,0)</f>
        <v>#REF!</v>
      </c>
      <c r="J908" s="2374" t="e">
        <f>VLOOKUP(I902,'Đội 2'!#REF!,11,0)</f>
        <v>#REF!</v>
      </c>
    </row>
    <row r="909" spans="1:11">
      <c r="A909" s="1568" t="s">
        <v>212</v>
      </c>
      <c r="B909" s="1571" t="s">
        <v>213</v>
      </c>
      <c r="C909" s="1567"/>
      <c r="D909" s="1568"/>
      <c r="E909" s="1575"/>
      <c r="F909" s="1576"/>
      <c r="G909" s="1568" t="s">
        <v>212</v>
      </c>
      <c r="H909" s="1571" t="s">
        <v>213</v>
      </c>
      <c r="I909" s="1567"/>
      <c r="J909" s="1568"/>
    </row>
    <row r="910" spans="1:11">
      <c r="A910" s="1577" t="s">
        <v>214</v>
      </c>
      <c r="B910" s="1571" t="s">
        <v>215</v>
      </c>
      <c r="C910" s="1567"/>
      <c r="D910" s="1568"/>
      <c r="E910" s="1574"/>
      <c r="F910" s="1576"/>
      <c r="G910" s="1577" t="s">
        <v>214</v>
      </c>
      <c r="H910" s="1571" t="s">
        <v>215</v>
      </c>
      <c r="I910" s="1567"/>
      <c r="J910" s="1568"/>
    </row>
    <row r="911" spans="1:11">
      <c r="A911" s="1561" t="s">
        <v>216</v>
      </c>
      <c r="B911" s="1571" t="s">
        <v>217</v>
      </c>
      <c r="C911" s="1567"/>
      <c r="D911" s="1568">
        <v>0</v>
      </c>
      <c r="E911" s="1578"/>
      <c r="F911" s="1560"/>
      <c r="G911" s="1561" t="s">
        <v>216</v>
      </c>
      <c r="H911" s="1571" t="s">
        <v>217</v>
      </c>
      <c r="I911" s="1567"/>
      <c r="J911" s="1568">
        <v>0</v>
      </c>
    </row>
    <row r="912" spans="1:11">
      <c r="A912" s="1568" t="s">
        <v>218</v>
      </c>
      <c r="B912" s="1571" t="s">
        <v>219</v>
      </c>
      <c r="C912" s="1579"/>
      <c r="D912" s="1580" t="e">
        <f>SUM(D903:D908)-D911</f>
        <v>#REF!</v>
      </c>
      <c r="E912" s="1581"/>
      <c r="F912" s="1582"/>
      <c r="G912" s="1568" t="s">
        <v>218</v>
      </c>
      <c r="H912" s="1571" t="s">
        <v>219</v>
      </c>
      <c r="I912" s="1579"/>
      <c r="J912" s="1580" t="e">
        <f>SUM(J903:J908)-J911</f>
        <v>#REF!</v>
      </c>
      <c r="K912" s="3350" t="e">
        <f>J912+D912</f>
        <v>#REF!</v>
      </c>
    </row>
    <row r="913" spans="1:11">
      <c r="A913" s="1583"/>
      <c r="B913" s="1584"/>
      <c r="C913" s="1585"/>
      <c r="D913" s="1586"/>
      <c r="E913" s="1582"/>
      <c r="F913" s="1586"/>
      <c r="G913" s="1583"/>
      <c r="H913" s="1584"/>
      <c r="I913" s="1585"/>
      <c r="J913" s="1582"/>
    </row>
    <row r="914" spans="1:11">
      <c r="A914" s="1587"/>
      <c r="B914" s="1587"/>
      <c r="C914" s="1588"/>
      <c r="D914" s="3335"/>
      <c r="E914" s="1590"/>
      <c r="F914" s="1587"/>
      <c r="G914" s="1587"/>
      <c r="H914" s="1587"/>
      <c r="I914" s="1588"/>
      <c r="J914" s="1591"/>
      <c r="K914" s="3355"/>
    </row>
    <row r="915" spans="1:11">
      <c r="A915" s="4836" t="str">
        <f>$K$2</f>
        <v>Tháng 12/24</v>
      </c>
      <c r="B915" s="4836"/>
      <c r="C915" s="4836"/>
      <c r="D915" s="4836"/>
      <c r="E915" s="1560"/>
      <c r="F915" s="1560"/>
      <c r="G915" s="4836" t="str">
        <f>$K$2</f>
        <v>Tháng 12/24</v>
      </c>
      <c r="H915" s="4836"/>
      <c r="I915" s="4836"/>
      <c r="J915" s="4836"/>
    </row>
    <row r="916" spans="1:11" ht="18">
      <c r="A916" s="1561" t="s">
        <v>1</v>
      </c>
      <c r="B916" s="1562" t="e">
        <f>VLOOKUP(C916,'Đội 2'!#REF!,3,0)</f>
        <v>#REF!</v>
      </c>
      <c r="C916" s="1563">
        <v>57</v>
      </c>
      <c r="D916" s="1563"/>
      <c r="E916" s="1564"/>
      <c r="F916" s="1565"/>
      <c r="G916" s="1561" t="s">
        <v>1</v>
      </c>
      <c r="H916" s="1562" t="e">
        <f>VLOOKUP(I916,'Đội 2'!#REF!,3,0)</f>
        <v>#REF!</v>
      </c>
      <c r="I916" s="1563">
        <v>58</v>
      </c>
      <c r="J916" s="1563"/>
    </row>
    <row r="917" spans="1:11" ht="18">
      <c r="A917" s="1561" t="s">
        <v>205</v>
      </c>
      <c r="B917" s="1566" t="s">
        <v>206</v>
      </c>
      <c r="C917" s="1567" t="e">
        <f>VLOOKUP(C916,'Đội 2'!#REF!,6,0)</f>
        <v>#REF!</v>
      </c>
      <c r="D917" s="1568" t="e">
        <f>C917*25000</f>
        <v>#REF!</v>
      </c>
      <c r="E917" s="1569"/>
      <c r="F917" s="1570"/>
      <c r="G917" s="1561" t="s">
        <v>205</v>
      </c>
      <c r="H917" s="1566" t="s">
        <v>206</v>
      </c>
      <c r="I917" s="1567" t="e">
        <f>VLOOKUP(I916,'Đội 2'!#REF!,6,0)</f>
        <v>#REF!</v>
      </c>
      <c r="J917" s="1568" t="e">
        <f>I917*25000</f>
        <v>#REF!</v>
      </c>
    </row>
    <row r="918" spans="1:11">
      <c r="A918" s="1561" t="s">
        <v>207</v>
      </c>
      <c r="B918" s="1571" t="s">
        <v>208</v>
      </c>
      <c r="C918" s="1567" t="e">
        <f>VLOOKUP(C916,'Đội 2'!#REF!,12,0)</f>
        <v>#REF!</v>
      </c>
      <c r="D918" s="2374" t="e">
        <f>+C918*$L$3</f>
        <v>#REF!</v>
      </c>
      <c r="E918" s="1572"/>
      <c r="F918" s="1573"/>
      <c r="G918" s="1561" t="s">
        <v>207</v>
      </c>
      <c r="H918" s="1571" t="s">
        <v>208</v>
      </c>
      <c r="I918" s="1567" t="e">
        <f>VLOOKUP(I916,'Đội 2'!#REF!,12,0)</f>
        <v>#REF!</v>
      </c>
      <c r="J918" s="2374" t="e">
        <f>+I918*$L$3</f>
        <v>#REF!</v>
      </c>
    </row>
    <row r="919" spans="1:11">
      <c r="A919" s="1561" t="s">
        <v>1259</v>
      </c>
      <c r="B919" s="1571" t="s">
        <v>209</v>
      </c>
      <c r="C919" s="2369" t="e">
        <f>VLOOKUP(C916,'Đội 2'!#REF!,13,0)</f>
        <v>#REF!</v>
      </c>
      <c r="D919" s="2374" t="e">
        <f>+C919*$L$4</f>
        <v>#REF!</v>
      </c>
      <c r="E919" s="1572"/>
      <c r="F919" s="1573"/>
      <c r="G919" s="1561" t="s">
        <v>1259</v>
      </c>
      <c r="H919" s="1571" t="s">
        <v>209</v>
      </c>
      <c r="I919" s="2369" t="e">
        <f>VLOOKUP(I916,'Đội 2'!#REF!,13,0)</f>
        <v>#REF!</v>
      </c>
      <c r="J919" s="2374" t="e">
        <f>+I919*$L$4</f>
        <v>#REF!</v>
      </c>
    </row>
    <row r="920" spans="1:11">
      <c r="A920" s="1561" t="s">
        <v>1531</v>
      </c>
      <c r="B920" s="1571"/>
      <c r="C920" s="2369" t="e">
        <f>VLOOKUP(C916,'Đội 2'!#REF!,15,0)</f>
        <v>#REF!</v>
      </c>
      <c r="D920" s="2374" t="e">
        <f>+C920*20000+VLOOKUP(C916,'Đội 2'!#REF!,14,0)*$L$5</f>
        <v>#REF!</v>
      </c>
      <c r="E920" s="1572"/>
      <c r="F920" s="1573"/>
      <c r="G920" s="1561" t="s">
        <v>1531</v>
      </c>
      <c r="H920" s="1571"/>
      <c r="I920" s="2369" t="e">
        <f>VLOOKUP(I916,'Đội 2'!#REF!,15,0)</f>
        <v>#REF!</v>
      </c>
      <c r="J920" s="2374" t="e">
        <f>+I920*20000+VLOOKUP(I916,'Đội 2'!#REF!,14,0)*$L$5</f>
        <v>#REF!</v>
      </c>
    </row>
    <row r="921" spans="1:11" hidden="1">
      <c r="A921" s="1561" t="s">
        <v>1971</v>
      </c>
      <c r="B921" s="1571"/>
      <c r="C921" s="2369">
        <v>0</v>
      </c>
      <c r="D921" s="2374">
        <f>+C921*25000</f>
        <v>0</v>
      </c>
      <c r="E921" s="1572"/>
      <c r="F921" s="1573"/>
      <c r="G921" s="1561" t="s">
        <v>1971</v>
      </c>
      <c r="H921" s="1571"/>
      <c r="I921" s="2369">
        <v>0</v>
      </c>
      <c r="J921" s="2374">
        <f>+I921*25000</f>
        <v>0</v>
      </c>
    </row>
    <row r="922" spans="1:11">
      <c r="A922" s="1561" t="s">
        <v>210</v>
      </c>
      <c r="B922" s="1571" t="s">
        <v>211</v>
      </c>
      <c r="C922" s="1567" t="e">
        <f>VLOOKUP(C916,'Đội 2'!#REF!,9,0)</f>
        <v>#REF!</v>
      </c>
      <c r="D922" s="2374" t="e">
        <f>VLOOKUP(C916,'Đội 2'!#REF!,11,0)</f>
        <v>#REF!</v>
      </c>
      <c r="E922" s="1574"/>
      <c r="F922" s="1573"/>
      <c r="G922" s="1561" t="s">
        <v>210</v>
      </c>
      <c r="H922" s="1571" t="s">
        <v>211</v>
      </c>
      <c r="I922" s="1567" t="e">
        <f>VLOOKUP(I916,'Đội 2'!#REF!,9,0)</f>
        <v>#REF!</v>
      </c>
      <c r="J922" s="2374" t="e">
        <f>VLOOKUP(I916,'Đội 2'!#REF!,11,0)</f>
        <v>#REF!</v>
      </c>
    </row>
    <row r="923" spans="1:11">
      <c r="A923" s="1568" t="s">
        <v>212</v>
      </c>
      <c r="B923" s="1571" t="s">
        <v>213</v>
      </c>
      <c r="C923" s="1567"/>
      <c r="D923" s="1568"/>
      <c r="E923" s="1575"/>
      <c r="F923" s="1576"/>
      <c r="G923" s="1568" t="s">
        <v>212</v>
      </c>
      <c r="H923" s="1571" t="s">
        <v>213</v>
      </c>
      <c r="I923" s="1567"/>
      <c r="J923" s="1568"/>
    </row>
    <row r="924" spans="1:11">
      <c r="A924" s="1577" t="s">
        <v>214</v>
      </c>
      <c r="B924" s="1571" t="s">
        <v>215</v>
      </c>
      <c r="C924" s="1567"/>
      <c r="D924" s="1568"/>
      <c r="E924" s="1574"/>
      <c r="F924" s="1576"/>
      <c r="G924" s="1577" t="s">
        <v>214</v>
      </c>
      <c r="H924" s="1571" t="s">
        <v>215</v>
      </c>
      <c r="I924" s="1567"/>
      <c r="J924" s="1568"/>
    </row>
    <row r="925" spans="1:11">
      <c r="A925" s="1561" t="s">
        <v>216</v>
      </c>
      <c r="B925" s="1571" t="s">
        <v>217</v>
      </c>
      <c r="C925" s="1567"/>
      <c r="D925" s="1568">
        <v>0</v>
      </c>
      <c r="E925" s="1578"/>
      <c r="F925" s="1560"/>
      <c r="G925" s="1561" t="s">
        <v>216</v>
      </c>
      <c r="H925" s="1571" t="s">
        <v>217</v>
      </c>
      <c r="I925" s="1567"/>
      <c r="J925" s="1568">
        <v>0</v>
      </c>
    </row>
    <row r="926" spans="1:11">
      <c r="A926" s="1568" t="s">
        <v>218</v>
      </c>
      <c r="B926" s="1571" t="s">
        <v>219</v>
      </c>
      <c r="C926" s="1579"/>
      <c r="D926" s="1580" t="e">
        <f>SUM(D917:D922)-D925</f>
        <v>#REF!</v>
      </c>
      <c r="E926" s="1581"/>
      <c r="F926" s="1582"/>
      <c r="G926" s="1568" t="s">
        <v>218</v>
      </c>
      <c r="H926" s="1571" t="s">
        <v>219</v>
      </c>
      <c r="I926" s="1579"/>
      <c r="J926" s="1580" t="e">
        <f>SUM(J917:J922)-J925</f>
        <v>#REF!</v>
      </c>
      <c r="K926" s="3350" t="e">
        <f>J926+D926</f>
        <v>#REF!</v>
      </c>
    </row>
    <row r="927" spans="1:11">
      <c r="A927" s="1583"/>
      <c r="B927" s="1584"/>
      <c r="C927" s="1585"/>
      <c r="D927" s="1586"/>
      <c r="E927" s="1582"/>
      <c r="F927" s="1586"/>
      <c r="G927" s="1583"/>
      <c r="H927" s="1584"/>
      <c r="I927" s="1585"/>
      <c r="J927" s="1582"/>
    </row>
    <row r="928" spans="1:11">
      <c r="A928" s="1587"/>
      <c r="B928" s="1587"/>
      <c r="C928" s="1588"/>
      <c r="D928" s="3335"/>
      <c r="E928" s="1590"/>
      <c r="F928" s="1587"/>
      <c r="G928" s="1587"/>
      <c r="H928" s="1587"/>
      <c r="I928" s="1588"/>
      <c r="J928" s="1591"/>
      <c r="K928" s="3355"/>
    </row>
    <row r="929" spans="1:11">
      <c r="A929" s="4836" t="str">
        <f>$K$2</f>
        <v>Tháng 12/24</v>
      </c>
      <c r="B929" s="4836"/>
      <c r="C929" s="4836"/>
      <c r="D929" s="4836"/>
      <c r="E929" s="1560"/>
      <c r="F929" s="1560"/>
      <c r="G929" s="4836" t="str">
        <f>$K$2</f>
        <v>Tháng 12/24</v>
      </c>
      <c r="H929" s="4836"/>
      <c r="I929" s="4836"/>
      <c r="J929" s="4836"/>
    </row>
    <row r="930" spans="1:11" ht="18">
      <c r="A930" s="1561" t="s">
        <v>1</v>
      </c>
      <c r="B930" s="1562" t="e">
        <f>VLOOKUP(C930,'Đội 2'!#REF!,3,0)</f>
        <v>#REF!</v>
      </c>
      <c r="C930" s="1563">
        <v>59</v>
      </c>
      <c r="D930" s="1563"/>
      <c r="E930" s="1564"/>
      <c r="F930" s="1565"/>
      <c r="G930" s="1561" t="s">
        <v>1</v>
      </c>
      <c r="H930" s="1562" t="e">
        <f>VLOOKUP(I930,'Đội 2'!#REF!,3,0)</f>
        <v>#REF!</v>
      </c>
      <c r="I930" s="1563">
        <v>60</v>
      </c>
      <c r="J930" s="1563"/>
    </row>
    <row r="931" spans="1:11" ht="18">
      <c r="A931" s="1561" t="s">
        <v>205</v>
      </c>
      <c r="B931" s="1566" t="s">
        <v>206</v>
      </c>
      <c r="C931" s="1567" t="e">
        <f>VLOOKUP(C930,'Đội 2'!#REF!,6,0)</f>
        <v>#REF!</v>
      </c>
      <c r="D931" s="1568" t="e">
        <f>C931*25000</f>
        <v>#REF!</v>
      </c>
      <c r="E931" s="1569"/>
      <c r="F931" s="1570"/>
      <c r="G931" s="1561" t="s">
        <v>205</v>
      </c>
      <c r="H931" s="1566" t="s">
        <v>206</v>
      </c>
      <c r="I931" s="1567" t="e">
        <f>VLOOKUP(I930,'Đội 2'!#REF!,6,0)</f>
        <v>#REF!</v>
      </c>
      <c r="J931" s="1568" t="e">
        <f>I931*25000</f>
        <v>#REF!</v>
      </c>
    </row>
    <row r="932" spans="1:11">
      <c r="A932" s="1561" t="s">
        <v>207</v>
      </c>
      <c r="B932" s="1571" t="s">
        <v>208</v>
      </c>
      <c r="C932" s="1567" t="e">
        <f>VLOOKUP(C930,'Đội 2'!#REF!,12,0)</f>
        <v>#REF!</v>
      </c>
      <c r="D932" s="2374" t="e">
        <f>+C932*$L$3</f>
        <v>#REF!</v>
      </c>
      <c r="E932" s="1572"/>
      <c r="F932" s="1573"/>
      <c r="G932" s="1561" t="s">
        <v>207</v>
      </c>
      <c r="H932" s="1571" t="s">
        <v>208</v>
      </c>
      <c r="I932" s="1567" t="e">
        <f>VLOOKUP(I930,'Đội 2'!#REF!,12,0)</f>
        <v>#REF!</v>
      </c>
      <c r="J932" s="2374" t="e">
        <f>+I932*$L$3</f>
        <v>#REF!</v>
      </c>
    </row>
    <row r="933" spans="1:11">
      <c r="A933" s="1561" t="s">
        <v>1259</v>
      </c>
      <c r="B933" s="1571" t="s">
        <v>209</v>
      </c>
      <c r="C933" s="2369" t="e">
        <f>VLOOKUP(C930,'Đội 2'!#REF!,13,0)</f>
        <v>#REF!</v>
      </c>
      <c r="D933" s="2374" t="e">
        <f>+C933*$L$4</f>
        <v>#REF!</v>
      </c>
      <c r="E933" s="1572"/>
      <c r="F933" s="1573"/>
      <c r="G933" s="1561" t="s">
        <v>1259</v>
      </c>
      <c r="H933" s="1571" t="s">
        <v>209</v>
      </c>
      <c r="I933" s="2369" t="e">
        <f>VLOOKUP(I930,'Đội 2'!#REF!,13,0)</f>
        <v>#REF!</v>
      </c>
      <c r="J933" s="2374" t="e">
        <f>+I933*$L$4</f>
        <v>#REF!</v>
      </c>
    </row>
    <row r="934" spans="1:11">
      <c r="A934" s="1561" t="s">
        <v>1531</v>
      </c>
      <c r="B934" s="1571"/>
      <c r="C934" s="2369" t="e">
        <f>VLOOKUP(C930,'Đội 2'!#REF!,15,0)</f>
        <v>#REF!</v>
      </c>
      <c r="D934" s="2374" t="e">
        <f>+C934*20000+VLOOKUP(C930,'Đội 2'!#REF!,14,0)*$L$5</f>
        <v>#REF!</v>
      </c>
      <c r="E934" s="1572"/>
      <c r="F934" s="1573"/>
      <c r="G934" s="1561" t="s">
        <v>1531</v>
      </c>
      <c r="H934" s="1571"/>
      <c r="I934" s="2369" t="e">
        <f>VLOOKUP(I930,'Đội 2'!#REF!,15,0)</f>
        <v>#REF!</v>
      </c>
      <c r="J934" s="2374" t="e">
        <f>+I934*20000+VLOOKUP(I930,'Đội 2'!#REF!,14,0)*$L$5</f>
        <v>#REF!</v>
      </c>
    </row>
    <row r="935" spans="1:11" hidden="1">
      <c r="A935" s="1561" t="s">
        <v>1971</v>
      </c>
      <c r="B935" s="1571"/>
      <c r="C935" s="2369">
        <v>0</v>
      </c>
      <c r="D935" s="2374">
        <f>+C935*25000</f>
        <v>0</v>
      </c>
      <c r="E935" s="1572"/>
      <c r="F935" s="1573"/>
      <c r="G935" s="1561" t="s">
        <v>1971</v>
      </c>
      <c r="H935" s="1571"/>
      <c r="I935" s="2369">
        <v>0</v>
      </c>
      <c r="J935" s="2374">
        <f>+I935*25000</f>
        <v>0</v>
      </c>
    </row>
    <row r="936" spans="1:11">
      <c r="A936" s="1561" t="s">
        <v>210</v>
      </c>
      <c r="B936" s="1571" t="s">
        <v>211</v>
      </c>
      <c r="C936" s="1567" t="e">
        <f>VLOOKUP(C930,'Đội 2'!#REF!,9,0)</f>
        <v>#REF!</v>
      </c>
      <c r="D936" s="2374" t="e">
        <f>VLOOKUP(C930,'Đội 2'!#REF!,11,0)</f>
        <v>#REF!</v>
      </c>
      <c r="E936" s="1574"/>
      <c r="F936" s="1573"/>
      <c r="G936" s="1561" t="s">
        <v>210</v>
      </c>
      <c r="H936" s="1571" t="s">
        <v>211</v>
      </c>
      <c r="I936" s="1567" t="e">
        <f>VLOOKUP(I930,'Đội 2'!#REF!,9,0)</f>
        <v>#REF!</v>
      </c>
      <c r="J936" s="2374" t="e">
        <f>VLOOKUP(I930,'Đội 2'!#REF!,11,0)</f>
        <v>#REF!</v>
      </c>
    </row>
    <row r="937" spans="1:11">
      <c r="A937" s="1568" t="s">
        <v>212</v>
      </c>
      <c r="B937" s="1571" t="s">
        <v>213</v>
      </c>
      <c r="C937" s="1567"/>
      <c r="D937" s="1568"/>
      <c r="E937" s="1575"/>
      <c r="F937" s="1576"/>
      <c r="G937" s="1568" t="s">
        <v>212</v>
      </c>
      <c r="H937" s="1571" t="s">
        <v>213</v>
      </c>
      <c r="I937" s="1567"/>
      <c r="J937" s="1568"/>
    </row>
    <row r="938" spans="1:11">
      <c r="A938" s="1577" t="s">
        <v>214</v>
      </c>
      <c r="B938" s="1571" t="s">
        <v>215</v>
      </c>
      <c r="C938" s="1567"/>
      <c r="D938" s="1568"/>
      <c r="E938" s="1574"/>
      <c r="F938" s="1576"/>
      <c r="G938" s="1577" t="s">
        <v>214</v>
      </c>
      <c r="H938" s="1571" t="s">
        <v>215</v>
      </c>
      <c r="I938" s="1567"/>
      <c r="J938" s="1568"/>
    </row>
    <row r="939" spans="1:11">
      <c r="A939" s="1561" t="s">
        <v>216</v>
      </c>
      <c r="B939" s="1571" t="s">
        <v>217</v>
      </c>
      <c r="C939" s="1567"/>
      <c r="D939" s="1568">
        <v>0</v>
      </c>
      <c r="E939" s="1578"/>
      <c r="F939" s="1560"/>
      <c r="G939" s="1561" t="s">
        <v>216</v>
      </c>
      <c r="H939" s="1571" t="s">
        <v>217</v>
      </c>
      <c r="I939" s="1567"/>
      <c r="J939" s="1568">
        <v>0</v>
      </c>
    </row>
    <row r="940" spans="1:11">
      <c r="A940" s="1568" t="s">
        <v>218</v>
      </c>
      <c r="B940" s="1571" t="s">
        <v>219</v>
      </c>
      <c r="C940" s="1579"/>
      <c r="D940" s="1580" t="e">
        <f>SUM(D931:D936)-D939</f>
        <v>#REF!</v>
      </c>
      <c r="E940" s="1581"/>
      <c r="F940" s="1582"/>
      <c r="G940" s="1568" t="s">
        <v>218</v>
      </c>
      <c r="H940" s="1571" t="s">
        <v>219</v>
      </c>
      <c r="I940" s="1579"/>
      <c r="J940" s="1580" t="e">
        <f>SUM(J931:J936)-J939</f>
        <v>#REF!</v>
      </c>
      <c r="K940" s="3350" t="e">
        <f>J940+D940</f>
        <v>#REF!</v>
      </c>
    </row>
    <row r="941" spans="1:11">
      <c r="A941" s="1568"/>
      <c r="B941" s="1571"/>
      <c r="C941" s="1579"/>
      <c r="D941" s="1580"/>
      <c r="E941" s="1581"/>
      <c r="F941" s="1582"/>
      <c r="G941" s="1568"/>
      <c r="H941" s="1571"/>
      <c r="I941" s="1579"/>
      <c r="J941" s="1580"/>
      <c r="K941" s="3355"/>
    </row>
    <row r="942" spans="1:11">
      <c r="A942" s="4836" t="str">
        <f>$K$2</f>
        <v>Tháng 12/24</v>
      </c>
      <c r="B942" s="4836"/>
      <c r="C942" s="4836"/>
      <c r="D942" s="4836"/>
      <c r="E942" s="1560"/>
      <c r="F942" s="1560"/>
      <c r="G942" s="4836" t="str">
        <f>$K$2</f>
        <v>Tháng 12/24</v>
      </c>
      <c r="H942" s="4836"/>
      <c r="I942" s="4836"/>
      <c r="J942" s="4836"/>
    </row>
    <row r="943" spans="1:11" ht="18">
      <c r="A943" s="1561" t="s">
        <v>1</v>
      </c>
      <c r="B943" s="1562" t="e">
        <f>VLOOKUP(C943,'Đội 2'!#REF!,3,0)</f>
        <v>#REF!</v>
      </c>
      <c r="C943" s="1563">
        <v>61</v>
      </c>
      <c r="D943" s="1563"/>
      <c r="E943" s="1564"/>
      <c r="F943" s="1565"/>
      <c r="G943" s="1561" t="s">
        <v>1</v>
      </c>
      <c r="H943" s="1562" t="e">
        <f>VLOOKUP(I943,'Đội 2'!#REF!,3,0)</f>
        <v>#REF!</v>
      </c>
      <c r="I943" s="1563">
        <v>62</v>
      </c>
      <c r="J943" s="1563"/>
    </row>
    <row r="944" spans="1:11" ht="18">
      <c r="A944" s="1561" t="s">
        <v>205</v>
      </c>
      <c r="B944" s="1566" t="s">
        <v>206</v>
      </c>
      <c r="C944" s="1567" t="e">
        <f>VLOOKUP(C943,'Đội 2'!#REF!,6,0)</f>
        <v>#REF!</v>
      </c>
      <c r="D944" s="1568" t="e">
        <f>C944*25000</f>
        <v>#REF!</v>
      </c>
      <c r="E944" s="1569"/>
      <c r="F944" s="1570"/>
      <c r="G944" s="1561" t="s">
        <v>205</v>
      </c>
      <c r="H944" s="1566" t="s">
        <v>206</v>
      </c>
      <c r="I944" s="1567" t="e">
        <f>VLOOKUP(I943,'Đội 2'!#REF!,6,0)</f>
        <v>#REF!</v>
      </c>
      <c r="J944" s="1568" t="e">
        <f>I944*25000</f>
        <v>#REF!</v>
      </c>
    </row>
    <row r="945" spans="1:23">
      <c r="A945" s="1561" t="s">
        <v>207</v>
      </c>
      <c r="B945" s="1571" t="s">
        <v>208</v>
      </c>
      <c r="C945" s="1567" t="e">
        <f>VLOOKUP(C943,'Đội 2'!#REF!,12,0)</f>
        <v>#REF!</v>
      </c>
      <c r="D945" s="2374" t="e">
        <f>+C945*$L$3</f>
        <v>#REF!</v>
      </c>
      <c r="E945" s="1572"/>
      <c r="F945" s="1573"/>
      <c r="G945" s="1561" t="s">
        <v>207</v>
      </c>
      <c r="H945" s="1571" t="s">
        <v>208</v>
      </c>
      <c r="I945" s="1567" t="e">
        <f>VLOOKUP(I943,'Đội 2'!#REF!,12,0)</f>
        <v>#REF!</v>
      </c>
      <c r="J945" s="2374" t="e">
        <f>+I945*$L$3</f>
        <v>#REF!</v>
      </c>
    </row>
    <row r="946" spans="1:23">
      <c r="A946" s="1561" t="s">
        <v>1259</v>
      </c>
      <c r="B946" s="1571" t="s">
        <v>209</v>
      </c>
      <c r="C946" s="2369" t="e">
        <f>VLOOKUP(C943,'Đội 2'!#REF!,13,0)</f>
        <v>#REF!</v>
      </c>
      <c r="D946" s="2374" t="e">
        <f>+C946*$L$4</f>
        <v>#REF!</v>
      </c>
      <c r="E946" s="1572"/>
      <c r="F946" s="1573"/>
      <c r="G946" s="1561" t="s">
        <v>1259</v>
      </c>
      <c r="H946" s="1571" t="s">
        <v>209</v>
      </c>
      <c r="I946" s="2369" t="e">
        <f>VLOOKUP(I943,'Đội 2'!#REF!,13,0)</f>
        <v>#REF!</v>
      </c>
      <c r="J946" s="2374" t="e">
        <f>+I946*$L$4</f>
        <v>#REF!</v>
      </c>
    </row>
    <row r="947" spans="1:23">
      <c r="A947" s="1561" t="s">
        <v>1531</v>
      </c>
      <c r="B947" s="1571"/>
      <c r="C947" s="2369" t="e">
        <f>VLOOKUP(C943,'Đội 2'!#REF!,15,0)</f>
        <v>#REF!</v>
      </c>
      <c r="D947" s="2374" t="e">
        <f>+C947*20000+VLOOKUP(C943,'Đội 2'!#REF!,14,0)*$L$5</f>
        <v>#REF!</v>
      </c>
      <c r="E947" s="1572"/>
      <c r="F947" s="1573"/>
      <c r="G947" s="1561" t="s">
        <v>1531</v>
      </c>
      <c r="H947" s="1571"/>
      <c r="I947" s="2369" t="e">
        <f>VLOOKUP(I943,'Đội 2'!#REF!,15,0)</f>
        <v>#REF!</v>
      </c>
      <c r="J947" s="2374" t="e">
        <f>+I947*20000+VLOOKUP(I943,'Đội 2'!#REF!,14,0)*$L$5</f>
        <v>#REF!</v>
      </c>
    </row>
    <row r="948" spans="1:23" hidden="1">
      <c r="A948" s="1561" t="s">
        <v>1971</v>
      </c>
      <c r="B948" s="1571"/>
      <c r="C948" s="2369">
        <v>0</v>
      </c>
      <c r="D948" s="2374">
        <f>+C948*25000</f>
        <v>0</v>
      </c>
      <c r="E948" s="1572"/>
      <c r="F948" s="1573"/>
      <c r="G948" s="1561" t="s">
        <v>1971</v>
      </c>
      <c r="H948" s="1571"/>
      <c r="I948" s="2369">
        <v>0</v>
      </c>
      <c r="J948" s="2374">
        <f>+I948*25000</f>
        <v>0</v>
      </c>
    </row>
    <row r="949" spans="1:23">
      <c r="A949" s="1561" t="s">
        <v>210</v>
      </c>
      <c r="B949" s="1571" t="s">
        <v>211</v>
      </c>
      <c r="C949" s="1567" t="e">
        <f>VLOOKUP(C943,'Đội 2'!#REF!,9,0)</f>
        <v>#REF!</v>
      </c>
      <c r="D949" s="2374" t="e">
        <f>VLOOKUP(C943,'Đội 2'!#REF!,11,0)</f>
        <v>#REF!</v>
      </c>
      <c r="E949" s="1574"/>
      <c r="F949" s="1573"/>
      <c r="G949" s="1561" t="s">
        <v>210</v>
      </c>
      <c r="H949" s="1571" t="s">
        <v>211</v>
      </c>
      <c r="I949" s="1567" t="e">
        <f>VLOOKUP(I943,'Đội 2'!#REF!,9,0)</f>
        <v>#REF!</v>
      </c>
      <c r="J949" s="2374" t="e">
        <f>VLOOKUP(I943,'Đội 2'!#REF!,11,0)</f>
        <v>#REF!</v>
      </c>
    </row>
    <row r="950" spans="1:23">
      <c r="A950" s="1568" t="s">
        <v>212</v>
      </c>
      <c r="B950" s="1571" t="s">
        <v>213</v>
      </c>
      <c r="C950" s="1567"/>
      <c r="D950" s="1568"/>
      <c r="E950" s="1575"/>
      <c r="F950" s="1576"/>
      <c r="G950" s="1568" t="s">
        <v>212</v>
      </c>
      <c r="H950" s="1571" t="s">
        <v>213</v>
      </c>
      <c r="I950" s="1567"/>
      <c r="J950" s="1568"/>
    </row>
    <row r="951" spans="1:23">
      <c r="A951" s="1577" t="s">
        <v>214</v>
      </c>
      <c r="B951" s="1571" t="s">
        <v>215</v>
      </c>
      <c r="C951" s="1567"/>
      <c r="D951" s="1568"/>
      <c r="E951" s="1574"/>
      <c r="F951" s="1576"/>
      <c r="G951" s="1577" t="s">
        <v>214</v>
      </c>
      <c r="H951" s="1571" t="s">
        <v>215</v>
      </c>
      <c r="I951" s="1567"/>
      <c r="J951" s="1568"/>
    </row>
    <row r="952" spans="1:23">
      <c r="A952" s="1561" t="s">
        <v>216</v>
      </c>
      <c r="B952" s="1571" t="s">
        <v>217</v>
      </c>
      <c r="C952" s="1567"/>
      <c r="D952" s="1568">
        <v>0</v>
      </c>
      <c r="E952" s="1578"/>
      <c r="F952" s="1560"/>
      <c r="G952" s="1561" t="s">
        <v>216</v>
      </c>
      <c r="H952" s="1571" t="s">
        <v>217</v>
      </c>
      <c r="I952" s="1567"/>
      <c r="J952" s="1568">
        <v>0</v>
      </c>
    </row>
    <row r="953" spans="1:23">
      <c r="A953" s="1568" t="s">
        <v>218</v>
      </c>
      <c r="B953" s="1571" t="s">
        <v>219</v>
      </c>
      <c r="C953" s="1579"/>
      <c r="D953" s="1580" t="e">
        <f>SUM(D944:D949)-D952</f>
        <v>#REF!</v>
      </c>
      <c r="E953" s="1581"/>
      <c r="F953" s="1582"/>
      <c r="G953" s="1568" t="s">
        <v>218</v>
      </c>
      <c r="H953" s="1571" t="s">
        <v>219</v>
      </c>
      <c r="I953" s="1579"/>
      <c r="J953" s="1580" t="e">
        <f>SUM(J944:J949)-J952</f>
        <v>#REF!</v>
      </c>
      <c r="K953" s="3350" t="e">
        <f>J953+D953</f>
        <v>#REF!</v>
      </c>
    </row>
    <row r="954" spans="1:23">
      <c r="A954" s="1583"/>
      <c r="B954" s="1584"/>
      <c r="C954" s="1585"/>
      <c r="D954" s="1586"/>
      <c r="E954" s="1582"/>
      <c r="F954" s="1586"/>
      <c r="G954" s="1583"/>
      <c r="H954" s="1584"/>
      <c r="I954" s="1585"/>
      <c r="J954" s="1582"/>
    </row>
    <row r="955" spans="1:23">
      <c r="A955" s="1587"/>
      <c r="B955" s="1587"/>
      <c r="C955" s="1588"/>
      <c r="D955" s="3335"/>
      <c r="E955" s="1590"/>
      <c r="F955" s="1587"/>
      <c r="G955" s="1587"/>
      <c r="H955" s="1587"/>
      <c r="I955" s="1588"/>
      <c r="J955" s="1591"/>
      <c r="K955" s="3355"/>
    </row>
    <row r="956" spans="1:23">
      <c r="A956" s="4836" t="str">
        <f>$K$2</f>
        <v>Tháng 12/24</v>
      </c>
      <c r="B956" s="4836"/>
      <c r="C956" s="4836"/>
      <c r="D956" s="4836"/>
      <c r="E956" s="1560"/>
      <c r="F956" s="1560"/>
      <c r="G956" s="4836" t="str">
        <f>$K$2</f>
        <v>Tháng 12/24</v>
      </c>
      <c r="H956" s="4836"/>
      <c r="I956" s="4836"/>
      <c r="J956" s="4836"/>
      <c r="K956" s="3356"/>
      <c r="L956" s="3357"/>
    </row>
    <row r="957" spans="1:23" s="3346" customFormat="1" ht="18">
      <c r="A957" s="1561" t="s">
        <v>1</v>
      </c>
      <c r="B957" s="1562" t="e">
        <f>VLOOKUP(C957,'Đội 2'!#REF!,3,0)</f>
        <v>#REF!</v>
      </c>
      <c r="C957" s="1563">
        <v>63</v>
      </c>
      <c r="D957" s="1563"/>
      <c r="E957" s="1564"/>
      <c r="F957" s="1565"/>
      <c r="G957" s="1561" t="s">
        <v>1</v>
      </c>
      <c r="H957" s="1562" t="e">
        <f>VLOOKUP(I957,'Đội 2'!#REF!,3,0)</f>
        <v>#REF!</v>
      </c>
      <c r="I957" s="1563">
        <v>64</v>
      </c>
      <c r="J957" s="1563"/>
      <c r="K957" s="3347"/>
      <c r="L957" s="3347"/>
      <c r="M957" s="3347"/>
      <c r="N957" s="3347"/>
      <c r="O957" s="3347"/>
      <c r="P957" s="3347"/>
      <c r="Q957" s="3347"/>
      <c r="R957" s="3347"/>
      <c r="S957" s="3347"/>
      <c r="T957" s="3347"/>
      <c r="U957" s="3347"/>
      <c r="V957" s="3347"/>
      <c r="W957" s="3347"/>
    </row>
    <row r="958" spans="1:23" ht="18">
      <c r="A958" s="1561" t="s">
        <v>205</v>
      </c>
      <c r="B958" s="1566" t="s">
        <v>206</v>
      </c>
      <c r="C958" s="1567" t="e">
        <f>VLOOKUP(C957,'Đội 2'!#REF!,6,0)</f>
        <v>#REF!</v>
      </c>
      <c r="D958" s="1568" t="e">
        <f>C958*25000</f>
        <v>#REF!</v>
      </c>
      <c r="E958" s="1569"/>
      <c r="F958" s="1570"/>
      <c r="G958" s="1561" t="s">
        <v>205</v>
      </c>
      <c r="H958" s="1566" t="s">
        <v>206</v>
      </c>
      <c r="I958" s="1567" t="e">
        <f>VLOOKUP(I957,'Đội 2'!#REF!,6,0)</f>
        <v>#REF!</v>
      </c>
      <c r="J958" s="1568" t="e">
        <f>I958*25000</f>
        <v>#REF!</v>
      </c>
    </row>
    <row r="959" spans="1:23">
      <c r="A959" s="1561" t="s">
        <v>207</v>
      </c>
      <c r="B959" s="1571" t="s">
        <v>208</v>
      </c>
      <c r="C959" s="1567" t="e">
        <f>VLOOKUP(C957,'Đội 2'!#REF!,12,0)</f>
        <v>#REF!</v>
      </c>
      <c r="D959" s="2374" t="e">
        <f>+C959*$L$3</f>
        <v>#REF!</v>
      </c>
      <c r="E959" s="1572"/>
      <c r="F959" s="1573"/>
      <c r="G959" s="1561" t="s">
        <v>207</v>
      </c>
      <c r="H959" s="1571" t="s">
        <v>208</v>
      </c>
      <c r="I959" s="1567" t="e">
        <f>VLOOKUP(I957,'Đội 2'!#REF!,12,0)</f>
        <v>#REF!</v>
      </c>
      <c r="J959" s="2374" t="e">
        <f>+I959*$L$3</f>
        <v>#REF!</v>
      </c>
    </row>
    <row r="960" spans="1:23">
      <c r="A960" s="1561" t="s">
        <v>1259</v>
      </c>
      <c r="B960" s="1571" t="s">
        <v>209</v>
      </c>
      <c r="C960" s="2369" t="e">
        <f>VLOOKUP(C957,'Đội 2'!#REF!,13,0)</f>
        <v>#REF!</v>
      </c>
      <c r="D960" s="2374" t="e">
        <f>+C960*$L$4</f>
        <v>#REF!</v>
      </c>
      <c r="E960" s="1572"/>
      <c r="F960" s="1573"/>
      <c r="G960" s="1561" t="s">
        <v>1259</v>
      </c>
      <c r="H960" s="1571" t="s">
        <v>209</v>
      </c>
      <c r="I960" s="2369" t="e">
        <f>VLOOKUP(I957,'Đội 2'!#REF!,13,0)</f>
        <v>#REF!</v>
      </c>
      <c r="J960" s="2374" t="e">
        <f>+I960*$L$4</f>
        <v>#REF!</v>
      </c>
    </row>
    <row r="961" spans="1:15">
      <c r="A961" s="1561" t="s">
        <v>1531</v>
      </c>
      <c r="B961" s="1571"/>
      <c r="C961" s="2369" t="e">
        <f>VLOOKUP(C957,'Đội 2'!#REF!,15,0)</f>
        <v>#REF!</v>
      </c>
      <c r="D961" s="2374" t="e">
        <f>+C961*20000+VLOOKUP(C957,'Đội 2'!#REF!,14,0)*$L$5</f>
        <v>#REF!</v>
      </c>
      <c r="E961" s="1572"/>
      <c r="F961" s="1573"/>
      <c r="G961" s="1561" t="s">
        <v>1531</v>
      </c>
      <c r="H961" s="1571"/>
      <c r="I961" s="2369" t="e">
        <f>VLOOKUP(I957,'Đội 2'!#REF!,15,0)</f>
        <v>#REF!</v>
      </c>
      <c r="J961" s="2374" t="e">
        <f>+I961*20000+VLOOKUP(I957,'Đội 2'!#REF!,14,0)*$L$5</f>
        <v>#REF!</v>
      </c>
    </row>
    <row r="962" spans="1:15" hidden="1">
      <c r="A962" s="1561" t="s">
        <v>1971</v>
      </c>
      <c r="B962" s="1571"/>
      <c r="C962" s="2369">
        <v>0</v>
      </c>
      <c r="D962" s="2374">
        <f>+C962*25000</f>
        <v>0</v>
      </c>
      <c r="E962" s="1572"/>
      <c r="F962" s="1573"/>
      <c r="G962" s="1561" t="s">
        <v>1971</v>
      </c>
      <c r="H962" s="1571"/>
      <c r="I962" s="2369">
        <v>0</v>
      </c>
      <c r="J962" s="2374">
        <f>+I962*25000</f>
        <v>0</v>
      </c>
    </row>
    <row r="963" spans="1:15">
      <c r="A963" s="1561" t="s">
        <v>210</v>
      </c>
      <c r="B963" s="1571" t="s">
        <v>211</v>
      </c>
      <c r="C963" s="1567" t="e">
        <f>VLOOKUP(C957,'Đội 2'!#REF!,9,0)</f>
        <v>#REF!</v>
      </c>
      <c r="D963" s="2374" t="e">
        <f>VLOOKUP(C957,'Đội 2'!#REF!,11,0)</f>
        <v>#REF!</v>
      </c>
      <c r="E963" s="1574"/>
      <c r="F963" s="1573"/>
      <c r="G963" s="1561" t="s">
        <v>210</v>
      </c>
      <c r="H963" s="1571" t="s">
        <v>211</v>
      </c>
      <c r="I963" s="1567" t="e">
        <f>VLOOKUP(I957,'Đội 2'!#REF!,9,0)</f>
        <v>#REF!</v>
      </c>
      <c r="J963" s="2374" t="e">
        <f>VLOOKUP(I957,'Đội 2'!#REF!,11,0)</f>
        <v>#REF!</v>
      </c>
    </row>
    <row r="964" spans="1:15">
      <c r="A964" s="1568" t="s">
        <v>212</v>
      </c>
      <c r="B964" s="1571" t="s">
        <v>213</v>
      </c>
      <c r="C964" s="1567"/>
      <c r="D964" s="1568"/>
      <c r="E964" s="1575"/>
      <c r="F964" s="1576"/>
      <c r="G964" s="1568" t="s">
        <v>212</v>
      </c>
      <c r="H964" s="1571" t="s">
        <v>213</v>
      </c>
      <c r="I964" s="1567"/>
      <c r="J964" s="1568"/>
    </row>
    <row r="965" spans="1:15">
      <c r="A965" s="1577" t="s">
        <v>214</v>
      </c>
      <c r="B965" s="1571" t="s">
        <v>215</v>
      </c>
      <c r="C965" s="1567"/>
      <c r="D965" s="1568"/>
      <c r="E965" s="1574"/>
      <c r="F965" s="1576"/>
      <c r="G965" s="1577" t="s">
        <v>214</v>
      </c>
      <c r="H965" s="1571" t="s">
        <v>215</v>
      </c>
      <c r="I965" s="1567"/>
      <c r="J965" s="1568"/>
    </row>
    <row r="966" spans="1:15">
      <c r="A966" s="1561" t="s">
        <v>216</v>
      </c>
      <c r="B966" s="1571" t="s">
        <v>217</v>
      </c>
      <c r="C966" s="1567"/>
      <c r="D966" s="1568">
        <v>0</v>
      </c>
      <c r="E966" s="1578"/>
      <c r="F966" s="1560"/>
      <c r="G966" s="1561" t="s">
        <v>216</v>
      </c>
      <c r="H966" s="1571" t="s">
        <v>217</v>
      </c>
      <c r="I966" s="1567"/>
      <c r="J966" s="1568">
        <v>0</v>
      </c>
    </row>
    <row r="967" spans="1:15">
      <c r="A967" s="1568" t="s">
        <v>218</v>
      </c>
      <c r="B967" s="1571" t="s">
        <v>219</v>
      </c>
      <c r="C967" s="1579"/>
      <c r="D967" s="1580" t="e">
        <f>SUM(D958:D963)-D966</f>
        <v>#REF!</v>
      </c>
      <c r="E967" s="1581"/>
      <c r="F967" s="1582"/>
      <c r="G967" s="1568" t="s">
        <v>218</v>
      </c>
      <c r="H967" s="1571" t="s">
        <v>219</v>
      </c>
      <c r="I967" s="1579"/>
      <c r="J967" s="1580" t="e">
        <f>SUM(J958:J963)-J966</f>
        <v>#REF!</v>
      </c>
      <c r="K967" s="3350" t="e">
        <f>J967+D967</f>
        <v>#REF!</v>
      </c>
    </row>
    <row r="968" spans="1:15">
      <c r="A968" s="1583"/>
      <c r="B968" s="1584"/>
      <c r="C968" s="1585"/>
      <c r="D968" s="1586"/>
      <c r="E968" s="1582"/>
      <c r="F968" s="1586"/>
      <c r="G968" s="1583"/>
      <c r="H968" s="1584"/>
      <c r="I968" s="1585"/>
      <c r="J968" s="1582"/>
      <c r="K968" s="3350" t="e">
        <f>SUM(K532:K967)</f>
        <v>#REF!</v>
      </c>
      <c r="L968" s="3349" t="s">
        <v>1864</v>
      </c>
      <c r="M968" s="3347" t="e">
        <f>+SUM('Đội 2'!#REF!)</f>
        <v>#REF!</v>
      </c>
      <c r="O968" s="3350" t="e">
        <f>+M968-K968</f>
        <v>#REF!</v>
      </c>
    </row>
    <row r="969" spans="1:15">
      <c r="A969" s="3345"/>
      <c r="B969" s="4838" t="s">
        <v>1877</v>
      </c>
      <c r="C969" s="4838"/>
      <c r="D969" s="4838"/>
      <c r="E969" s="4838"/>
      <c r="F969" s="4838"/>
      <c r="G969" s="4838"/>
      <c r="H969" s="4838"/>
      <c r="I969" s="4838"/>
      <c r="J969" s="4839"/>
      <c r="K969" s="3355"/>
    </row>
    <row r="970" spans="1:15">
      <c r="A970" s="4836" t="str">
        <f>$K$2</f>
        <v>Tháng 12/24</v>
      </c>
      <c r="B970" s="4836"/>
      <c r="C970" s="4836"/>
      <c r="D970" s="4836"/>
      <c r="E970" s="1560"/>
      <c r="F970" s="1560"/>
      <c r="G970" s="4836" t="str">
        <f>$K$2</f>
        <v>Tháng 12/24</v>
      </c>
      <c r="H970" s="4836"/>
      <c r="I970" s="4836"/>
      <c r="J970" s="4836"/>
    </row>
    <row r="971" spans="1:15" ht="18">
      <c r="A971" s="1561" t="s">
        <v>1</v>
      </c>
      <c r="B971" s="1562" t="e">
        <f>VLOOKUP(C971,'Đội 2'!#REF!,2,0)</f>
        <v>#REF!</v>
      </c>
      <c r="C971" s="1563">
        <v>1</v>
      </c>
      <c r="D971" s="1563"/>
      <c r="E971" s="1564"/>
      <c r="F971" s="1565"/>
      <c r="G971" s="1561" t="s">
        <v>1</v>
      </c>
      <c r="H971" s="1562" t="e">
        <f>VLOOKUP(I971,'Đội 2'!#REF!,2,0)</f>
        <v>#REF!</v>
      </c>
      <c r="I971" s="1563">
        <v>2</v>
      </c>
      <c r="J971" s="1563"/>
    </row>
    <row r="972" spans="1:15" ht="18">
      <c r="A972" s="1561" t="s">
        <v>205</v>
      </c>
      <c r="B972" s="1566" t="s">
        <v>206</v>
      </c>
      <c r="C972" s="1567" t="e">
        <f>VLOOKUP(C971,'Đội 2'!#REF!,5,0)</f>
        <v>#REF!</v>
      </c>
      <c r="D972" s="1568" t="e">
        <f>C972*25000</f>
        <v>#REF!</v>
      </c>
      <c r="E972" s="1569"/>
      <c r="F972" s="1570"/>
      <c r="G972" s="1561" t="s">
        <v>205</v>
      </c>
      <c r="H972" s="1566" t="s">
        <v>206</v>
      </c>
      <c r="I972" s="1567" t="e">
        <f>VLOOKUP(I971,'Đội 2'!#REF!,5,0)</f>
        <v>#REF!</v>
      </c>
      <c r="J972" s="1568" t="e">
        <f>I972*25000</f>
        <v>#REF!</v>
      </c>
    </row>
    <row r="973" spans="1:15">
      <c r="A973" s="1561" t="s">
        <v>207</v>
      </c>
      <c r="B973" s="1571" t="s">
        <v>208</v>
      </c>
      <c r="C973" s="1567" t="e">
        <f>+VLOOKUP(C971,'Đội 2'!#REF!,11,0)</f>
        <v>#REF!</v>
      </c>
      <c r="D973" s="2374" t="e">
        <f>+C973*$L$3</f>
        <v>#REF!</v>
      </c>
      <c r="E973" s="1572"/>
      <c r="F973" s="1573"/>
      <c r="G973" s="1561" t="s">
        <v>207</v>
      </c>
      <c r="H973" s="1571" t="s">
        <v>208</v>
      </c>
      <c r="I973" s="1567" t="e">
        <f>+VLOOKUP(I971,'Đội 2'!#REF!,11,0)</f>
        <v>#REF!</v>
      </c>
      <c r="J973" s="2374" t="e">
        <f>+I973*$L$3</f>
        <v>#REF!</v>
      </c>
    </row>
    <row r="974" spans="1:15">
      <c r="A974" s="1561" t="s">
        <v>1259</v>
      </c>
      <c r="B974" s="1571" t="s">
        <v>209</v>
      </c>
      <c r="C974" s="1567" t="e">
        <f>+VLOOKUP(C971,'Đội 2'!#REF!,12,0)</f>
        <v>#REF!</v>
      </c>
      <c r="D974" s="2374" t="e">
        <f>+C974*$L$4</f>
        <v>#REF!</v>
      </c>
      <c r="E974" s="1572"/>
      <c r="F974" s="1573"/>
      <c r="G974" s="1561" t="s">
        <v>1259</v>
      </c>
      <c r="H974" s="1571" t="s">
        <v>209</v>
      </c>
      <c r="I974" s="1567" t="e">
        <f>+VLOOKUP(I971,'Đội 2'!#REF!,12,0)</f>
        <v>#REF!</v>
      </c>
      <c r="J974" s="2374" t="e">
        <f>+I974*$L$4</f>
        <v>#REF!</v>
      </c>
    </row>
    <row r="975" spans="1:15">
      <c r="A975" s="1561" t="s">
        <v>1531</v>
      </c>
      <c r="B975" s="1571"/>
      <c r="C975" s="1567" t="e">
        <f>+VLOOKUP(C971,'Đội 2'!#REF!,14,0)</f>
        <v>#REF!</v>
      </c>
      <c r="D975" s="2374" t="e">
        <f>+C975*20000+VLOOKUP(C971,'Đội 2'!#REF!,13,0)*$L$5</f>
        <v>#REF!</v>
      </c>
      <c r="E975" s="1572"/>
      <c r="F975" s="1573"/>
      <c r="G975" s="1561" t="s">
        <v>1531</v>
      </c>
      <c r="H975" s="1571"/>
      <c r="I975" s="1567" t="e">
        <f>+VLOOKUP(I971,'Đội 2'!#REF!,14,0)</f>
        <v>#REF!</v>
      </c>
      <c r="J975" s="2374" t="e">
        <f>+I975*20000+VLOOKUP(I971,'Đội 2'!#REF!,13,0)*$L$5</f>
        <v>#REF!</v>
      </c>
    </row>
    <row r="976" spans="1:15" hidden="1">
      <c r="A976" s="1561" t="s">
        <v>1971</v>
      </c>
      <c r="B976" s="1571"/>
      <c r="C976" s="2369">
        <v>0</v>
      </c>
      <c r="D976" s="2374">
        <f>+C976*25000</f>
        <v>0</v>
      </c>
      <c r="E976" s="1572"/>
      <c r="F976" s="1573"/>
      <c r="G976" s="1561" t="s">
        <v>1971</v>
      </c>
      <c r="H976" s="1571"/>
      <c r="I976" s="2369">
        <v>0</v>
      </c>
      <c r="J976" s="2374">
        <f>+I976*25000</f>
        <v>0</v>
      </c>
    </row>
    <row r="977" spans="1:11">
      <c r="A977" s="1561" t="s">
        <v>210</v>
      </c>
      <c r="B977" s="1571" t="s">
        <v>211</v>
      </c>
      <c r="C977" s="1567" t="e">
        <f>VLOOKUP(C971,'Đội 2'!#REF!,8,0)</f>
        <v>#REF!</v>
      </c>
      <c r="D977" s="2374" t="e">
        <f>VLOOKUP(C971,'Đội 2'!#REF!,10,0)</f>
        <v>#REF!</v>
      </c>
      <c r="E977" s="1574"/>
      <c r="F977" s="1573"/>
      <c r="G977" s="1561" t="s">
        <v>210</v>
      </c>
      <c r="H977" s="1571" t="s">
        <v>211</v>
      </c>
      <c r="I977" s="1567" t="e">
        <f>VLOOKUP(I971,'Đội 2'!#REF!,8,0)</f>
        <v>#REF!</v>
      </c>
      <c r="J977" s="2374" t="e">
        <f>VLOOKUP(I971,'Đội 2'!#REF!,10,0)</f>
        <v>#REF!</v>
      </c>
    </row>
    <row r="978" spans="1:11">
      <c r="A978" s="1568" t="s">
        <v>212</v>
      </c>
      <c r="B978" s="1571" t="s">
        <v>213</v>
      </c>
      <c r="C978" s="1567"/>
      <c r="D978" s="1568"/>
      <c r="E978" s="1575"/>
      <c r="F978" s="1576"/>
      <c r="G978" s="1568" t="s">
        <v>212</v>
      </c>
      <c r="H978" s="1571" t="s">
        <v>213</v>
      </c>
      <c r="I978" s="1567"/>
      <c r="J978" s="1568"/>
    </row>
    <row r="979" spans="1:11">
      <c r="A979" s="1577" t="s">
        <v>214</v>
      </c>
      <c r="B979" s="1571" t="s">
        <v>215</v>
      </c>
      <c r="C979" s="1567"/>
      <c r="D979" s="1568"/>
      <c r="E979" s="1574"/>
      <c r="F979" s="1576"/>
      <c r="G979" s="1577" t="s">
        <v>214</v>
      </c>
      <c r="H979" s="1571" t="s">
        <v>215</v>
      </c>
      <c r="I979" s="1567"/>
      <c r="J979" s="1568"/>
    </row>
    <row r="980" spans="1:11">
      <c r="A980" s="1561" t="s">
        <v>216</v>
      </c>
      <c r="B980" s="1571" t="s">
        <v>217</v>
      </c>
      <c r="C980" s="1567"/>
      <c r="D980" s="1568">
        <v>0</v>
      </c>
      <c r="E980" s="1578"/>
      <c r="F980" s="1560"/>
      <c r="G980" s="1561" t="s">
        <v>216</v>
      </c>
      <c r="H980" s="1571" t="s">
        <v>217</v>
      </c>
      <c r="I980" s="1567"/>
      <c r="J980" s="1568">
        <v>0</v>
      </c>
    </row>
    <row r="981" spans="1:11">
      <c r="A981" s="1568" t="s">
        <v>218</v>
      </c>
      <c r="B981" s="1571" t="s">
        <v>219</v>
      </c>
      <c r="C981" s="1579"/>
      <c r="D981" s="1580" t="e">
        <f>SUM(D972:D977)-D980</f>
        <v>#REF!</v>
      </c>
      <c r="E981" s="1581"/>
      <c r="F981" s="1582"/>
      <c r="G981" s="1568" t="s">
        <v>218</v>
      </c>
      <c r="H981" s="1571" t="s">
        <v>219</v>
      </c>
      <c r="I981" s="1579"/>
      <c r="J981" s="1580" t="e">
        <f>SUM(J972:J977)-J980</f>
        <v>#REF!</v>
      </c>
      <c r="K981" s="3350" t="e">
        <f>J981+D981</f>
        <v>#REF!</v>
      </c>
    </row>
    <row r="982" spans="1:11">
      <c r="A982" s="1568"/>
      <c r="B982" s="1571"/>
      <c r="C982" s="1579"/>
      <c r="D982" s="1580"/>
      <c r="E982" s="1582"/>
      <c r="F982" s="1582"/>
      <c r="G982" s="1568"/>
      <c r="H982" s="1571"/>
      <c r="I982" s="1579"/>
      <c r="J982" s="1580"/>
      <c r="K982" s="3355"/>
    </row>
    <row r="983" spans="1:11">
      <c r="A983" s="4836" t="str">
        <f>$K$2</f>
        <v>Tháng 12/24</v>
      </c>
      <c r="B983" s="4836"/>
      <c r="C983" s="4836"/>
      <c r="D983" s="4836"/>
      <c r="E983" s="1560"/>
      <c r="F983" s="1560"/>
      <c r="G983" s="4836" t="str">
        <f>$K$2</f>
        <v>Tháng 12/24</v>
      </c>
      <c r="H983" s="4836"/>
      <c r="I983" s="4836"/>
      <c r="J983" s="4836"/>
    </row>
    <row r="984" spans="1:11" ht="18">
      <c r="A984" s="1561" t="s">
        <v>1</v>
      </c>
      <c r="B984" s="1562" t="e">
        <f>VLOOKUP(C984,'Đội 2'!#REF!,2,0)</f>
        <v>#REF!</v>
      </c>
      <c r="C984" s="1563">
        <v>3</v>
      </c>
      <c r="D984" s="1563"/>
      <c r="E984" s="1564"/>
      <c r="F984" s="1565"/>
      <c r="G984" s="1561" t="s">
        <v>1</v>
      </c>
      <c r="H984" s="1562" t="e">
        <f>VLOOKUP(I984,'Đội 2'!#REF!,2,0)</f>
        <v>#REF!</v>
      </c>
      <c r="I984" s="1563">
        <v>4</v>
      </c>
      <c r="J984" s="1563"/>
    </row>
    <row r="985" spans="1:11" ht="18">
      <c r="A985" s="1561" t="s">
        <v>205</v>
      </c>
      <c r="B985" s="1566" t="s">
        <v>206</v>
      </c>
      <c r="C985" s="1567" t="e">
        <f>VLOOKUP(C984,'Đội 2'!#REF!,5,0)</f>
        <v>#REF!</v>
      </c>
      <c r="D985" s="1568" t="e">
        <f>C985*25000</f>
        <v>#REF!</v>
      </c>
      <c r="E985" s="1569"/>
      <c r="F985" s="1570"/>
      <c r="G985" s="1561" t="s">
        <v>205</v>
      </c>
      <c r="H985" s="1566" t="s">
        <v>206</v>
      </c>
      <c r="I985" s="1567" t="e">
        <f>VLOOKUP(I984,'Đội 2'!#REF!,5,0)</f>
        <v>#REF!</v>
      </c>
      <c r="J985" s="1568" t="e">
        <f>I985*25000</f>
        <v>#REF!</v>
      </c>
    </row>
    <row r="986" spans="1:11">
      <c r="A986" s="1561" t="s">
        <v>207</v>
      </c>
      <c r="B986" s="1571" t="s">
        <v>208</v>
      </c>
      <c r="C986" s="1567" t="e">
        <f>+VLOOKUP(C984,'Đội 2'!#REF!,11,0)</f>
        <v>#REF!</v>
      </c>
      <c r="D986" s="2374" t="e">
        <f>+C986*$L$3</f>
        <v>#REF!</v>
      </c>
      <c r="E986" s="1572"/>
      <c r="F986" s="1573"/>
      <c r="G986" s="1561" t="s">
        <v>207</v>
      </c>
      <c r="H986" s="1571" t="s">
        <v>208</v>
      </c>
      <c r="I986" s="1567" t="e">
        <f>+VLOOKUP(I984,'Đội 2'!#REF!,11,0)</f>
        <v>#REF!</v>
      </c>
      <c r="J986" s="2374" t="e">
        <f>+I986*$L$3</f>
        <v>#REF!</v>
      </c>
    </row>
    <row r="987" spans="1:11">
      <c r="A987" s="1561" t="s">
        <v>1259</v>
      </c>
      <c r="B987" s="1571" t="s">
        <v>209</v>
      </c>
      <c r="C987" s="1567" t="e">
        <f>+VLOOKUP(C984,'Đội 2'!#REF!,12,0)</f>
        <v>#REF!</v>
      </c>
      <c r="D987" s="2374" t="e">
        <f>+C987*$L$4</f>
        <v>#REF!</v>
      </c>
      <c r="E987" s="1572"/>
      <c r="F987" s="1573"/>
      <c r="G987" s="1561" t="s">
        <v>1259</v>
      </c>
      <c r="H987" s="1571" t="s">
        <v>209</v>
      </c>
      <c r="I987" s="1567" t="e">
        <f>+VLOOKUP(I984,'Đội 2'!#REF!,12,0)</f>
        <v>#REF!</v>
      </c>
      <c r="J987" s="2374" t="e">
        <f>+I987*$L$4</f>
        <v>#REF!</v>
      </c>
    </row>
    <row r="988" spans="1:11">
      <c r="A988" s="1561" t="s">
        <v>1531</v>
      </c>
      <c r="B988" s="1571"/>
      <c r="C988" s="1567" t="e">
        <f>+VLOOKUP(C984,'Đội 2'!#REF!,14,0)</f>
        <v>#REF!</v>
      </c>
      <c r="D988" s="2374" t="e">
        <f>+C988*20000+VLOOKUP(C984,'Đội 2'!#REF!,13,0)*$L$5</f>
        <v>#REF!</v>
      </c>
      <c r="E988" s="1572"/>
      <c r="F988" s="1573"/>
      <c r="G988" s="1561" t="s">
        <v>1531</v>
      </c>
      <c r="H988" s="1571"/>
      <c r="I988" s="1567" t="e">
        <f>+VLOOKUP(I984,'Đội 2'!#REF!,14,0)</f>
        <v>#REF!</v>
      </c>
      <c r="J988" s="2374" t="e">
        <f>+I988*20000+VLOOKUP(I984,'Đội 2'!#REF!,13,0)*$L$5</f>
        <v>#REF!</v>
      </c>
    </row>
    <row r="989" spans="1:11" hidden="1">
      <c r="A989" s="1561" t="s">
        <v>1971</v>
      </c>
      <c r="B989" s="1571"/>
      <c r="C989" s="2369">
        <v>0</v>
      </c>
      <c r="D989" s="2374">
        <f>+C989*25000</f>
        <v>0</v>
      </c>
      <c r="E989" s="1572"/>
      <c r="F989" s="1573"/>
      <c r="G989" s="1561" t="s">
        <v>1971</v>
      </c>
      <c r="H989" s="1571"/>
      <c r="I989" s="2369">
        <v>0</v>
      </c>
      <c r="J989" s="2374">
        <f>+I989*25000</f>
        <v>0</v>
      </c>
    </row>
    <row r="990" spans="1:11">
      <c r="A990" s="1561" t="s">
        <v>210</v>
      </c>
      <c r="B990" s="1571" t="s">
        <v>211</v>
      </c>
      <c r="C990" s="1567" t="e">
        <f>VLOOKUP(C984,'Đội 2'!#REF!,8,0)</f>
        <v>#REF!</v>
      </c>
      <c r="D990" s="2374" t="e">
        <f>VLOOKUP(C984,'Đội 2'!#REF!,10,0)</f>
        <v>#REF!</v>
      </c>
      <c r="E990" s="1574"/>
      <c r="F990" s="1573"/>
      <c r="G990" s="1561" t="s">
        <v>210</v>
      </c>
      <c r="H990" s="1571" t="s">
        <v>211</v>
      </c>
      <c r="I990" s="1567" t="e">
        <f>VLOOKUP(I984,'Đội 2'!#REF!,8,0)</f>
        <v>#REF!</v>
      </c>
      <c r="J990" s="2374" t="e">
        <f>VLOOKUP(I984,'Đội 2'!#REF!,10,0)</f>
        <v>#REF!</v>
      </c>
    </row>
    <row r="991" spans="1:11">
      <c r="A991" s="1568" t="s">
        <v>212</v>
      </c>
      <c r="B991" s="1571" t="s">
        <v>213</v>
      </c>
      <c r="C991" s="1567"/>
      <c r="D991" s="1568"/>
      <c r="E991" s="1575"/>
      <c r="F991" s="1576"/>
      <c r="G991" s="1568" t="s">
        <v>212</v>
      </c>
      <c r="H991" s="1571" t="s">
        <v>213</v>
      </c>
      <c r="I991" s="1567"/>
      <c r="J991" s="1568"/>
    </row>
    <row r="992" spans="1:11">
      <c r="A992" s="1577" t="s">
        <v>214</v>
      </c>
      <c r="B992" s="1571" t="s">
        <v>215</v>
      </c>
      <c r="C992" s="1567"/>
      <c r="D992" s="1568"/>
      <c r="E992" s="1574"/>
      <c r="F992" s="1576"/>
      <c r="G992" s="1577" t="s">
        <v>214</v>
      </c>
      <c r="H992" s="1571" t="s">
        <v>215</v>
      </c>
      <c r="I992" s="1567"/>
      <c r="J992" s="1568"/>
    </row>
    <row r="993" spans="1:11">
      <c r="A993" s="1561" t="s">
        <v>216</v>
      </c>
      <c r="B993" s="1571" t="s">
        <v>217</v>
      </c>
      <c r="C993" s="1567"/>
      <c r="D993" s="1568">
        <v>0</v>
      </c>
      <c r="E993" s="1578"/>
      <c r="F993" s="1560"/>
      <c r="G993" s="1561" t="s">
        <v>216</v>
      </c>
      <c r="H993" s="1571" t="s">
        <v>217</v>
      </c>
      <c r="I993" s="1567"/>
      <c r="J993" s="1568">
        <v>0</v>
      </c>
    </row>
    <row r="994" spans="1:11">
      <c r="A994" s="1568" t="s">
        <v>218</v>
      </c>
      <c r="B994" s="1571" t="s">
        <v>219</v>
      </c>
      <c r="C994" s="1579"/>
      <c r="D994" s="1580" t="e">
        <f>SUM(D985:D990)-D993</f>
        <v>#REF!</v>
      </c>
      <c r="E994" s="1581"/>
      <c r="F994" s="1582"/>
      <c r="G994" s="1568" t="s">
        <v>218</v>
      </c>
      <c r="H994" s="1571" t="s">
        <v>219</v>
      </c>
      <c r="I994" s="1579"/>
      <c r="J994" s="1580" t="e">
        <f>SUM(J985:J990)-J993</f>
        <v>#REF!</v>
      </c>
      <c r="K994" s="3350" t="e">
        <f>J994+D994</f>
        <v>#REF!</v>
      </c>
    </row>
    <row r="995" spans="1:11">
      <c r="A995" s="1583"/>
      <c r="B995" s="1584"/>
      <c r="C995" s="1585"/>
      <c r="D995" s="1586"/>
      <c r="E995" s="1582"/>
      <c r="F995" s="1586"/>
      <c r="G995" s="1583"/>
      <c r="H995" s="1584"/>
      <c r="I995" s="1585"/>
      <c r="J995" s="1582"/>
    </row>
    <row r="996" spans="1:11">
      <c r="A996" s="1587"/>
      <c r="B996" s="1587"/>
      <c r="C996" s="1588"/>
      <c r="D996" s="3335"/>
      <c r="E996" s="1590"/>
      <c r="F996" s="1587"/>
      <c r="G996" s="1587"/>
      <c r="H996" s="1587"/>
      <c r="I996" s="1588"/>
      <c r="J996" s="1591"/>
      <c r="K996" s="3355"/>
    </row>
    <row r="997" spans="1:11">
      <c r="A997" s="4836" t="str">
        <f>$K$2</f>
        <v>Tháng 12/24</v>
      </c>
      <c r="B997" s="4836"/>
      <c r="C997" s="4836"/>
      <c r="D997" s="4836"/>
      <c r="E997" s="1560"/>
      <c r="F997" s="1560"/>
      <c r="G997" s="4836" t="str">
        <f>$K$2</f>
        <v>Tháng 12/24</v>
      </c>
      <c r="H997" s="4836"/>
      <c r="I997" s="4836"/>
      <c r="J997" s="4836"/>
    </row>
    <row r="998" spans="1:11" ht="18">
      <c r="A998" s="1561" t="s">
        <v>1</v>
      </c>
      <c r="B998" s="1562" t="e">
        <f>VLOOKUP(C998,'Đội 2'!#REF!,2,0)</f>
        <v>#REF!</v>
      </c>
      <c r="C998" s="1563">
        <v>5</v>
      </c>
      <c r="D998" s="1563"/>
      <c r="E998" s="1564"/>
      <c r="F998" s="1565"/>
      <c r="G998" s="1561" t="s">
        <v>1</v>
      </c>
      <c r="H998" s="1562" t="e">
        <f>VLOOKUP(I998,'Đội 2'!#REF!,2,0)</f>
        <v>#REF!</v>
      </c>
      <c r="I998" s="1563">
        <v>6</v>
      </c>
      <c r="J998" s="1563"/>
    </row>
    <row r="999" spans="1:11" ht="18">
      <c r="A999" s="1561" t="s">
        <v>205</v>
      </c>
      <c r="B999" s="1566" t="s">
        <v>206</v>
      </c>
      <c r="C999" s="1567" t="e">
        <f>VLOOKUP(C998,'Đội 2'!#REF!,5,0)</f>
        <v>#REF!</v>
      </c>
      <c r="D999" s="1568" t="e">
        <f>C999*25000</f>
        <v>#REF!</v>
      </c>
      <c r="E999" s="1569"/>
      <c r="F999" s="1570"/>
      <c r="G999" s="1561" t="s">
        <v>205</v>
      </c>
      <c r="H999" s="1566" t="s">
        <v>206</v>
      </c>
      <c r="I999" s="1567" t="e">
        <f>VLOOKUP(I998,'Đội 2'!#REF!,5,0)</f>
        <v>#REF!</v>
      </c>
      <c r="J999" s="1568" t="e">
        <f>I999*25000</f>
        <v>#REF!</v>
      </c>
    </row>
    <row r="1000" spans="1:11">
      <c r="A1000" s="1561" t="s">
        <v>207</v>
      </c>
      <c r="B1000" s="1571" t="s">
        <v>208</v>
      </c>
      <c r="C1000" s="1567" t="e">
        <f>+VLOOKUP(C998,'Đội 2'!#REF!,11,0)</f>
        <v>#REF!</v>
      </c>
      <c r="D1000" s="2374" t="e">
        <f>+C1000*$L$3</f>
        <v>#REF!</v>
      </c>
      <c r="E1000" s="1572"/>
      <c r="F1000" s="1573"/>
      <c r="G1000" s="1561" t="s">
        <v>207</v>
      </c>
      <c r="H1000" s="1571" t="s">
        <v>208</v>
      </c>
      <c r="I1000" s="1567" t="e">
        <f>+VLOOKUP(I998,'Đội 2'!#REF!,11,0)</f>
        <v>#REF!</v>
      </c>
      <c r="J1000" s="2374" t="e">
        <f>+I1000*$L$3</f>
        <v>#REF!</v>
      </c>
    </row>
    <row r="1001" spans="1:11">
      <c r="A1001" s="1561" t="s">
        <v>1259</v>
      </c>
      <c r="B1001" s="1571" t="s">
        <v>209</v>
      </c>
      <c r="C1001" s="1567" t="e">
        <f>+VLOOKUP(C998,'Đội 2'!#REF!,12,0)</f>
        <v>#REF!</v>
      </c>
      <c r="D1001" s="2374" t="e">
        <f>+C1001*$L$4</f>
        <v>#REF!</v>
      </c>
      <c r="E1001" s="1572"/>
      <c r="F1001" s="1573"/>
      <c r="G1001" s="1561" t="s">
        <v>1259</v>
      </c>
      <c r="H1001" s="1571" t="s">
        <v>209</v>
      </c>
      <c r="I1001" s="1567" t="e">
        <f>+VLOOKUP(I998,'Đội 2'!#REF!,12,0)</f>
        <v>#REF!</v>
      </c>
      <c r="J1001" s="2374" t="e">
        <f>+I1001*$L$4</f>
        <v>#REF!</v>
      </c>
    </row>
    <row r="1002" spans="1:11">
      <c r="A1002" s="1561" t="s">
        <v>1531</v>
      </c>
      <c r="B1002" s="1571"/>
      <c r="C1002" s="1567" t="e">
        <f>+VLOOKUP(C998,'Đội 2'!#REF!,14,0)</f>
        <v>#REF!</v>
      </c>
      <c r="D1002" s="2374" t="e">
        <f>+C1002*20000+VLOOKUP(C998,'Đội 2'!#REF!,13,0)*$L$5</f>
        <v>#REF!</v>
      </c>
      <c r="E1002" s="1572"/>
      <c r="F1002" s="1573"/>
      <c r="G1002" s="1561" t="s">
        <v>1531</v>
      </c>
      <c r="H1002" s="1571"/>
      <c r="I1002" s="1567" t="e">
        <f>+VLOOKUP(I998,'Đội 2'!#REF!,14,0)</f>
        <v>#REF!</v>
      </c>
      <c r="J1002" s="2374" t="e">
        <f>+I1002*20000+VLOOKUP(I998,'Đội 2'!#REF!,13,0)*$L$5</f>
        <v>#REF!</v>
      </c>
    </row>
    <row r="1003" spans="1:11" hidden="1">
      <c r="A1003" s="1561" t="s">
        <v>1971</v>
      </c>
      <c r="B1003" s="1571"/>
      <c r="C1003" s="2369">
        <v>0</v>
      </c>
      <c r="D1003" s="2374">
        <f>+C1003*25000</f>
        <v>0</v>
      </c>
      <c r="E1003" s="1572"/>
      <c r="F1003" s="1573"/>
      <c r="G1003" s="1561" t="s">
        <v>1971</v>
      </c>
      <c r="H1003" s="1571"/>
      <c r="I1003" s="2369">
        <v>0</v>
      </c>
      <c r="J1003" s="2374">
        <f>+I1003*25000</f>
        <v>0</v>
      </c>
    </row>
    <row r="1004" spans="1:11">
      <c r="A1004" s="1561" t="s">
        <v>210</v>
      </c>
      <c r="B1004" s="1571" t="s">
        <v>211</v>
      </c>
      <c r="C1004" s="1567" t="e">
        <f>VLOOKUP(C998,'Đội 2'!#REF!,8,0)</f>
        <v>#REF!</v>
      </c>
      <c r="D1004" s="2374" t="e">
        <f>VLOOKUP(C998,'Đội 2'!#REF!,10,0)</f>
        <v>#REF!</v>
      </c>
      <c r="E1004" s="1574"/>
      <c r="F1004" s="1573"/>
      <c r="G1004" s="1561" t="s">
        <v>210</v>
      </c>
      <c r="H1004" s="1571" t="s">
        <v>211</v>
      </c>
      <c r="I1004" s="1567" t="e">
        <f>VLOOKUP(I998,'Đội 2'!#REF!,8,0)</f>
        <v>#REF!</v>
      </c>
      <c r="J1004" s="2374" t="e">
        <f>VLOOKUP(I998,'Đội 2'!#REF!,10,0)</f>
        <v>#REF!</v>
      </c>
    </row>
    <row r="1005" spans="1:11">
      <c r="A1005" s="1568" t="s">
        <v>212</v>
      </c>
      <c r="B1005" s="1571" t="s">
        <v>213</v>
      </c>
      <c r="C1005" s="1567"/>
      <c r="D1005" s="1568"/>
      <c r="E1005" s="1575"/>
      <c r="F1005" s="1576"/>
      <c r="G1005" s="1568" t="s">
        <v>212</v>
      </c>
      <c r="H1005" s="1571" t="s">
        <v>213</v>
      </c>
      <c r="I1005" s="1567"/>
      <c r="J1005" s="1568"/>
    </row>
    <row r="1006" spans="1:11">
      <c r="A1006" s="1577" t="s">
        <v>214</v>
      </c>
      <c r="B1006" s="1571" t="s">
        <v>215</v>
      </c>
      <c r="C1006" s="1567"/>
      <c r="D1006" s="1568"/>
      <c r="E1006" s="1574"/>
      <c r="F1006" s="1576"/>
      <c r="G1006" s="1577" t="s">
        <v>214</v>
      </c>
      <c r="H1006" s="1571" t="s">
        <v>215</v>
      </c>
      <c r="I1006" s="1567"/>
      <c r="J1006" s="1568"/>
    </row>
    <row r="1007" spans="1:11">
      <c r="A1007" s="1561" t="s">
        <v>216</v>
      </c>
      <c r="B1007" s="1571" t="s">
        <v>217</v>
      </c>
      <c r="C1007" s="1567"/>
      <c r="D1007" s="1568">
        <v>0</v>
      </c>
      <c r="E1007" s="1578"/>
      <c r="F1007" s="1560"/>
      <c r="G1007" s="1561" t="s">
        <v>216</v>
      </c>
      <c r="H1007" s="1571" t="s">
        <v>217</v>
      </c>
      <c r="I1007" s="1567"/>
      <c r="J1007" s="1568">
        <v>0</v>
      </c>
    </row>
    <row r="1008" spans="1:11">
      <c r="A1008" s="1568" t="s">
        <v>218</v>
      </c>
      <c r="B1008" s="1571" t="s">
        <v>219</v>
      </c>
      <c r="C1008" s="1579"/>
      <c r="D1008" s="1580" t="e">
        <f>SUM(D999:D1004)-D1007</f>
        <v>#REF!</v>
      </c>
      <c r="E1008" s="1581"/>
      <c r="F1008" s="1582"/>
      <c r="G1008" s="1568" t="s">
        <v>218</v>
      </c>
      <c r="H1008" s="1571" t="s">
        <v>219</v>
      </c>
      <c r="I1008" s="1579"/>
      <c r="J1008" s="1580" t="e">
        <f>SUM(J999:J1004)-J1007</f>
        <v>#REF!</v>
      </c>
      <c r="K1008" s="3350" t="e">
        <f>J1008+D1008</f>
        <v>#REF!</v>
      </c>
    </row>
    <row r="1009" spans="1:11">
      <c r="A1009" s="1583"/>
      <c r="B1009" s="1584"/>
      <c r="C1009" s="1585"/>
      <c r="D1009" s="1586"/>
      <c r="E1009" s="1582"/>
      <c r="F1009" s="1586"/>
      <c r="G1009" s="1583"/>
      <c r="H1009" s="1584"/>
      <c r="I1009" s="1585"/>
      <c r="J1009" s="1582"/>
    </row>
    <row r="1010" spans="1:11">
      <c r="A1010" s="1587"/>
      <c r="B1010" s="1587"/>
      <c r="C1010" s="1588"/>
      <c r="D1010" s="3335"/>
      <c r="E1010" s="1590"/>
      <c r="F1010" s="1587"/>
      <c r="G1010" s="1587"/>
      <c r="H1010" s="1587"/>
      <c r="I1010" s="1588"/>
      <c r="J1010" s="1591"/>
      <c r="K1010" s="3355"/>
    </row>
    <row r="1011" spans="1:11">
      <c r="A1011" s="4836" t="str">
        <f>$K$2</f>
        <v>Tháng 12/24</v>
      </c>
      <c r="B1011" s="4836"/>
      <c r="C1011" s="4836"/>
      <c r="D1011" s="4836"/>
      <c r="E1011" s="1560"/>
      <c r="F1011" s="1560"/>
      <c r="G1011" s="4836" t="str">
        <f>$K$2</f>
        <v>Tháng 12/24</v>
      </c>
      <c r="H1011" s="4836"/>
      <c r="I1011" s="4836"/>
      <c r="J1011" s="4836"/>
    </row>
    <row r="1012" spans="1:11" ht="18">
      <c r="A1012" s="1561" t="s">
        <v>1</v>
      </c>
      <c r="B1012" s="1562" t="e">
        <f>VLOOKUP(C1012,'Đội 2'!#REF!,2,0)</f>
        <v>#REF!</v>
      </c>
      <c r="C1012" s="1563">
        <v>7</v>
      </c>
      <c r="D1012" s="1563"/>
      <c r="E1012" s="1564"/>
      <c r="F1012" s="1565"/>
      <c r="G1012" s="1561" t="s">
        <v>1</v>
      </c>
      <c r="H1012" s="1562" t="e">
        <f>VLOOKUP(I1012,'Đội 2'!#REF!,2,0)</f>
        <v>#REF!</v>
      </c>
      <c r="I1012" s="1563">
        <v>8</v>
      </c>
      <c r="J1012" s="1563"/>
    </row>
    <row r="1013" spans="1:11" ht="18">
      <c r="A1013" s="1561" t="s">
        <v>205</v>
      </c>
      <c r="B1013" s="1566" t="s">
        <v>206</v>
      </c>
      <c r="C1013" s="1567" t="e">
        <f>VLOOKUP(C1012,'Đội 2'!#REF!,5,0)</f>
        <v>#REF!</v>
      </c>
      <c r="D1013" s="1568" t="e">
        <f>C1013*25000</f>
        <v>#REF!</v>
      </c>
      <c r="E1013" s="1569"/>
      <c r="F1013" s="1570"/>
      <c r="G1013" s="1561" t="s">
        <v>205</v>
      </c>
      <c r="H1013" s="1566" t="s">
        <v>206</v>
      </c>
      <c r="I1013" s="1567" t="e">
        <f>VLOOKUP(I1012,'Đội 2'!#REF!,5,0)</f>
        <v>#REF!</v>
      </c>
      <c r="J1013" s="1568" t="e">
        <f>I1013*25000</f>
        <v>#REF!</v>
      </c>
    </row>
    <row r="1014" spans="1:11">
      <c r="A1014" s="1561" t="s">
        <v>207</v>
      </c>
      <c r="B1014" s="1571" t="s">
        <v>208</v>
      </c>
      <c r="C1014" s="1567" t="e">
        <f>+VLOOKUP(C1012,'Đội 2'!#REF!,11,0)</f>
        <v>#REF!</v>
      </c>
      <c r="D1014" s="2374" t="e">
        <f>+C1014*$L$3</f>
        <v>#REF!</v>
      </c>
      <c r="E1014" s="1572"/>
      <c r="F1014" s="1573"/>
      <c r="G1014" s="1561" t="s">
        <v>207</v>
      </c>
      <c r="H1014" s="1571" t="s">
        <v>208</v>
      </c>
      <c r="I1014" s="1567" t="e">
        <f>+VLOOKUP(I1012,'Đội 2'!#REF!,11,0)</f>
        <v>#REF!</v>
      </c>
      <c r="J1014" s="2374" t="e">
        <f>+I1014*$L$3</f>
        <v>#REF!</v>
      </c>
    </row>
    <row r="1015" spans="1:11">
      <c r="A1015" s="1561" t="s">
        <v>1259</v>
      </c>
      <c r="B1015" s="1571" t="s">
        <v>209</v>
      </c>
      <c r="C1015" s="1567" t="e">
        <f>+VLOOKUP(C1012,'Đội 2'!#REF!,12,0)</f>
        <v>#REF!</v>
      </c>
      <c r="D1015" s="2374" t="e">
        <f>+C1015*$L$4</f>
        <v>#REF!</v>
      </c>
      <c r="E1015" s="1572"/>
      <c r="F1015" s="1573"/>
      <c r="G1015" s="1561" t="s">
        <v>1259</v>
      </c>
      <c r="H1015" s="1571" t="s">
        <v>209</v>
      </c>
      <c r="I1015" s="1567" t="e">
        <f>+VLOOKUP(I1012,'Đội 2'!#REF!,12,0)</f>
        <v>#REF!</v>
      </c>
      <c r="J1015" s="2374" t="e">
        <f>+I1015*$L$4</f>
        <v>#REF!</v>
      </c>
    </row>
    <row r="1016" spans="1:11">
      <c r="A1016" s="1561" t="s">
        <v>1531</v>
      </c>
      <c r="B1016" s="1571"/>
      <c r="C1016" s="1567" t="e">
        <f>+VLOOKUP(C1012,'Đội 2'!#REF!,14,0)</f>
        <v>#REF!</v>
      </c>
      <c r="D1016" s="2374" t="e">
        <f>+C1016*20000+VLOOKUP(C1012,'Đội 2'!#REF!,13,0)*$L$5</f>
        <v>#REF!</v>
      </c>
      <c r="E1016" s="1572"/>
      <c r="F1016" s="1573"/>
      <c r="G1016" s="1561" t="s">
        <v>1531</v>
      </c>
      <c r="H1016" s="1571"/>
      <c r="I1016" s="1567" t="e">
        <f>+VLOOKUP(I1012,'Đội 2'!#REF!,14,0)</f>
        <v>#REF!</v>
      </c>
      <c r="J1016" s="2374" t="e">
        <f>+I1016*20000+VLOOKUP(I1012,'Đội 2'!#REF!,13,0)*$L$5</f>
        <v>#REF!</v>
      </c>
    </row>
    <row r="1017" spans="1:11" hidden="1">
      <c r="A1017" s="1561" t="s">
        <v>1971</v>
      </c>
      <c r="B1017" s="1571"/>
      <c r="C1017" s="2369">
        <v>0</v>
      </c>
      <c r="D1017" s="2374">
        <f>+C1017*25000</f>
        <v>0</v>
      </c>
      <c r="E1017" s="1572"/>
      <c r="F1017" s="1573"/>
      <c r="G1017" s="1561" t="s">
        <v>1971</v>
      </c>
      <c r="H1017" s="1571"/>
      <c r="I1017" s="2369">
        <v>0</v>
      </c>
      <c r="J1017" s="2374">
        <f>+I1017*25000</f>
        <v>0</v>
      </c>
    </row>
    <row r="1018" spans="1:11">
      <c r="A1018" s="1561" t="s">
        <v>210</v>
      </c>
      <c r="B1018" s="1571" t="s">
        <v>211</v>
      </c>
      <c r="C1018" s="1567" t="e">
        <f>VLOOKUP(C1012,'Đội 2'!#REF!,8,0)</f>
        <v>#REF!</v>
      </c>
      <c r="D1018" s="2374" t="e">
        <f>VLOOKUP(C1012,'Đội 2'!#REF!,10,0)</f>
        <v>#REF!</v>
      </c>
      <c r="E1018" s="1574"/>
      <c r="F1018" s="1573"/>
      <c r="G1018" s="1561" t="s">
        <v>210</v>
      </c>
      <c r="H1018" s="1571" t="s">
        <v>211</v>
      </c>
      <c r="I1018" s="1567" t="e">
        <f>VLOOKUP(I1012,'Đội 2'!#REF!,8,0)</f>
        <v>#REF!</v>
      </c>
      <c r="J1018" s="2374" t="e">
        <f>VLOOKUP(I1012,'Đội 2'!#REF!,10,0)</f>
        <v>#REF!</v>
      </c>
    </row>
    <row r="1019" spans="1:11">
      <c r="A1019" s="1568" t="s">
        <v>212</v>
      </c>
      <c r="B1019" s="1571" t="s">
        <v>213</v>
      </c>
      <c r="C1019" s="1567"/>
      <c r="D1019" s="1568"/>
      <c r="E1019" s="1575"/>
      <c r="F1019" s="1576"/>
      <c r="G1019" s="1568" t="s">
        <v>212</v>
      </c>
      <c r="H1019" s="1571" t="s">
        <v>213</v>
      </c>
      <c r="I1019" s="1567"/>
      <c r="J1019" s="1568"/>
    </row>
    <row r="1020" spans="1:11">
      <c r="A1020" s="1577" t="s">
        <v>214</v>
      </c>
      <c r="B1020" s="1571" t="s">
        <v>215</v>
      </c>
      <c r="C1020" s="1567"/>
      <c r="D1020" s="1568"/>
      <c r="E1020" s="1574"/>
      <c r="F1020" s="1576"/>
      <c r="G1020" s="1577" t="s">
        <v>214</v>
      </c>
      <c r="H1020" s="1571" t="s">
        <v>215</v>
      </c>
      <c r="I1020" s="1567"/>
      <c r="J1020" s="1568"/>
    </row>
    <row r="1021" spans="1:11">
      <c r="A1021" s="1561" t="s">
        <v>216</v>
      </c>
      <c r="B1021" s="1571" t="s">
        <v>217</v>
      </c>
      <c r="C1021" s="1567"/>
      <c r="D1021" s="1568">
        <v>0</v>
      </c>
      <c r="E1021" s="1578"/>
      <c r="F1021" s="1560"/>
      <c r="G1021" s="1561" t="s">
        <v>216</v>
      </c>
      <c r="H1021" s="1571" t="s">
        <v>217</v>
      </c>
      <c r="I1021" s="1567"/>
      <c r="J1021" s="1568">
        <v>0</v>
      </c>
    </row>
    <row r="1022" spans="1:11">
      <c r="A1022" s="1568" t="s">
        <v>218</v>
      </c>
      <c r="B1022" s="1571" t="s">
        <v>219</v>
      </c>
      <c r="C1022" s="1579"/>
      <c r="D1022" s="1580" t="e">
        <f>SUM(D1013:D1018)-D1021</f>
        <v>#REF!</v>
      </c>
      <c r="E1022" s="1581"/>
      <c r="F1022" s="1582"/>
      <c r="G1022" s="1568" t="s">
        <v>218</v>
      </c>
      <c r="H1022" s="1571" t="s">
        <v>219</v>
      </c>
      <c r="I1022" s="1579"/>
      <c r="J1022" s="1580" t="e">
        <f>SUM(J1013:J1018)-J1021</f>
        <v>#REF!</v>
      </c>
      <c r="K1022" s="3350" t="e">
        <f>J1022+D1022</f>
        <v>#REF!</v>
      </c>
    </row>
    <row r="1023" spans="1:11">
      <c r="A1023" s="1568"/>
      <c r="B1023" s="1571"/>
      <c r="C1023" s="1579"/>
      <c r="D1023" s="1580"/>
      <c r="E1023" s="1582"/>
      <c r="F1023" s="1582"/>
      <c r="G1023" s="1568"/>
      <c r="H1023" s="1571"/>
      <c r="I1023" s="1579"/>
      <c r="J1023" s="1580"/>
      <c r="K1023" s="3355"/>
    </row>
    <row r="1024" spans="1:11">
      <c r="A1024" s="4836" t="str">
        <f>$K$2</f>
        <v>Tháng 12/24</v>
      </c>
      <c r="B1024" s="4836"/>
      <c r="C1024" s="4836"/>
      <c r="D1024" s="4836"/>
      <c r="E1024" s="1560"/>
      <c r="F1024" s="1560"/>
      <c r="G1024" s="4836" t="str">
        <f>$K$2</f>
        <v>Tháng 12/24</v>
      </c>
      <c r="H1024" s="4836"/>
      <c r="I1024" s="4836"/>
      <c r="J1024" s="4836"/>
    </row>
    <row r="1025" spans="1:11" ht="18">
      <c r="A1025" s="1561" t="s">
        <v>1</v>
      </c>
      <c r="B1025" s="1562" t="e">
        <f>VLOOKUP(C1025,'Đội 2'!#REF!,2,0)</f>
        <v>#REF!</v>
      </c>
      <c r="C1025" s="1563">
        <v>9</v>
      </c>
      <c r="D1025" s="1563"/>
      <c r="E1025" s="1564"/>
      <c r="F1025" s="1565"/>
      <c r="G1025" s="1561" t="s">
        <v>1</v>
      </c>
      <c r="H1025" s="1562" t="e">
        <f>VLOOKUP(I1025,'Đội 2'!#REF!,2,0)</f>
        <v>#REF!</v>
      </c>
      <c r="I1025" s="1563">
        <v>10</v>
      </c>
      <c r="J1025" s="1563"/>
    </row>
    <row r="1026" spans="1:11" ht="18">
      <c r="A1026" s="1561" t="s">
        <v>205</v>
      </c>
      <c r="B1026" s="1566" t="s">
        <v>206</v>
      </c>
      <c r="C1026" s="1567" t="e">
        <f>VLOOKUP(C1025,'Đội 2'!#REF!,5,0)</f>
        <v>#REF!</v>
      </c>
      <c r="D1026" s="1568" t="e">
        <f>C1026*25000</f>
        <v>#REF!</v>
      </c>
      <c r="E1026" s="1569"/>
      <c r="F1026" s="1570"/>
      <c r="G1026" s="1561" t="s">
        <v>205</v>
      </c>
      <c r="H1026" s="1566" t="s">
        <v>206</v>
      </c>
      <c r="I1026" s="1567" t="e">
        <f>VLOOKUP(I1025,'Đội 2'!#REF!,5,0)</f>
        <v>#REF!</v>
      </c>
      <c r="J1026" s="1568" t="e">
        <f>I1026*25000</f>
        <v>#REF!</v>
      </c>
    </row>
    <row r="1027" spans="1:11">
      <c r="A1027" s="1561" t="s">
        <v>207</v>
      </c>
      <c r="B1027" s="1571" t="s">
        <v>208</v>
      </c>
      <c r="C1027" s="1567" t="e">
        <f>+VLOOKUP(C1025,'Đội 2'!#REF!,11,0)</f>
        <v>#REF!</v>
      </c>
      <c r="D1027" s="2374" t="e">
        <f>+C1027*$L$3</f>
        <v>#REF!</v>
      </c>
      <c r="E1027" s="1572"/>
      <c r="F1027" s="1573"/>
      <c r="G1027" s="1561" t="s">
        <v>207</v>
      </c>
      <c r="H1027" s="1571" t="s">
        <v>208</v>
      </c>
      <c r="I1027" s="1567" t="e">
        <f>+VLOOKUP(I1025,'Đội 2'!#REF!,11,0)</f>
        <v>#REF!</v>
      </c>
      <c r="J1027" s="2374" t="e">
        <f>+I1027*$L$3</f>
        <v>#REF!</v>
      </c>
    </row>
    <row r="1028" spans="1:11">
      <c r="A1028" s="1561" t="s">
        <v>1259</v>
      </c>
      <c r="B1028" s="1571" t="s">
        <v>209</v>
      </c>
      <c r="C1028" s="1567" t="e">
        <f>+VLOOKUP(C1025,'Đội 2'!#REF!,12,0)</f>
        <v>#REF!</v>
      </c>
      <c r="D1028" s="2374" t="e">
        <f>+C1028*$L$4</f>
        <v>#REF!</v>
      </c>
      <c r="E1028" s="1572"/>
      <c r="F1028" s="1573"/>
      <c r="G1028" s="1561" t="s">
        <v>1259</v>
      </c>
      <c r="H1028" s="1571" t="s">
        <v>209</v>
      </c>
      <c r="I1028" s="1567" t="e">
        <f>+VLOOKUP(I1025,'Đội 2'!#REF!,12,0)</f>
        <v>#REF!</v>
      </c>
      <c r="J1028" s="2374" t="e">
        <f>+I1028*$L$4</f>
        <v>#REF!</v>
      </c>
    </row>
    <row r="1029" spans="1:11">
      <c r="A1029" s="1561" t="s">
        <v>1531</v>
      </c>
      <c r="B1029" s="1571"/>
      <c r="C1029" s="1567" t="e">
        <f>+VLOOKUP(C1025,'Đội 2'!#REF!,14,0)</f>
        <v>#REF!</v>
      </c>
      <c r="D1029" s="2374" t="e">
        <f>+C1029*20000+VLOOKUP(C1025,'Đội 2'!#REF!,13,0)*$L$5</f>
        <v>#REF!</v>
      </c>
      <c r="E1029" s="1572"/>
      <c r="F1029" s="1573"/>
      <c r="G1029" s="1561" t="s">
        <v>1531</v>
      </c>
      <c r="H1029" s="1571"/>
      <c r="I1029" s="1567" t="e">
        <f>+VLOOKUP(I1025,'Đội 2'!#REF!,14,0)</f>
        <v>#REF!</v>
      </c>
      <c r="J1029" s="2374" t="e">
        <f>+I1029*20000+VLOOKUP(I1025,'Đội 2'!#REF!,13,0)*$L$5</f>
        <v>#REF!</v>
      </c>
    </row>
    <row r="1030" spans="1:11" hidden="1">
      <c r="A1030" s="1561" t="s">
        <v>1971</v>
      </c>
      <c r="B1030" s="1571"/>
      <c r="C1030" s="2369">
        <v>0</v>
      </c>
      <c r="D1030" s="2374">
        <f>+C1030*25000</f>
        <v>0</v>
      </c>
      <c r="E1030" s="1572"/>
      <c r="F1030" s="1573"/>
      <c r="G1030" s="1561" t="s">
        <v>1971</v>
      </c>
      <c r="H1030" s="1571"/>
      <c r="I1030" s="2369">
        <v>0</v>
      </c>
      <c r="J1030" s="2374">
        <f>+I1030*25000</f>
        <v>0</v>
      </c>
    </row>
    <row r="1031" spans="1:11">
      <c r="A1031" s="1561" t="s">
        <v>210</v>
      </c>
      <c r="B1031" s="1571" t="s">
        <v>211</v>
      </c>
      <c r="C1031" s="1567" t="e">
        <f>VLOOKUP(C1025,'Đội 2'!#REF!,8,0)</f>
        <v>#REF!</v>
      </c>
      <c r="D1031" s="2374" t="e">
        <f>VLOOKUP(C1025,'Đội 2'!#REF!,10,0)</f>
        <v>#REF!</v>
      </c>
      <c r="E1031" s="1574"/>
      <c r="F1031" s="1573"/>
      <c r="G1031" s="1561" t="s">
        <v>210</v>
      </c>
      <c r="H1031" s="1571" t="s">
        <v>211</v>
      </c>
      <c r="I1031" s="1567" t="e">
        <f>VLOOKUP(I1025,'Đội 2'!#REF!,8,0)</f>
        <v>#REF!</v>
      </c>
      <c r="J1031" s="2374" t="e">
        <f>VLOOKUP(I1025,'Đội 2'!#REF!,10,0)</f>
        <v>#REF!</v>
      </c>
    </row>
    <row r="1032" spans="1:11">
      <c r="A1032" s="1568" t="s">
        <v>212</v>
      </c>
      <c r="B1032" s="1571" t="s">
        <v>213</v>
      </c>
      <c r="C1032" s="1567"/>
      <c r="D1032" s="1568"/>
      <c r="E1032" s="1575"/>
      <c r="F1032" s="1576"/>
      <c r="G1032" s="1568" t="s">
        <v>212</v>
      </c>
      <c r="H1032" s="1571" t="s">
        <v>213</v>
      </c>
      <c r="I1032" s="1567"/>
      <c r="J1032" s="1568"/>
    </row>
    <row r="1033" spans="1:11">
      <c r="A1033" s="1577" t="s">
        <v>214</v>
      </c>
      <c r="B1033" s="1571" t="s">
        <v>215</v>
      </c>
      <c r="C1033" s="1567"/>
      <c r="D1033" s="1568"/>
      <c r="E1033" s="1574"/>
      <c r="F1033" s="1576"/>
      <c r="G1033" s="1577" t="s">
        <v>214</v>
      </c>
      <c r="H1033" s="1571" t="s">
        <v>215</v>
      </c>
      <c r="I1033" s="1567"/>
      <c r="J1033" s="1568"/>
    </row>
    <row r="1034" spans="1:11">
      <c r="A1034" s="1561" t="s">
        <v>216</v>
      </c>
      <c r="B1034" s="1571" t="s">
        <v>217</v>
      </c>
      <c r="C1034" s="1567"/>
      <c r="D1034" s="1568">
        <v>0</v>
      </c>
      <c r="E1034" s="1578"/>
      <c r="F1034" s="1560"/>
      <c r="G1034" s="1561" t="s">
        <v>216</v>
      </c>
      <c r="H1034" s="1571" t="s">
        <v>217</v>
      </c>
      <c r="I1034" s="1567"/>
      <c r="J1034" s="1568">
        <v>0</v>
      </c>
    </row>
    <row r="1035" spans="1:11">
      <c r="A1035" s="1568" t="s">
        <v>218</v>
      </c>
      <c r="B1035" s="1571" t="s">
        <v>219</v>
      </c>
      <c r="C1035" s="1579"/>
      <c r="D1035" s="1580" t="e">
        <f>SUM(D1026:D1031)-D1034</f>
        <v>#REF!</v>
      </c>
      <c r="E1035" s="1581"/>
      <c r="F1035" s="1582"/>
      <c r="G1035" s="1568" t="s">
        <v>218</v>
      </c>
      <c r="H1035" s="1571" t="s">
        <v>219</v>
      </c>
      <c r="I1035" s="1579"/>
      <c r="J1035" s="1580" t="e">
        <f>SUM(J1026:J1031)-J1034</f>
        <v>#REF!</v>
      </c>
      <c r="K1035" s="3350" t="e">
        <f>J1035+D1035</f>
        <v>#REF!</v>
      </c>
    </row>
    <row r="1036" spans="1:11">
      <c r="A1036" s="1583"/>
      <c r="B1036" s="1584"/>
      <c r="C1036" s="1585"/>
      <c r="D1036" s="1586"/>
      <c r="E1036" s="1582"/>
      <c r="F1036" s="1586"/>
      <c r="G1036" s="1583"/>
      <c r="H1036" s="1584"/>
      <c r="I1036" s="1585"/>
      <c r="J1036" s="1582"/>
    </row>
    <row r="1037" spans="1:11">
      <c r="A1037" s="1587"/>
      <c r="B1037" s="1587"/>
      <c r="C1037" s="1588"/>
      <c r="D1037" s="3335"/>
      <c r="E1037" s="1590"/>
      <c r="F1037" s="1587"/>
      <c r="G1037" s="1587"/>
      <c r="H1037" s="1587"/>
      <c r="I1037" s="1588"/>
      <c r="J1037" s="1591"/>
      <c r="K1037" s="3355"/>
    </row>
    <row r="1038" spans="1:11">
      <c r="A1038" s="4836" t="str">
        <f>$K$2</f>
        <v>Tháng 12/24</v>
      </c>
      <c r="B1038" s="4836"/>
      <c r="C1038" s="4836"/>
      <c r="D1038" s="4836"/>
      <c r="E1038" s="1560"/>
      <c r="F1038" s="1560"/>
      <c r="G1038" s="4836" t="str">
        <f>$K$2</f>
        <v>Tháng 12/24</v>
      </c>
      <c r="H1038" s="4836"/>
      <c r="I1038" s="4836"/>
      <c r="J1038" s="4836"/>
    </row>
    <row r="1039" spans="1:11" ht="18">
      <c r="A1039" s="1561" t="s">
        <v>1</v>
      </c>
      <c r="B1039" s="1562" t="e">
        <f>VLOOKUP(C1039,'Đội 2'!#REF!,2,0)</f>
        <v>#REF!</v>
      </c>
      <c r="C1039" s="1563">
        <v>11</v>
      </c>
      <c r="D1039" s="1563"/>
      <c r="E1039" s="1564"/>
      <c r="F1039" s="1565"/>
      <c r="G1039" s="1561" t="s">
        <v>1</v>
      </c>
      <c r="H1039" s="1562" t="e">
        <f>VLOOKUP(I1039,'Đội 2'!#REF!,2,0)</f>
        <v>#REF!</v>
      </c>
      <c r="I1039" s="1563">
        <v>12</v>
      </c>
      <c r="J1039" s="1563"/>
    </row>
    <row r="1040" spans="1:11" ht="18">
      <c r="A1040" s="1561" t="s">
        <v>205</v>
      </c>
      <c r="B1040" s="1566" t="s">
        <v>206</v>
      </c>
      <c r="C1040" s="1567" t="e">
        <f>VLOOKUP(C1039,'Đội 2'!#REF!,5,0)</f>
        <v>#REF!</v>
      </c>
      <c r="D1040" s="1568" t="e">
        <f>C1040*25000</f>
        <v>#REF!</v>
      </c>
      <c r="E1040" s="1569"/>
      <c r="F1040" s="1570"/>
      <c r="G1040" s="1561" t="s">
        <v>205</v>
      </c>
      <c r="H1040" s="1566" t="s">
        <v>206</v>
      </c>
      <c r="I1040" s="1567" t="e">
        <f>VLOOKUP(I1039,'Đội 2'!#REF!,5,0)</f>
        <v>#REF!</v>
      </c>
      <c r="J1040" s="1568" t="e">
        <f>I1040*25000</f>
        <v>#REF!</v>
      </c>
    </row>
    <row r="1041" spans="1:11">
      <c r="A1041" s="1561" t="s">
        <v>207</v>
      </c>
      <c r="B1041" s="1571" t="s">
        <v>208</v>
      </c>
      <c r="C1041" s="1567" t="e">
        <f>+VLOOKUP(C1039,'Đội 2'!#REF!,11,0)</f>
        <v>#REF!</v>
      </c>
      <c r="D1041" s="2374" t="e">
        <f>+C1041*$L$3</f>
        <v>#REF!</v>
      </c>
      <c r="E1041" s="1572"/>
      <c r="F1041" s="1573"/>
      <c r="G1041" s="1561" t="s">
        <v>207</v>
      </c>
      <c r="H1041" s="1571" t="s">
        <v>208</v>
      </c>
      <c r="I1041" s="1567" t="e">
        <f>+VLOOKUP(I1039,'Đội 2'!#REF!,11,0)</f>
        <v>#REF!</v>
      </c>
      <c r="J1041" s="2374" t="e">
        <f>+I1041*$L$3</f>
        <v>#REF!</v>
      </c>
    </row>
    <row r="1042" spans="1:11">
      <c r="A1042" s="1561" t="s">
        <v>1259</v>
      </c>
      <c r="B1042" s="1571" t="s">
        <v>209</v>
      </c>
      <c r="C1042" s="1567" t="e">
        <f>+VLOOKUP(C1039,'Đội 2'!#REF!,12,0)</f>
        <v>#REF!</v>
      </c>
      <c r="D1042" s="2374" t="e">
        <f>+C1042*$L$4</f>
        <v>#REF!</v>
      </c>
      <c r="E1042" s="1572"/>
      <c r="F1042" s="1573"/>
      <c r="G1042" s="1561" t="s">
        <v>1259</v>
      </c>
      <c r="H1042" s="1571" t="s">
        <v>209</v>
      </c>
      <c r="I1042" s="1567" t="e">
        <f>+VLOOKUP(I1039,'Đội 2'!#REF!,12,0)</f>
        <v>#REF!</v>
      </c>
      <c r="J1042" s="2374" t="e">
        <f>+I1042*$L$4</f>
        <v>#REF!</v>
      </c>
    </row>
    <row r="1043" spans="1:11">
      <c r="A1043" s="1561" t="s">
        <v>1531</v>
      </c>
      <c r="B1043" s="1571"/>
      <c r="C1043" s="1567" t="e">
        <f>+VLOOKUP(C1039,'Đội 2'!#REF!,14,0)</f>
        <v>#REF!</v>
      </c>
      <c r="D1043" s="2374" t="e">
        <f>+C1043*20000+VLOOKUP(C1039,'Đội 2'!#REF!,13,0)*$L$5</f>
        <v>#REF!</v>
      </c>
      <c r="E1043" s="1572"/>
      <c r="F1043" s="1573"/>
      <c r="G1043" s="1561" t="s">
        <v>1531</v>
      </c>
      <c r="H1043" s="1571"/>
      <c r="I1043" s="1567" t="e">
        <f>+VLOOKUP(I1039,'Đội 2'!#REF!,14,0)</f>
        <v>#REF!</v>
      </c>
      <c r="J1043" s="2374" t="e">
        <f>+I1043*20000+VLOOKUP(I1039,'Đội 2'!#REF!,13,0)*$L$5</f>
        <v>#REF!</v>
      </c>
    </row>
    <row r="1044" spans="1:11" hidden="1">
      <c r="A1044" s="1561" t="s">
        <v>1971</v>
      </c>
      <c r="B1044" s="1571"/>
      <c r="C1044" s="2369">
        <v>0</v>
      </c>
      <c r="D1044" s="2374">
        <f>+C1044*25000</f>
        <v>0</v>
      </c>
      <c r="E1044" s="1572"/>
      <c r="F1044" s="1573"/>
      <c r="G1044" s="1561" t="s">
        <v>1971</v>
      </c>
      <c r="H1044" s="1571"/>
      <c r="I1044" s="2369">
        <v>0</v>
      </c>
      <c r="J1044" s="2374">
        <f>+I1044*25000</f>
        <v>0</v>
      </c>
    </row>
    <row r="1045" spans="1:11">
      <c r="A1045" s="1561" t="s">
        <v>210</v>
      </c>
      <c r="B1045" s="1571" t="s">
        <v>211</v>
      </c>
      <c r="C1045" s="1567" t="e">
        <f>VLOOKUP(C1039,'Đội 2'!#REF!,8,0)</f>
        <v>#REF!</v>
      </c>
      <c r="D1045" s="2374" t="e">
        <f>VLOOKUP(C1039,'Đội 2'!#REF!,10,0)</f>
        <v>#REF!</v>
      </c>
      <c r="E1045" s="1574"/>
      <c r="F1045" s="1573"/>
      <c r="G1045" s="1561" t="s">
        <v>210</v>
      </c>
      <c r="H1045" s="1571" t="s">
        <v>211</v>
      </c>
      <c r="I1045" s="1567" t="e">
        <f>VLOOKUP(I1039,'Đội 2'!#REF!,8,0)</f>
        <v>#REF!</v>
      </c>
      <c r="J1045" s="2374" t="e">
        <f>VLOOKUP(I1039,'Đội 2'!#REF!,10,0)</f>
        <v>#REF!</v>
      </c>
    </row>
    <row r="1046" spans="1:11">
      <c r="A1046" s="1568" t="s">
        <v>212</v>
      </c>
      <c r="B1046" s="1571" t="s">
        <v>213</v>
      </c>
      <c r="C1046" s="1567"/>
      <c r="D1046" s="1568"/>
      <c r="E1046" s="1575"/>
      <c r="F1046" s="1576"/>
      <c r="G1046" s="1568" t="s">
        <v>212</v>
      </c>
      <c r="H1046" s="1571" t="s">
        <v>213</v>
      </c>
      <c r="I1046" s="1567"/>
      <c r="J1046" s="1568"/>
    </row>
    <row r="1047" spans="1:11">
      <c r="A1047" s="1577" t="s">
        <v>214</v>
      </c>
      <c r="B1047" s="1571" t="s">
        <v>215</v>
      </c>
      <c r="C1047" s="1567"/>
      <c r="D1047" s="1568"/>
      <c r="E1047" s="1574"/>
      <c r="F1047" s="1576"/>
      <c r="G1047" s="1577" t="s">
        <v>214</v>
      </c>
      <c r="H1047" s="1571" t="s">
        <v>215</v>
      </c>
      <c r="I1047" s="1567"/>
      <c r="J1047" s="1568"/>
    </row>
    <row r="1048" spans="1:11">
      <c r="A1048" s="1561" t="s">
        <v>216</v>
      </c>
      <c r="B1048" s="1571" t="s">
        <v>217</v>
      </c>
      <c r="C1048" s="1567"/>
      <c r="D1048" s="1568">
        <v>0</v>
      </c>
      <c r="E1048" s="1578"/>
      <c r="F1048" s="1560"/>
      <c r="G1048" s="1561" t="s">
        <v>216</v>
      </c>
      <c r="H1048" s="1571" t="s">
        <v>217</v>
      </c>
      <c r="I1048" s="1567"/>
      <c r="J1048" s="1568">
        <v>0</v>
      </c>
    </row>
    <row r="1049" spans="1:11">
      <c r="A1049" s="1568" t="s">
        <v>218</v>
      </c>
      <c r="B1049" s="1571" t="s">
        <v>219</v>
      </c>
      <c r="C1049" s="1579"/>
      <c r="D1049" s="1580" t="e">
        <f>SUM(D1040:D1045)-D1048</f>
        <v>#REF!</v>
      </c>
      <c r="E1049" s="1581"/>
      <c r="F1049" s="1582"/>
      <c r="G1049" s="1568" t="s">
        <v>218</v>
      </c>
      <c r="H1049" s="1571" t="s">
        <v>219</v>
      </c>
      <c r="I1049" s="1579"/>
      <c r="J1049" s="1580" t="e">
        <f>SUM(J1040:J1045)-J1048</f>
        <v>#REF!</v>
      </c>
      <c r="K1049" s="3350" t="e">
        <f>J1049+D1049</f>
        <v>#REF!</v>
      </c>
    </row>
    <row r="1050" spans="1:11">
      <c r="A1050" s="1583"/>
      <c r="B1050" s="1584"/>
      <c r="C1050" s="1585"/>
      <c r="D1050" s="1586"/>
      <c r="E1050" s="1582"/>
      <c r="F1050" s="1586"/>
      <c r="G1050" s="1583"/>
      <c r="H1050" s="1584"/>
      <c r="I1050" s="1585"/>
      <c r="J1050" s="1582"/>
    </row>
    <row r="1051" spans="1:11">
      <c r="A1051" s="1587"/>
      <c r="B1051" s="1587"/>
      <c r="C1051" s="1588"/>
      <c r="D1051" s="3335"/>
      <c r="E1051" s="1590"/>
      <c r="F1051" s="1587"/>
      <c r="G1051" s="1587"/>
      <c r="H1051" s="1587"/>
      <c r="I1051" s="1588"/>
      <c r="J1051" s="1591"/>
      <c r="K1051" s="3355"/>
    </row>
    <row r="1052" spans="1:11">
      <c r="A1052" s="4836" t="str">
        <f>$K$2</f>
        <v>Tháng 12/24</v>
      </c>
      <c r="B1052" s="4836"/>
      <c r="C1052" s="4836"/>
      <c r="D1052" s="4836"/>
      <c r="E1052" s="1560"/>
      <c r="F1052" s="1560"/>
      <c r="G1052" s="4836" t="str">
        <f>$K$2</f>
        <v>Tháng 12/24</v>
      </c>
      <c r="H1052" s="4836"/>
      <c r="I1052" s="4836"/>
      <c r="J1052" s="4836"/>
    </row>
    <row r="1053" spans="1:11" ht="18">
      <c r="A1053" s="1561" t="s">
        <v>1</v>
      </c>
      <c r="B1053" s="1562" t="e">
        <f>VLOOKUP(C1053,'Đội 2'!#REF!,2,0)</f>
        <v>#REF!</v>
      </c>
      <c r="C1053" s="1563">
        <v>13</v>
      </c>
      <c r="D1053" s="1563"/>
      <c r="E1053" s="1564"/>
      <c r="F1053" s="1565"/>
      <c r="G1053" s="1561" t="s">
        <v>1</v>
      </c>
      <c r="H1053" s="1562" t="e">
        <f>VLOOKUP(I1053,'Đội 2'!#REF!,2,0)</f>
        <v>#REF!</v>
      </c>
      <c r="I1053" s="1563">
        <v>14</v>
      </c>
      <c r="J1053" s="1563"/>
    </row>
    <row r="1054" spans="1:11" ht="18">
      <c r="A1054" s="1561" t="s">
        <v>205</v>
      </c>
      <c r="B1054" s="1566" t="s">
        <v>206</v>
      </c>
      <c r="C1054" s="1567" t="e">
        <f>VLOOKUP(C1053,'Đội 2'!#REF!,5,0)</f>
        <v>#REF!</v>
      </c>
      <c r="D1054" s="1568" t="e">
        <f>C1054*25000</f>
        <v>#REF!</v>
      </c>
      <c r="E1054" s="1569"/>
      <c r="F1054" s="1570"/>
      <c r="G1054" s="1561" t="s">
        <v>205</v>
      </c>
      <c r="H1054" s="1566" t="s">
        <v>206</v>
      </c>
      <c r="I1054" s="1567" t="e">
        <f>VLOOKUP(I1053,'Đội 2'!#REF!,5,0)</f>
        <v>#REF!</v>
      </c>
      <c r="J1054" s="1568" t="e">
        <f>I1054*25000</f>
        <v>#REF!</v>
      </c>
    </row>
    <row r="1055" spans="1:11">
      <c r="A1055" s="1561" t="s">
        <v>207</v>
      </c>
      <c r="B1055" s="1571" t="s">
        <v>208</v>
      </c>
      <c r="C1055" s="1567" t="e">
        <f>+VLOOKUP(C1053,'Đội 2'!#REF!,11,0)</f>
        <v>#REF!</v>
      </c>
      <c r="D1055" s="2374" t="e">
        <f>+C1055*$L$3</f>
        <v>#REF!</v>
      </c>
      <c r="E1055" s="1572"/>
      <c r="F1055" s="1573"/>
      <c r="G1055" s="1561" t="s">
        <v>207</v>
      </c>
      <c r="H1055" s="1571" t="s">
        <v>208</v>
      </c>
      <c r="I1055" s="1567" t="e">
        <f>+VLOOKUP(I1053,'Đội 2'!#REF!,11,0)</f>
        <v>#REF!</v>
      </c>
      <c r="J1055" s="2374" t="e">
        <f>+I1055*$L$3</f>
        <v>#REF!</v>
      </c>
    </row>
    <row r="1056" spans="1:11">
      <c r="A1056" s="1561" t="s">
        <v>1259</v>
      </c>
      <c r="B1056" s="1571" t="s">
        <v>209</v>
      </c>
      <c r="C1056" s="1567" t="e">
        <f>+VLOOKUP(C1053,'Đội 2'!#REF!,12,0)</f>
        <v>#REF!</v>
      </c>
      <c r="D1056" s="2374" t="e">
        <f>+C1056*$L$4</f>
        <v>#REF!</v>
      </c>
      <c r="E1056" s="1572"/>
      <c r="F1056" s="1573"/>
      <c r="G1056" s="1561" t="s">
        <v>1259</v>
      </c>
      <c r="H1056" s="1571" t="s">
        <v>209</v>
      </c>
      <c r="I1056" s="1567" t="e">
        <f>+VLOOKUP(I1053,'Đội 2'!#REF!,12,0)</f>
        <v>#REF!</v>
      </c>
      <c r="J1056" s="2374" t="e">
        <f>+I1056*$L$4</f>
        <v>#REF!</v>
      </c>
    </row>
    <row r="1057" spans="1:11">
      <c r="A1057" s="1561" t="s">
        <v>1531</v>
      </c>
      <c r="B1057" s="1571"/>
      <c r="C1057" s="1567" t="e">
        <f>+VLOOKUP(C1053,'Đội 2'!#REF!,14,0)</f>
        <v>#REF!</v>
      </c>
      <c r="D1057" s="2374" t="e">
        <f>+C1057*20000+VLOOKUP(C1053,'Đội 2'!#REF!,13,0)*$L$5</f>
        <v>#REF!</v>
      </c>
      <c r="E1057" s="1572"/>
      <c r="F1057" s="1573"/>
      <c r="G1057" s="1561" t="s">
        <v>1531</v>
      </c>
      <c r="H1057" s="1571"/>
      <c r="I1057" s="1567" t="e">
        <f>+VLOOKUP(I1053,'Đội 2'!#REF!,14,0)</f>
        <v>#REF!</v>
      </c>
      <c r="J1057" s="2374" t="e">
        <f>+I1057*20000+VLOOKUP(I1053,'Đội 2'!#REF!,13,0)*$L$5</f>
        <v>#REF!</v>
      </c>
    </row>
    <row r="1058" spans="1:11" hidden="1">
      <c r="A1058" s="1561" t="s">
        <v>1971</v>
      </c>
      <c r="B1058" s="1571"/>
      <c r="C1058" s="2369">
        <v>0</v>
      </c>
      <c r="D1058" s="2374">
        <f>+C1058*25000</f>
        <v>0</v>
      </c>
      <c r="E1058" s="1572"/>
      <c r="F1058" s="1573"/>
      <c r="G1058" s="1561" t="s">
        <v>1971</v>
      </c>
      <c r="H1058" s="1571"/>
      <c r="I1058" s="2369">
        <v>0</v>
      </c>
      <c r="J1058" s="2374">
        <f>+I1058*25000</f>
        <v>0</v>
      </c>
    </row>
    <row r="1059" spans="1:11">
      <c r="A1059" s="1561" t="s">
        <v>210</v>
      </c>
      <c r="B1059" s="1571" t="s">
        <v>211</v>
      </c>
      <c r="C1059" s="1567" t="e">
        <f>VLOOKUP(C1053,'Đội 2'!#REF!,8,0)</f>
        <v>#REF!</v>
      </c>
      <c r="D1059" s="2374" t="e">
        <f>VLOOKUP(C1053,'Đội 2'!#REF!,10,0)</f>
        <v>#REF!</v>
      </c>
      <c r="E1059" s="1574"/>
      <c r="F1059" s="1573"/>
      <c r="G1059" s="1561" t="s">
        <v>210</v>
      </c>
      <c r="H1059" s="1571" t="s">
        <v>211</v>
      </c>
      <c r="I1059" s="1567" t="e">
        <f>VLOOKUP(I1053,'Đội 2'!#REF!,8,0)</f>
        <v>#REF!</v>
      </c>
      <c r="J1059" s="2374" t="e">
        <f>VLOOKUP(I1053,'Đội 2'!#REF!,10,0)</f>
        <v>#REF!</v>
      </c>
    </row>
    <row r="1060" spans="1:11">
      <c r="A1060" s="1568" t="s">
        <v>212</v>
      </c>
      <c r="B1060" s="1571" t="s">
        <v>213</v>
      </c>
      <c r="C1060" s="1567"/>
      <c r="D1060" s="1568"/>
      <c r="E1060" s="1575"/>
      <c r="F1060" s="1576"/>
      <c r="G1060" s="1568" t="s">
        <v>212</v>
      </c>
      <c r="H1060" s="1571" t="s">
        <v>213</v>
      </c>
      <c r="I1060" s="1567"/>
      <c r="J1060" s="1568"/>
    </row>
    <row r="1061" spans="1:11">
      <c r="A1061" s="1577" t="s">
        <v>214</v>
      </c>
      <c r="B1061" s="1571" t="s">
        <v>215</v>
      </c>
      <c r="C1061" s="1567"/>
      <c r="D1061" s="1568"/>
      <c r="E1061" s="1574"/>
      <c r="F1061" s="1576"/>
      <c r="G1061" s="1577" t="s">
        <v>214</v>
      </c>
      <c r="H1061" s="1571" t="s">
        <v>215</v>
      </c>
      <c r="I1061" s="1567"/>
      <c r="J1061" s="1568"/>
    </row>
    <row r="1062" spans="1:11">
      <c r="A1062" s="1561" t="s">
        <v>216</v>
      </c>
      <c r="B1062" s="1571" t="s">
        <v>217</v>
      </c>
      <c r="C1062" s="1567"/>
      <c r="D1062" s="1568">
        <v>0</v>
      </c>
      <c r="E1062" s="1578"/>
      <c r="F1062" s="1560"/>
      <c r="G1062" s="1561" t="s">
        <v>216</v>
      </c>
      <c r="H1062" s="1571" t="s">
        <v>217</v>
      </c>
      <c r="I1062" s="1567"/>
      <c r="J1062" s="1568">
        <v>0</v>
      </c>
    </row>
    <row r="1063" spans="1:11">
      <c r="A1063" s="1568" t="s">
        <v>218</v>
      </c>
      <c r="B1063" s="1571" t="s">
        <v>219</v>
      </c>
      <c r="C1063" s="1579"/>
      <c r="D1063" s="1580" t="e">
        <f>SUM(D1054:D1059)-D1062</f>
        <v>#REF!</v>
      </c>
      <c r="E1063" s="1581"/>
      <c r="F1063" s="1582"/>
      <c r="G1063" s="1568" t="s">
        <v>218</v>
      </c>
      <c r="H1063" s="1571" t="s">
        <v>219</v>
      </c>
      <c r="I1063" s="1579"/>
      <c r="J1063" s="1580" t="e">
        <f>SUM(J1054:J1059)-J1062</f>
        <v>#REF!</v>
      </c>
      <c r="K1063" s="3350" t="e">
        <f>J1063+D1063</f>
        <v>#REF!</v>
      </c>
    </row>
    <row r="1064" spans="1:11">
      <c r="A1064" s="1583"/>
      <c r="B1064" s="1584"/>
      <c r="C1064" s="1585"/>
      <c r="D1064" s="1586"/>
      <c r="E1064" s="1582"/>
      <c r="F1064" s="1586"/>
      <c r="G1064" s="1583"/>
      <c r="H1064" s="1584"/>
      <c r="I1064" s="1585"/>
      <c r="J1064" s="1582"/>
    </row>
    <row r="1065" spans="1:11">
      <c r="A1065" s="1587"/>
      <c r="B1065" s="1587"/>
      <c r="C1065" s="1588"/>
      <c r="D1065" s="1589"/>
      <c r="E1065" s="1590"/>
      <c r="F1065" s="1587"/>
      <c r="G1065" s="1587"/>
      <c r="H1065" s="1587"/>
      <c r="I1065" s="1588"/>
      <c r="J1065" s="1591"/>
      <c r="K1065" s="3355"/>
    </row>
    <row r="1066" spans="1:11">
      <c r="A1066" s="4836" t="str">
        <f>$K$2</f>
        <v>Tháng 12/24</v>
      </c>
      <c r="B1066" s="4836"/>
      <c r="C1066" s="4836"/>
      <c r="D1066" s="4836"/>
      <c r="E1066" s="1560"/>
      <c r="F1066" s="1560"/>
      <c r="G1066" s="4836" t="str">
        <f>$K$2</f>
        <v>Tháng 12/24</v>
      </c>
      <c r="H1066" s="4836"/>
      <c r="I1066" s="4836"/>
      <c r="J1066" s="4836"/>
    </row>
    <row r="1067" spans="1:11" ht="18">
      <c r="A1067" s="1561" t="s">
        <v>1</v>
      </c>
      <c r="B1067" s="1562" t="e">
        <f>VLOOKUP(C1067,'Đội 2'!#REF!,2,0)</f>
        <v>#REF!</v>
      </c>
      <c r="C1067" s="1563">
        <v>15</v>
      </c>
      <c r="D1067" s="1563"/>
      <c r="E1067" s="1564"/>
      <c r="F1067" s="1565"/>
      <c r="G1067" s="1561" t="s">
        <v>1</v>
      </c>
      <c r="H1067" s="1562" t="e">
        <f>VLOOKUP(I1067,'Đội 2'!#REF!,2,0)</f>
        <v>#REF!</v>
      </c>
      <c r="I1067" s="1563">
        <v>16</v>
      </c>
      <c r="J1067" s="1563"/>
    </row>
    <row r="1068" spans="1:11" ht="18">
      <c r="A1068" s="1561" t="s">
        <v>205</v>
      </c>
      <c r="B1068" s="1566" t="s">
        <v>206</v>
      </c>
      <c r="C1068" s="1567" t="e">
        <f>VLOOKUP(C1067,'Đội 2'!#REF!,5,0)</f>
        <v>#REF!</v>
      </c>
      <c r="D1068" s="1568" t="e">
        <f>C1068*25000</f>
        <v>#REF!</v>
      </c>
      <c r="E1068" s="1569"/>
      <c r="F1068" s="1570"/>
      <c r="G1068" s="1561" t="s">
        <v>205</v>
      </c>
      <c r="H1068" s="1566" t="s">
        <v>206</v>
      </c>
      <c r="I1068" s="1567" t="e">
        <f>VLOOKUP(I1067,'Đội 2'!#REF!,5,0)</f>
        <v>#REF!</v>
      </c>
      <c r="J1068" s="1568" t="e">
        <f>I1068*25000</f>
        <v>#REF!</v>
      </c>
    </row>
    <row r="1069" spans="1:11">
      <c r="A1069" s="1561" t="s">
        <v>207</v>
      </c>
      <c r="B1069" s="1571" t="s">
        <v>208</v>
      </c>
      <c r="C1069" s="1567" t="e">
        <f>+VLOOKUP(C1067,'Đội 2'!#REF!,11,0)</f>
        <v>#REF!</v>
      </c>
      <c r="D1069" s="2374" t="e">
        <f>+C1069*$L$3</f>
        <v>#REF!</v>
      </c>
      <c r="E1069" s="1572"/>
      <c r="F1069" s="1573"/>
      <c r="G1069" s="1561" t="s">
        <v>207</v>
      </c>
      <c r="H1069" s="1571" t="s">
        <v>208</v>
      </c>
      <c r="I1069" s="1567" t="e">
        <f>+VLOOKUP(I1067,'Đội 2'!#REF!,11,0)</f>
        <v>#REF!</v>
      </c>
      <c r="J1069" s="2374" t="e">
        <f>+I1069*$L$3</f>
        <v>#REF!</v>
      </c>
    </row>
    <row r="1070" spans="1:11">
      <c r="A1070" s="1561" t="s">
        <v>1259</v>
      </c>
      <c r="B1070" s="1571" t="s">
        <v>209</v>
      </c>
      <c r="C1070" s="1567" t="e">
        <f>+VLOOKUP(C1067,'Đội 2'!#REF!,12,0)</f>
        <v>#REF!</v>
      </c>
      <c r="D1070" s="2374" t="e">
        <f>+C1070*$L$4</f>
        <v>#REF!</v>
      </c>
      <c r="E1070" s="1572"/>
      <c r="F1070" s="1573"/>
      <c r="G1070" s="1561" t="s">
        <v>1259</v>
      </c>
      <c r="H1070" s="1571" t="s">
        <v>209</v>
      </c>
      <c r="I1070" s="1567" t="e">
        <f>+VLOOKUP(I1067,'Đội 2'!#REF!,12,0)</f>
        <v>#REF!</v>
      </c>
      <c r="J1070" s="2374" t="e">
        <f>+I1070*$L$4</f>
        <v>#REF!</v>
      </c>
    </row>
    <row r="1071" spans="1:11">
      <c r="A1071" s="1561" t="s">
        <v>1531</v>
      </c>
      <c r="B1071" s="1571"/>
      <c r="C1071" s="1567" t="e">
        <f>+VLOOKUP(C1067,'Đội 2'!#REF!,14,0)</f>
        <v>#REF!</v>
      </c>
      <c r="D1071" s="2374" t="e">
        <f>+C1071*20000+VLOOKUP(C1067,'Đội 2'!#REF!,13,0)*$L$5</f>
        <v>#REF!</v>
      </c>
      <c r="E1071" s="1572"/>
      <c r="F1071" s="1573"/>
      <c r="G1071" s="1561" t="s">
        <v>1531</v>
      </c>
      <c r="H1071" s="1571"/>
      <c r="I1071" s="1567" t="e">
        <f>+VLOOKUP(I1067,'Đội 2'!#REF!,14,0)</f>
        <v>#REF!</v>
      </c>
      <c r="J1071" s="2374" t="e">
        <f>+I1071*20000+VLOOKUP(I1067,'Đội 2'!#REF!,13,0)*$L$5</f>
        <v>#REF!</v>
      </c>
    </row>
    <row r="1072" spans="1:11" hidden="1">
      <c r="A1072" s="1561" t="s">
        <v>1971</v>
      </c>
      <c r="B1072" s="1571"/>
      <c r="C1072" s="2369">
        <v>0</v>
      </c>
      <c r="D1072" s="2374">
        <f>+C1072*25000</f>
        <v>0</v>
      </c>
      <c r="E1072" s="1572"/>
      <c r="F1072" s="1573"/>
      <c r="G1072" s="1561" t="s">
        <v>1971</v>
      </c>
      <c r="H1072" s="1571"/>
      <c r="I1072" s="2369">
        <v>0</v>
      </c>
      <c r="J1072" s="2374">
        <f>+I1072*25000</f>
        <v>0</v>
      </c>
    </row>
    <row r="1073" spans="1:11">
      <c r="A1073" s="1561" t="s">
        <v>210</v>
      </c>
      <c r="B1073" s="1571" t="s">
        <v>211</v>
      </c>
      <c r="C1073" s="1567" t="e">
        <f>VLOOKUP(C1067,'Đội 2'!#REF!,8,0)</f>
        <v>#REF!</v>
      </c>
      <c r="D1073" s="2374" t="e">
        <f>VLOOKUP(C1067,'Đội 2'!#REF!,10,0)</f>
        <v>#REF!</v>
      </c>
      <c r="E1073" s="1574"/>
      <c r="F1073" s="1573"/>
      <c r="G1073" s="1561" t="s">
        <v>210</v>
      </c>
      <c r="H1073" s="1571" t="s">
        <v>211</v>
      </c>
      <c r="I1073" s="1567" t="e">
        <f>VLOOKUP(I1067,'Đội 2'!#REF!,8,0)</f>
        <v>#REF!</v>
      </c>
      <c r="J1073" s="2374" t="e">
        <f>VLOOKUP(I1067,'Đội 2'!#REF!,10,0)</f>
        <v>#REF!</v>
      </c>
    </row>
    <row r="1074" spans="1:11">
      <c r="A1074" s="1568" t="s">
        <v>212</v>
      </c>
      <c r="B1074" s="1571" t="s">
        <v>213</v>
      </c>
      <c r="C1074" s="1567"/>
      <c r="D1074" s="1568"/>
      <c r="E1074" s="1575"/>
      <c r="F1074" s="1576"/>
      <c r="G1074" s="1568" t="s">
        <v>212</v>
      </c>
      <c r="H1074" s="1571" t="s">
        <v>213</v>
      </c>
      <c r="I1074" s="1567"/>
      <c r="J1074" s="1568"/>
    </row>
    <row r="1075" spans="1:11">
      <c r="A1075" s="1577" t="s">
        <v>214</v>
      </c>
      <c r="B1075" s="1571" t="s">
        <v>215</v>
      </c>
      <c r="C1075" s="1567"/>
      <c r="D1075" s="1568"/>
      <c r="E1075" s="1574"/>
      <c r="F1075" s="1576"/>
      <c r="G1075" s="1577" t="s">
        <v>214</v>
      </c>
      <c r="H1075" s="1571" t="s">
        <v>215</v>
      </c>
      <c r="I1075" s="1567"/>
      <c r="J1075" s="1568"/>
    </row>
    <row r="1076" spans="1:11">
      <c r="A1076" s="1561" t="s">
        <v>216</v>
      </c>
      <c r="B1076" s="1571" t="s">
        <v>217</v>
      </c>
      <c r="C1076" s="1567"/>
      <c r="D1076" s="1568">
        <v>0</v>
      </c>
      <c r="E1076" s="1578"/>
      <c r="F1076" s="1560"/>
      <c r="G1076" s="1561" t="s">
        <v>216</v>
      </c>
      <c r="H1076" s="1571" t="s">
        <v>217</v>
      </c>
      <c r="I1076" s="1567"/>
      <c r="J1076" s="1568">
        <v>0</v>
      </c>
    </row>
    <row r="1077" spans="1:11">
      <c r="A1077" s="1568" t="s">
        <v>218</v>
      </c>
      <c r="B1077" s="1571" t="s">
        <v>219</v>
      </c>
      <c r="C1077" s="1579"/>
      <c r="D1077" s="1580" t="e">
        <f>SUM(D1068:D1073)-D1076</f>
        <v>#REF!</v>
      </c>
      <c r="E1077" s="1581"/>
      <c r="F1077" s="1582"/>
      <c r="G1077" s="1568" t="s">
        <v>218</v>
      </c>
      <c r="H1077" s="1571" t="s">
        <v>219</v>
      </c>
      <c r="I1077" s="1579"/>
      <c r="J1077" s="1580" t="e">
        <f>SUM(J1068:J1073)-J1076</f>
        <v>#REF!</v>
      </c>
      <c r="K1077" s="3350" t="e">
        <f>J1077+D1077</f>
        <v>#REF!</v>
      </c>
    </row>
    <row r="1078" spans="1:11">
      <c r="A1078" s="1583"/>
      <c r="B1078" s="1584"/>
      <c r="C1078" s="1585"/>
      <c r="D1078" s="1586"/>
      <c r="E1078" s="1582"/>
      <c r="F1078" s="1586"/>
      <c r="G1078" s="1583"/>
      <c r="H1078" s="1584"/>
      <c r="I1078" s="1585"/>
      <c r="J1078" s="1582"/>
    </row>
    <row r="1079" spans="1:11">
      <c r="A1079" s="1587"/>
      <c r="B1079" s="1587"/>
      <c r="C1079" s="1588"/>
      <c r="D1079" s="3335"/>
      <c r="E1079" s="1590"/>
      <c r="F1079" s="1587"/>
      <c r="G1079" s="1587"/>
      <c r="H1079" s="1587"/>
      <c r="I1079" s="1588"/>
      <c r="J1079" s="1591"/>
      <c r="K1079" s="3355"/>
    </row>
    <row r="1080" spans="1:11">
      <c r="A1080" s="4836" t="str">
        <f>$K$2</f>
        <v>Tháng 12/24</v>
      </c>
      <c r="B1080" s="4836"/>
      <c r="C1080" s="4836"/>
      <c r="D1080" s="4836"/>
      <c r="E1080" s="1560"/>
      <c r="F1080" s="1560"/>
      <c r="G1080" s="4836" t="str">
        <f>$K$2</f>
        <v>Tháng 12/24</v>
      </c>
      <c r="H1080" s="4836"/>
      <c r="I1080" s="4836"/>
      <c r="J1080" s="4836"/>
    </row>
    <row r="1081" spans="1:11" ht="18">
      <c r="A1081" s="1561" t="s">
        <v>1</v>
      </c>
      <c r="B1081" s="1562" t="e">
        <f>VLOOKUP(C1081,'Đội 2'!#REF!,2,0)</f>
        <v>#REF!</v>
      </c>
      <c r="C1081" s="1563">
        <v>17</v>
      </c>
      <c r="D1081" s="1563"/>
      <c r="E1081" s="1564"/>
      <c r="F1081" s="1565"/>
      <c r="G1081" s="1561" t="s">
        <v>1</v>
      </c>
      <c r="H1081" s="1562" t="e">
        <f>VLOOKUP(I1081,'Đội 2'!#REF!,2,0)</f>
        <v>#REF!</v>
      </c>
      <c r="I1081" s="1563">
        <v>18</v>
      </c>
      <c r="J1081" s="1563"/>
    </row>
    <row r="1082" spans="1:11" ht="18">
      <c r="A1082" s="1561" t="s">
        <v>205</v>
      </c>
      <c r="B1082" s="1566" t="s">
        <v>206</v>
      </c>
      <c r="C1082" s="1567" t="e">
        <f>VLOOKUP(C1081,'Đội 2'!#REF!,5,0)</f>
        <v>#REF!</v>
      </c>
      <c r="D1082" s="1568" t="e">
        <f>C1082*25000</f>
        <v>#REF!</v>
      </c>
      <c r="E1082" s="1569"/>
      <c r="F1082" s="1570"/>
      <c r="G1082" s="1561" t="s">
        <v>205</v>
      </c>
      <c r="H1082" s="1566" t="s">
        <v>206</v>
      </c>
      <c r="I1082" s="1567" t="e">
        <f>VLOOKUP(I1081,'Đội 2'!#REF!,5,0)</f>
        <v>#REF!</v>
      </c>
      <c r="J1082" s="1568" t="e">
        <f>I1082*25000</f>
        <v>#REF!</v>
      </c>
    </row>
    <row r="1083" spans="1:11">
      <c r="A1083" s="1561" t="s">
        <v>207</v>
      </c>
      <c r="B1083" s="1571" t="s">
        <v>208</v>
      </c>
      <c r="C1083" s="1567" t="e">
        <f>+VLOOKUP(C1081,'Đội 2'!#REF!,11,0)</f>
        <v>#REF!</v>
      </c>
      <c r="D1083" s="2374" t="e">
        <f>+C1083*$L$3</f>
        <v>#REF!</v>
      </c>
      <c r="E1083" s="1572"/>
      <c r="F1083" s="1573"/>
      <c r="G1083" s="1561" t="s">
        <v>207</v>
      </c>
      <c r="H1083" s="1571" t="s">
        <v>208</v>
      </c>
      <c r="I1083" s="1567" t="e">
        <f>+VLOOKUP(I1081,'Đội 2'!#REF!,11,0)</f>
        <v>#REF!</v>
      </c>
      <c r="J1083" s="2374" t="e">
        <f>+I1083*$L$3</f>
        <v>#REF!</v>
      </c>
    </row>
    <row r="1084" spans="1:11">
      <c r="A1084" s="1561" t="s">
        <v>1259</v>
      </c>
      <c r="B1084" s="1571" t="s">
        <v>209</v>
      </c>
      <c r="C1084" s="1567" t="e">
        <f>+VLOOKUP(C1081,'Đội 2'!#REF!,12,0)</f>
        <v>#REF!</v>
      </c>
      <c r="D1084" s="2374" t="e">
        <f>+C1084*$L$4</f>
        <v>#REF!</v>
      </c>
      <c r="E1084" s="1572"/>
      <c r="F1084" s="1573"/>
      <c r="G1084" s="1561" t="s">
        <v>1259</v>
      </c>
      <c r="H1084" s="1571" t="s">
        <v>209</v>
      </c>
      <c r="I1084" s="1567" t="e">
        <f>+VLOOKUP(I1081,'Đội 2'!#REF!,12,0)</f>
        <v>#REF!</v>
      </c>
      <c r="J1084" s="2374" t="e">
        <f>+I1084*$L$4</f>
        <v>#REF!</v>
      </c>
    </row>
    <row r="1085" spans="1:11">
      <c r="A1085" s="1561" t="s">
        <v>1531</v>
      </c>
      <c r="B1085" s="1571"/>
      <c r="C1085" s="1567" t="e">
        <f>+VLOOKUP(C1081,'Đội 2'!#REF!,14,0)</f>
        <v>#REF!</v>
      </c>
      <c r="D1085" s="2374" t="e">
        <f>+C1085*20000+VLOOKUP(C1081,'Đội 2'!#REF!,13,0)*$L$5</f>
        <v>#REF!</v>
      </c>
      <c r="E1085" s="1572"/>
      <c r="F1085" s="1573"/>
      <c r="G1085" s="1561" t="s">
        <v>1531</v>
      </c>
      <c r="H1085" s="1571"/>
      <c r="I1085" s="1567" t="e">
        <f>+VLOOKUP(I1081,'Đội 2'!#REF!,14,0)</f>
        <v>#REF!</v>
      </c>
      <c r="J1085" s="2374" t="e">
        <f>+I1085*20000+VLOOKUP(I1081,'Đội 2'!#REF!,13,0)*$L$5</f>
        <v>#REF!</v>
      </c>
    </row>
    <row r="1086" spans="1:11" hidden="1">
      <c r="A1086" s="1561" t="s">
        <v>1971</v>
      </c>
      <c r="B1086" s="1571"/>
      <c r="C1086" s="2369">
        <v>0</v>
      </c>
      <c r="D1086" s="2374">
        <f>+C1086*25000</f>
        <v>0</v>
      </c>
      <c r="E1086" s="1572"/>
      <c r="F1086" s="1573"/>
      <c r="G1086" s="1561" t="s">
        <v>1971</v>
      </c>
      <c r="H1086" s="1571"/>
      <c r="I1086" s="2369">
        <v>0</v>
      </c>
      <c r="J1086" s="2374">
        <f>+I1086*25000</f>
        <v>0</v>
      </c>
    </row>
    <row r="1087" spans="1:11">
      <c r="A1087" s="1561" t="s">
        <v>210</v>
      </c>
      <c r="B1087" s="1571" t="s">
        <v>211</v>
      </c>
      <c r="C1087" s="1567" t="e">
        <f>VLOOKUP(C1081,'Đội 2'!#REF!,8,0)</f>
        <v>#REF!</v>
      </c>
      <c r="D1087" s="2374" t="e">
        <f>VLOOKUP(C1081,'Đội 2'!#REF!,10,0)</f>
        <v>#REF!</v>
      </c>
      <c r="E1087" s="1574"/>
      <c r="F1087" s="1573"/>
      <c r="G1087" s="1561" t="s">
        <v>210</v>
      </c>
      <c r="H1087" s="1571" t="s">
        <v>211</v>
      </c>
      <c r="I1087" s="1567" t="e">
        <f>VLOOKUP(I1081,'Đội 2'!#REF!,8,0)</f>
        <v>#REF!</v>
      </c>
      <c r="J1087" s="2374" t="e">
        <f>VLOOKUP(I1081,'Đội 2'!#REF!,10,0)</f>
        <v>#REF!</v>
      </c>
    </row>
    <row r="1088" spans="1:11">
      <c r="A1088" s="1568" t="s">
        <v>212</v>
      </c>
      <c r="B1088" s="1571" t="s">
        <v>213</v>
      </c>
      <c r="C1088" s="1567"/>
      <c r="D1088" s="1568"/>
      <c r="E1088" s="1575"/>
      <c r="F1088" s="1576"/>
      <c r="G1088" s="1568" t="s">
        <v>212</v>
      </c>
      <c r="H1088" s="1571" t="s">
        <v>213</v>
      </c>
      <c r="I1088" s="1567"/>
      <c r="J1088" s="1568"/>
    </row>
    <row r="1089" spans="1:11">
      <c r="A1089" s="1577" t="s">
        <v>214</v>
      </c>
      <c r="B1089" s="1571" t="s">
        <v>215</v>
      </c>
      <c r="C1089" s="1567"/>
      <c r="D1089" s="1568"/>
      <c r="E1089" s="1574"/>
      <c r="F1089" s="1576"/>
      <c r="G1089" s="1577" t="s">
        <v>214</v>
      </c>
      <c r="H1089" s="1571" t="s">
        <v>215</v>
      </c>
      <c r="I1089" s="1567"/>
      <c r="J1089" s="1568"/>
    </row>
    <row r="1090" spans="1:11">
      <c r="A1090" s="1561" t="s">
        <v>216</v>
      </c>
      <c r="B1090" s="1571" t="s">
        <v>217</v>
      </c>
      <c r="C1090" s="1567"/>
      <c r="D1090" s="1568">
        <v>0</v>
      </c>
      <c r="E1090" s="1578"/>
      <c r="F1090" s="1560"/>
      <c r="G1090" s="1561" t="s">
        <v>216</v>
      </c>
      <c r="H1090" s="1571" t="s">
        <v>217</v>
      </c>
      <c r="I1090" s="1567"/>
      <c r="J1090" s="1568">
        <v>0</v>
      </c>
    </row>
    <row r="1091" spans="1:11">
      <c r="A1091" s="1568" t="s">
        <v>218</v>
      </c>
      <c r="B1091" s="1571" t="s">
        <v>219</v>
      </c>
      <c r="C1091" s="1579"/>
      <c r="D1091" s="1580" t="e">
        <f>SUM(D1082:D1087)-D1090</f>
        <v>#REF!</v>
      </c>
      <c r="E1091" s="1581"/>
      <c r="F1091" s="1582"/>
      <c r="G1091" s="1568" t="s">
        <v>218</v>
      </c>
      <c r="H1091" s="1571" t="s">
        <v>219</v>
      </c>
      <c r="I1091" s="1579"/>
      <c r="J1091" s="1580" t="e">
        <f>SUM(J1082:J1087)-J1090</f>
        <v>#REF!</v>
      </c>
      <c r="K1091" s="3350" t="e">
        <f>J1091+D1091</f>
        <v>#REF!</v>
      </c>
    </row>
    <row r="1092" spans="1:11">
      <c r="A1092" s="1583"/>
      <c r="B1092" s="1584"/>
      <c r="C1092" s="1585"/>
      <c r="D1092" s="1586"/>
      <c r="E1092" s="1582"/>
      <c r="F1092" s="1586"/>
      <c r="G1092" s="1583"/>
      <c r="H1092" s="1584"/>
      <c r="I1092" s="1585"/>
      <c r="J1092" s="1582"/>
    </row>
    <row r="1093" spans="1:11">
      <c r="A1093" s="1587"/>
      <c r="B1093" s="1587"/>
      <c r="C1093" s="1588"/>
      <c r="D1093" s="3335"/>
      <c r="E1093" s="1590"/>
      <c r="F1093" s="1587"/>
      <c r="G1093" s="1587"/>
      <c r="H1093" s="1587"/>
      <c r="I1093" s="1588"/>
      <c r="J1093" s="1591"/>
      <c r="K1093" s="3355"/>
    </row>
    <row r="1094" spans="1:11">
      <c r="A1094" s="4836" t="str">
        <f>$K$2</f>
        <v>Tháng 12/24</v>
      </c>
      <c r="B1094" s="4836"/>
      <c r="C1094" s="4836"/>
      <c r="D1094" s="4836"/>
      <c r="E1094" s="1560"/>
      <c r="F1094" s="1560"/>
      <c r="G1094" s="4836" t="str">
        <f>$K$2</f>
        <v>Tháng 12/24</v>
      </c>
      <c r="H1094" s="4836"/>
      <c r="I1094" s="4836"/>
      <c r="J1094" s="4836"/>
    </row>
    <row r="1095" spans="1:11" ht="18">
      <c r="A1095" s="1561" t="s">
        <v>1</v>
      </c>
      <c r="B1095" s="1562" t="e">
        <f>VLOOKUP(C1095,'Đội 2'!#REF!,2,0)</f>
        <v>#REF!</v>
      </c>
      <c r="C1095" s="1563">
        <v>19</v>
      </c>
      <c r="D1095" s="1563"/>
      <c r="E1095" s="1564"/>
      <c r="F1095" s="1565"/>
      <c r="G1095" s="1561" t="s">
        <v>1</v>
      </c>
      <c r="H1095" s="1562" t="e">
        <f>VLOOKUP(I1095,'Đội 2'!#REF!,2,0)</f>
        <v>#REF!</v>
      </c>
      <c r="I1095" s="1563">
        <v>20</v>
      </c>
      <c r="J1095" s="1563"/>
    </row>
    <row r="1096" spans="1:11" ht="18">
      <c r="A1096" s="1561" t="s">
        <v>205</v>
      </c>
      <c r="B1096" s="1566" t="s">
        <v>206</v>
      </c>
      <c r="C1096" s="1567" t="e">
        <f>VLOOKUP(C1095,'Đội 2'!#REF!,5,0)</f>
        <v>#REF!</v>
      </c>
      <c r="D1096" s="1568" t="e">
        <f>C1096*25000</f>
        <v>#REF!</v>
      </c>
      <c r="E1096" s="1569"/>
      <c r="F1096" s="1570"/>
      <c r="G1096" s="1561" t="s">
        <v>205</v>
      </c>
      <c r="H1096" s="1566" t="s">
        <v>206</v>
      </c>
      <c r="I1096" s="1567" t="e">
        <f>VLOOKUP(I1095,'Đội 2'!#REF!,5,0)</f>
        <v>#REF!</v>
      </c>
      <c r="J1096" s="1568" t="e">
        <f>I1096*25000</f>
        <v>#REF!</v>
      </c>
    </row>
    <row r="1097" spans="1:11">
      <c r="A1097" s="1561" t="s">
        <v>207</v>
      </c>
      <c r="B1097" s="1571" t="s">
        <v>208</v>
      </c>
      <c r="C1097" s="1567" t="e">
        <f>+VLOOKUP(C1095,'Đội 2'!#REF!,11,0)</f>
        <v>#REF!</v>
      </c>
      <c r="D1097" s="2374" t="e">
        <f>+C1097*$L$3</f>
        <v>#REF!</v>
      </c>
      <c r="E1097" s="1572"/>
      <c r="F1097" s="1573"/>
      <c r="G1097" s="1561" t="s">
        <v>207</v>
      </c>
      <c r="H1097" s="1571" t="s">
        <v>208</v>
      </c>
      <c r="I1097" s="1567" t="e">
        <f>+VLOOKUP(I1095,'Đội 2'!#REF!,11,0)</f>
        <v>#REF!</v>
      </c>
      <c r="J1097" s="2374" t="e">
        <f>+I1097*$L$3</f>
        <v>#REF!</v>
      </c>
    </row>
    <row r="1098" spans="1:11">
      <c r="A1098" s="1561" t="s">
        <v>1259</v>
      </c>
      <c r="B1098" s="1571" t="s">
        <v>209</v>
      </c>
      <c r="C1098" s="1567" t="e">
        <f>+VLOOKUP(C1095,'Đội 2'!#REF!,12,0)</f>
        <v>#REF!</v>
      </c>
      <c r="D1098" s="2374" t="e">
        <f>+C1098*$L$4</f>
        <v>#REF!</v>
      </c>
      <c r="E1098" s="1572"/>
      <c r="F1098" s="1573"/>
      <c r="G1098" s="1561" t="s">
        <v>1259</v>
      </c>
      <c r="H1098" s="1571" t="s">
        <v>209</v>
      </c>
      <c r="I1098" s="1567" t="e">
        <f>+VLOOKUP(I1095,'Đội 2'!#REF!,12,0)</f>
        <v>#REF!</v>
      </c>
      <c r="J1098" s="2374" t="e">
        <f>+I1098*$L$4</f>
        <v>#REF!</v>
      </c>
    </row>
    <row r="1099" spans="1:11">
      <c r="A1099" s="1561" t="s">
        <v>1531</v>
      </c>
      <c r="B1099" s="1571"/>
      <c r="C1099" s="1567" t="e">
        <f>+VLOOKUP(C1095,'Đội 2'!#REF!,14,0)</f>
        <v>#REF!</v>
      </c>
      <c r="D1099" s="2374" t="e">
        <f>+C1099*20000+VLOOKUP(C1095,'Đội 2'!#REF!,13,0)*$L$5</f>
        <v>#REF!</v>
      </c>
      <c r="E1099" s="1572"/>
      <c r="F1099" s="1573"/>
      <c r="G1099" s="1561" t="s">
        <v>1531</v>
      </c>
      <c r="H1099" s="1571"/>
      <c r="I1099" s="1567" t="e">
        <f>+VLOOKUP(I1095,'Đội 2'!#REF!,14,0)</f>
        <v>#REF!</v>
      </c>
      <c r="J1099" s="2374" t="e">
        <f>+I1099*20000+VLOOKUP(I1095,'Đội 2'!#REF!,13,0)*$L$5</f>
        <v>#REF!</v>
      </c>
    </row>
    <row r="1100" spans="1:11" hidden="1">
      <c r="A1100" s="1561" t="s">
        <v>1971</v>
      </c>
      <c r="B1100" s="1571"/>
      <c r="C1100" s="2369">
        <v>0</v>
      </c>
      <c r="D1100" s="2374">
        <f>+C1100*25000</f>
        <v>0</v>
      </c>
      <c r="E1100" s="1572"/>
      <c r="F1100" s="1573"/>
      <c r="G1100" s="1561" t="s">
        <v>1971</v>
      </c>
      <c r="H1100" s="1571"/>
      <c r="I1100" s="2369">
        <v>0</v>
      </c>
      <c r="J1100" s="2374">
        <f>+I1100*25000</f>
        <v>0</v>
      </c>
    </row>
    <row r="1101" spans="1:11">
      <c r="A1101" s="1561" t="s">
        <v>210</v>
      </c>
      <c r="B1101" s="1571" t="s">
        <v>211</v>
      </c>
      <c r="C1101" s="1567" t="e">
        <f>VLOOKUP(C1095,'Đội 2'!#REF!,8,0)</f>
        <v>#REF!</v>
      </c>
      <c r="D1101" s="2374" t="e">
        <f>VLOOKUP(C1095,'Đội 2'!#REF!,10,0)</f>
        <v>#REF!</v>
      </c>
      <c r="E1101" s="1574"/>
      <c r="F1101" s="1573"/>
      <c r="G1101" s="1561" t="s">
        <v>210</v>
      </c>
      <c r="H1101" s="1571" t="s">
        <v>211</v>
      </c>
      <c r="I1101" s="1567" t="e">
        <f>VLOOKUP(I1095,'Đội 2'!#REF!,8,0)</f>
        <v>#REF!</v>
      </c>
      <c r="J1101" s="2374" t="e">
        <f>VLOOKUP(I1095,'Đội 2'!#REF!,10,0)</f>
        <v>#REF!</v>
      </c>
    </row>
    <row r="1102" spans="1:11">
      <c r="A1102" s="1568" t="s">
        <v>212</v>
      </c>
      <c r="B1102" s="1571" t="s">
        <v>213</v>
      </c>
      <c r="C1102" s="1567"/>
      <c r="D1102" s="1568"/>
      <c r="E1102" s="1575"/>
      <c r="F1102" s="1576"/>
      <c r="G1102" s="1568" t="s">
        <v>212</v>
      </c>
      <c r="H1102" s="1571" t="s">
        <v>213</v>
      </c>
      <c r="I1102" s="1567"/>
      <c r="J1102" s="1568"/>
    </row>
    <row r="1103" spans="1:11">
      <c r="A1103" s="1577" t="s">
        <v>214</v>
      </c>
      <c r="B1103" s="1571" t="s">
        <v>215</v>
      </c>
      <c r="C1103" s="1567"/>
      <c r="D1103" s="1568"/>
      <c r="E1103" s="1574"/>
      <c r="F1103" s="1576"/>
      <c r="G1103" s="1577" t="s">
        <v>214</v>
      </c>
      <c r="H1103" s="1571" t="s">
        <v>215</v>
      </c>
      <c r="I1103" s="1567"/>
      <c r="J1103" s="1568"/>
    </row>
    <row r="1104" spans="1:11">
      <c r="A1104" s="1561" t="s">
        <v>216</v>
      </c>
      <c r="B1104" s="1571" t="s">
        <v>217</v>
      </c>
      <c r="C1104" s="1567"/>
      <c r="D1104" s="1568">
        <v>0</v>
      </c>
      <c r="E1104" s="1578"/>
      <c r="F1104" s="1560"/>
      <c r="G1104" s="1561" t="s">
        <v>216</v>
      </c>
      <c r="H1104" s="1571" t="s">
        <v>217</v>
      </c>
      <c r="I1104" s="1567"/>
      <c r="J1104" s="1568">
        <v>0</v>
      </c>
    </row>
    <row r="1105" spans="1:12">
      <c r="A1105" s="1568" t="s">
        <v>218</v>
      </c>
      <c r="B1105" s="1571" t="s">
        <v>219</v>
      </c>
      <c r="C1105" s="1567"/>
      <c r="D1105" s="1580" t="e">
        <f>SUM(D1096:D1101)-D1104</f>
        <v>#REF!</v>
      </c>
      <c r="E1105" s="3340"/>
      <c r="F1105" s="1560"/>
      <c r="G1105" s="1568" t="s">
        <v>218</v>
      </c>
      <c r="H1105" s="1571" t="s">
        <v>219</v>
      </c>
      <c r="I1105" s="1567"/>
      <c r="J1105" s="1580" t="e">
        <f>SUM(J1096:J1101)-J1104</f>
        <v>#REF!</v>
      </c>
      <c r="K1105" s="3350" t="e">
        <f>J1105+D1105</f>
        <v>#REF!</v>
      </c>
    </row>
    <row r="1106" spans="1:12">
      <c r="A1106" s="4836" t="str">
        <f>$K$2</f>
        <v>Tháng 12/24</v>
      </c>
      <c r="B1106" s="4836"/>
      <c r="C1106" s="4836"/>
      <c r="D1106" s="4836"/>
      <c r="E1106" s="1560"/>
      <c r="F1106" s="1560"/>
      <c r="G1106" s="4836" t="str">
        <f>$K$2</f>
        <v>Tháng 12/24</v>
      </c>
      <c r="H1106" s="4836"/>
      <c r="I1106" s="4836"/>
      <c r="J1106" s="4836"/>
    </row>
    <row r="1107" spans="1:12" ht="18">
      <c r="A1107" s="1561" t="s">
        <v>1</v>
      </c>
      <c r="B1107" s="1562" t="e">
        <f>VLOOKUP(C1107,'Đội 2'!#REF!,2,0)</f>
        <v>#REF!</v>
      </c>
      <c r="C1107" s="1563">
        <v>21</v>
      </c>
      <c r="D1107" s="1563"/>
      <c r="E1107" s="1564"/>
      <c r="F1107" s="1565"/>
      <c r="G1107" s="1561" t="s">
        <v>1</v>
      </c>
      <c r="H1107" s="1562" t="e">
        <f>VLOOKUP(I1107,'Đội 2'!#REF!,2,0)</f>
        <v>#REF!</v>
      </c>
      <c r="I1107" s="1563">
        <v>22</v>
      </c>
      <c r="J1107" s="1563"/>
    </row>
    <row r="1108" spans="1:12" ht="18">
      <c r="A1108" s="1561" t="s">
        <v>205</v>
      </c>
      <c r="B1108" s="1566" t="s">
        <v>206</v>
      </c>
      <c r="C1108" s="1567" t="e">
        <f>VLOOKUP(C1107,'Đội 2'!#REF!,5,0)</f>
        <v>#REF!</v>
      </c>
      <c r="D1108" s="1568" t="e">
        <f>C1108*25000</f>
        <v>#REF!</v>
      </c>
      <c r="E1108" s="1569"/>
      <c r="F1108" s="1570"/>
      <c r="G1108" s="1561" t="s">
        <v>205</v>
      </c>
      <c r="H1108" s="1566" t="s">
        <v>206</v>
      </c>
      <c r="I1108" s="1567" t="e">
        <f>VLOOKUP(I1107,'Đội 2'!#REF!,5,0)</f>
        <v>#REF!</v>
      </c>
      <c r="J1108" s="1568" t="e">
        <f>I1108*25000</f>
        <v>#REF!</v>
      </c>
    </row>
    <row r="1109" spans="1:12">
      <c r="A1109" s="1561" t="s">
        <v>207</v>
      </c>
      <c r="B1109" s="1571" t="s">
        <v>208</v>
      </c>
      <c r="C1109" s="1567" t="e">
        <f>+VLOOKUP(C1107,'Đội 2'!#REF!,11,0)</f>
        <v>#REF!</v>
      </c>
      <c r="D1109" s="2374" t="e">
        <f>+C1109*$L$3</f>
        <v>#REF!</v>
      </c>
      <c r="E1109" s="1572"/>
      <c r="F1109" s="1573"/>
      <c r="G1109" s="1561" t="s">
        <v>207</v>
      </c>
      <c r="H1109" s="1571" t="s">
        <v>208</v>
      </c>
      <c r="I1109" s="1567" t="e">
        <f>+VLOOKUP(I1107,'Đội 2'!#REF!,11,0)</f>
        <v>#REF!</v>
      </c>
      <c r="J1109" s="2374" t="e">
        <f>+I1109*$L$3</f>
        <v>#REF!</v>
      </c>
    </row>
    <row r="1110" spans="1:12">
      <c r="A1110" s="1561" t="s">
        <v>1259</v>
      </c>
      <c r="B1110" s="1571" t="s">
        <v>209</v>
      </c>
      <c r="C1110" s="1567" t="e">
        <f>+VLOOKUP(C1107,'Đội 2'!#REF!,12,0)</f>
        <v>#REF!</v>
      </c>
      <c r="D1110" s="2374" t="e">
        <f>+C1110*$L$4</f>
        <v>#REF!</v>
      </c>
      <c r="E1110" s="1572"/>
      <c r="F1110" s="1573"/>
      <c r="G1110" s="1561" t="s">
        <v>1259</v>
      </c>
      <c r="H1110" s="1571" t="s">
        <v>209</v>
      </c>
      <c r="I1110" s="1567" t="e">
        <f>+VLOOKUP(I1107,'Đội 2'!#REF!,12,0)</f>
        <v>#REF!</v>
      </c>
      <c r="J1110" s="2374" t="e">
        <f>+I1110*$L$4</f>
        <v>#REF!</v>
      </c>
    </row>
    <row r="1111" spans="1:12">
      <c r="A1111" s="1561" t="s">
        <v>1531</v>
      </c>
      <c r="B1111" s="1571"/>
      <c r="C1111" s="1567" t="e">
        <f>+VLOOKUP(C1107,'Đội 2'!#REF!,14,0)</f>
        <v>#REF!</v>
      </c>
      <c r="D1111" s="2374" t="e">
        <f>+C1111*20000+VLOOKUP(C1107,'Đội 2'!#REF!,13,0)*$L$5</f>
        <v>#REF!</v>
      </c>
      <c r="E1111" s="1572"/>
      <c r="F1111" s="1573"/>
      <c r="G1111" s="1561" t="s">
        <v>1531</v>
      </c>
      <c r="H1111" s="1571"/>
      <c r="I1111" s="1567" t="e">
        <f>+VLOOKUP(I1107,'Đội 2'!#REF!,14,0)</f>
        <v>#REF!</v>
      </c>
      <c r="J1111" s="2374" t="e">
        <f>+I1111*20000+VLOOKUP(I1107,'Đội 2'!#REF!,13,0)*$L$5</f>
        <v>#REF!</v>
      </c>
    </row>
    <row r="1112" spans="1:12" hidden="1">
      <c r="A1112" s="1561" t="s">
        <v>1971</v>
      </c>
      <c r="B1112" s="1571"/>
      <c r="C1112" s="2369">
        <v>0</v>
      </c>
      <c r="D1112" s="2374">
        <f>+C1112*25000</f>
        <v>0</v>
      </c>
      <c r="E1112" s="1572"/>
      <c r="F1112" s="1573"/>
      <c r="G1112" s="1561" t="s">
        <v>1971</v>
      </c>
      <c r="H1112" s="1571"/>
      <c r="I1112" s="2369">
        <v>0</v>
      </c>
      <c r="J1112" s="2374">
        <f>+I1112*25000</f>
        <v>0</v>
      </c>
    </row>
    <row r="1113" spans="1:12">
      <c r="A1113" s="1561" t="s">
        <v>210</v>
      </c>
      <c r="B1113" s="1571" t="s">
        <v>211</v>
      </c>
      <c r="C1113" s="1567" t="e">
        <f>VLOOKUP(C1107,'Đội 2'!#REF!,8,0)</f>
        <v>#REF!</v>
      </c>
      <c r="D1113" s="2374" t="e">
        <f>VLOOKUP(C1107,'Đội 2'!#REF!,10,0)</f>
        <v>#REF!</v>
      </c>
      <c r="E1113" s="1574"/>
      <c r="F1113" s="1573"/>
      <c r="G1113" s="1561" t="s">
        <v>210</v>
      </c>
      <c r="H1113" s="1571" t="s">
        <v>211</v>
      </c>
      <c r="I1113" s="1567" t="e">
        <f>VLOOKUP(I1107,'Đội 2'!#REF!,8,0)</f>
        <v>#REF!</v>
      </c>
      <c r="J1113" s="2374" t="e">
        <f>VLOOKUP(I1107,'Đội 2'!#REF!,10,0)</f>
        <v>#REF!</v>
      </c>
    </row>
    <row r="1114" spans="1:12">
      <c r="A1114" s="1568" t="s">
        <v>212</v>
      </c>
      <c r="B1114" s="1571" t="s">
        <v>213</v>
      </c>
      <c r="C1114" s="1567"/>
      <c r="D1114" s="1568"/>
      <c r="E1114" s="1575"/>
      <c r="F1114" s="1576"/>
      <c r="G1114" s="1568" t="s">
        <v>212</v>
      </c>
      <c r="H1114" s="1571" t="s">
        <v>213</v>
      </c>
      <c r="I1114" s="1567"/>
      <c r="J1114" s="1568"/>
    </row>
    <row r="1115" spans="1:12">
      <c r="A1115" s="1577" t="s">
        <v>214</v>
      </c>
      <c r="B1115" s="1571" t="s">
        <v>215</v>
      </c>
      <c r="C1115" s="1567"/>
      <c r="D1115" s="1568"/>
      <c r="E1115" s="1574"/>
      <c r="F1115" s="1576"/>
      <c r="G1115" s="1577" t="s">
        <v>214</v>
      </c>
      <c r="H1115" s="1571" t="s">
        <v>215</v>
      </c>
      <c r="I1115" s="1567"/>
      <c r="J1115" s="1568"/>
    </row>
    <row r="1116" spans="1:12">
      <c r="A1116" s="1561" t="s">
        <v>216</v>
      </c>
      <c r="B1116" s="1571" t="s">
        <v>217</v>
      </c>
      <c r="C1116" s="1567"/>
      <c r="D1116" s="1568">
        <v>0</v>
      </c>
      <c r="E1116" s="1578"/>
      <c r="F1116" s="1560"/>
      <c r="G1116" s="1561" t="s">
        <v>216</v>
      </c>
      <c r="H1116" s="1571" t="s">
        <v>217</v>
      </c>
      <c r="I1116" s="1567"/>
      <c r="J1116" s="1568">
        <v>0</v>
      </c>
    </row>
    <row r="1117" spans="1:12">
      <c r="A1117" s="1568" t="s">
        <v>218</v>
      </c>
      <c r="B1117" s="1571" t="s">
        <v>219</v>
      </c>
      <c r="C1117" s="1579"/>
      <c r="D1117" s="1580" t="e">
        <f>SUM(D1108:D1113)-D1116</f>
        <v>#REF!</v>
      </c>
      <c r="E1117" s="1581"/>
      <c r="F1117" s="1582"/>
      <c r="G1117" s="1568" t="s">
        <v>218</v>
      </c>
      <c r="H1117" s="1571" t="s">
        <v>219</v>
      </c>
      <c r="I1117" s="1579"/>
      <c r="J1117" s="1580" t="e">
        <f>SUM(J1108:J1113)-J1116</f>
        <v>#REF!</v>
      </c>
      <c r="K1117" s="3350" t="e">
        <f>J1117+D1117</f>
        <v>#REF!</v>
      </c>
    </row>
    <row r="1118" spans="1:12">
      <c r="A1118" s="1583"/>
      <c r="B1118" s="1584"/>
      <c r="C1118" s="1585"/>
      <c r="D1118" s="1586"/>
      <c r="E1118" s="1582"/>
      <c r="F1118" s="1586"/>
      <c r="G1118" s="1583"/>
      <c r="H1118" s="1584"/>
      <c r="I1118" s="1585"/>
      <c r="J1118" s="1582"/>
    </row>
    <row r="1119" spans="1:12">
      <c r="A1119" s="1587"/>
      <c r="B1119" s="1587"/>
      <c r="C1119" s="1588"/>
      <c r="D1119" s="3335"/>
      <c r="E1119" s="1590"/>
      <c r="F1119" s="1587"/>
      <c r="G1119" s="1587"/>
      <c r="H1119" s="1587"/>
      <c r="I1119" s="1588"/>
      <c r="J1119" s="1591"/>
      <c r="K1119" s="3355"/>
    </row>
    <row r="1120" spans="1:12">
      <c r="A1120" s="4836" t="str">
        <f>$K$2</f>
        <v>Tháng 12/24</v>
      </c>
      <c r="B1120" s="4836"/>
      <c r="C1120" s="4836"/>
      <c r="D1120" s="4836"/>
      <c r="E1120" s="1560"/>
      <c r="F1120" s="1560"/>
      <c r="G1120" s="4836" t="str">
        <f>$K$2</f>
        <v>Tháng 12/24</v>
      </c>
      <c r="H1120" s="4836"/>
      <c r="I1120" s="4836"/>
      <c r="J1120" s="4836"/>
      <c r="K1120" s="3356"/>
      <c r="L1120" s="3357"/>
    </row>
    <row r="1121" spans="1:12" ht="18">
      <c r="A1121" s="1561" t="s">
        <v>1</v>
      </c>
      <c r="B1121" s="1562" t="e">
        <f>VLOOKUP(C1121,'Đội 2'!#REF!,2,0)</f>
        <v>#REF!</v>
      </c>
      <c r="C1121" s="1563">
        <v>23</v>
      </c>
      <c r="D1121" s="1563"/>
      <c r="E1121" s="1564"/>
      <c r="F1121" s="1565"/>
      <c r="G1121" s="1561" t="s">
        <v>1</v>
      </c>
      <c r="H1121" s="1562" t="e">
        <f>+'Đội 2'!#REF!</f>
        <v>#REF!</v>
      </c>
      <c r="I1121" s="1563">
        <v>24</v>
      </c>
      <c r="J1121" s="1563"/>
      <c r="K1121" s="3356"/>
      <c r="L1121" s="3357"/>
    </row>
    <row r="1122" spans="1:12" ht="18">
      <c r="A1122" s="1561" t="s">
        <v>205</v>
      </c>
      <c r="B1122" s="1566" t="s">
        <v>206</v>
      </c>
      <c r="C1122" s="1567" t="e">
        <f>VLOOKUP(C1121,'Đội 2'!#REF!,5,0)</f>
        <v>#REF!</v>
      </c>
      <c r="D1122" s="1568" t="e">
        <f>C1122*25000</f>
        <v>#REF!</v>
      </c>
      <c r="E1122" s="1569"/>
      <c r="F1122" s="1570"/>
      <c r="G1122" s="1561" t="s">
        <v>205</v>
      </c>
      <c r="H1122" s="1566" t="s">
        <v>206</v>
      </c>
      <c r="I1122" s="1567"/>
      <c r="J1122" s="1568">
        <f>I1122*25000</f>
        <v>0</v>
      </c>
      <c r="K1122" s="3355"/>
    </row>
    <row r="1123" spans="1:12">
      <c r="A1123" s="1561" t="s">
        <v>207</v>
      </c>
      <c r="B1123" s="1571" t="s">
        <v>208</v>
      </c>
      <c r="C1123" s="1567" t="e">
        <f>+VLOOKUP(C1121,'Đội 2'!#REF!,11,0)</f>
        <v>#REF!</v>
      </c>
      <c r="D1123" s="2374" t="e">
        <f>+C1123*$L$3</f>
        <v>#REF!</v>
      </c>
      <c r="E1123" s="1572"/>
      <c r="F1123" s="1573"/>
      <c r="G1123" s="1561" t="s">
        <v>207</v>
      </c>
      <c r="H1123" s="1571" t="s">
        <v>208</v>
      </c>
      <c r="I1123" s="1567" t="e">
        <f>+'Đội 2'!#REF!</f>
        <v>#REF!</v>
      </c>
      <c r="J1123" s="2374" t="e">
        <f>+I1123*$L$3</f>
        <v>#REF!</v>
      </c>
      <c r="K1123" s="3355"/>
    </row>
    <row r="1124" spans="1:12">
      <c r="A1124" s="1561" t="s">
        <v>1259</v>
      </c>
      <c r="B1124" s="1571" t="s">
        <v>209</v>
      </c>
      <c r="C1124" s="1567" t="e">
        <f>+VLOOKUP(C1121,'Đội 2'!#REF!,12,0)</f>
        <v>#REF!</v>
      </c>
      <c r="D1124" s="2374" t="e">
        <f>+C1124*$L$4</f>
        <v>#REF!</v>
      </c>
      <c r="E1124" s="1572"/>
      <c r="F1124" s="1573"/>
      <c r="G1124" s="1561" t="s">
        <v>1259</v>
      </c>
      <c r="H1124" s="1571" t="s">
        <v>209</v>
      </c>
      <c r="I1124" s="2369"/>
      <c r="J1124" s="2374">
        <f>+I1124*$L$4</f>
        <v>0</v>
      </c>
    </row>
    <row r="1125" spans="1:12">
      <c r="A1125" s="1561" t="s">
        <v>1531</v>
      </c>
      <c r="B1125" s="1571"/>
      <c r="C1125" s="1567" t="e">
        <f>+VLOOKUP(C1121,'Đội 2'!#REF!,14,0)</f>
        <v>#REF!</v>
      </c>
      <c r="D1125" s="2374" t="e">
        <f>+C1125*20000+VLOOKUP(C1121,'Đội 2'!#REF!,13,0)*$L$5</f>
        <v>#REF!</v>
      </c>
      <c r="E1125" s="1572"/>
      <c r="F1125" s="1573"/>
      <c r="G1125" s="1561" t="s">
        <v>1531</v>
      </c>
      <c r="H1125" s="1571"/>
      <c r="I1125" s="2369" t="e">
        <f>+I1123</f>
        <v>#REF!</v>
      </c>
      <c r="J1125" s="2374" t="e">
        <f>+I1125*20000</f>
        <v>#REF!</v>
      </c>
    </row>
    <row r="1126" spans="1:12" hidden="1">
      <c r="A1126" s="1561" t="s">
        <v>1971</v>
      </c>
      <c r="B1126" s="1571"/>
      <c r="C1126" s="2369">
        <v>0</v>
      </c>
      <c r="D1126" s="2374">
        <f>+C1126*25000</f>
        <v>0</v>
      </c>
      <c r="E1126" s="1572"/>
      <c r="F1126" s="1573"/>
      <c r="G1126" s="1561" t="s">
        <v>1971</v>
      </c>
      <c r="H1126" s="1571"/>
      <c r="I1126" s="2369"/>
      <c r="J1126" s="2374">
        <f>+I1126*25000</f>
        <v>0</v>
      </c>
    </row>
    <row r="1127" spans="1:12">
      <c r="A1127" s="1561" t="s">
        <v>210</v>
      </c>
      <c r="B1127" s="1571" t="s">
        <v>211</v>
      </c>
      <c r="C1127" s="1567" t="e">
        <f>VLOOKUP(C1121,'Đội 2'!#REF!,8,0)</f>
        <v>#REF!</v>
      </c>
      <c r="D1127" s="2374" t="e">
        <f>VLOOKUP(C1121,'Đội 2'!#REF!,10,0)</f>
        <v>#REF!</v>
      </c>
      <c r="E1127" s="1574"/>
      <c r="F1127" s="1573"/>
      <c r="G1127" s="1561" t="s">
        <v>210</v>
      </c>
      <c r="H1127" s="1571" t="s">
        <v>211</v>
      </c>
      <c r="I1127" s="1567"/>
      <c r="J1127" s="2374"/>
    </row>
    <row r="1128" spans="1:12">
      <c r="A1128" s="1568" t="s">
        <v>212</v>
      </c>
      <c r="B1128" s="1571" t="s">
        <v>213</v>
      </c>
      <c r="C1128" s="1567"/>
      <c r="D1128" s="1568"/>
      <c r="E1128" s="1575"/>
      <c r="F1128" s="1576"/>
      <c r="G1128" s="1568" t="s">
        <v>212</v>
      </c>
      <c r="H1128" s="1571" t="s">
        <v>213</v>
      </c>
      <c r="I1128" s="1567"/>
      <c r="J1128" s="1568"/>
    </row>
    <row r="1129" spans="1:12">
      <c r="A1129" s="1577" t="s">
        <v>214</v>
      </c>
      <c r="B1129" s="1571" t="s">
        <v>215</v>
      </c>
      <c r="C1129" s="1567"/>
      <c r="D1129" s="1568"/>
      <c r="E1129" s="1574"/>
      <c r="F1129" s="1576"/>
      <c r="G1129" s="1577" t="s">
        <v>214</v>
      </c>
      <c r="H1129" s="1571" t="s">
        <v>215</v>
      </c>
      <c r="I1129" s="1567"/>
      <c r="J1129" s="1568">
        <f>+'Đội 1'!AC1086</f>
        <v>0</v>
      </c>
    </row>
    <row r="1130" spans="1:12">
      <c r="A1130" s="1561" t="s">
        <v>216</v>
      </c>
      <c r="B1130" s="1571" t="s">
        <v>217</v>
      </c>
      <c r="C1130" s="1567"/>
      <c r="D1130" s="1568">
        <v>0</v>
      </c>
      <c r="E1130" s="1578"/>
      <c r="F1130" s="1560"/>
      <c r="G1130" s="1561" t="s">
        <v>216</v>
      </c>
      <c r="H1130" s="1571" t="s">
        <v>217</v>
      </c>
      <c r="I1130" s="1567"/>
      <c r="J1130" s="1568">
        <f>+J1129</f>
        <v>0</v>
      </c>
    </row>
    <row r="1131" spans="1:12">
      <c r="A1131" s="1568" t="s">
        <v>218</v>
      </c>
      <c r="B1131" s="1571" t="s">
        <v>219</v>
      </c>
      <c r="C1131" s="1579"/>
      <c r="D1131" s="1580" t="e">
        <f>SUM(D1122:D1127)-D1130</f>
        <v>#REF!</v>
      </c>
      <c r="E1131" s="1581"/>
      <c r="F1131" s="1582"/>
      <c r="G1131" s="1568" t="s">
        <v>218</v>
      </c>
      <c r="H1131" s="1571" t="s">
        <v>219</v>
      </c>
      <c r="I1131" s="1579"/>
      <c r="J1131" s="1580" t="e">
        <f>SUM(J1122:J1127)-J1130</f>
        <v>#REF!</v>
      </c>
      <c r="K1131" s="3350" t="e">
        <f>J1131+D1131</f>
        <v>#REF!</v>
      </c>
    </row>
    <row r="1132" spans="1:12">
      <c r="A1132" s="1583"/>
      <c r="B1132" s="1584"/>
      <c r="C1132" s="1592"/>
      <c r="D1132" s="1593"/>
      <c r="E1132" s="1582"/>
      <c r="F1132" s="1586"/>
      <c r="G1132" s="1583"/>
      <c r="H1132" s="1584"/>
      <c r="I1132" s="1592"/>
      <c r="J1132" s="3499"/>
      <c r="K1132" s="3350"/>
    </row>
    <row r="1133" spans="1:12">
      <c r="A1133" s="1583"/>
      <c r="B1133" s="1584"/>
      <c r="C1133" s="1592"/>
      <c r="D1133" s="1593"/>
      <c r="E1133" s="1582"/>
      <c r="F1133" s="1586"/>
      <c r="G1133" s="1583"/>
      <c r="H1133" s="1584"/>
      <c r="I1133" s="1592"/>
      <c r="J1133" s="3499"/>
      <c r="K1133" s="3350"/>
    </row>
    <row r="1134" spans="1:12">
      <c r="A1134" s="4836" t="str">
        <f>$K$2</f>
        <v>Tháng 12/24</v>
      </c>
      <c r="B1134" s="4836"/>
      <c r="C1134" s="4836"/>
      <c r="D1134" s="4836"/>
      <c r="E1134" s="1560"/>
      <c r="F1134" s="1560"/>
      <c r="G1134" s="4836" t="str">
        <f>$K$2</f>
        <v>Tháng 12/24</v>
      </c>
      <c r="H1134" s="4836"/>
      <c r="I1134" s="4836"/>
      <c r="J1134" s="4836"/>
      <c r="K1134" s="3350"/>
    </row>
    <row r="1135" spans="1:12" ht="18">
      <c r="A1135" s="1561" t="s">
        <v>1</v>
      </c>
      <c r="B1135" s="1562" t="s">
        <v>848</v>
      </c>
      <c r="C1135" s="1563">
        <v>25</v>
      </c>
      <c r="D1135" s="1563"/>
      <c r="E1135" s="1564"/>
      <c r="F1135" s="1565"/>
      <c r="G1135" s="1561" t="s">
        <v>1</v>
      </c>
      <c r="H1135" s="1562" t="e">
        <f>+'Đội 2'!#REF!</f>
        <v>#REF!</v>
      </c>
      <c r="I1135" s="1563">
        <v>24</v>
      </c>
      <c r="J1135" s="1563"/>
      <c r="K1135" s="3350"/>
    </row>
    <row r="1136" spans="1:12" ht="18">
      <c r="A1136" s="1561" t="s">
        <v>205</v>
      </c>
      <c r="B1136" s="1566" t="s">
        <v>206</v>
      </c>
      <c r="C1136" s="1567">
        <v>0</v>
      </c>
      <c r="D1136" s="1568">
        <f>C1136*25000</f>
        <v>0</v>
      </c>
      <c r="E1136" s="1569"/>
      <c r="F1136" s="1570"/>
      <c r="G1136" s="1561" t="s">
        <v>205</v>
      </c>
      <c r="H1136" s="1566" t="s">
        <v>206</v>
      </c>
      <c r="I1136" s="1567"/>
      <c r="J1136" s="1568">
        <f>I1136*25000</f>
        <v>0</v>
      </c>
      <c r="K1136" s="3350"/>
    </row>
    <row r="1137" spans="1:14">
      <c r="A1137" s="1561" t="s">
        <v>207</v>
      </c>
      <c r="B1137" s="1571" t="s">
        <v>208</v>
      </c>
      <c r="C1137" s="1567">
        <v>2</v>
      </c>
      <c r="D1137" s="2374">
        <f>+C1137*$L$3</f>
        <v>60464.759999999995</v>
      </c>
      <c r="E1137" s="1572"/>
      <c r="F1137" s="1573"/>
      <c r="G1137" s="1561" t="s">
        <v>207</v>
      </c>
      <c r="H1137" s="1571" t="s">
        <v>208</v>
      </c>
      <c r="I1137" s="1567" t="e">
        <f>+'Đội 2'!#REF!</f>
        <v>#REF!</v>
      </c>
      <c r="J1137" s="2374" t="e">
        <f>+I1137*$L$3</f>
        <v>#REF!</v>
      </c>
      <c r="K1137" s="3350"/>
    </row>
    <row r="1138" spans="1:14">
      <c r="A1138" s="1561" t="s">
        <v>1259</v>
      </c>
      <c r="B1138" s="1571" t="s">
        <v>209</v>
      </c>
      <c r="C1138" s="1567">
        <v>0</v>
      </c>
      <c r="D1138" s="2374">
        <f>+C1138*$L$4</f>
        <v>0</v>
      </c>
      <c r="E1138" s="1572"/>
      <c r="F1138" s="1573"/>
      <c r="G1138" s="1561" t="s">
        <v>1259</v>
      </c>
      <c r="H1138" s="1571" t="s">
        <v>209</v>
      </c>
      <c r="I1138" s="2369"/>
      <c r="J1138" s="2374">
        <f>+I1138*$L$4</f>
        <v>0</v>
      </c>
      <c r="K1138" s="3350"/>
    </row>
    <row r="1139" spans="1:14">
      <c r="A1139" s="1561" t="s">
        <v>1531</v>
      </c>
      <c r="B1139" s="1571"/>
      <c r="C1139" s="1567">
        <v>2</v>
      </c>
      <c r="D1139" s="2374">
        <f>+C1139*20000</f>
        <v>40000</v>
      </c>
      <c r="E1139" s="1572"/>
      <c r="F1139" s="1573"/>
      <c r="G1139" s="1561" t="s">
        <v>1531</v>
      </c>
      <c r="H1139" s="1571"/>
      <c r="I1139" s="2369" t="e">
        <f>+I1137</f>
        <v>#REF!</v>
      </c>
      <c r="J1139" s="2374" t="e">
        <f>+I1139*20000</f>
        <v>#REF!</v>
      </c>
      <c r="K1139" s="3350"/>
    </row>
    <row r="1140" spans="1:14">
      <c r="A1140" s="1561" t="s">
        <v>1971</v>
      </c>
      <c r="B1140" s="1571"/>
      <c r="C1140" s="2369">
        <v>0</v>
      </c>
      <c r="D1140" s="2374">
        <f>+C1140*25000</f>
        <v>0</v>
      </c>
      <c r="E1140" s="1572"/>
      <c r="F1140" s="1573"/>
      <c r="G1140" s="1561" t="s">
        <v>1971</v>
      </c>
      <c r="H1140" s="1571"/>
      <c r="I1140" s="2369"/>
      <c r="J1140" s="2374">
        <f>+I1140*25000</f>
        <v>0</v>
      </c>
      <c r="K1140" s="3350"/>
    </row>
    <row r="1141" spans="1:14">
      <c r="A1141" s="1561" t="s">
        <v>210</v>
      </c>
      <c r="B1141" s="1571" t="s">
        <v>211</v>
      </c>
      <c r="C1141" s="1567">
        <v>0</v>
      </c>
      <c r="D1141" s="2374">
        <v>0</v>
      </c>
      <c r="E1141" s="1574"/>
      <c r="F1141" s="1573"/>
      <c r="G1141" s="1561" t="s">
        <v>210</v>
      </c>
      <c r="H1141" s="1571" t="s">
        <v>211</v>
      </c>
      <c r="I1141" s="1567"/>
      <c r="J1141" s="2374"/>
      <c r="K1141" s="3350"/>
    </row>
    <row r="1142" spans="1:14">
      <c r="A1142" s="1568" t="s">
        <v>212</v>
      </c>
      <c r="B1142" s="1571" t="s">
        <v>213</v>
      </c>
      <c r="C1142" s="1567"/>
      <c r="D1142" s="1568"/>
      <c r="E1142" s="1575"/>
      <c r="F1142" s="1576"/>
      <c r="G1142" s="1568" t="s">
        <v>212</v>
      </c>
      <c r="H1142" s="1571" t="s">
        <v>213</v>
      </c>
      <c r="I1142" s="1567"/>
      <c r="J1142" s="1568"/>
      <c r="K1142" s="3350"/>
    </row>
    <row r="1143" spans="1:14">
      <c r="A1143" s="1577" t="s">
        <v>214</v>
      </c>
      <c r="B1143" s="1571" t="s">
        <v>215</v>
      </c>
      <c r="C1143" s="1567"/>
      <c r="D1143" s="1568"/>
      <c r="E1143" s="1574"/>
      <c r="F1143" s="1576"/>
      <c r="G1143" s="1577" t="s">
        <v>214</v>
      </c>
      <c r="H1143" s="1571" t="s">
        <v>215</v>
      </c>
      <c r="I1143" s="1567"/>
      <c r="J1143" s="1568">
        <f>+'Đội 1'!AC1100</f>
        <v>0</v>
      </c>
      <c r="K1143" s="3350"/>
    </row>
    <row r="1144" spans="1:14">
      <c r="A1144" s="1561" t="s">
        <v>216</v>
      </c>
      <c r="B1144" s="1571" t="s">
        <v>217</v>
      </c>
      <c r="C1144" s="1567"/>
      <c r="D1144" s="1568">
        <v>0</v>
      </c>
      <c r="E1144" s="1578"/>
      <c r="F1144" s="1560"/>
      <c r="G1144" s="1561" t="s">
        <v>216</v>
      </c>
      <c r="H1144" s="1571" t="s">
        <v>217</v>
      </c>
      <c r="I1144" s="1567"/>
      <c r="J1144" s="1568">
        <f>+J1143</f>
        <v>0</v>
      </c>
      <c r="K1144" s="3350"/>
    </row>
    <row r="1145" spans="1:14">
      <c r="A1145" s="1568" t="s">
        <v>218</v>
      </c>
      <c r="B1145" s="1571" t="s">
        <v>219</v>
      </c>
      <c r="C1145" s="1579"/>
      <c r="D1145" s="1580">
        <f>SUM(D1136:D1141)-D1144</f>
        <v>100464.76</v>
      </c>
      <c r="E1145" s="1581"/>
      <c r="F1145" s="1582"/>
      <c r="G1145" s="1568" t="s">
        <v>218</v>
      </c>
      <c r="H1145" s="1571" t="s">
        <v>219</v>
      </c>
      <c r="I1145" s="1579"/>
      <c r="J1145" s="1580" t="e">
        <f>SUM(J1136:J1141)-J1144</f>
        <v>#REF!</v>
      </c>
      <c r="K1145" s="3350" t="e">
        <f>J1145+D1145</f>
        <v>#REF!</v>
      </c>
    </row>
    <row r="1146" spans="1:14">
      <c r="A1146" s="1583"/>
      <c r="B1146" s="1584"/>
      <c r="C1146" s="1585"/>
      <c r="D1146" s="1586"/>
      <c r="E1146" s="1582"/>
      <c r="F1146" s="1586"/>
      <c r="G1146" s="1583"/>
      <c r="H1146" s="1584"/>
      <c r="I1146" s="1585"/>
      <c r="J1146" s="1582"/>
      <c r="K1146" s="3350" t="e">
        <f>SUM(K981:K1145)</f>
        <v>#REF!</v>
      </c>
      <c r="L1146" s="3354" t="s">
        <v>1877</v>
      </c>
      <c r="M1146" s="3347" t="e">
        <f>+SUM('Đội 2'!#REF!)</f>
        <v>#REF!</v>
      </c>
      <c r="N1146" s="3350" t="e">
        <f>+M1146-K1146</f>
        <v>#REF!</v>
      </c>
    </row>
    <row r="1147" spans="1:14">
      <c r="A1147" s="1583"/>
      <c r="B1147" s="1584"/>
      <c r="C1147" s="1585"/>
      <c r="D1147" s="1586"/>
      <c r="E1147" s="1582"/>
      <c r="F1147" s="1586"/>
      <c r="G1147" s="1583"/>
      <c r="H1147" s="1584"/>
      <c r="I1147" s="1585"/>
      <c r="J1147" s="1582"/>
      <c r="K1147" s="3353" t="e">
        <f>K1146+K968</f>
        <v>#REF!</v>
      </c>
      <c r="L1147" s="3354" t="s">
        <v>1991</v>
      </c>
      <c r="M1147" s="3347" t="e">
        <f>+M1146+M968</f>
        <v>#REF!</v>
      </c>
    </row>
    <row r="1148" spans="1:14">
      <c r="A1148" s="1583"/>
      <c r="B1148" s="1584"/>
      <c r="C1148" s="1585"/>
      <c r="D1148" s="1586"/>
      <c r="E1148" s="1582"/>
      <c r="F1148" s="1586"/>
      <c r="G1148" s="1583"/>
      <c r="H1148" s="1584"/>
      <c r="I1148" s="1585"/>
      <c r="J1148" s="1582"/>
      <c r="L1148" s="3354"/>
    </row>
    <row r="1149" spans="1:14">
      <c r="A1149" s="1583"/>
      <c r="B1149" s="1584"/>
      <c r="C1149" s="1585"/>
      <c r="D1149" s="1586"/>
      <c r="E1149" s="1582"/>
      <c r="F1149" s="1586"/>
      <c r="G1149" s="1583"/>
      <c r="H1149" s="1584"/>
      <c r="I1149" s="1585"/>
      <c r="J1149" s="1582"/>
    </row>
    <row r="1150" spans="1:14">
      <c r="A1150" s="4838" t="s">
        <v>1372</v>
      </c>
      <c r="B1150" s="4838"/>
      <c r="C1150" s="4838"/>
      <c r="D1150" s="4838"/>
      <c r="E1150" s="4838"/>
      <c r="F1150" s="4838"/>
      <c r="G1150" s="4838"/>
      <c r="H1150" s="4838"/>
      <c r="I1150" s="4838"/>
      <c r="J1150" s="4839"/>
      <c r="K1150" s="3355"/>
    </row>
    <row r="1151" spans="1:14">
      <c r="A1151" s="4836" t="str">
        <f>$K$2</f>
        <v>Tháng 12/24</v>
      </c>
      <c r="B1151" s="4836"/>
      <c r="C1151" s="4836"/>
      <c r="D1151" s="4836"/>
      <c r="E1151" s="1560"/>
      <c r="F1151" s="1560"/>
      <c r="G1151" s="4836" t="str">
        <f>$K$2</f>
        <v>Tháng 12/24</v>
      </c>
      <c r="H1151" s="4836"/>
      <c r="I1151" s="4836"/>
      <c r="J1151" s="4836"/>
    </row>
    <row r="1152" spans="1:14" ht="18">
      <c r="A1152" s="1561" t="s">
        <v>1</v>
      </c>
      <c r="B1152" s="1562" t="str">
        <f>VLOOKUP(C1152,'Đội 3'!$A$16:$C$46,3,0)</f>
        <v>Thông Đăm</v>
      </c>
      <c r="C1152" s="1563">
        <v>1</v>
      </c>
      <c r="D1152" s="1563"/>
      <c r="E1152" s="1564"/>
      <c r="F1152" s="1565"/>
      <c r="G1152" s="1561" t="s">
        <v>1</v>
      </c>
      <c r="H1152" s="1562" t="str">
        <f>VLOOKUP(I1152,'Đội 3'!$A$16:$C$46,3,0)</f>
        <v>A Bươi</v>
      </c>
      <c r="I1152" s="1563">
        <v>2</v>
      </c>
      <c r="J1152" s="1563"/>
    </row>
    <row r="1153" spans="1:11" ht="18">
      <c r="A1153" s="1561" t="s">
        <v>205</v>
      </c>
      <c r="B1153" s="1566" t="s">
        <v>206</v>
      </c>
      <c r="C1153" s="1567">
        <f>VLOOKUP(C1152,'Đội 3'!$A$16:$F$46,6,0)</f>
        <v>0</v>
      </c>
      <c r="D1153" s="1568">
        <f>C1153*25000</f>
        <v>0</v>
      </c>
      <c r="E1153" s="1569"/>
      <c r="F1153" s="1570"/>
      <c r="G1153" s="1561" t="s">
        <v>205</v>
      </c>
      <c r="H1153" s="1566" t="s">
        <v>206</v>
      </c>
      <c r="I1153" s="1567">
        <f>VLOOKUP(I1152,'Đội 3'!$A$16:$F$46,6,0)</f>
        <v>0</v>
      </c>
      <c r="J1153" s="1568">
        <f>I1153*25000</f>
        <v>0</v>
      </c>
    </row>
    <row r="1154" spans="1:11">
      <c r="A1154" s="1561" t="s">
        <v>207</v>
      </c>
      <c r="B1154" s="1571" t="s">
        <v>208</v>
      </c>
      <c r="C1154" s="1567">
        <f>VLOOKUP(C1152,'Đội 3'!$A$16:$O$46,13,0)</f>
        <v>60210</v>
      </c>
      <c r="D1154" s="2374">
        <f>+C1154*$L$3</f>
        <v>1820291599.8</v>
      </c>
      <c r="E1154" s="1572"/>
      <c r="F1154" s="1573"/>
      <c r="G1154" s="1561" t="s">
        <v>207</v>
      </c>
      <c r="H1154" s="1571" t="s">
        <v>208</v>
      </c>
      <c r="I1154" s="1567">
        <f>VLOOKUP(I1152,'Đội 3'!$A$16:$O$46,13,0)</f>
        <v>66057</v>
      </c>
      <c r="J1154" s="2374">
        <f>+I1154*$L$3</f>
        <v>1997060325.6599998</v>
      </c>
    </row>
    <row r="1155" spans="1:11">
      <c r="A1155" s="1561" t="s">
        <v>1259</v>
      </c>
      <c r="B1155" s="1571" t="s">
        <v>209</v>
      </c>
      <c r="C1155" s="2369">
        <f>VLOOKUP(C1152,'Đội 3'!$A$16:$P$46,14,0)</f>
        <v>90809.244918656914</v>
      </c>
      <c r="D1155" s="2374">
        <f>+C1155*$L$4</f>
        <v>4579602846.6776848</v>
      </c>
      <c r="E1155" s="1572"/>
      <c r="F1155" s="1573"/>
      <c r="G1155" s="1561" t="s">
        <v>1259</v>
      </c>
      <c r="H1155" s="1571" t="s">
        <v>209</v>
      </c>
      <c r="I1155" s="2369">
        <f>VLOOKUP(I1152,'Đội 3'!$A$16:$P$46,14,0)</f>
        <v>101363.16217927012</v>
      </c>
      <c r="J1155" s="2374">
        <f>+I1155*$L$4</f>
        <v>5111847659.1260147</v>
      </c>
    </row>
    <row r="1156" spans="1:11">
      <c r="A1156" s="1561" t="s">
        <v>1531</v>
      </c>
      <c r="B1156" s="1571"/>
      <c r="C1156" s="2369">
        <f>VLOOKUP(C1152,'Đội 3'!$A$16:$S$46,16,0)</f>
        <v>0</v>
      </c>
      <c r="D1156" s="2374">
        <f>+C1156*20000</f>
        <v>0</v>
      </c>
      <c r="E1156" s="1572"/>
      <c r="F1156" s="1573"/>
      <c r="G1156" s="1561" t="s">
        <v>1531</v>
      </c>
      <c r="H1156" s="1571"/>
      <c r="I1156" s="2369">
        <f>VLOOKUP(I1152,'Đội 3'!$A$16:$S$46,16,0)</f>
        <v>2</v>
      </c>
      <c r="J1156" s="2374">
        <f>+I1156*20000</f>
        <v>40000</v>
      </c>
    </row>
    <row r="1157" spans="1:11" hidden="1">
      <c r="A1157" s="1561" t="s">
        <v>1971</v>
      </c>
      <c r="B1157" s="1571"/>
      <c r="C1157" s="2369">
        <v>0</v>
      </c>
      <c r="D1157" s="2374">
        <f>+C1157*25000</f>
        <v>0</v>
      </c>
      <c r="E1157" s="1572"/>
      <c r="F1157" s="1573"/>
      <c r="G1157" s="1561" t="s">
        <v>1971</v>
      </c>
      <c r="H1157" s="1571"/>
      <c r="I1157" s="2369">
        <v>0</v>
      </c>
      <c r="J1157" s="2374">
        <f>+I1157*25000</f>
        <v>0</v>
      </c>
    </row>
    <row r="1158" spans="1:11">
      <c r="A1158" s="1561" t="s">
        <v>210</v>
      </c>
      <c r="B1158" s="1571" t="s">
        <v>211</v>
      </c>
      <c r="C1158" s="1567">
        <f>VLOOKUP(C1152,'Đội 3'!$A$16:$J$46,10,0)</f>
        <v>15.274791240875912</v>
      </c>
      <c r="D1158" s="2374" t="str">
        <f>VLOOKUP(C1152,'Đội 3'!$A$16:$M$46,12,0)</f>
        <v>A</v>
      </c>
      <c r="E1158" s="1574"/>
      <c r="F1158" s="1573"/>
      <c r="G1158" s="1561" t="s">
        <v>210</v>
      </c>
      <c r="H1158" s="1571" t="s">
        <v>211</v>
      </c>
      <c r="I1158" s="1567">
        <f>VLOOKUP(I1152,'Đội 3'!$A$16:$J$46,10,0)</f>
        <v>17.624759124087593</v>
      </c>
      <c r="J1158" s="2374" t="str">
        <f>VLOOKUP(I1152,'Đội 3'!$A$16:$M$46,12,0)</f>
        <v>B</v>
      </c>
    </row>
    <row r="1159" spans="1:11">
      <c r="A1159" s="1568" t="s">
        <v>212</v>
      </c>
      <c r="B1159" s="1571" t="s">
        <v>213</v>
      </c>
      <c r="C1159" s="1567"/>
      <c r="D1159" s="1568"/>
      <c r="E1159" s="1575"/>
      <c r="F1159" s="1576"/>
      <c r="G1159" s="1568" t="s">
        <v>212</v>
      </c>
      <c r="H1159" s="1571" t="s">
        <v>213</v>
      </c>
      <c r="I1159" s="1567"/>
      <c r="J1159" s="1568"/>
    </row>
    <row r="1160" spans="1:11">
      <c r="A1160" s="1577" t="s">
        <v>214</v>
      </c>
      <c r="B1160" s="1571" t="s">
        <v>215</v>
      </c>
      <c r="C1160" s="1567"/>
      <c r="D1160" s="1568"/>
      <c r="E1160" s="1574"/>
      <c r="F1160" s="1576"/>
      <c r="G1160" s="1577" t="s">
        <v>214</v>
      </c>
      <c r="H1160" s="1571" t="s">
        <v>215</v>
      </c>
      <c r="I1160" s="1567"/>
      <c r="J1160" s="1568"/>
    </row>
    <row r="1161" spans="1:11">
      <c r="A1161" s="1561" t="s">
        <v>216</v>
      </c>
      <c r="B1161" s="1571" t="s">
        <v>217</v>
      </c>
      <c r="C1161" s="1567"/>
      <c r="D1161" s="1568">
        <v>0</v>
      </c>
      <c r="E1161" s="1578"/>
      <c r="F1161" s="1560"/>
      <c r="G1161" s="1561" t="s">
        <v>216</v>
      </c>
      <c r="H1161" s="1571" t="s">
        <v>217</v>
      </c>
      <c r="I1161" s="1567"/>
      <c r="J1161" s="1568">
        <v>0</v>
      </c>
    </row>
    <row r="1162" spans="1:11">
      <c r="A1162" s="1568" t="s">
        <v>218</v>
      </c>
      <c r="B1162" s="1571" t="s">
        <v>219</v>
      </c>
      <c r="C1162" s="1579"/>
      <c r="D1162" s="1580">
        <f>SUM(D1153:D1158)-D1161</f>
        <v>6399894446.477685</v>
      </c>
      <c r="E1162" s="1581"/>
      <c r="F1162" s="1582"/>
      <c r="G1162" s="1568" t="s">
        <v>218</v>
      </c>
      <c r="H1162" s="1571" t="s">
        <v>219</v>
      </c>
      <c r="I1162" s="1579"/>
      <c r="J1162" s="1580">
        <f>SUM(J1153:J1158)-J1161</f>
        <v>7108947984.7860146</v>
      </c>
      <c r="K1162" s="3350">
        <f>J1162+D1162</f>
        <v>13508842431.263699</v>
      </c>
    </row>
    <row r="1163" spans="1:11">
      <c r="A1163" s="1568"/>
      <c r="B1163" s="1571"/>
      <c r="C1163" s="1579"/>
      <c r="D1163" s="1580"/>
      <c r="E1163" s="1582"/>
      <c r="F1163" s="1582"/>
      <c r="G1163" s="1568"/>
      <c r="H1163" s="1571"/>
      <c r="I1163" s="1579"/>
      <c r="J1163" s="1580"/>
      <c r="K1163" s="3355"/>
    </row>
    <row r="1164" spans="1:11">
      <c r="A1164" s="4836" t="str">
        <f>$K$2</f>
        <v>Tháng 12/24</v>
      </c>
      <c r="B1164" s="4836"/>
      <c r="C1164" s="4836"/>
      <c r="D1164" s="4836"/>
      <c r="E1164" s="1560"/>
      <c r="F1164" s="1560"/>
      <c r="G1164" s="4836" t="str">
        <f>$K$2</f>
        <v>Tháng 12/24</v>
      </c>
      <c r="H1164" s="4836"/>
      <c r="I1164" s="4836"/>
      <c r="J1164" s="4836"/>
    </row>
    <row r="1165" spans="1:11" ht="18">
      <c r="A1165" s="1561" t="s">
        <v>1</v>
      </c>
      <c r="B1165" s="1562" t="str">
        <f>VLOOKUP(C1165,'Đội 3'!$A$16:$C$46,3,0)</f>
        <v>Lun</v>
      </c>
      <c r="C1165" s="1563">
        <v>3</v>
      </c>
      <c r="D1165" s="1563"/>
      <c r="E1165" s="1564"/>
      <c r="F1165" s="1565"/>
      <c r="G1165" s="1561" t="s">
        <v>1</v>
      </c>
      <c r="H1165" s="1562" t="str">
        <f>VLOOKUP(I1165,'Đội 3'!$A$16:$C$46,3,0)</f>
        <v>A Phay</v>
      </c>
      <c r="I1165" s="1563">
        <v>4</v>
      </c>
      <c r="J1165" s="1563"/>
    </row>
    <row r="1166" spans="1:11" ht="18">
      <c r="A1166" s="1561" t="s">
        <v>205</v>
      </c>
      <c r="B1166" s="1566" t="s">
        <v>206</v>
      </c>
      <c r="C1166" s="1567">
        <f>VLOOKUP(C1165,'Đội 3'!$A$16:$F$46,6,0)</f>
        <v>0</v>
      </c>
      <c r="D1166" s="1568">
        <f>C1166*25000</f>
        <v>0</v>
      </c>
      <c r="E1166" s="1569"/>
      <c r="F1166" s="1570"/>
      <c r="G1166" s="1561" t="s">
        <v>205</v>
      </c>
      <c r="H1166" s="1566" t="s">
        <v>206</v>
      </c>
      <c r="I1166" s="1567">
        <f>VLOOKUP(I1165,'Đội 3'!$A$16:$F$46,6,0)</f>
        <v>0</v>
      </c>
      <c r="J1166" s="1568">
        <f>I1166*25000</f>
        <v>0</v>
      </c>
    </row>
    <row r="1167" spans="1:11">
      <c r="A1167" s="1561" t="s">
        <v>207</v>
      </c>
      <c r="B1167" s="1571" t="s">
        <v>208</v>
      </c>
      <c r="C1167" s="1567">
        <f>VLOOKUP(C1165,'Đội 3'!$A$16:$O$46,13,0)</f>
        <v>555789</v>
      </c>
      <c r="D1167" s="2374">
        <f>+C1167*$L$3</f>
        <v>16802824247.819998</v>
      </c>
      <c r="E1167" s="1572"/>
      <c r="F1167" s="1573"/>
      <c r="G1167" s="1561" t="s">
        <v>207</v>
      </c>
      <c r="H1167" s="1571" t="s">
        <v>208</v>
      </c>
      <c r="I1167" s="1567">
        <f>VLOOKUP(I1165,'Đội 3'!$A$16:$O$46,13,0)</f>
        <v>324210</v>
      </c>
      <c r="J1167" s="2374">
        <f>+I1167*$L$3</f>
        <v>9801639919.7999992</v>
      </c>
    </row>
    <row r="1168" spans="1:11">
      <c r="A1168" s="1561" t="s">
        <v>1259</v>
      </c>
      <c r="B1168" s="1571" t="s">
        <v>209</v>
      </c>
      <c r="C1168" s="2369">
        <f>VLOOKUP(C1165,'Đội 3'!$A$16:$P$46,14,0)</f>
        <v>838239.18386452552</v>
      </c>
      <c r="D1168" s="2374">
        <f>+C1168*$L$4</f>
        <v>42273257046.255562</v>
      </c>
      <c r="E1168" s="1572"/>
      <c r="F1168" s="1573"/>
      <c r="G1168" s="1561" t="s">
        <v>1259</v>
      </c>
      <c r="H1168" s="1571" t="s">
        <v>209</v>
      </c>
      <c r="I1168" s="2369">
        <f>VLOOKUP(I1165,'Đội 3'!$A$16:$P$46,14,0)</f>
        <v>488972.85725430649</v>
      </c>
      <c r="J1168" s="2374">
        <f>+I1168*$L$4</f>
        <v>24659399943.649075</v>
      </c>
    </row>
    <row r="1169" spans="1:11">
      <c r="A1169" s="1561" t="s">
        <v>1531</v>
      </c>
      <c r="B1169" s="1571"/>
      <c r="C1169" s="2369">
        <f>VLOOKUP(C1165,'Đội 3'!$A$16:$S$46,16,0)</f>
        <v>2</v>
      </c>
      <c r="D1169" s="2374">
        <f>+C1169*20000</f>
        <v>40000</v>
      </c>
      <c r="E1169" s="1572"/>
      <c r="F1169" s="1573"/>
      <c r="G1169" s="1561" t="s">
        <v>1531</v>
      </c>
      <c r="H1169" s="1571"/>
      <c r="I1169" s="2369">
        <f>VLOOKUP(I1165,'Đội 3'!$A$16:$S$46,16,0)</f>
        <v>2</v>
      </c>
      <c r="J1169" s="2374">
        <f>+I1169*20000</f>
        <v>40000</v>
      </c>
    </row>
    <row r="1170" spans="1:11" hidden="1">
      <c r="A1170" s="1561" t="s">
        <v>1971</v>
      </c>
      <c r="B1170" s="1571"/>
      <c r="C1170" s="2369">
        <v>0</v>
      </c>
      <c r="D1170" s="2374">
        <f>+C1170*25000</f>
        <v>0</v>
      </c>
      <c r="E1170" s="1572"/>
      <c r="F1170" s="1573"/>
      <c r="G1170" s="1561" t="s">
        <v>1971</v>
      </c>
      <c r="H1170" s="1571"/>
      <c r="I1170" s="2369">
        <v>0</v>
      </c>
      <c r="J1170" s="2374">
        <f>+I1170*25000</f>
        <v>0</v>
      </c>
    </row>
    <row r="1171" spans="1:11">
      <c r="A1171" s="1561" t="s">
        <v>210</v>
      </c>
      <c r="B1171" s="1571" t="s">
        <v>211</v>
      </c>
      <c r="C1171" s="1567">
        <f>VLOOKUP(C1165,'Đội 3'!$A$16:$J$46,10,0)</f>
        <v>140.99807299270074</v>
      </c>
      <c r="D1171" s="2374" t="str">
        <f>VLOOKUP(C1165,'Đội 3'!$A$16:$M$46,12,0)</f>
        <v>A</v>
      </c>
      <c r="E1171" s="1574"/>
      <c r="F1171" s="1573"/>
      <c r="G1171" s="1561" t="s">
        <v>210</v>
      </c>
      <c r="H1171" s="1571" t="s">
        <v>211</v>
      </c>
      <c r="I1171" s="1567">
        <f>VLOOKUP(I1165,'Đội 3'!$A$16:$J$46,10,0)</f>
        <v>82.248875912408764</v>
      </c>
      <c r="J1171" s="2374" t="str">
        <f>VLOOKUP(I1165,'Đội 3'!$A$16:$M$46,12,0)</f>
        <v>A</v>
      </c>
    </row>
    <row r="1172" spans="1:11">
      <c r="A1172" s="1568" t="s">
        <v>212</v>
      </c>
      <c r="B1172" s="1571" t="s">
        <v>213</v>
      </c>
      <c r="C1172" s="1567"/>
      <c r="D1172" s="1568"/>
      <c r="E1172" s="1575"/>
      <c r="F1172" s="1576"/>
      <c r="G1172" s="1568" t="s">
        <v>212</v>
      </c>
      <c r="H1172" s="1571" t="s">
        <v>213</v>
      </c>
      <c r="I1172" s="1567"/>
      <c r="J1172" s="1568"/>
    </row>
    <row r="1173" spans="1:11">
      <c r="A1173" s="1577" t="s">
        <v>214</v>
      </c>
      <c r="B1173" s="1571" t="s">
        <v>215</v>
      </c>
      <c r="C1173" s="1567"/>
      <c r="D1173" s="1568"/>
      <c r="E1173" s="1574"/>
      <c r="F1173" s="1576"/>
      <c r="G1173" s="1577" t="s">
        <v>214</v>
      </c>
      <c r="H1173" s="1571" t="s">
        <v>215</v>
      </c>
      <c r="I1173" s="1567"/>
      <c r="J1173" s="1568"/>
    </row>
    <row r="1174" spans="1:11">
      <c r="A1174" s="1561" t="s">
        <v>216</v>
      </c>
      <c r="B1174" s="1571" t="s">
        <v>217</v>
      </c>
      <c r="C1174" s="1567"/>
      <c r="D1174" s="1568">
        <v>0</v>
      </c>
      <c r="E1174" s="1578"/>
      <c r="F1174" s="1560"/>
      <c r="G1174" s="1561" t="s">
        <v>216</v>
      </c>
      <c r="H1174" s="1571" t="s">
        <v>217</v>
      </c>
      <c r="I1174" s="1567"/>
      <c r="J1174" s="1568">
        <v>0</v>
      </c>
    </row>
    <row r="1175" spans="1:11">
      <c r="A1175" s="1568" t="s">
        <v>218</v>
      </c>
      <c r="B1175" s="1571" t="s">
        <v>219</v>
      </c>
      <c r="C1175" s="1579"/>
      <c r="D1175" s="1580">
        <f>SUM(D1166:D1171)-D1174</f>
        <v>59076121294.075562</v>
      </c>
      <c r="E1175" s="1581"/>
      <c r="F1175" s="1582"/>
      <c r="G1175" s="1568" t="s">
        <v>218</v>
      </c>
      <c r="H1175" s="1571" t="s">
        <v>219</v>
      </c>
      <c r="I1175" s="1579"/>
      <c r="J1175" s="1580">
        <f>SUM(J1166:J1171)-J1174</f>
        <v>34461079863.449074</v>
      </c>
      <c r="K1175" s="3350">
        <f>J1175+D1175</f>
        <v>93537201157.524628</v>
      </c>
    </row>
    <row r="1176" spans="1:11">
      <c r="A1176" s="1583"/>
      <c r="B1176" s="1584"/>
      <c r="C1176" s="1585"/>
      <c r="D1176" s="1586"/>
      <c r="E1176" s="1582"/>
      <c r="F1176" s="1586"/>
      <c r="G1176" s="1583"/>
      <c r="H1176" s="1584"/>
      <c r="I1176" s="1585"/>
      <c r="J1176" s="1582"/>
    </row>
    <row r="1177" spans="1:11">
      <c r="A1177" s="1587"/>
      <c r="B1177" s="1587"/>
      <c r="C1177" s="1588"/>
      <c r="D1177" s="3335"/>
      <c r="E1177" s="1590"/>
      <c r="F1177" s="1587"/>
      <c r="G1177" s="1587"/>
      <c r="H1177" s="1587"/>
      <c r="I1177" s="1588"/>
      <c r="J1177" s="1591"/>
      <c r="K1177" s="3355"/>
    </row>
    <row r="1178" spans="1:11">
      <c r="A1178" s="4836" t="str">
        <f>$K$2</f>
        <v>Tháng 12/24</v>
      </c>
      <c r="B1178" s="4836"/>
      <c r="C1178" s="4836"/>
      <c r="D1178" s="4836"/>
      <c r="E1178" s="1560"/>
      <c r="F1178" s="1560"/>
      <c r="G1178" s="4836" t="str">
        <f>$K$2</f>
        <v>Tháng 12/24</v>
      </c>
      <c r="H1178" s="4836"/>
      <c r="I1178" s="4836"/>
      <c r="J1178" s="4836"/>
    </row>
    <row r="1179" spans="1:11" ht="18">
      <c r="A1179" s="1561" t="s">
        <v>1</v>
      </c>
      <c r="B1179" s="1562" t="str">
        <f>VLOOKUP(C1179,'Đội 3'!$A$16:$C$46,3,0)</f>
        <v>A Pon</v>
      </c>
      <c r="C1179" s="1563">
        <v>5</v>
      </c>
      <c r="D1179" s="1563"/>
      <c r="E1179" s="1564"/>
      <c r="F1179" s="1565"/>
      <c r="G1179" s="1561" t="s">
        <v>1</v>
      </c>
      <c r="H1179" s="1562" t="str">
        <f>VLOOKUP(I1179,'Đội 3'!$A$16:$C$46,3,0)</f>
        <v>Ta Lốt</v>
      </c>
      <c r="I1179" s="1563">
        <v>6</v>
      </c>
      <c r="J1179" s="1563"/>
    </row>
    <row r="1180" spans="1:11" ht="18">
      <c r="A1180" s="1561" t="s">
        <v>205</v>
      </c>
      <c r="B1180" s="1566" t="s">
        <v>206</v>
      </c>
      <c r="C1180" s="1567">
        <f>VLOOKUP(C1179,'Đội 3'!$A$16:$F$46,6,0)</f>
        <v>0</v>
      </c>
      <c r="D1180" s="1568">
        <f>C1180*25000</f>
        <v>0</v>
      </c>
      <c r="E1180" s="1569"/>
      <c r="F1180" s="1570"/>
      <c r="G1180" s="1561" t="s">
        <v>205</v>
      </c>
      <c r="H1180" s="1566" t="s">
        <v>206</v>
      </c>
      <c r="I1180" s="1567">
        <f>VLOOKUP(I1179,'Đội 3'!$A$16:$F$46,6,0)</f>
        <v>0</v>
      </c>
      <c r="J1180" s="1568">
        <f>I1180*25000</f>
        <v>0</v>
      </c>
    </row>
    <row r="1181" spans="1:11">
      <c r="A1181" s="1561" t="s">
        <v>207</v>
      </c>
      <c r="B1181" s="1571" t="s">
        <v>208</v>
      </c>
      <c r="C1181" s="1567">
        <f>VLOOKUP(C1179,'Đội 3'!$A$16:$O$46,13,0)</f>
        <v>17615</v>
      </c>
      <c r="D1181" s="2374">
        <f>+C1181*$L$3</f>
        <v>532543373.69999993</v>
      </c>
      <c r="E1181" s="1572"/>
      <c r="F1181" s="1573"/>
      <c r="G1181" s="1561" t="s">
        <v>207</v>
      </c>
      <c r="H1181" s="1571" t="s">
        <v>208</v>
      </c>
      <c r="I1181" s="1567">
        <f>VLOOKUP(I1179,'Đội 3'!$A$16:$O$46,13,0)</f>
        <v>20842</v>
      </c>
      <c r="J1181" s="2374">
        <f>+I1181*$L$3</f>
        <v>630103263.95999992</v>
      </c>
    </row>
    <row r="1182" spans="1:11">
      <c r="A1182" s="1561" t="s">
        <v>1259</v>
      </c>
      <c r="B1182" s="1571" t="s">
        <v>209</v>
      </c>
      <c r="C1182" s="2369">
        <f>VLOOKUP(C1179,'Đội 3'!$A$16:$P$46,14,0)</f>
        <v>27030.176581138687</v>
      </c>
      <c r="D1182" s="2374">
        <f>+C1182*$L$4</f>
        <v>1363159375.7669365</v>
      </c>
      <c r="E1182" s="1572"/>
      <c r="F1182" s="1573"/>
      <c r="G1182" s="1561" t="s">
        <v>1259</v>
      </c>
      <c r="H1182" s="1571" t="s">
        <v>209</v>
      </c>
      <c r="I1182" s="2369">
        <f>VLOOKUP(I1179,'Đội 3'!$A$16:$P$46,14,0)</f>
        <v>31433.969394919703</v>
      </c>
      <c r="J1182" s="2374">
        <f>+I1182*$L$4</f>
        <v>1585247139.2345834</v>
      </c>
    </row>
    <row r="1183" spans="1:11">
      <c r="A1183" s="1561" t="s">
        <v>1531</v>
      </c>
      <c r="B1183" s="1571"/>
      <c r="C1183" s="2369">
        <f>VLOOKUP(C1179,'Đội 3'!$A$16:$S$46,16,0)</f>
        <v>1</v>
      </c>
      <c r="D1183" s="2374">
        <f>+C1183*20000</f>
        <v>20000</v>
      </c>
      <c r="E1183" s="1572"/>
      <c r="F1183" s="1573"/>
      <c r="G1183" s="1561" t="s">
        <v>1531</v>
      </c>
      <c r="H1183" s="1571"/>
      <c r="I1183" s="2369">
        <f>VLOOKUP(I1179,'Đội 3'!$A$16:$S$46,16,0)</f>
        <v>2</v>
      </c>
      <c r="J1183" s="2374">
        <f>+I1183*20000</f>
        <v>40000</v>
      </c>
    </row>
    <row r="1184" spans="1:11">
      <c r="A1184" s="1561" t="s">
        <v>1971</v>
      </c>
      <c r="B1184" s="1571"/>
      <c r="C1184" s="2369">
        <v>0</v>
      </c>
      <c r="D1184" s="2374">
        <f>+C1184*25000</f>
        <v>0</v>
      </c>
      <c r="E1184" s="1572"/>
      <c r="F1184" s="1573"/>
      <c r="G1184" s="1561" t="s">
        <v>1971</v>
      </c>
      <c r="H1184" s="1571"/>
      <c r="I1184" s="2369">
        <v>0</v>
      </c>
      <c r="J1184" s="2374">
        <f>+I1184*25000</f>
        <v>0</v>
      </c>
    </row>
    <row r="1185" spans="1:11">
      <c r="A1185" s="1561" t="s">
        <v>210</v>
      </c>
      <c r="B1185" s="1571" t="s">
        <v>211</v>
      </c>
      <c r="C1185" s="1567">
        <f>VLOOKUP(C1179,'Đội 3'!$A$16:$J$46,10,0)</f>
        <v>4.6999357664233576</v>
      </c>
      <c r="D1185" s="2374" t="str">
        <f>VLOOKUP(C1179,'Đội 3'!$A$16:$M$46,12,0)</f>
        <v>B</v>
      </c>
      <c r="E1185" s="1574"/>
      <c r="F1185" s="1573"/>
      <c r="G1185" s="1561" t="s">
        <v>210</v>
      </c>
      <c r="H1185" s="1571" t="s">
        <v>211</v>
      </c>
      <c r="I1185" s="1567">
        <f>VLOOKUP(I1179,'Đội 3'!$A$16:$J$46,10,0)</f>
        <v>5.2874277372262775</v>
      </c>
      <c r="J1185" s="2374" t="str">
        <f>VLOOKUP(I1179,'Đội 3'!$A$16:$M$46,12,0)</f>
        <v>A</v>
      </c>
    </row>
    <row r="1186" spans="1:11">
      <c r="A1186" s="1568" t="s">
        <v>212</v>
      </c>
      <c r="B1186" s="1571" t="s">
        <v>213</v>
      </c>
      <c r="C1186" s="1567"/>
      <c r="D1186" s="1568"/>
      <c r="E1186" s="1575"/>
      <c r="F1186" s="1576"/>
      <c r="G1186" s="1568" t="s">
        <v>212</v>
      </c>
      <c r="H1186" s="1571" t="s">
        <v>213</v>
      </c>
      <c r="I1186" s="1567"/>
      <c r="J1186" s="1568"/>
    </row>
    <row r="1187" spans="1:11">
      <c r="A1187" s="1577" t="s">
        <v>214</v>
      </c>
      <c r="B1187" s="1571" t="s">
        <v>215</v>
      </c>
      <c r="C1187" s="1567"/>
      <c r="D1187" s="1568"/>
      <c r="E1187" s="1574"/>
      <c r="F1187" s="1576"/>
      <c r="G1187" s="1577" t="s">
        <v>214</v>
      </c>
      <c r="H1187" s="1571" t="s">
        <v>215</v>
      </c>
      <c r="I1187" s="1567"/>
      <c r="J1187" s="1568"/>
    </row>
    <row r="1188" spans="1:11">
      <c r="A1188" s="1561" t="s">
        <v>216</v>
      </c>
      <c r="B1188" s="1571" t="s">
        <v>217</v>
      </c>
      <c r="C1188" s="1567"/>
      <c r="D1188" s="1568">
        <v>0</v>
      </c>
      <c r="E1188" s="1578"/>
      <c r="F1188" s="1560"/>
      <c r="G1188" s="1561" t="s">
        <v>216</v>
      </c>
      <c r="H1188" s="1571" t="s">
        <v>217</v>
      </c>
      <c r="I1188" s="1567"/>
      <c r="J1188" s="1568">
        <v>0</v>
      </c>
    </row>
    <row r="1189" spans="1:11">
      <c r="A1189" s="1568" t="s">
        <v>218</v>
      </c>
      <c r="B1189" s="1571" t="s">
        <v>219</v>
      </c>
      <c r="C1189" s="1579"/>
      <c r="D1189" s="1580">
        <f>SUM(D1180:D1185)-D1188</f>
        <v>1895722749.4669366</v>
      </c>
      <c r="E1189" s="1581"/>
      <c r="F1189" s="1582"/>
      <c r="G1189" s="1568" t="s">
        <v>218</v>
      </c>
      <c r="H1189" s="1571" t="s">
        <v>219</v>
      </c>
      <c r="I1189" s="1579"/>
      <c r="J1189" s="1580">
        <f>SUM(J1180:J1185)-J1188</f>
        <v>2215390403.1945834</v>
      </c>
      <c r="K1189" s="3350">
        <f>J1189+D1189</f>
        <v>4111113152.66152</v>
      </c>
    </row>
    <row r="1190" spans="1:11">
      <c r="A1190" s="1583"/>
      <c r="B1190" s="1584"/>
      <c r="C1190" s="1585"/>
      <c r="D1190" s="1586"/>
      <c r="E1190" s="1582"/>
      <c r="F1190" s="1586"/>
      <c r="G1190" s="1583"/>
      <c r="H1190" s="1584"/>
      <c r="I1190" s="1585"/>
      <c r="J1190" s="1582"/>
    </row>
    <row r="1191" spans="1:11">
      <c r="A1191" s="1587"/>
      <c r="B1191" s="1587"/>
      <c r="C1191" s="1588"/>
      <c r="D1191" s="3335"/>
      <c r="E1191" s="1590"/>
      <c r="F1191" s="1587"/>
      <c r="G1191" s="1587"/>
      <c r="H1191" s="1587"/>
      <c r="I1191" s="1588"/>
      <c r="J1191" s="1591"/>
      <c r="K1191" s="3355"/>
    </row>
    <row r="1192" spans="1:11">
      <c r="A1192" s="4836" t="str">
        <f>$K$2</f>
        <v>Tháng 12/24</v>
      </c>
      <c r="B1192" s="4836"/>
      <c r="C1192" s="4836"/>
      <c r="D1192" s="4836"/>
      <c r="E1192" s="1560"/>
      <c r="F1192" s="1560"/>
      <c r="G1192" s="4836" t="str">
        <f>$K$2</f>
        <v>Tháng 12/24</v>
      </c>
      <c r="H1192" s="4836"/>
      <c r="I1192" s="4836"/>
      <c r="J1192" s="4836"/>
    </row>
    <row r="1193" spans="1:11" ht="18">
      <c r="A1193" s="1561" t="s">
        <v>1</v>
      </c>
      <c r="B1193" s="1562" t="str">
        <f>VLOOKUP(C1193,'Đội 3'!$A$16:$C$46,3,0)</f>
        <v>Phò Lăng</v>
      </c>
      <c r="C1193" s="1563">
        <v>7</v>
      </c>
      <c r="D1193" s="1563"/>
      <c r="E1193" s="1564"/>
      <c r="F1193" s="1565"/>
      <c r="G1193" s="1561" t="s">
        <v>1</v>
      </c>
      <c r="H1193" s="1562" t="str">
        <f>VLOOKUP(I1193,'Đội 3'!$A$16:$C$46,3,0)</f>
        <v>A Têng</v>
      </c>
      <c r="I1193" s="1563">
        <v>8</v>
      </c>
      <c r="J1193" s="1563"/>
    </row>
    <row r="1194" spans="1:11" ht="18">
      <c r="A1194" s="1561" t="s">
        <v>205</v>
      </c>
      <c r="B1194" s="1566" t="s">
        <v>206</v>
      </c>
      <c r="C1194" s="1567">
        <f>VLOOKUP(C1193,'Đội 3'!$A$16:$F$46,6,0)</f>
        <v>0</v>
      </c>
      <c r="D1194" s="1568">
        <f>C1194*25000</f>
        <v>0</v>
      </c>
      <c r="E1194" s="1569"/>
      <c r="F1194" s="1570"/>
      <c r="G1194" s="1561" t="s">
        <v>205</v>
      </c>
      <c r="H1194" s="1566" t="s">
        <v>206</v>
      </c>
      <c r="I1194" s="1567">
        <f>VLOOKUP(I1193,'Đội 3'!$A$16:$F$46,6,0)</f>
        <v>0</v>
      </c>
      <c r="J1194" s="1568">
        <f>I1194*25000</f>
        <v>0</v>
      </c>
    </row>
    <row r="1195" spans="1:11">
      <c r="A1195" s="1561" t="s">
        <v>207</v>
      </c>
      <c r="B1195" s="1571" t="s">
        <v>208</v>
      </c>
      <c r="C1195" s="1567">
        <f>VLOOKUP(C1193,'Đội 3'!$A$16:$O$46,13,0)</f>
        <v>19817</v>
      </c>
      <c r="D1195" s="2374">
        <f>+C1195*$L$3</f>
        <v>599115074.45999992</v>
      </c>
      <c r="E1195" s="1572"/>
      <c r="F1195" s="1573"/>
      <c r="G1195" s="1561" t="s">
        <v>207</v>
      </c>
      <c r="H1195" s="1571" t="s">
        <v>208</v>
      </c>
      <c r="I1195" s="1567">
        <f>VLOOKUP(I1193,'Đội 3'!$A$16:$O$46,13,0)</f>
        <v>79268</v>
      </c>
      <c r="J1195" s="2374">
        <f>+I1195*$L$3</f>
        <v>2396460297.8399997</v>
      </c>
    </row>
    <row r="1196" spans="1:11">
      <c r="A1196" s="1561" t="s">
        <v>1259</v>
      </c>
      <c r="B1196" s="1571" t="s">
        <v>209</v>
      </c>
      <c r="C1196" s="2369">
        <f>VLOOKUP(C1193,'Đội 3'!$A$16:$P$46,14,0)</f>
        <v>30408.948653781023</v>
      </c>
      <c r="D1196" s="2374">
        <f>+C1196*$L$4</f>
        <v>1533554297.7378037</v>
      </c>
      <c r="E1196" s="1572"/>
      <c r="F1196" s="1573"/>
      <c r="G1196" s="1561" t="s">
        <v>1259</v>
      </c>
      <c r="H1196" s="1571" t="s">
        <v>209</v>
      </c>
      <c r="I1196" s="2369">
        <f>VLOOKUP(I1193,'Đội 3'!$A$16:$P$46,14,0)</f>
        <v>121635.79461512409</v>
      </c>
      <c r="J1196" s="2374">
        <f>+I1196*$L$4</f>
        <v>6134217190.9512148</v>
      </c>
    </row>
    <row r="1197" spans="1:11">
      <c r="A1197" s="1561" t="s">
        <v>1531</v>
      </c>
      <c r="B1197" s="1571"/>
      <c r="C1197" s="2369">
        <f>VLOOKUP(C1193,'Đội 3'!$A$16:$S$46,16,0)</f>
        <v>1</v>
      </c>
      <c r="D1197" s="2374">
        <f>+C1197*20000</f>
        <v>20000</v>
      </c>
      <c r="E1197" s="1572"/>
      <c r="F1197" s="1573"/>
      <c r="G1197" s="1561" t="s">
        <v>1531</v>
      </c>
      <c r="H1197" s="1571"/>
      <c r="I1197" s="2369">
        <f>VLOOKUP(I1193,'Đội 3'!$A$16:$S$46,16,0)</f>
        <v>1</v>
      </c>
      <c r="J1197" s="2374">
        <f>+I1197*20000</f>
        <v>20000</v>
      </c>
    </row>
    <row r="1198" spans="1:11" hidden="1">
      <c r="A1198" s="1561" t="s">
        <v>1971</v>
      </c>
      <c r="B1198" s="1571"/>
      <c r="C1198" s="2369">
        <v>0</v>
      </c>
      <c r="D1198" s="2374">
        <f>+C1198*25000</f>
        <v>0</v>
      </c>
      <c r="E1198" s="1572"/>
      <c r="F1198" s="1573"/>
      <c r="G1198" s="1561" t="s">
        <v>1971</v>
      </c>
      <c r="H1198" s="1571"/>
      <c r="I1198" s="2369">
        <v>0</v>
      </c>
      <c r="J1198" s="2374">
        <f>+I1198*25000</f>
        <v>0</v>
      </c>
    </row>
    <row r="1199" spans="1:11">
      <c r="A1199" s="1561" t="s">
        <v>210</v>
      </c>
      <c r="B1199" s="1571" t="s">
        <v>211</v>
      </c>
      <c r="C1199" s="1567">
        <f>VLOOKUP(C1193,'Đội 3'!$A$16:$J$46,10,0)</f>
        <v>5.2874277372262775</v>
      </c>
      <c r="D1199" s="2374" t="str">
        <f>VLOOKUP(C1193,'Đội 3'!$A$16:$M$46,12,0)</f>
        <v>B</v>
      </c>
      <c r="E1199" s="1574"/>
      <c r="F1199" s="1573"/>
      <c r="G1199" s="1561" t="s">
        <v>210</v>
      </c>
      <c r="H1199" s="1571" t="s">
        <v>211</v>
      </c>
      <c r="I1199" s="1567">
        <f>VLOOKUP(I1193,'Đội 3'!$A$16:$J$46,10,0)</f>
        <v>21.14971094890511</v>
      </c>
      <c r="J1199" s="2374" t="str">
        <f>VLOOKUP(I1193,'Đội 3'!$A$16:$M$46,12,0)</f>
        <v>B</v>
      </c>
    </row>
    <row r="1200" spans="1:11">
      <c r="A1200" s="1568" t="s">
        <v>212</v>
      </c>
      <c r="B1200" s="1571" t="s">
        <v>213</v>
      </c>
      <c r="C1200" s="1567"/>
      <c r="D1200" s="1568"/>
      <c r="E1200" s="1575"/>
      <c r="F1200" s="1576"/>
      <c r="G1200" s="1568" t="s">
        <v>212</v>
      </c>
      <c r="H1200" s="1571" t="s">
        <v>213</v>
      </c>
      <c r="I1200" s="1567"/>
      <c r="J1200" s="1568"/>
    </row>
    <row r="1201" spans="1:11">
      <c r="A1201" s="1577" t="s">
        <v>214</v>
      </c>
      <c r="B1201" s="1571" t="s">
        <v>215</v>
      </c>
      <c r="C1201" s="1567"/>
      <c r="D1201" s="1568"/>
      <c r="E1201" s="1574"/>
      <c r="F1201" s="1576"/>
      <c r="G1201" s="1577" t="s">
        <v>214</v>
      </c>
      <c r="H1201" s="1571" t="s">
        <v>215</v>
      </c>
      <c r="I1201" s="1567"/>
      <c r="J1201" s="1568"/>
    </row>
    <row r="1202" spans="1:11">
      <c r="A1202" s="1561" t="s">
        <v>216</v>
      </c>
      <c r="B1202" s="1571" t="s">
        <v>217</v>
      </c>
      <c r="C1202" s="1567"/>
      <c r="D1202" s="1568">
        <v>0</v>
      </c>
      <c r="E1202" s="1578"/>
      <c r="F1202" s="1560"/>
      <c r="G1202" s="1561" t="s">
        <v>216</v>
      </c>
      <c r="H1202" s="1571" t="s">
        <v>217</v>
      </c>
      <c r="I1202" s="1567"/>
      <c r="J1202" s="1568">
        <v>0</v>
      </c>
    </row>
    <row r="1203" spans="1:11">
      <c r="A1203" s="1568" t="s">
        <v>218</v>
      </c>
      <c r="B1203" s="1571" t="s">
        <v>219</v>
      </c>
      <c r="C1203" s="1579"/>
      <c r="D1203" s="1580">
        <f>SUM(D1194:D1199)-D1202</f>
        <v>2132689372.1978035</v>
      </c>
      <c r="E1203" s="1581"/>
      <c r="F1203" s="1582"/>
      <c r="G1203" s="1568" t="s">
        <v>218</v>
      </c>
      <c r="H1203" s="1571" t="s">
        <v>219</v>
      </c>
      <c r="I1203" s="1579"/>
      <c r="J1203" s="1580">
        <f>SUM(J1194:J1199)-J1202</f>
        <v>8530697488.791214</v>
      </c>
      <c r="K1203" s="3350">
        <f>J1203+D1203</f>
        <v>10663386860.989017</v>
      </c>
    </row>
    <row r="1204" spans="1:11">
      <c r="A1204" s="1568"/>
      <c r="B1204" s="1571"/>
      <c r="C1204" s="1579"/>
      <c r="D1204" s="1580"/>
      <c r="E1204" s="1582"/>
      <c r="F1204" s="1582"/>
      <c r="G1204" s="1568"/>
      <c r="H1204" s="1571"/>
      <c r="I1204" s="1579"/>
      <c r="J1204" s="1580"/>
      <c r="K1204" s="3355"/>
    </row>
    <row r="1205" spans="1:11">
      <c r="A1205" s="4836" t="str">
        <f>$K$2</f>
        <v>Tháng 12/24</v>
      </c>
      <c r="B1205" s="4836"/>
      <c r="C1205" s="4836"/>
      <c r="D1205" s="4836"/>
      <c r="E1205" s="1560"/>
      <c r="F1205" s="1560"/>
      <c r="G1205" s="4836" t="str">
        <f>$K$2</f>
        <v>Tháng 12/24</v>
      </c>
      <c r="H1205" s="4836"/>
      <c r="I1205" s="4836"/>
      <c r="J1205" s="4836"/>
    </row>
    <row r="1206" spans="1:11" ht="18">
      <c r="A1206" s="1561" t="s">
        <v>1</v>
      </c>
      <c r="B1206" s="1562" t="str">
        <f>VLOOKUP(C1206,'Đội 3'!$A$16:$C$46,3,0)</f>
        <v>Ói</v>
      </c>
      <c r="C1206" s="1563">
        <v>9</v>
      </c>
      <c r="D1206" s="1563"/>
      <c r="E1206" s="1564"/>
      <c r="F1206" s="1565"/>
      <c r="G1206" s="1561" t="s">
        <v>1</v>
      </c>
      <c r="H1206" s="1562" t="str">
        <f>VLOOKUP(I1206,'Đội 3'!$A$16:$C$46,3,0)</f>
        <v>Ta Dạt</v>
      </c>
      <c r="I1206" s="1563">
        <v>10</v>
      </c>
      <c r="J1206" s="1563"/>
    </row>
    <row r="1207" spans="1:11" ht="18">
      <c r="A1207" s="1561" t="s">
        <v>205</v>
      </c>
      <c r="B1207" s="1566" t="s">
        <v>206</v>
      </c>
      <c r="C1207" s="1567">
        <f>VLOOKUP(C1206,'Đội 3'!$A$16:$F$46,6,0)</f>
        <v>0</v>
      </c>
      <c r="D1207" s="1568">
        <f>C1207*25000</f>
        <v>0</v>
      </c>
      <c r="E1207" s="1569"/>
      <c r="F1207" s="1570"/>
      <c r="G1207" s="1561" t="s">
        <v>205</v>
      </c>
      <c r="H1207" s="1566" t="s">
        <v>206</v>
      </c>
      <c r="I1207" s="1567">
        <f>VLOOKUP(I1206,'Đội 3'!$A$16:$F$46,6,0)</f>
        <v>0</v>
      </c>
      <c r="J1207" s="1568">
        <f>I1207*25000</f>
        <v>0</v>
      </c>
    </row>
    <row r="1208" spans="1:11">
      <c r="A1208" s="1561" t="s">
        <v>207</v>
      </c>
      <c r="B1208" s="1571" t="s">
        <v>208</v>
      </c>
      <c r="C1208" s="1567">
        <f>VLOOKUP(C1206,'Đội 3'!$A$16:$O$46,13,0)</f>
        <v>252421</v>
      </c>
      <c r="D1208" s="2374">
        <f>+C1208*$L$3</f>
        <v>7631287591.9799995</v>
      </c>
      <c r="E1208" s="1572"/>
      <c r="F1208" s="1573"/>
      <c r="G1208" s="1561" t="s">
        <v>207</v>
      </c>
      <c r="H1208" s="1571" t="s">
        <v>208</v>
      </c>
      <c r="I1208" s="1567">
        <f>VLOOKUP(I1206,'Đội 3'!$A$16:$O$46,13,0)</f>
        <v>145895</v>
      </c>
      <c r="J1208" s="2374">
        <f>+I1208*$L$3</f>
        <v>4410753080.0999994</v>
      </c>
    </row>
    <row r="1209" spans="1:11">
      <c r="A1209" s="1561" t="s">
        <v>1259</v>
      </c>
      <c r="B1209" s="1571" t="s">
        <v>209</v>
      </c>
      <c r="C1209" s="2369">
        <f>VLOOKUP(C1206,'Đội 3'!$A$16:$P$46,14,0)</f>
        <v>380700.29600513866</v>
      </c>
      <c r="D1209" s="2374">
        <f>+C1209*$L$4</f>
        <v>19199104241.841068</v>
      </c>
      <c r="E1209" s="1572"/>
      <c r="F1209" s="1573"/>
      <c r="G1209" s="1561" t="s">
        <v>1259</v>
      </c>
      <c r="H1209" s="1571" t="s">
        <v>209</v>
      </c>
      <c r="I1209" s="2369">
        <f>VLOOKUP(I1206,'Đội 3'!$A$16:$P$46,14,0)</f>
        <v>220037.78576443795</v>
      </c>
      <c r="J1209" s="2374">
        <f>+I1209*$L$4</f>
        <v>11096729974.642084</v>
      </c>
    </row>
    <row r="1210" spans="1:11">
      <c r="A1210" s="1561" t="s">
        <v>1531</v>
      </c>
      <c r="B1210" s="1571"/>
      <c r="C1210" s="2369">
        <f>VLOOKUP(C1206,'Đội 3'!$A$16:$S$46,16,0)</f>
        <v>2</v>
      </c>
      <c r="D1210" s="2374">
        <f>+C1210*20000</f>
        <v>40000</v>
      </c>
      <c r="E1210" s="1572"/>
      <c r="F1210" s="1573"/>
      <c r="G1210" s="1561" t="s">
        <v>1531</v>
      </c>
      <c r="H1210" s="1571"/>
      <c r="I1210" s="2369">
        <f>VLOOKUP(I1206,'Đội 3'!$A$16:$S$46,16,0)</f>
        <v>2</v>
      </c>
      <c r="J1210" s="2374">
        <f>+I1210*20000</f>
        <v>40000</v>
      </c>
    </row>
    <row r="1211" spans="1:11" hidden="1">
      <c r="A1211" s="1561" t="s">
        <v>1971</v>
      </c>
      <c r="B1211" s="1571"/>
      <c r="C1211" s="2369">
        <v>0</v>
      </c>
      <c r="D1211" s="2374">
        <f>+C1211*25000</f>
        <v>0</v>
      </c>
      <c r="E1211" s="1572"/>
      <c r="F1211" s="1573"/>
      <c r="G1211" s="1561" t="s">
        <v>1971</v>
      </c>
      <c r="H1211" s="1571"/>
      <c r="I1211" s="2369">
        <v>0</v>
      </c>
      <c r="J1211" s="2374">
        <f>+I1211*25000</f>
        <v>0</v>
      </c>
    </row>
    <row r="1212" spans="1:11">
      <c r="A1212" s="1561" t="s">
        <v>210</v>
      </c>
      <c r="B1212" s="1571" t="s">
        <v>211</v>
      </c>
      <c r="C1212" s="1567">
        <f>VLOOKUP(C1206,'Đội 3'!$A$16:$J$46,10,0)</f>
        <v>64.036624817518245</v>
      </c>
      <c r="D1212" s="2374" t="str">
        <f>VLOOKUP(C1206,'Đội 3'!$A$16:$M$46,12,0)</f>
        <v>A</v>
      </c>
      <c r="E1212" s="1574"/>
      <c r="F1212" s="1573"/>
      <c r="G1212" s="1561" t="s">
        <v>210</v>
      </c>
      <c r="H1212" s="1571" t="s">
        <v>211</v>
      </c>
      <c r="I1212" s="1567">
        <f>VLOOKUP(I1206,'Đội 3'!$A$16:$J$46,10,0)</f>
        <v>37.011994160583939</v>
      </c>
      <c r="J1212" s="2374" t="str">
        <f>VLOOKUP(I1206,'Đội 3'!$A$16:$M$46,12,0)</f>
        <v>A</v>
      </c>
    </row>
    <row r="1213" spans="1:11">
      <c r="A1213" s="1568" t="s">
        <v>212</v>
      </c>
      <c r="B1213" s="1571" t="s">
        <v>213</v>
      </c>
      <c r="C1213" s="1567"/>
      <c r="D1213" s="1568"/>
      <c r="E1213" s="1575"/>
      <c r="F1213" s="1576"/>
      <c r="G1213" s="1568" t="s">
        <v>212</v>
      </c>
      <c r="H1213" s="1571" t="s">
        <v>213</v>
      </c>
      <c r="I1213" s="1567"/>
      <c r="J1213" s="1568"/>
    </row>
    <row r="1214" spans="1:11">
      <c r="A1214" s="1577" t="s">
        <v>214</v>
      </c>
      <c r="B1214" s="1571" t="s">
        <v>215</v>
      </c>
      <c r="C1214" s="1567"/>
      <c r="D1214" s="1568"/>
      <c r="E1214" s="1574"/>
      <c r="F1214" s="1576"/>
      <c r="G1214" s="1577" t="s">
        <v>214</v>
      </c>
      <c r="H1214" s="1571" t="s">
        <v>215</v>
      </c>
      <c r="I1214" s="1567"/>
      <c r="J1214" s="1568"/>
    </row>
    <row r="1215" spans="1:11">
      <c r="A1215" s="1561" t="s">
        <v>216</v>
      </c>
      <c r="B1215" s="1571" t="s">
        <v>217</v>
      </c>
      <c r="C1215" s="1567"/>
      <c r="D1215" s="1568">
        <v>0</v>
      </c>
      <c r="E1215" s="1578"/>
      <c r="F1215" s="1560"/>
      <c r="G1215" s="1561" t="s">
        <v>216</v>
      </c>
      <c r="H1215" s="1571" t="s">
        <v>217</v>
      </c>
      <c r="I1215" s="1567"/>
      <c r="J1215" s="1568">
        <v>0</v>
      </c>
    </row>
    <row r="1216" spans="1:11">
      <c r="A1216" s="1568" t="s">
        <v>218</v>
      </c>
      <c r="B1216" s="1571" t="s">
        <v>219</v>
      </c>
      <c r="C1216" s="1579"/>
      <c r="D1216" s="1580">
        <f>SUM(D1207:D1212)-D1215</f>
        <v>26830431833.821068</v>
      </c>
      <c r="E1216" s="1581"/>
      <c r="F1216" s="1582"/>
      <c r="G1216" s="1568" t="s">
        <v>218</v>
      </c>
      <c r="H1216" s="1571" t="s">
        <v>219</v>
      </c>
      <c r="I1216" s="1579"/>
      <c r="J1216" s="1580">
        <f>SUM(J1207:J1212)-J1215</f>
        <v>15507523054.742085</v>
      </c>
      <c r="K1216" s="3350">
        <f>J1216+D1216</f>
        <v>42337954888.563156</v>
      </c>
    </row>
    <row r="1217" spans="1:11">
      <c r="A1217" s="1583"/>
      <c r="B1217" s="1584"/>
      <c r="C1217" s="1585"/>
      <c r="D1217" s="1586"/>
      <c r="E1217" s="1582"/>
      <c r="F1217" s="1586"/>
      <c r="G1217" s="1583"/>
      <c r="H1217" s="1584"/>
      <c r="I1217" s="1585"/>
      <c r="J1217" s="1582"/>
    </row>
    <row r="1218" spans="1:11">
      <c r="A1218" s="1587"/>
      <c r="B1218" s="1587"/>
      <c r="C1218" s="1588"/>
      <c r="D1218" s="3335"/>
      <c r="E1218" s="1590"/>
      <c r="F1218" s="1587"/>
      <c r="G1218" s="1587"/>
      <c r="H1218" s="1587"/>
      <c r="I1218" s="1588"/>
      <c r="J1218" s="1591"/>
      <c r="K1218" s="3355"/>
    </row>
    <row r="1219" spans="1:11">
      <c r="A1219" s="4836" t="str">
        <f>$K$2</f>
        <v>Tháng 12/24</v>
      </c>
      <c r="B1219" s="4836"/>
      <c r="C1219" s="4836"/>
      <c r="D1219" s="4836"/>
      <c r="E1219" s="1560"/>
      <c r="F1219" s="1560"/>
      <c r="G1219" s="4836" t="str">
        <f>$K$2</f>
        <v>Tháng 12/24</v>
      </c>
      <c r="H1219" s="4836"/>
      <c r="I1219" s="4836"/>
      <c r="J1219" s="4836"/>
    </row>
    <row r="1220" spans="1:11" ht="18">
      <c r="A1220" s="1561" t="s">
        <v>1</v>
      </c>
      <c r="B1220" s="1562" t="str">
        <f>VLOOKUP(C1220,'Đội 3'!$A$16:$C$46,3,0)</f>
        <v>Ra Măn</v>
      </c>
      <c r="C1220" s="1563">
        <v>11</v>
      </c>
      <c r="D1220" s="1563"/>
      <c r="E1220" s="1564"/>
      <c r="F1220" s="1565"/>
      <c r="G1220" s="1561" t="s">
        <v>1</v>
      </c>
      <c r="H1220" s="1562" t="str">
        <f>VLOOKUP(I1220,'Đội 3'!$A$16:$C$46,3,0)</f>
        <v>Ta Học</v>
      </c>
      <c r="I1220" s="1563">
        <v>12</v>
      </c>
      <c r="J1220" s="1563"/>
    </row>
    <row r="1221" spans="1:11" ht="18">
      <c r="A1221" s="1561" t="s">
        <v>205</v>
      </c>
      <c r="B1221" s="1566" t="s">
        <v>206</v>
      </c>
      <c r="C1221" s="1567">
        <f>VLOOKUP(C1220,'Đội 3'!$A$16:$F$46,6,0)</f>
        <v>0</v>
      </c>
      <c r="D1221" s="1568">
        <f>C1221*25000</f>
        <v>0</v>
      </c>
      <c r="E1221" s="1569"/>
      <c r="F1221" s="1570"/>
      <c r="G1221" s="1561" t="s">
        <v>205</v>
      </c>
      <c r="H1221" s="1566" t="s">
        <v>206</v>
      </c>
      <c r="I1221" s="1567">
        <f>VLOOKUP(I1220,'Đội 3'!$A$16:$F$46,6,0)</f>
        <v>0</v>
      </c>
      <c r="J1221" s="1568">
        <f>I1221*25000</f>
        <v>0</v>
      </c>
    </row>
    <row r="1222" spans="1:11">
      <c r="A1222" s="1561" t="s">
        <v>207</v>
      </c>
      <c r="B1222" s="1571" t="s">
        <v>208</v>
      </c>
      <c r="C1222" s="1567">
        <f>VLOOKUP(C1220,'Đội 3'!$A$16:$O$46,13,0)</f>
        <v>72663</v>
      </c>
      <c r="D1222" s="2374">
        <f>+C1222*$L$3</f>
        <v>2196775427.9399996</v>
      </c>
      <c r="E1222" s="1572"/>
      <c r="F1222" s="1573"/>
      <c r="G1222" s="1561" t="s">
        <v>207</v>
      </c>
      <c r="H1222" s="1571" t="s">
        <v>208</v>
      </c>
      <c r="I1222" s="1567">
        <f>VLOOKUP(I1220,'Đội 3'!$A$16:$O$46,13,0)</f>
        <v>252421</v>
      </c>
      <c r="J1222" s="2374">
        <f>+I1222*$L$3</f>
        <v>7631287591.9799995</v>
      </c>
    </row>
    <row r="1223" spans="1:11">
      <c r="A1223" s="1561" t="s">
        <v>1259</v>
      </c>
      <c r="B1223" s="1571" t="s">
        <v>209</v>
      </c>
      <c r="C1223" s="2369">
        <f>VLOOKUP(C1220,'Đội 3'!$A$16:$P$46,14,0)</f>
        <v>111499.47839719708</v>
      </c>
      <c r="D1223" s="2374">
        <f>+C1223*$L$4</f>
        <v>5623032425.0386133</v>
      </c>
      <c r="E1223" s="1572"/>
      <c r="F1223" s="1573"/>
      <c r="G1223" s="1561" t="s">
        <v>1259</v>
      </c>
      <c r="H1223" s="1571" t="s">
        <v>209</v>
      </c>
      <c r="I1223" s="2369">
        <f>VLOOKUP(I1220,'Đội 3'!$A$16:$P$46,14,0)</f>
        <v>380700.29600513866</v>
      </c>
      <c r="J1223" s="2374">
        <f>+I1223*$L$4</f>
        <v>19199104241.841068</v>
      </c>
    </row>
    <row r="1224" spans="1:11">
      <c r="A1224" s="1561" t="s">
        <v>1531</v>
      </c>
      <c r="B1224" s="1571"/>
      <c r="C1224" s="2369">
        <f>VLOOKUP(C1220,'Đội 3'!$A$16:$S$46,16,0)</f>
        <v>1</v>
      </c>
      <c r="D1224" s="2374">
        <f>+C1224*20000</f>
        <v>20000</v>
      </c>
      <c r="E1224" s="1572"/>
      <c r="F1224" s="1573"/>
      <c r="G1224" s="1561" t="s">
        <v>1531</v>
      </c>
      <c r="H1224" s="1571"/>
      <c r="I1224" s="2369">
        <f>VLOOKUP(I1220,'Đội 3'!$A$16:$S$46,16,0)</f>
        <v>2</v>
      </c>
      <c r="J1224" s="2374">
        <f>+I1224*20000</f>
        <v>40000</v>
      </c>
    </row>
    <row r="1225" spans="1:11" hidden="1">
      <c r="A1225" s="1561" t="s">
        <v>1971</v>
      </c>
      <c r="B1225" s="1571"/>
      <c r="C1225" s="2369">
        <v>0</v>
      </c>
      <c r="D1225" s="2374">
        <f>+C1225*25000</f>
        <v>0</v>
      </c>
      <c r="E1225" s="1572"/>
      <c r="F1225" s="1573"/>
      <c r="G1225" s="1561" t="s">
        <v>1971</v>
      </c>
      <c r="H1225" s="1571"/>
      <c r="I1225" s="2369">
        <v>0</v>
      </c>
      <c r="J1225" s="2374">
        <f>+I1225*25000</f>
        <v>0</v>
      </c>
    </row>
    <row r="1226" spans="1:11">
      <c r="A1226" s="1561" t="s">
        <v>210</v>
      </c>
      <c r="B1226" s="1571" t="s">
        <v>211</v>
      </c>
      <c r="C1226" s="1567">
        <f>VLOOKUP(C1220,'Đội 3'!$A$16:$J$46,10,0)</f>
        <v>19.387235036496349</v>
      </c>
      <c r="D1226" s="2374" t="str">
        <f>VLOOKUP(C1220,'Đội 3'!$A$16:$M$46,12,0)</f>
        <v>B</v>
      </c>
      <c r="E1226" s="1574"/>
      <c r="F1226" s="1573"/>
      <c r="G1226" s="1561" t="s">
        <v>210</v>
      </c>
      <c r="H1226" s="1571" t="s">
        <v>211</v>
      </c>
      <c r="I1226" s="1567">
        <f>VLOOKUP(I1220,'Đội 3'!$A$16:$J$46,10,0)</f>
        <v>64.036624817518245</v>
      </c>
      <c r="J1226" s="2374" t="str">
        <f>VLOOKUP(I1220,'Đội 3'!$A$16:$M$46,12,0)</f>
        <v>A</v>
      </c>
    </row>
    <row r="1227" spans="1:11">
      <c r="A1227" s="1568" t="s">
        <v>212</v>
      </c>
      <c r="B1227" s="1571" t="s">
        <v>213</v>
      </c>
      <c r="C1227" s="1567"/>
      <c r="D1227" s="1568"/>
      <c r="E1227" s="1575"/>
      <c r="F1227" s="1576"/>
      <c r="G1227" s="1568" t="s">
        <v>212</v>
      </c>
      <c r="H1227" s="1571" t="s">
        <v>213</v>
      </c>
      <c r="I1227" s="1567"/>
      <c r="J1227" s="1568"/>
    </row>
    <row r="1228" spans="1:11">
      <c r="A1228" s="1577" t="s">
        <v>214</v>
      </c>
      <c r="B1228" s="1571" t="s">
        <v>215</v>
      </c>
      <c r="C1228" s="1567"/>
      <c r="D1228" s="1568"/>
      <c r="E1228" s="1574"/>
      <c r="F1228" s="1576"/>
      <c r="G1228" s="1577" t="s">
        <v>214</v>
      </c>
      <c r="H1228" s="1571" t="s">
        <v>215</v>
      </c>
      <c r="I1228" s="1567"/>
      <c r="J1228" s="1568"/>
    </row>
    <row r="1229" spans="1:11">
      <c r="A1229" s="1561" t="s">
        <v>216</v>
      </c>
      <c r="B1229" s="1571" t="s">
        <v>217</v>
      </c>
      <c r="C1229" s="1567"/>
      <c r="D1229" s="1568">
        <v>0</v>
      </c>
      <c r="E1229" s="1578"/>
      <c r="F1229" s="1560"/>
      <c r="G1229" s="1561" t="s">
        <v>216</v>
      </c>
      <c r="H1229" s="1571" t="s">
        <v>217</v>
      </c>
      <c r="I1229" s="1567"/>
      <c r="J1229" s="1568">
        <v>0</v>
      </c>
    </row>
    <row r="1230" spans="1:11">
      <c r="A1230" s="1568" t="s">
        <v>218</v>
      </c>
      <c r="B1230" s="1571" t="s">
        <v>219</v>
      </c>
      <c r="C1230" s="1579"/>
      <c r="D1230" s="1580">
        <f>SUM(D1221:D1226)-D1229</f>
        <v>7819827852.9786129</v>
      </c>
      <c r="E1230" s="1581"/>
      <c r="F1230" s="1582"/>
      <c r="G1230" s="1568" t="s">
        <v>218</v>
      </c>
      <c r="H1230" s="1571" t="s">
        <v>219</v>
      </c>
      <c r="I1230" s="1579"/>
      <c r="J1230" s="1580">
        <f>SUM(J1221:J1226)-J1229</f>
        <v>26830431833.821068</v>
      </c>
      <c r="K1230" s="3350">
        <f>J1230+D1230</f>
        <v>34650259686.799683</v>
      </c>
    </row>
    <row r="1231" spans="1:11">
      <c r="A1231" s="1583"/>
      <c r="B1231" s="1584"/>
      <c r="C1231" s="1585"/>
      <c r="D1231" s="1586"/>
      <c r="E1231" s="1582"/>
      <c r="F1231" s="1586"/>
      <c r="G1231" s="1583"/>
      <c r="H1231" s="1584"/>
      <c r="I1231" s="1585"/>
      <c r="J1231" s="1582"/>
    </row>
    <row r="1232" spans="1:11">
      <c r="A1232" s="1587"/>
      <c r="B1232" s="1587"/>
      <c r="C1232" s="1588"/>
      <c r="D1232" s="3335"/>
      <c r="E1232" s="1590"/>
      <c r="F1232" s="1587"/>
      <c r="G1232" s="1587"/>
      <c r="H1232" s="1587"/>
      <c r="I1232" s="1588"/>
      <c r="J1232" s="1591"/>
      <c r="K1232" s="3355"/>
    </row>
    <row r="1233" spans="1:11">
      <c r="A1233" s="4836" t="str">
        <f>$K$2</f>
        <v>Tháng 12/24</v>
      </c>
      <c r="B1233" s="4836"/>
      <c r="C1233" s="4836"/>
      <c r="D1233" s="4836"/>
      <c r="E1233" s="1560"/>
      <c r="F1233" s="1560"/>
      <c r="G1233" s="4836" t="str">
        <f>$K$2</f>
        <v>Tháng 12/24</v>
      </c>
      <c r="H1233" s="4836"/>
      <c r="I1233" s="4836"/>
      <c r="J1233" s="4836"/>
    </row>
    <row r="1234" spans="1:11" ht="18">
      <c r="A1234" s="1561" t="s">
        <v>1</v>
      </c>
      <c r="B1234" s="1562" t="str">
        <f>VLOOKUP(C1234,'Đội 3'!$A$16:$C$46,3,0)</f>
        <v>Phò Têng</v>
      </c>
      <c r="C1234" s="1563">
        <v>13</v>
      </c>
      <c r="D1234" s="1563"/>
      <c r="E1234" s="1564"/>
      <c r="F1234" s="1565"/>
      <c r="G1234" s="1561" t="s">
        <v>1</v>
      </c>
      <c r="H1234" s="1562" t="str">
        <f>VLOOKUP(I1234,'Đội 3'!$A$16:$C$46,3,0)</f>
        <v>Ma</v>
      </c>
      <c r="I1234" s="1563">
        <v>14</v>
      </c>
      <c r="J1234" s="1563"/>
    </row>
    <row r="1235" spans="1:11" ht="18">
      <c r="A1235" s="1561" t="s">
        <v>205</v>
      </c>
      <c r="B1235" s="1566" t="s">
        <v>206</v>
      </c>
      <c r="C1235" s="1567">
        <f>VLOOKUP(C1234,'Đội 3'!$A$16:$F$46,6,0)</f>
        <v>0</v>
      </c>
      <c r="D1235" s="1568">
        <f>C1235*25000</f>
        <v>0</v>
      </c>
      <c r="E1235" s="1569"/>
      <c r="F1235" s="1570"/>
      <c r="G1235" s="1561" t="s">
        <v>205</v>
      </c>
      <c r="H1235" s="1566" t="s">
        <v>206</v>
      </c>
      <c r="I1235" s="1567">
        <f>VLOOKUP(I1234,'Đội 3'!$A$16:$F$46,6,0)</f>
        <v>0</v>
      </c>
      <c r="J1235" s="1568">
        <f>I1235*25000</f>
        <v>0</v>
      </c>
    </row>
    <row r="1236" spans="1:11">
      <c r="A1236" s="1561" t="s">
        <v>207</v>
      </c>
      <c r="B1236" s="1571" t="s">
        <v>208</v>
      </c>
      <c r="C1236" s="1567">
        <f>VLOOKUP(C1234,'Đội 3'!$A$16:$O$46,13,0)</f>
        <v>171368</v>
      </c>
      <c r="D1236" s="2374">
        <f>+C1236*$L$3</f>
        <v>5180862495.8399992</v>
      </c>
      <c r="E1236" s="1572"/>
      <c r="F1236" s="1573"/>
      <c r="G1236" s="1561" t="s">
        <v>207</v>
      </c>
      <c r="H1236" s="1571" t="s">
        <v>208</v>
      </c>
      <c r="I1236" s="1567">
        <f>VLOOKUP(I1234,'Đội 3'!$A$16:$O$46,13,0)</f>
        <v>85874</v>
      </c>
      <c r="J1236" s="2374">
        <f>+I1236*$L$3</f>
        <v>2596175400.1199999</v>
      </c>
    </row>
    <row r="1237" spans="1:11">
      <c r="A1237" s="1561" t="s">
        <v>1259</v>
      </c>
      <c r="B1237" s="1571" t="s">
        <v>209</v>
      </c>
      <c r="C1237" s="2369">
        <f>VLOOKUP(C1234,'Đội 3'!$A$16:$P$46,14,0)</f>
        <v>258457.08169156202</v>
      </c>
      <c r="D1237" s="2374">
        <f>+C1237*$L$4</f>
        <v>13034254255.928797</v>
      </c>
      <c r="E1237" s="1572"/>
      <c r="F1237" s="1573"/>
      <c r="G1237" s="1561" t="s">
        <v>1259</v>
      </c>
      <c r="H1237" s="1571" t="s">
        <v>209</v>
      </c>
      <c r="I1237" s="2369">
        <f>VLOOKUP(I1234,'Đội 3'!$A$16:$P$46,14,0)</f>
        <v>131772.11083305112</v>
      </c>
      <c r="J1237" s="2374">
        <f>+I1237*$L$4</f>
        <v>6645401956.8638172</v>
      </c>
    </row>
    <row r="1238" spans="1:11">
      <c r="A1238" s="1561" t="s">
        <v>1531</v>
      </c>
      <c r="B1238" s="1571"/>
      <c r="C1238" s="2369">
        <f>VLOOKUP(C1234,'Đội 3'!$A$16:$S$46,16,0)</f>
        <v>3</v>
      </c>
      <c r="D1238" s="2374">
        <f>+C1238*20000</f>
        <v>60000</v>
      </c>
      <c r="E1238" s="1572"/>
      <c r="F1238" s="1573"/>
      <c r="G1238" s="1561" t="s">
        <v>1531</v>
      </c>
      <c r="H1238" s="1571"/>
      <c r="I1238" s="2369">
        <f>VLOOKUP(I1234,'Đội 3'!$A$16:$S$46,16,0)</f>
        <v>1</v>
      </c>
      <c r="J1238" s="2374">
        <f>+I1238*20000</f>
        <v>20000</v>
      </c>
    </row>
    <row r="1239" spans="1:11" hidden="1">
      <c r="A1239" s="1561" t="s">
        <v>1971</v>
      </c>
      <c r="B1239" s="1571"/>
      <c r="C1239" s="2369">
        <v>0</v>
      </c>
      <c r="D1239" s="2374">
        <f>+C1239*25000</f>
        <v>0</v>
      </c>
      <c r="E1239" s="1572"/>
      <c r="F1239" s="1573"/>
      <c r="G1239" s="1561" t="s">
        <v>1971</v>
      </c>
      <c r="H1239" s="1571"/>
      <c r="I1239" s="2369">
        <v>0</v>
      </c>
      <c r="J1239" s="2374">
        <f>+I1239*25000</f>
        <v>0</v>
      </c>
    </row>
    <row r="1240" spans="1:11">
      <c r="A1240" s="1561" t="s">
        <v>210</v>
      </c>
      <c r="B1240" s="1571" t="s">
        <v>211</v>
      </c>
      <c r="C1240" s="1567">
        <f>VLOOKUP(C1234,'Đội 3'!$A$16:$J$46,10,0)</f>
        <v>43.474405839416058</v>
      </c>
      <c r="D1240" s="2374" t="str">
        <f>VLOOKUP(C1234,'Đội 3'!$A$16:$M$46,12,0)</f>
        <v>A</v>
      </c>
      <c r="E1240" s="1574"/>
      <c r="F1240" s="1573"/>
      <c r="G1240" s="1561" t="s">
        <v>210</v>
      </c>
      <c r="H1240" s="1571" t="s">
        <v>211</v>
      </c>
      <c r="I1240" s="1567">
        <f>VLOOKUP(I1234,'Đội 3'!$A$16:$J$46,10,0)</f>
        <v>22.91218686131387</v>
      </c>
      <c r="J1240" s="2374" t="str">
        <f>VLOOKUP(I1234,'Đội 3'!$A$16:$M$46,12,0)</f>
        <v>B</v>
      </c>
    </row>
    <row r="1241" spans="1:11">
      <c r="A1241" s="1568" t="s">
        <v>212</v>
      </c>
      <c r="B1241" s="1571" t="s">
        <v>213</v>
      </c>
      <c r="C1241" s="1567"/>
      <c r="D1241" s="1568"/>
      <c r="E1241" s="1575"/>
      <c r="F1241" s="1576"/>
      <c r="G1241" s="1568" t="s">
        <v>212</v>
      </c>
      <c r="H1241" s="1571" t="s">
        <v>213</v>
      </c>
      <c r="I1241" s="1567"/>
      <c r="J1241" s="1568"/>
    </row>
    <row r="1242" spans="1:11">
      <c r="A1242" s="1577" t="s">
        <v>214</v>
      </c>
      <c r="B1242" s="1571" t="s">
        <v>215</v>
      </c>
      <c r="C1242" s="1567"/>
      <c r="D1242" s="1568"/>
      <c r="E1242" s="1574"/>
      <c r="F1242" s="1576"/>
      <c r="G1242" s="1577" t="s">
        <v>214</v>
      </c>
      <c r="H1242" s="1571" t="s">
        <v>215</v>
      </c>
      <c r="I1242" s="1567"/>
      <c r="J1242" s="1568"/>
    </row>
    <row r="1243" spans="1:11">
      <c r="A1243" s="1561" t="s">
        <v>216</v>
      </c>
      <c r="B1243" s="1571" t="s">
        <v>217</v>
      </c>
      <c r="C1243" s="1567"/>
      <c r="D1243" s="1568">
        <v>0</v>
      </c>
      <c r="E1243" s="1578"/>
      <c r="F1243" s="1560"/>
      <c r="G1243" s="1561" t="s">
        <v>216</v>
      </c>
      <c r="H1243" s="1571" t="s">
        <v>217</v>
      </c>
      <c r="I1243" s="1567"/>
      <c r="J1243" s="1568">
        <v>0</v>
      </c>
    </row>
    <row r="1244" spans="1:11">
      <c r="A1244" s="1568" t="s">
        <v>218</v>
      </c>
      <c r="B1244" s="1571" t="s">
        <v>219</v>
      </c>
      <c r="C1244" s="1579"/>
      <c r="D1244" s="1580">
        <f>SUM(D1235:D1240)-D1243</f>
        <v>18215176751.768795</v>
      </c>
      <c r="E1244" s="1581"/>
      <c r="F1244" s="1582"/>
      <c r="G1244" s="1568" t="s">
        <v>218</v>
      </c>
      <c r="H1244" s="1571" t="s">
        <v>219</v>
      </c>
      <c r="I1244" s="1579"/>
      <c r="J1244" s="1580">
        <f>SUM(J1235:J1240)-J1243</f>
        <v>9241597356.9838181</v>
      </c>
      <c r="K1244" s="3350">
        <f>J1244+D1244</f>
        <v>27456774108.752613</v>
      </c>
    </row>
    <row r="1245" spans="1:11">
      <c r="A1245" s="1568"/>
      <c r="B1245" s="1571"/>
      <c r="C1245" s="1579"/>
      <c r="D1245" s="1580"/>
      <c r="E1245" s="1582"/>
      <c r="F1245" s="1582"/>
      <c r="G1245" s="1568"/>
      <c r="H1245" s="1571"/>
      <c r="I1245" s="1579"/>
      <c r="J1245" s="1580"/>
      <c r="K1245" s="3355"/>
    </row>
    <row r="1246" spans="1:11">
      <c r="A1246" s="4836" t="str">
        <f>$K$2</f>
        <v>Tháng 12/24</v>
      </c>
      <c r="B1246" s="4836"/>
      <c r="C1246" s="4836"/>
      <c r="D1246" s="4836"/>
      <c r="E1246" s="1560"/>
      <c r="F1246" s="1560"/>
      <c r="G1246" s="4836" t="str">
        <f>$K$2</f>
        <v>Tháng 12/24</v>
      </c>
      <c r="H1246" s="4836"/>
      <c r="I1246" s="4836"/>
      <c r="J1246" s="4836"/>
    </row>
    <row r="1247" spans="1:11" ht="18">
      <c r="A1247" s="1561" t="s">
        <v>1</v>
      </c>
      <c r="B1247" s="1562" t="str">
        <f>VLOOKUP(C1247,'Đội 3'!$A$16:$C$46,3,0)</f>
        <v>Phò Thoong</v>
      </c>
      <c r="C1247" s="1563">
        <v>15</v>
      </c>
      <c r="D1247" s="1563"/>
      <c r="E1247" s="1564"/>
      <c r="F1247" s="1565"/>
      <c r="G1247" s="1561" t="s">
        <v>1</v>
      </c>
      <c r="H1247" s="1562" t="str">
        <f>VLOOKUP(I1247,'Đội 3'!$A$16:$C$46,3,0)</f>
        <v>Cha Hô</v>
      </c>
      <c r="I1247" s="1563">
        <v>16</v>
      </c>
      <c r="J1247" s="1563"/>
    </row>
    <row r="1248" spans="1:11" ht="18">
      <c r="A1248" s="1561" t="s">
        <v>205</v>
      </c>
      <c r="B1248" s="1566" t="s">
        <v>206</v>
      </c>
      <c r="C1248" s="1567">
        <f>VLOOKUP(C1247,'Đội 3'!$A$16:$F$46,6,0)</f>
        <v>0</v>
      </c>
      <c r="D1248" s="1568">
        <f>C1248*25000</f>
        <v>0</v>
      </c>
      <c r="E1248" s="1569"/>
      <c r="F1248" s="1570"/>
      <c r="G1248" s="1561" t="s">
        <v>205</v>
      </c>
      <c r="H1248" s="1566" t="s">
        <v>206</v>
      </c>
      <c r="I1248" s="1567">
        <f>VLOOKUP(I1247,'Đội 3'!$A$16:$F$46,6,0)</f>
        <v>0</v>
      </c>
      <c r="J1248" s="1568">
        <f>I1248*25000</f>
        <v>0</v>
      </c>
    </row>
    <row r="1249" spans="1:11">
      <c r="A1249" s="1561" t="s">
        <v>207</v>
      </c>
      <c r="B1249" s="1571" t="s">
        <v>208</v>
      </c>
      <c r="C1249" s="1567">
        <f>VLOOKUP(C1247,'Đội 3'!$A$16:$O$46,13,0)</f>
        <v>115789</v>
      </c>
      <c r="D1249" s="2374">
        <f>+C1249*$L$3</f>
        <v>3500577047.8199997</v>
      </c>
      <c r="E1249" s="1572"/>
      <c r="F1249" s="1573"/>
      <c r="G1249" s="1561" t="s">
        <v>207</v>
      </c>
      <c r="H1249" s="1571" t="s">
        <v>208</v>
      </c>
      <c r="I1249" s="1567">
        <f>VLOOKUP(I1247,'Đội 3'!$A$16:$O$46,13,0)</f>
        <v>194526</v>
      </c>
      <c r="J1249" s="2374">
        <f>+I1249*$L$3</f>
        <v>5880983951.8799992</v>
      </c>
    </row>
    <row r="1250" spans="1:11">
      <c r="A1250" s="1561" t="s">
        <v>1259</v>
      </c>
      <c r="B1250" s="1571" t="s">
        <v>209</v>
      </c>
      <c r="C1250" s="2369">
        <f>VLOOKUP(C1247,'Đội 3'!$A$16:$P$46,14,0)</f>
        <v>174633.16330510948</v>
      </c>
      <c r="D1250" s="2374">
        <f>+C1250*$L$4</f>
        <v>8806928551.3032417</v>
      </c>
      <c r="E1250" s="1572"/>
      <c r="F1250" s="1573"/>
      <c r="G1250" s="1561" t="s">
        <v>1259</v>
      </c>
      <c r="H1250" s="1571" t="s">
        <v>209</v>
      </c>
      <c r="I1250" s="2369">
        <f>VLOOKUP(I1247,'Đội 3'!$A$16:$P$46,14,0)</f>
        <v>293383.71435258392</v>
      </c>
      <c r="J1250" s="2374">
        <f>+I1250*$L$4</f>
        <v>14795639966.189445</v>
      </c>
    </row>
    <row r="1251" spans="1:11">
      <c r="A1251" s="1561" t="s">
        <v>1531</v>
      </c>
      <c r="B1251" s="1571"/>
      <c r="C1251" s="2369">
        <f>VLOOKUP(C1247,'Đội 3'!$A$16:$S$46,16,0)</f>
        <v>2</v>
      </c>
      <c r="D1251" s="2374">
        <f>+C1251*20000</f>
        <v>40000</v>
      </c>
      <c r="E1251" s="1572"/>
      <c r="F1251" s="1573"/>
      <c r="G1251" s="1561" t="s">
        <v>1531</v>
      </c>
      <c r="H1251" s="1571"/>
      <c r="I1251" s="2369">
        <f>VLOOKUP(I1247,'Đội 3'!$A$16:$S$46,16,0)</f>
        <v>1</v>
      </c>
      <c r="J1251" s="2374">
        <f>+I1251*20000</f>
        <v>20000</v>
      </c>
    </row>
    <row r="1252" spans="1:11" hidden="1">
      <c r="A1252" s="1561" t="s">
        <v>1971</v>
      </c>
      <c r="B1252" s="1571"/>
      <c r="C1252" s="2369">
        <v>0</v>
      </c>
      <c r="D1252" s="2374">
        <f>+C1252*25000</f>
        <v>0</v>
      </c>
      <c r="E1252" s="1572"/>
      <c r="F1252" s="1573"/>
      <c r="G1252" s="1561" t="s">
        <v>1971</v>
      </c>
      <c r="H1252" s="1571"/>
      <c r="I1252" s="2369">
        <v>0</v>
      </c>
      <c r="J1252" s="2374">
        <f>+I1252*25000</f>
        <v>0</v>
      </c>
    </row>
    <row r="1253" spans="1:11">
      <c r="A1253" s="1561" t="s">
        <v>210</v>
      </c>
      <c r="B1253" s="1571" t="s">
        <v>211</v>
      </c>
      <c r="C1253" s="1567">
        <f>VLOOKUP(C1247,'Đội 3'!$A$16:$J$46,10,0)</f>
        <v>29.374598540145985</v>
      </c>
      <c r="D1253" s="2374" t="str">
        <f>VLOOKUP(C1247,'Đội 3'!$A$16:$M$46,12,0)</f>
        <v>A</v>
      </c>
      <c r="E1253" s="1574"/>
      <c r="F1253" s="1573"/>
      <c r="G1253" s="1561" t="s">
        <v>210</v>
      </c>
      <c r="H1253" s="1571" t="s">
        <v>211</v>
      </c>
      <c r="I1253" s="1567">
        <f>VLOOKUP(I1247,'Đội 3'!$A$16:$J$46,10,0)</f>
        <v>49.349325547445254</v>
      </c>
      <c r="J1253" s="2374" t="str">
        <f>VLOOKUP(I1247,'Đội 3'!$A$16:$M$46,12,0)</f>
        <v>A</v>
      </c>
    </row>
    <row r="1254" spans="1:11">
      <c r="A1254" s="1568" t="s">
        <v>212</v>
      </c>
      <c r="B1254" s="1571" t="s">
        <v>213</v>
      </c>
      <c r="C1254" s="1567"/>
      <c r="D1254" s="1568"/>
      <c r="E1254" s="1575"/>
      <c r="F1254" s="1576"/>
      <c r="G1254" s="1568" t="s">
        <v>212</v>
      </c>
      <c r="H1254" s="1571" t="s">
        <v>213</v>
      </c>
      <c r="I1254" s="1567"/>
      <c r="J1254" s="1568"/>
    </row>
    <row r="1255" spans="1:11">
      <c r="A1255" s="1577" t="s">
        <v>214</v>
      </c>
      <c r="B1255" s="1571" t="s">
        <v>215</v>
      </c>
      <c r="C1255" s="1567"/>
      <c r="D1255" s="1568"/>
      <c r="E1255" s="1574"/>
      <c r="F1255" s="1576"/>
      <c r="G1255" s="1577" t="s">
        <v>214</v>
      </c>
      <c r="H1255" s="1571" t="s">
        <v>215</v>
      </c>
      <c r="I1255" s="1567"/>
      <c r="J1255" s="1568"/>
    </row>
    <row r="1256" spans="1:11">
      <c r="A1256" s="1561" t="s">
        <v>216</v>
      </c>
      <c r="B1256" s="1571" t="s">
        <v>217</v>
      </c>
      <c r="C1256" s="1567"/>
      <c r="D1256" s="1568">
        <v>0</v>
      </c>
      <c r="E1256" s="1578"/>
      <c r="F1256" s="1560"/>
      <c r="G1256" s="1561" t="s">
        <v>216</v>
      </c>
      <c r="H1256" s="1571" t="s">
        <v>217</v>
      </c>
      <c r="I1256" s="1567"/>
      <c r="J1256" s="1568">
        <v>0</v>
      </c>
    </row>
    <row r="1257" spans="1:11">
      <c r="A1257" s="1568" t="s">
        <v>218</v>
      </c>
      <c r="B1257" s="1571" t="s">
        <v>219</v>
      </c>
      <c r="C1257" s="1579"/>
      <c r="D1257" s="1580">
        <f>SUM(D1248:D1253)-D1256</f>
        <v>12307545599.123241</v>
      </c>
      <c r="E1257" s="1581"/>
      <c r="F1257" s="1582"/>
      <c r="G1257" s="1568" t="s">
        <v>218</v>
      </c>
      <c r="H1257" s="1571" t="s">
        <v>219</v>
      </c>
      <c r="I1257" s="1579"/>
      <c r="J1257" s="1580">
        <f>SUM(J1248:J1253)-J1256</f>
        <v>20676643918.069443</v>
      </c>
      <c r="K1257" s="3350">
        <f>J1257+D1257</f>
        <v>32984189517.192684</v>
      </c>
    </row>
    <row r="1258" spans="1:11">
      <c r="A1258" s="1583"/>
      <c r="B1258" s="1584"/>
      <c r="C1258" s="1585"/>
      <c r="D1258" s="1586"/>
      <c r="E1258" s="1582"/>
      <c r="F1258" s="1586"/>
      <c r="G1258" s="1583"/>
      <c r="H1258" s="1584"/>
      <c r="I1258" s="1585"/>
      <c r="J1258" s="1582"/>
    </row>
    <row r="1259" spans="1:11">
      <c r="A1259" s="1587"/>
      <c r="B1259" s="1587"/>
      <c r="C1259" s="1588"/>
      <c r="D1259" s="3335"/>
      <c r="E1259" s="1590"/>
      <c r="F1259" s="1587"/>
      <c r="G1259" s="1587"/>
      <c r="H1259" s="1587"/>
      <c r="I1259" s="1588"/>
      <c r="J1259" s="1591"/>
      <c r="K1259" s="3355"/>
    </row>
    <row r="1260" spans="1:11">
      <c r="A1260" s="4836" t="str">
        <f>$K$2</f>
        <v>Tháng 12/24</v>
      </c>
      <c r="B1260" s="4836"/>
      <c r="C1260" s="4836"/>
      <c r="D1260" s="4836"/>
      <c r="E1260" s="1560"/>
      <c r="F1260" s="1560"/>
      <c r="G1260" s="4836" t="str">
        <f>$K$2</f>
        <v>Tháng 12/24</v>
      </c>
      <c r="H1260" s="4836"/>
      <c r="I1260" s="4836"/>
      <c r="J1260" s="4836"/>
    </row>
    <row r="1261" spans="1:11" ht="18">
      <c r="A1261" s="1561" t="s">
        <v>1</v>
      </c>
      <c r="B1261" s="1562" t="str">
        <f>VLOOKUP(C1261,'Đội 3'!$A$16:$C$46,3,0)</f>
        <v>Cha Khuất</v>
      </c>
      <c r="C1261" s="1563">
        <v>17</v>
      </c>
      <c r="D1261" s="1563"/>
      <c r="E1261" s="1564"/>
      <c r="F1261" s="1565"/>
      <c r="G1261" s="1561" t="s">
        <v>1</v>
      </c>
      <c r="H1261" s="1562" t="str">
        <f>VLOOKUP(I1261,'Đội 3'!$A$16:$C$46,3,0)</f>
        <v>A Lay</v>
      </c>
      <c r="I1261" s="1563">
        <v>18</v>
      </c>
      <c r="J1261" s="1563"/>
    </row>
    <row r="1262" spans="1:11" ht="18">
      <c r="A1262" s="1561" t="s">
        <v>205</v>
      </c>
      <c r="B1262" s="1566" t="s">
        <v>206</v>
      </c>
      <c r="C1262" s="1567">
        <f>VLOOKUP(C1261,'Đội 3'!$A$16:$F$46,6,0)</f>
        <v>0</v>
      </c>
      <c r="D1262" s="1568">
        <f>C1262*25000</f>
        <v>0</v>
      </c>
      <c r="E1262" s="1569"/>
      <c r="F1262" s="1570"/>
      <c r="G1262" s="1561" t="s">
        <v>205</v>
      </c>
      <c r="H1262" s="1566" t="s">
        <v>206</v>
      </c>
      <c r="I1262" s="1567">
        <f>VLOOKUP(I1261,'Đội 3'!$A$16:$F$46,6,0)</f>
        <v>0</v>
      </c>
      <c r="J1262" s="1568">
        <f>I1262*25000</f>
        <v>0</v>
      </c>
    </row>
    <row r="1263" spans="1:11">
      <c r="A1263" s="1561" t="s">
        <v>207</v>
      </c>
      <c r="B1263" s="1571" t="s">
        <v>208</v>
      </c>
      <c r="C1263" s="1567">
        <f>VLOOKUP(C1261,'Đội 3'!$A$16:$O$46,13,0)</f>
        <v>226795</v>
      </c>
      <c r="D1263" s="2374">
        <f>+C1263*$L$3</f>
        <v>6856552622.0999994</v>
      </c>
      <c r="E1263" s="1572"/>
      <c r="F1263" s="1573"/>
      <c r="G1263" s="1561" t="s">
        <v>207</v>
      </c>
      <c r="H1263" s="1571" t="s">
        <v>208</v>
      </c>
      <c r="I1263" s="1567">
        <f>VLOOKUP(I1261,'Đội 3'!$A$16:$O$46,13,0)</f>
        <v>85684</v>
      </c>
      <c r="J1263" s="2374">
        <f>+I1263*$L$3</f>
        <v>2590431247.9199996</v>
      </c>
    </row>
    <row r="1264" spans="1:11">
      <c r="A1264" s="1561" t="s">
        <v>1259</v>
      </c>
      <c r="B1264" s="1571" t="s">
        <v>209</v>
      </c>
      <c r="C1264" s="2369">
        <f>VLOOKUP(C1261,'Đội 3'!$A$16:$P$46,14,0)</f>
        <v>348013.5234821607</v>
      </c>
      <c r="D1264" s="2374">
        <f>+C1264*$L$4</f>
        <v>17550676962.999313</v>
      </c>
      <c r="E1264" s="1572"/>
      <c r="F1264" s="1573"/>
      <c r="G1264" s="1561" t="s">
        <v>1259</v>
      </c>
      <c r="H1264" s="1571" t="s">
        <v>209</v>
      </c>
      <c r="I1264" s="2369">
        <f>VLOOKUP(I1261,'Đội 3'!$A$16:$P$46,14,0)</f>
        <v>129228.54084578101</v>
      </c>
      <c r="J1264" s="2374">
        <f>+I1264*$L$4</f>
        <v>6517127127.9643984</v>
      </c>
    </row>
    <row r="1265" spans="1:11">
      <c r="A1265" s="1561" t="s">
        <v>1531</v>
      </c>
      <c r="B1265" s="1571"/>
      <c r="C1265" s="2369">
        <f>VLOOKUP(C1261,'Đội 3'!$A$16:$S$46,16,0)</f>
        <v>2</v>
      </c>
      <c r="D1265" s="2374">
        <f>+C1265*20000</f>
        <v>40000</v>
      </c>
      <c r="E1265" s="1572"/>
      <c r="F1265" s="1573"/>
      <c r="G1265" s="1561" t="s">
        <v>1531</v>
      </c>
      <c r="H1265" s="1571"/>
      <c r="I1265" s="2369">
        <f>VLOOKUP(I1261,'Đội 3'!$A$16:$S$46,16,0)</f>
        <v>2</v>
      </c>
      <c r="J1265" s="2374">
        <f>+I1265*20000</f>
        <v>40000</v>
      </c>
    </row>
    <row r="1266" spans="1:11" hidden="1">
      <c r="A1266" s="1561" t="s">
        <v>1971</v>
      </c>
      <c r="B1266" s="1571"/>
      <c r="C1266" s="2369">
        <v>0</v>
      </c>
      <c r="D1266" s="2374">
        <f>+C1266*25000</f>
        <v>0</v>
      </c>
      <c r="E1266" s="1572"/>
      <c r="F1266" s="1573"/>
      <c r="G1266" s="1561" t="s">
        <v>1971</v>
      </c>
      <c r="H1266" s="1571"/>
      <c r="I1266" s="2369">
        <v>0</v>
      </c>
      <c r="J1266" s="2374">
        <f>+I1266*25000</f>
        <v>0</v>
      </c>
    </row>
    <row r="1267" spans="1:11">
      <c r="A1267" s="1561" t="s">
        <v>210</v>
      </c>
      <c r="B1267" s="1571" t="s">
        <v>211</v>
      </c>
      <c r="C1267" s="1567">
        <f>VLOOKUP(C1261,'Đội 3'!$A$16:$J$46,10,0)</f>
        <v>60.511672992700731</v>
      </c>
      <c r="D1267" s="2374" t="str">
        <f>VLOOKUP(C1261,'Đội 3'!$A$16:$M$46,12,0)</f>
        <v>B</v>
      </c>
      <c r="E1267" s="1574"/>
      <c r="F1267" s="1573"/>
      <c r="G1267" s="1561" t="s">
        <v>210</v>
      </c>
      <c r="H1267" s="1571" t="s">
        <v>211</v>
      </c>
      <c r="I1267" s="1567">
        <f>VLOOKUP(I1261,'Đội 3'!$A$16:$J$46,10,0)</f>
        <v>21.737202919708029</v>
      </c>
      <c r="J1267" s="2374" t="str">
        <f>VLOOKUP(I1261,'Đội 3'!$A$16:$M$46,12,0)</f>
        <v>A</v>
      </c>
    </row>
    <row r="1268" spans="1:11">
      <c r="A1268" s="1568" t="s">
        <v>212</v>
      </c>
      <c r="B1268" s="1571" t="s">
        <v>213</v>
      </c>
      <c r="C1268" s="1567"/>
      <c r="D1268" s="1568"/>
      <c r="E1268" s="1575"/>
      <c r="F1268" s="1576"/>
      <c r="G1268" s="1568" t="s">
        <v>212</v>
      </c>
      <c r="H1268" s="1571" t="s">
        <v>213</v>
      </c>
      <c r="I1268" s="1567"/>
      <c r="J1268" s="1568"/>
    </row>
    <row r="1269" spans="1:11">
      <c r="A1269" s="1577" t="s">
        <v>214</v>
      </c>
      <c r="B1269" s="1571" t="s">
        <v>215</v>
      </c>
      <c r="C1269" s="1567"/>
      <c r="D1269" s="1568"/>
      <c r="E1269" s="1574"/>
      <c r="F1269" s="1576"/>
      <c r="G1269" s="1577" t="s">
        <v>214</v>
      </c>
      <c r="H1269" s="1571" t="s">
        <v>215</v>
      </c>
      <c r="I1269" s="1567"/>
      <c r="J1269" s="1568"/>
    </row>
    <row r="1270" spans="1:11">
      <c r="A1270" s="1561" t="s">
        <v>216</v>
      </c>
      <c r="B1270" s="1571" t="s">
        <v>217</v>
      </c>
      <c r="C1270" s="1567"/>
      <c r="D1270" s="1568">
        <v>0</v>
      </c>
      <c r="E1270" s="1578"/>
      <c r="F1270" s="1560"/>
      <c r="G1270" s="1561" t="s">
        <v>216</v>
      </c>
      <c r="H1270" s="1571" t="s">
        <v>217</v>
      </c>
      <c r="I1270" s="1567"/>
      <c r="J1270" s="1568">
        <v>0</v>
      </c>
    </row>
    <row r="1271" spans="1:11">
      <c r="A1271" s="1568" t="s">
        <v>218</v>
      </c>
      <c r="B1271" s="1571" t="s">
        <v>219</v>
      </c>
      <c r="C1271" s="1579"/>
      <c r="D1271" s="1580">
        <f>SUM(D1262:D1267)-D1270</f>
        <v>24407269585.099312</v>
      </c>
      <c r="E1271" s="1581"/>
      <c r="F1271" s="1582"/>
      <c r="G1271" s="1568" t="s">
        <v>218</v>
      </c>
      <c r="H1271" s="1571" t="s">
        <v>219</v>
      </c>
      <c r="I1271" s="1579"/>
      <c r="J1271" s="1580">
        <f>SUM(J1262:J1267)-J1270</f>
        <v>9107598375.8843975</v>
      </c>
      <c r="K1271" s="3350">
        <f>J1271+D1271</f>
        <v>33514867960.983711</v>
      </c>
    </row>
    <row r="1272" spans="1:11">
      <c r="A1272" s="1583"/>
      <c r="B1272" s="1584"/>
      <c r="C1272" s="1585"/>
      <c r="D1272" s="1586"/>
      <c r="E1272" s="1582"/>
      <c r="F1272" s="1586"/>
      <c r="G1272" s="1583"/>
      <c r="H1272" s="1584"/>
      <c r="I1272" s="1585"/>
      <c r="J1272" s="1582"/>
    </row>
    <row r="1273" spans="1:11">
      <c r="A1273" s="1587"/>
      <c r="B1273" s="1587"/>
      <c r="C1273" s="1588"/>
      <c r="D1273" s="3335"/>
      <c r="E1273" s="1590"/>
      <c r="F1273" s="1587"/>
      <c r="G1273" s="1587"/>
      <c r="H1273" s="1587"/>
      <c r="I1273" s="1588"/>
      <c r="J1273" s="1591"/>
      <c r="K1273" s="3355"/>
    </row>
    <row r="1274" spans="1:11">
      <c r="A1274" s="4836" t="str">
        <f>$K$2</f>
        <v>Tháng 12/24</v>
      </c>
      <c r="B1274" s="4836"/>
      <c r="C1274" s="4836"/>
      <c r="D1274" s="4836"/>
      <c r="E1274" s="1560"/>
      <c r="F1274" s="1560"/>
      <c r="G1274" s="4836" t="str">
        <f>$K$2</f>
        <v>Tháng 12/24</v>
      </c>
      <c r="H1274" s="4836"/>
      <c r="I1274" s="4836"/>
      <c r="J1274" s="4836"/>
    </row>
    <row r="1275" spans="1:11" ht="18">
      <c r="A1275" s="1561" t="s">
        <v>1</v>
      </c>
      <c r="B1275" s="1562" t="str">
        <f>VLOOKUP(C1275,'Đội 3'!$A$16:$C$46,3,0)</f>
        <v>A Lóc</v>
      </c>
      <c r="C1275" s="1563">
        <v>19</v>
      </c>
      <c r="D1275" s="1563"/>
      <c r="E1275" s="1564"/>
      <c r="F1275" s="1565"/>
      <c r="G1275" s="1561" t="s">
        <v>1</v>
      </c>
      <c r="H1275" s="1562" t="str">
        <f>VLOOKUP(I1275,'Đội 3'!$A$16:$C$46,3,0)</f>
        <v>Keo</v>
      </c>
      <c r="I1275" s="1563">
        <v>20</v>
      </c>
      <c r="J1275" s="1563"/>
    </row>
    <row r="1276" spans="1:11" ht="18">
      <c r="A1276" s="1561" t="s">
        <v>205</v>
      </c>
      <c r="B1276" s="1566" t="s">
        <v>206</v>
      </c>
      <c r="C1276" s="1567">
        <f>VLOOKUP(C1275,'Đội 3'!$A$16:$F$46,6,0)</f>
        <v>0</v>
      </c>
      <c r="D1276" s="1568">
        <f>C1276*25000</f>
        <v>0</v>
      </c>
      <c r="E1276" s="1569"/>
      <c r="F1276" s="1570"/>
      <c r="G1276" s="1561" t="s">
        <v>205</v>
      </c>
      <c r="H1276" s="1566" t="s">
        <v>206</v>
      </c>
      <c r="I1276" s="1567">
        <f>VLOOKUP(I1275,'Đội 3'!$A$16:$F$46,6,0)</f>
        <v>0</v>
      </c>
      <c r="J1276" s="1568">
        <f>I1276*25000</f>
        <v>0</v>
      </c>
    </row>
    <row r="1277" spans="1:11">
      <c r="A1277" s="1561" t="s">
        <v>207</v>
      </c>
      <c r="B1277" s="1571" t="s">
        <v>208</v>
      </c>
      <c r="C1277" s="1567">
        <f>VLOOKUP(C1275,'Đội 3'!$A$16:$O$46,13,0)</f>
        <v>78737</v>
      </c>
      <c r="D1277" s="2374">
        <f>+C1277*$L$3</f>
        <v>2380406904.0599999</v>
      </c>
      <c r="E1277" s="1572"/>
      <c r="F1277" s="1573"/>
      <c r="G1277" s="1561" t="s">
        <v>207</v>
      </c>
      <c r="H1277" s="1571" t="s">
        <v>208</v>
      </c>
      <c r="I1277" s="1567">
        <f>VLOOKUP(I1275,'Đội 3'!$A$16:$O$46,13,0)</f>
        <v>169052</v>
      </c>
      <c r="J1277" s="2374">
        <f>+I1277*$L$3</f>
        <v>5110844303.7599993</v>
      </c>
    </row>
    <row r="1278" spans="1:11">
      <c r="A1278" s="1561" t="s">
        <v>1259</v>
      </c>
      <c r="B1278" s="1571" t="s">
        <v>209</v>
      </c>
      <c r="C1278" s="2369">
        <f>VLOOKUP(C1275,'Đội 3'!$A$16:$P$46,14,0)</f>
        <v>118750.55104747445</v>
      </c>
      <c r="D1278" s="2374">
        <f>+C1278*$L$4</f>
        <v>5988711414.8862047</v>
      </c>
      <c r="E1278" s="1572"/>
      <c r="F1278" s="1573"/>
      <c r="G1278" s="1561" t="s">
        <v>1259</v>
      </c>
      <c r="H1278" s="1571" t="s">
        <v>209</v>
      </c>
      <c r="I1278" s="2369">
        <f>VLOOKUP(I1275,'Đội 3'!$A$16:$P$46,14,0)</f>
        <v>254964.41842545982</v>
      </c>
      <c r="J1278" s="2374">
        <f>+I1278*$L$4</f>
        <v>12858115684.902733</v>
      </c>
    </row>
    <row r="1279" spans="1:11">
      <c r="A1279" s="1561" t="s">
        <v>1531</v>
      </c>
      <c r="B1279" s="1571"/>
      <c r="C1279" s="2369">
        <f>VLOOKUP(C1275,'Đội 3'!$A$16:$S$46,16,0)</f>
        <v>1</v>
      </c>
      <c r="D1279" s="2374">
        <f>+C1279*20000</f>
        <v>20000</v>
      </c>
      <c r="E1279" s="1572"/>
      <c r="F1279" s="1573"/>
      <c r="G1279" s="1561" t="s">
        <v>1531</v>
      </c>
      <c r="H1279" s="1571"/>
      <c r="I1279" s="2369">
        <f>VLOOKUP(I1275,'Đội 3'!$A$16:$S$46,16,0)</f>
        <v>2</v>
      </c>
      <c r="J1279" s="2374">
        <f>+I1279*20000</f>
        <v>40000</v>
      </c>
    </row>
    <row r="1280" spans="1:11" hidden="1">
      <c r="A1280" s="1561" t="s">
        <v>1971</v>
      </c>
      <c r="B1280" s="1571"/>
      <c r="C1280" s="2369">
        <v>0</v>
      </c>
      <c r="D1280" s="2374">
        <f>+C1280*25000</f>
        <v>0</v>
      </c>
      <c r="E1280" s="1572"/>
      <c r="F1280" s="1573"/>
      <c r="G1280" s="1561" t="s">
        <v>1971</v>
      </c>
      <c r="H1280" s="1571"/>
      <c r="I1280" s="2369">
        <v>0</v>
      </c>
      <c r="J1280" s="2374">
        <f>+I1280*25000</f>
        <v>0</v>
      </c>
    </row>
    <row r="1281" spans="1:11">
      <c r="A1281" s="1561" t="s">
        <v>210</v>
      </c>
      <c r="B1281" s="1571" t="s">
        <v>211</v>
      </c>
      <c r="C1281" s="1567">
        <f>VLOOKUP(C1275,'Đội 3'!$A$16:$J$46,10,0)</f>
        <v>19.974727007299268</v>
      </c>
      <c r="D1281" s="2374" t="str">
        <f>VLOOKUP(C1275,'Đội 3'!$A$16:$M$46,12,0)</f>
        <v>A</v>
      </c>
      <c r="E1281" s="1574"/>
      <c r="F1281" s="1573"/>
      <c r="G1281" s="1561" t="s">
        <v>210</v>
      </c>
      <c r="H1281" s="1571" t="s">
        <v>211</v>
      </c>
      <c r="I1281" s="1567">
        <f>VLOOKUP(I1275,'Đội 3'!$A$16:$J$46,10,0)</f>
        <v>42.886913868613135</v>
      </c>
      <c r="J1281" s="2374" t="str">
        <f>VLOOKUP(I1275,'Đội 3'!$A$16:$M$46,12,0)</f>
        <v>A</v>
      </c>
    </row>
    <row r="1282" spans="1:11">
      <c r="A1282" s="1568" t="s">
        <v>212</v>
      </c>
      <c r="B1282" s="1571" t="s">
        <v>213</v>
      </c>
      <c r="C1282" s="1567"/>
      <c r="D1282" s="1568"/>
      <c r="E1282" s="1575"/>
      <c r="F1282" s="1576"/>
      <c r="G1282" s="1568" t="s">
        <v>212</v>
      </c>
      <c r="H1282" s="1571" t="s">
        <v>213</v>
      </c>
      <c r="I1282" s="1567"/>
      <c r="J1282" s="1568"/>
    </row>
    <row r="1283" spans="1:11">
      <c r="A1283" s="1577" t="s">
        <v>214</v>
      </c>
      <c r="B1283" s="1571" t="s">
        <v>215</v>
      </c>
      <c r="C1283" s="1567"/>
      <c r="D1283" s="1568"/>
      <c r="E1283" s="1574"/>
      <c r="F1283" s="1576"/>
      <c r="G1283" s="1577" t="s">
        <v>214</v>
      </c>
      <c r="H1283" s="1571" t="s">
        <v>215</v>
      </c>
      <c r="I1283" s="1567"/>
      <c r="J1283" s="1568"/>
    </row>
    <row r="1284" spans="1:11">
      <c r="A1284" s="1561" t="s">
        <v>216</v>
      </c>
      <c r="B1284" s="1571" t="s">
        <v>217</v>
      </c>
      <c r="C1284" s="1567"/>
      <c r="D1284" s="1568">
        <v>0</v>
      </c>
      <c r="E1284" s="1578"/>
      <c r="F1284" s="1560"/>
      <c r="G1284" s="1561" t="s">
        <v>216</v>
      </c>
      <c r="H1284" s="1571" t="s">
        <v>217</v>
      </c>
      <c r="I1284" s="1567"/>
      <c r="J1284" s="1568">
        <v>0</v>
      </c>
    </row>
    <row r="1285" spans="1:11">
      <c r="A1285" s="1568" t="s">
        <v>218</v>
      </c>
      <c r="B1285" s="1571" t="s">
        <v>219</v>
      </c>
      <c r="C1285" s="1579"/>
      <c r="D1285" s="1580">
        <f>SUM(D1276:D1281)-D1284</f>
        <v>8369138318.9462051</v>
      </c>
      <c r="E1285" s="1581"/>
      <c r="F1285" s="1582"/>
      <c r="G1285" s="1568" t="s">
        <v>218</v>
      </c>
      <c r="H1285" s="1571" t="s">
        <v>219</v>
      </c>
      <c r="I1285" s="1579"/>
      <c r="J1285" s="1580">
        <f>SUM(J1276:J1281)-J1284</f>
        <v>17968999988.662731</v>
      </c>
      <c r="K1285" s="3350">
        <f>J1285+D1285</f>
        <v>26338138307.608936</v>
      </c>
    </row>
    <row r="1286" spans="1:11">
      <c r="A1286" s="1568"/>
      <c r="B1286" s="1571"/>
      <c r="C1286" s="1579"/>
      <c r="D1286" s="1580"/>
      <c r="E1286" s="1581"/>
      <c r="F1286" s="1582"/>
      <c r="G1286" s="1568"/>
      <c r="H1286" s="1571"/>
      <c r="I1286" s="1579"/>
      <c r="J1286" s="1580"/>
      <c r="K1286" s="3355"/>
    </row>
    <row r="1287" spans="1:11">
      <c r="A1287" s="4836" t="str">
        <f>$K$2</f>
        <v>Tháng 12/24</v>
      </c>
      <c r="B1287" s="4836"/>
      <c r="C1287" s="4836"/>
      <c r="D1287" s="4836"/>
      <c r="E1287" s="1560"/>
      <c r="F1287" s="1560"/>
      <c r="G1287" s="4836" t="str">
        <f>$K$2</f>
        <v>Tháng 12/24</v>
      </c>
      <c r="H1287" s="4836"/>
      <c r="I1287" s="4836"/>
      <c r="J1287" s="4836"/>
    </row>
    <row r="1288" spans="1:11" ht="18">
      <c r="A1288" s="1561" t="s">
        <v>1</v>
      </c>
      <c r="B1288" s="1562" t="str">
        <f>VLOOKUP(C1288,'Đội 3'!$A$16:$C$46,3,0)</f>
        <v>Ngân</v>
      </c>
      <c r="C1288" s="1563">
        <v>21</v>
      </c>
      <c r="D1288" s="1563"/>
      <c r="E1288" s="1564"/>
      <c r="F1288" s="1565"/>
      <c r="G1288" s="1561" t="s">
        <v>1</v>
      </c>
      <c r="H1288" s="1562" t="str">
        <f>VLOOKUP(I1288,'Đội 3'!$A$16:$C$46,3,0)</f>
        <v>A Tay</v>
      </c>
      <c r="I1288" s="1563">
        <v>22</v>
      </c>
      <c r="J1288" s="1563"/>
    </row>
    <row r="1289" spans="1:11" ht="18">
      <c r="A1289" s="1561" t="s">
        <v>205</v>
      </c>
      <c r="B1289" s="1566" t="s">
        <v>206</v>
      </c>
      <c r="C1289" s="1567">
        <f>VLOOKUP(C1288,'Đội 3'!$A$16:$F$46,6,0)</f>
        <v>0</v>
      </c>
      <c r="D1289" s="1568">
        <f>C1289*25000</f>
        <v>0</v>
      </c>
      <c r="E1289" s="1569"/>
      <c r="F1289" s="1570"/>
      <c r="G1289" s="1561" t="s">
        <v>205</v>
      </c>
      <c r="H1289" s="1566" t="s">
        <v>206</v>
      </c>
      <c r="I1289" s="1567">
        <f>VLOOKUP(I1288,'Đội 3'!$A$16:$F$46,6,0)</f>
        <v>0</v>
      </c>
      <c r="J1289" s="1568">
        <f>I1289*25000</f>
        <v>0</v>
      </c>
    </row>
    <row r="1290" spans="1:11">
      <c r="A1290" s="1561" t="s">
        <v>207</v>
      </c>
      <c r="B1290" s="1571" t="s">
        <v>208</v>
      </c>
      <c r="C1290" s="1567">
        <f>VLOOKUP(C1288,'Đội 3'!$A$16:$O$46,13,0)</f>
        <v>55047</v>
      </c>
      <c r="D1290" s="2374">
        <f>+C1290*$L$3</f>
        <v>1664201821.8599999</v>
      </c>
      <c r="E1290" s="1572"/>
      <c r="F1290" s="1573"/>
      <c r="G1290" s="1561" t="s">
        <v>207</v>
      </c>
      <c r="H1290" s="1571" t="s">
        <v>208</v>
      </c>
      <c r="I1290" s="1567">
        <f>VLOOKUP(I1288,'Đội 3'!$A$16:$O$46,13,0)</f>
        <v>220000</v>
      </c>
      <c r="J1290" s="2374">
        <f>+I1290*$L$3</f>
        <v>6651123599.999999</v>
      </c>
    </row>
    <row r="1291" spans="1:11">
      <c r="A1291" s="1561" t="s">
        <v>1259</v>
      </c>
      <c r="B1291" s="1571" t="s">
        <v>209</v>
      </c>
      <c r="C1291" s="2369">
        <f>VLOOKUP(C1288,'Đội 3'!$A$16:$P$46,14,0)</f>
        <v>84469.301816058403</v>
      </c>
      <c r="D1291" s="2374">
        <f>+C1291*$L$4</f>
        <v>4259873049.2716775</v>
      </c>
      <c r="E1291" s="1572"/>
      <c r="F1291" s="1573"/>
      <c r="G1291" s="1561" t="s">
        <v>1259</v>
      </c>
      <c r="H1291" s="1571" t="s">
        <v>209</v>
      </c>
      <c r="I1291" s="2369">
        <f>VLOOKUP(I1288,'Đội 3'!$A$16:$P$46,14,0)</f>
        <v>331803.01027970796</v>
      </c>
      <c r="J1291" s="2374">
        <f>+I1291*$L$4</f>
        <v>16733164247.476156</v>
      </c>
    </row>
    <row r="1292" spans="1:11">
      <c r="A1292" s="1561" t="s">
        <v>1531</v>
      </c>
      <c r="B1292" s="1571"/>
      <c r="C1292" s="2369">
        <f>VLOOKUP(C1288,'Đội 3'!$A$16:$S$46,16,0)</f>
        <v>0</v>
      </c>
      <c r="D1292" s="2374">
        <f>+C1292*20000</f>
        <v>0</v>
      </c>
      <c r="E1292" s="1572"/>
      <c r="F1292" s="1573"/>
      <c r="G1292" s="1561" t="s">
        <v>1531</v>
      </c>
      <c r="H1292" s="1571"/>
      <c r="I1292" s="2369">
        <f>VLOOKUP(I1288,'Đội 3'!$A$16:$S$46,16,0)</f>
        <v>2</v>
      </c>
      <c r="J1292" s="2374">
        <f>+I1292*20000</f>
        <v>40000</v>
      </c>
    </row>
    <row r="1293" spans="1:11" hidden="1">
      <c r="A1293" s="1561" t="s">
        <v>1971</v>
      </c>
      <c r="B1293" s="1571"/>
      <c r="C1293" s="2369">
        <v>0</v>
      </c>
      <c r="D1293" s="2374">
        <f>+C1293*25000</f>
        <v>0</v>
      </c>
      <c r="E1293" s="1572"/>
      <c r="F1293" s="1573"/>
      <c r="G1293" s="1561" t="s">
        <v>1971</v>
      </c>
      <c r="H1293" s="1571"/>
      <c r="I1293" s="2369">
        <v>0</v>
      </c>
      <c r="J1293" s="2374">
        <f>+I1293*25000</f>
        <v>0</v>
      </c>
    </row>
    <row r="1294" spans="1:11">
      <c r="A1294" s="1561" t="s">
        <v>210</v>
      </c>
      <c r="B1294" s="1571" t="s">
        <v>211</v>
      </c>
      <c r="C1294" s="1567">
        <f>VLOOKUP(C1288,'Đội 3'!$A$16:$J$46,10,0)</f>
        <v>14.687299270072993</v>
      </c>
      <c r="D1294" s="2374" t="str">
        <f>VLOOKUP(C1288,'Đội 3'!$A$16:$M$46,12,0)</f>
        <v>B</v>
      </c>
      <c r="E1294" s="1574"/>
      <c r="F1294" s="1573"/>
      <c r="G1294" s="1561" t="s">
        <v>210</v>
      </c>
      <c r="H1294" s="1571" t="s">
        <v>211</v>
      </c>
      <c r="I1294" s="1567">
        <f>VLOOKUP(I1288,'Đội 3'!$A$16:$J$46,10,0)</f>
        <v>55.811737226277373</v>
      </c>
      <c r="J1294" s="2374" t="str">
        <f>VLOOKUP(I1288,'Đội 3'!$A$16:$M$46,12,0)</f>
        <v>A</v>
      </c>
    </row>
    <row r="1295" spans="1:11">
      <c r="A1295" s="1568" t="s">
        <v>212</v>
      </c>
      <c r="B1295" s="1571" t="s">
        <v>213</v>
      </c>
      <c r="C1295" s="1567"/>
      <c r="D1295" s="1568"/>
      <c r="E1295" s="1575"/>
      <c r="F1295" s="1576"/>
      <c r="G1295" s="1568" t="s">
        <v>212</v>
      </c>
      <c r="H1295" s="1571" t="s">
        <v>213</v>
      </c>
      <c r="I1295" s="1567"/>
      <c r="J1295" s="1568"/>
    </row>
    <row r="1296" spans="1:11">
      <c r="A1296" s="1577" t="s">
        <v>214</v>
      </c>
      <c r="B1296" s="1571" t="s">
        <v>215</v>
      </c>
      <c r="C1296" s="1567"/>
      <c r="D1296" s="1568"/>
      <c r="E1296" s="1574"/>
      <c r="F1296" s="1576"/>
      <c r="G1296" s="1577" t="s">
        <v>214</v>
      </c>
      <c r="H1296" s="1571" t="s">
        <v>215</v>
      </c>
      <c r="I1296" s="1567"/>
      <c r="J1296" s="1568"/>
    </row>
    <row r="1297" spans="1:11">
      <c r="A1297" s="1561" t="s">
        <v>216</v>
      </c>
      <c r="B1297" s="1571" t="s">
        <v>217</v>
      </c>
      <c r="C1297" s="1567"/>
      <c r="D1297" s="1568">
        <v>0</v>
      </c>
      <c r="E1297" s="1578"/>
      <c r="F1297" s="1560"/>
      <c r="G1297" s="1561" t="s">
        <v>216</v>
      </c>
      <c r="H1297" s="1571" t="s">
        <v>217</v>
      </c>
      <c r="I1297" s="1567"/>
      <c r="J1297" s="1568">
        <v>0</v>
      </c>
    </row>
    <row r="1298" spans="1:11">
      <c r="A1298" s="1568" t="s">
        <v>218</v>
      </c>
      <c r="B1298" s="1571" t="s">
        <v>219</v>
      </c>
      <c r="C1298" s="1579"/>
      <c r="D1298" s="1580">
        <f>SUM(D1289:D1294)-D1297</f>
        <v>5924074871.1316776</v>
      </c>
      <c r="E1298" s="1581"/>
      <c r="F1298" s="1582"/>
      <c r="G1298" s="1568" t="s">
        <v>218</v>
      </c>
      <c r="H1298" s="1571" t="s">
        <v>219</v>
      </c>
      <c r="I1298" s="1579"/>
      <c r="J1298" s="1580">
        <f>SUM(J1289:J1294)-J1297</f>
        <v>23384327847.476154</v>
      </c>
      <c r="K1298" s="3350">
        <f>J1298+D1298</f>
        <v>29308402718.607834</v>
      </c>
    </row>
    <row r="1299" spans="1:11">
      <c r="A1299" s="1583"/>
      <c r="B1299" s="1584"/>
      <c r="C1299" s="1585"/>
      <c r="D1299" s="1586"/>
      <c r="E1299" s="1582"/>
      <c r="F1299" s="1586"/>
      <c r="G1299" s="1583"/>
      <c r="H1299" s="1584"/>
      <c r="I1299" s="1585"/>
      <c r="J1299" s="1582"/>
    </row>
    <row r="1300" spans="1:11">
      <c r="A1300" s="1587"/>
      <c r="B1300" s="1587"/>
      <c r="C1300" s="1588"/>
      <c r="D1300" s="3335"/>
      <c r="E1300" s="1590"/>
      <c r="F1300" s="1587"/>
      <c r="G1300" s="1587"/>
      <c r="H1300" s="1587"/>
      <c r="I1300" s="1588"/>
      <c r="J1300" s="1591"/>
      <c r="K1300" s="3355"/>
    </row>
    <row r="1301" spans="1:11">
      <c r="A1301" s="4836" t="str">
        <f>$K$2</f>
        <v>Tháng 12/24</v>
      </c>
      <c r="B1301" s="4836"/>
      <c r="C1301" s="4836"/>
      <c r="D1301" s="4836"/>
      <c r="E1301" s="1560"/>
      <c r="F1301" s="1560"/>
      <c r="G1301" s="4836" t="str">
        <f>$K$2</f>
        <v>Tháng 12/24</v>
      </c>
      <c r="H1301" s="4836"/>
      <c r="I1301" s="4836"/>
      <c r="J1301" s="4836"/>
    </row>
    <row r="1302" spans="1:11" ht="18">
      <c r="A1302" s="1561" t="s">
        <v>1</v>
      </c>
      <c r="B1302" s="1562" t="str">
        <f>VLOOKUP(C1302,'Đội 3'!$A$16:$C$46,3,0)</f>
        <v>A Vêu</v>
      </c>
      <c r="C1302" s="1563">
        <v>23</v>
      </c>
      <c r="D1302" s="1563"/>
      <c r="E1302" s="1564"/>
      <c r="F1302" s="1565"/>
      <c r="G1302" s="1561" t="s">
        <v>1</v>
      </c>
      <c r="H1302" s="1562" t="str">
        <f>VLOOKUP(I1302,'Đội 3'!$A$16:$C$46,3,0)</f>
        <v>A Long</v>
      </c>
      <c r="I1302" s="1563">
        <v>24</v>
      </c>
      <c r="J1302" s="1563"/>
    </row>
    <row r="1303" spans="1:11" ht="18">
      <c r="A1303" s="1561" t="s">
        <v>205</v>
      </c>
      <c r="B1303" s="1566" t="s">
        <v>206</v>
      </c>
      <c r="C1303" s="1567">
        <f>VLOOKUP(C1302,'Đội 3'!$A$16:$F$46,6,0)</f>
        <v>0</v>
      </c>
      <c r="D1303" s="1568">
        <f>C1303*25000</f>
        <v>0</v>
      </c>
      <c r="E1303" s="1569"/>
      <c r="F1303" s="1570"/>
      <c r="G1303" s="1561" t="s">
        <v>205</v>
      </c>
      <c r="H1303" s="1566" t="s">
        <v>206</v>
      </c>
      <c r="I1303" s="1567">
        <f>VLOOKUP(I1302,'Đội 3'!$A$16:$F$46,6,0)</f>
        <v>0</v>
      </c>
      <c r="J1303" s="1568">
        <f>I1303*25000</f>
        <v>0</v>
      </c>
    </row>
    <row r="1304" spans="1:11">
      <c r="A1304" s="1561" t="s">
        <v>207</v>
      </c>
      <c r="B1304" s="1571" t="s">
        <v>208</v>
      </c>
      <c r="C1304" s="1567">
        <f>VLOOKUP(C1302,'Đội 3'!$A$16:$O$46,13,0)</f>
        <v>176000</v>
      </c>
      <c r="D1304" s="2374">
        <f>+C1304*$L$3</f>
        <v>5320898880</v>
      </c>
      <c r="E1304" s="1572"/>
      <c r="F1304" s="1573"/>
      <c r="G1304" s="1561" t="s">
        <v>207</v>
      </c>
      <c r="H1304" s="1571" t="s">
        <v>208</v>
      </c>
      <c r="I1304" s="1567">
        <f>VLOOKUP(I1302,'Đội 3'!$A$16:$O$46,13,0)</f>
        <v>64842</v>
      </c>
      <c r="J1304" s="2374">
        <f>+I1304*$L$3</f>
        <v>1960327983.9599998</v>
      </c>
    </row>
    <row r="1305" spans="1:11">
      <c r="A1305" s="1561" t="s">
        <v>1259</v>
      </c>
      <c r="B1305" s="1571" t="s">
        <v>209</v>
      </c>
      <c r="C1305" s="2369">
        <f>VLOOKUP(C1302,'Đội 3'!$A$16:$P$46,14,0)</f>
        <v>265442.40822376637</v>
      </c>
      <c r="D1305" s="2374">
        <f>+C1305*$L$4</f>
        <v>13386531397.980925</v>
      </c>
      <c r="E1305" s="1572"/>
      <c r="F1305" s="1573"/>
      <c r="G1305" s="1561" t="s">
        <v>1259</v>
      </c>
      <c r="H1305" s="1571" t="s">
        <v>209</v>
      </c>
      <c r="I1305" s="2369">
        <f>VLOOKUP(I1302,'Đội 3'!$A$16:$P$46,14,0)</f>
        <v>97794.571450861302</v>
      </c>
      <c r="J1305" s="2374">
        <f>+I1305*$L$4</f>
        <v>4931879988.7298155</v>
      </c>
    </row>
    <row r="1306" spans="1:11">
      <c r="A1306" s="1561" t="s">
        <v>1531</v>
      </c>
      <c r="B1306" s="1571"/>
      <c r="C1306" s="2369">
        <f>VLOOKUP(C1302,'Đội 3'!$A$16:$S$46,16,0)</f>
        <v>2</v>
      </c>
      <c r="D1306" s="2374">
        <f>+C1306*20000</f>
        <v>40000</v>
      </c>
      <c r="E1306" s="1572"/>
      <c r="F1306" s="1573"/>
      <c r="G1306" s="1561" t="s">
        <v>1531</v>
      </c>
      <c r="H1306" s="1571"/>
      <c r="I1306" s="2369">
        <f>VLOOKUP(I1302,'Đội 3'!$A$16:$S$46,16,0)</f>
        <v>2</v>
      </c>
      <c r="J1306" s="2374">
        <f>+I1306*20000</f>
        <v>40000</v>
      </c>
    </row>
    <row r="1307" spans="1:11" hidden="1">
      <c r="A1307" s="1561" t="s">
        <v>1971</v>
      </c>
      <c r="B1307" s="1571"/>
      <c r="C1307" s="2369">
        <v>0</v>
      </c>
      <c r="D1307" s="2374">
        <f>+C1307*25000</f>
        <v>0</v>
      </c>
      <c r="E1307" s="1572"/>
      <c r="F1307" s="1573"/>
      <c r="G1307" s="1561" t="s">
        <v>1971</v>
      </c>
      <c r="H1307" s="1571"/>
      <c r="I1307" s="2369">
        <v>0</v>
      </c>
      <c r="J1307" s="2374">
        <f>+I1307*25000</f>
        <v>0</v>
      </c>
    </row>
    <row r="1308" spans="1:11">
      <c r="A1308" s="1561" t="s">
        <v>210</v>
      </c>
      <c r="B1308" s="1571" t="s">
        <v>211</v>
      </c>
      <c r="C1308" s="1567">
        <f>VLOOKUP(C1302,'Đội 3'!$A$16:$J$46,10,0)</f>
        <v>44.649389781021895</v>
      </c>
      <c r="D1308" s="2374" t="str">
        <f>VLOOKUP(C1302,'Đội 3'!$A$16:$M$46,12,0)</f>
        <v>A</v>
      </c>
      <c r="E1308" s="1574"/>
      <c r="F1308" s="1573"/>
      <c r="G1308" s="1561" t="s">
        <v>210</v>
      </c>
      <c r="H1308" s="1571" t="s">
        <v>211</v>
      </c>
      <c r="I1308" s="1567">
        <f>VLOOKUP(I1302,'Đội 3'!$A$16:$J$46,10,0)</f>
        <v>16.449775182481751</v>
      </c>
      <c r="J1308" s="2374" t="str">
        <f>VLOOKUP(I1302,'Đội 3'!$A$16:$M$46,12,0)</f>
        <v>A</v>
      </c>
    </row>
    <row r="1309" spans="1:11">
      <c r="A1309" s="1568" t="s">
        <v>212</v>
      </c>
      <c r="B1309" s="1571" t="s">
        <v>213</v>
      </c>
      <c r="C1309" s="1567"/>
      <c r="D1309" s="1568"/>
      <c r="E1309" s="1575"/>
      <c r="F1309" s="1576"/>
      <c r="G1309" s="1568" t="s">
        <v>212</v>
      </c>
      <c r="H1309" s="1571" t="s">
        <v>213</v>
      </c>
      <c r="I1309" s="1567"/>
      <c r="J1309" s="1568"/>
    </row>
    <row r="1310" spans="1:11">
      <c r="A1310" s="1577" t="s">
        <v>214</v>
      </c>
      <c r="B1310" s="1571" t="s">
        <v>215</v>
      </c>
      <c r="C1310" s="1567"/>
      <c r="D1310" s="1568"/>
      <c r="E1310" s="1574"/>
      <c r="F1310" s="1576"/>
      <c r="G1310" s="1577" t="s">
        <v>214</v>
      </c>
      <c r="H1310" s="1571" t="s">
        <v>215</v>
      </c>
      <c r="I1310" s="1567"/>
      <c r="J1310" s="1568"/>
    </row>
    <row r="1311" spans="1:11">
      <c r="A1311" s="1561" t="s">
        <v>216</v>
      </c>
      <c r="B1311" s="1571" t="s">
        <v>217</v>
      </c>
      <c r="C1311" s="1567"/>
      <c r="D1311" s="1568">
        <v>0</v>
      </c>
      <c r="E1311" s="1578"/>
      <c r="F1311" s="1560"/>
      <c r="G1311" s="1561" t="s">
        <v>216</v>
      </c>
      <c r="H1311" s="1571" t="s">
        <v>217</v>
      </c>
      <c r="I1311" s="1567"/>
      <c r="J1311" s="1568">
        <v>0</v>
      </c>
    </row>
    <row r="1312" spans="1:11">
      <c r="A1312" s="1568" t="s">
        <v>218</v>
      </c>
      <c r="B1312" s="1571" t="s">
        <v>219</v>
      </c>
      <c r="C1312" s="1579"/>
      <c r="D1312" s="1580">
        <f>SUM(D1303:D1308)-D1311</f>
        <v>18707470277.980927</v>
      </c>
      <c r="E1312" s="1581"/>
      <c r="F1312" s="1582"/>
      <c r="G1312" s="1568" t="s">
        <v>218</v>
      </c>
      <c r="H1312" s="1571" t="s">
        <v>219</v>
      </c>
      <c r="I1312" s="1579"/>
      <c r="J1312" s="1580">
        <f>SUM(J1303:J1308)-J1311</f>
        <v>6892247972.6898155</v>
      </c>
      <c r="K1312" s="3350">
        <f>J1312+D1312</f>
        <v>25599718250.670742</v>
      </c>
    </row>
    <row r="1313" spans="1:11">
      <c r="A1313" s="1583"/>
      <c r="B1313" s="1584"/>
      <c r="C1313" s="1585"/>
      <c r="D1313" s="1586"/>
      <c r="E1313" s="1582"/>
      <c r="F1313" s="1586"/>
      <c r="G1313" s="1583"/>
      <c r="H1313" s="1584"/>
      <c r="I1313" s="1585"/>
      <c r="J1313" s="1582"/>
    </row>
    <row r="1314" spans="1:11">
      <c r="A1314" s="1587"/>
      <c r="B1314" s="1587"/>
      <c r="C1314" s="1588"/>
      <c r="D1314" s="3335"/>
      <c r="E1314" s="1590"/>
      <c r="F1314" s="1587"/>
      <c r="G1314" s="1587"/>
      <c r="H1314" s="1587"/>
      <c r="I1314" s="1588"/>
      <c r="J1314" s="1591"/>
      <c r="K1314" s="3355"/>
    </row>
    <row r="1315" spans="1:11">
      <c r="A1315" s="4836" t="str">
        <f>$K$2</f>
        <v>Tháng 12/24</v>
      </c>
      <c r="B1315" s="4836"/>
      <c r="C1315" s="4836"/>
      <c r="D1315" s="4836"/>
      <c r="E1315" s="1560"/>
      <c r="F1315" s="1560"/>
      <c r="G1315" s="4836" t="str">
        <f>$K$2</f>
        <v>Tháng 12/24</v>
      </c>
      <c r="H1315" s="4836"/>
      <c r="I1315" s="4836"/>
      <c r="J1315" s="4836"/>
    </row>
    <row r="1316" spans="1:11" ht="18">
      <c r="A1316" s="1561" t="s">
        <v>1</v>
      </c>
      <c r="B1316" s="1562" t="str">
        <f>VLOOKUP(C1316,'Đội 3'!$A$16:$C$46,3,0)</f>
        <v>Bang</v>
      </c>
      <c r="C1316" s="1563">
        <v>25</v>
      </c>
      <c r="D1316" s="1563"/>
      <c r="E1316" s="1564"/>
      <c r="F1316" s="1565"/>
      <c r="G1316" s="1561" t="s">
        <v>1</v>
      </c>
      <c r="H1316" s="1562" t="str">
        <f>VLOOKUP(I1316,'Đội 3'!$A$16:$C$46,3,0)</f>
        <v>Bun Đương</v>
      </c>
      <c r="I1316" s="1563">
        <v>26</v>
      </c>
      <c r="J1316" s="1563"/>
    </row>
    <row r="1317" spans="1:11" ht="18">
      <c r="A1317" s="1561" t="s">
        <v>205</v>
      </c>
      <c r="B1317" s="1566" t="s">
        <v>206</v>
      </c>
      <c r="C1317" s="1567">
        <f>VLOOKUP(C1316,'Đội 3'!$A$16:$F$46,6,0)</f>
        <v>0</v>
      </c>
      <c r="D1317" s="1568">
        <f>C1317*25000</f>
        <v>0</v>
      </c>
      <c r="E1317" s="1569"/>
      <c r="F1317" s="1570"/>
      <c r="G1317" s="1561" t="s">
        <v>205</v>
      </c>
      <c r="H1317" s="1566" t="s">
        <v>206</v>
      </c>
      <c r="I1317" s="1567">
        <f>VLOOKUP(I1316,'Đội 3'!$A$16:$F$46,6,0)</f>
        <v>0</v>
      </c>
      <c r="J1317" s="1568">
        <f>I1317*25000</f>
        <v>0</v>
      </c>
    </row>
    <row r="1318" spans="1:11">
      <c r="A1318" s="1561" t="s">
        <v>207</v>
      </c>
      <c r="B1318" s="1571" t="s">
        <v>208</v>
      </c>
      <c r="C1318" s="1567">
        <f>VLOOKUP(C1316,'Đội 3'!$A$16:$O$46,13,0)</f>
        <v>347368</v>
      </c>
      <c r="D1318" s="2374">
        <f>+C1318*$L$3</f>
        <v>10501761375.839998</v>
      </c>
      <c r="E1318" s="1572"/>
      <c r="F1318" s="1573"/>
      <c r="G1318" s="1561" t="s">
        <v>207</v>
      </c>
      <c r="H1318" s="1571" t="s">
        <v>208</v>
      </c>
      <c r="I1318" s="1567">
        <f>VLOOKUP(I1316,'Đội 3'!$A$16:$O$46,13,0)</f>
        <v>349684</v>
      </c>
      <c r="J1318" s="2374">
        <f>+I1318*$L$3</f>
        <v>10571779567.919998</v>
      </c>
    </row>
    <row r="1319" spans="1:11">
      <c r="A1319" s="1561" t="s">
        <v>1259</v>
      </c>
      <c r="B1319" s="1571" t="s">
        <v>209</v>
      </c>
      <c r="C1319" s="2369">
        <f>VLOOKUP(C1316,'Đội 3'!$A$16:$P$46,14,0)</f>
        <v>523899.48991532839</v>
      </c>
      <c r="D1319" s="2374">
        <f>+C1319*$L$4</f>
        <v>26420785653.909721</v>
      </c>
      <c r="E1319" s="1572"/>
      <c r="F1319" s="1573"/>
      <c r="G1319" s="1561" t="s">
        <v>1259</v>
      </c>
      <c r="H1319" s="1571" t="s">
        <v>209</v>
      </c>
      <c r="I1319" s="2369">
        <f>VLOOKUP(I1316,'Đội 3'!$A$16:$P$46,14,0)</f>
        <v>527392.15318143053</v>
      </c>
      <c r="J1319" s="2374">
        <f>+I1319*$L$4</f>
        <v>26596924224.935783</v>
      </c>
    </row>
    <row r="1320" spans="1:11">
      <c r="A1320" s="1561" t="s">
        <v>1531</v>
      </c>
      <c r="B1320" s="1571"/>
      <c r="C1320" s="2369">
        <f>VLOOKUP(C1316,'Đội 3'!$A$16:$S$46,16,0)</f>
        <v>3</v>
      </c>
      <c r="D1320" s="2374">
        <f>+C1320*20000</f>
        <v>60000</v>
      </c>
      <c r="E1320" s="1572"/>
      <c r="F1320" s="1573"/>
      <c r="G1320" s="1561" t="s">
        <v>1531</v>
      </c>
      <c r="H1320" s="1571"/>
      <c r="I1320" s="2369">
        <f>VLOOKUP(I1316,'Đội 3'!$A$16:$S$46,16,0)</f>
        <v>1</v>
      </c>
      <c r="J1320" s="2374">
        <f>+I1320*20000</f>
        <v>20000</v>
      </c>
    </row>
    <row r="1321" spans="1:11" hidden="1">
      <c r="A1321" s="1561" t="s">
        <v>1971</v>
      </c>
      <c r="B1321" s="1571"/>
      <c r="C1321" s="2369">
        <v>0</v>
      </c>
      <c r="D1321" s="2374">
        <f>+C1321*25000</f>
        <v>0</v>
      </c>
      <c r="E1321" s="1572"/>
      <c r="F1321" s="1573"/>
      <c r="G1321" s="1561" t="s">
        <v>1971</v>
      </c>
      <c r="H1321" s="1571"/>
      <c r="I1321" s="2369">
        <v>0</v>
      </c>
      <c r="J1321" s="2374">
        <f>+I1321*25000</f>
        <v>0</v>
      </c>
    </row>
    <row r="1322" spans="1:11">
      <c r="A1322" s="1561" t="s">
        <v>210</v>
      </c>
      <c r="B1322" s="1571" t="s">
        <v>211</v>
      </c>
      <c r="C1322" s="1567">
        <f>VLOOKUP(C1316,'Đội 3'!$A$16:$J$46,10,0)</f>
        <v>88.12379562043796</v>
      </c>
      <c r="D1322" s="2374" t="str">
        <f>VLOOKUP(C1316,'Đội 3'!$A$16:$M$46,12,0)</f>
        <v>A</v>
      </c>
      <c r="E1322" s="1574"/>
      <c r="F1322" s="1573"/>
      <c r="G1322" s="1561" t="s">
        <v>210</v>
      </c>
      <c r="H1322" s="1571" t="s">
        <v>211</v>
      </c>
      <c r="I1322" s="1567">
        <f>VLOOKUP(I1316,'Đội 3'!$A$16:$J$46,10,0)</f>
        <v>88.711287591240875</v>
      </c>
      <c r="J1322" s="2374" t="str">
        <f>VLOOKUP(I1316,'Đội 3'!$A$16:$M$46,12,0)</f>
        <v>A</v>
      </c>
    </row>
    <row r="1323" spans="1:11">
      <c r="A1323" s="1568" t="s">
        <v>212</v>
      </c>
      <c r="B1323" s="1571" t="s">
        <v>213</v>
      </c>
      <c r="C1323" s="1567"/>
      <c r="D1323" s="1568"/>
      <c r="E1323" s="1575"/>
      <c r="F1323" s="1576"/>
      <c r="G1323" s="1568" t="s">
        <v>212</v>
      </c>
      <c r="H1323" s="1571" t="s">
        <v>213</v>
      </c>
      <c r="I1323" s="1567"/>
      <c r="J1323" s="1568"/>
    </row>
    <row r="1324" spans="1:11">
      <c r="A1324" s="1577" t="s">
        <v>214</v>
      </c>
      <c r="B1324" s="1571" t="s">
        <v>215</v>
      </c>
      <c r="C1324" s="1567"/>
      <c r="D1324" s="1568"/>
      <c r="E1324" s="1574"/>
      <c r="F1324" s="1576"/>
      <c r="G1324" s="1577" t="s">
        <v>214</v>
      </c>
      <c r="H1324" s="1571" t="s">
        <v>215</v>
      </c>
      <c r="I1324" s="1567"/>
      <c r="J1324" s="1568"/>
    </row>
    <row r="1325" spans="1:11">
      <c r="A1325" s="1561" t="s">
        <v>216</v>
      </c>
      <c r="B1325" s="1571" t="s">
        <v>217</v>
      </c>
      <c r="C1325" s="1567"/>
      <c r="D1325" s="1568">
        <v>0</v>
      </c>
      <c r="E1325" s="1578"/>
      <c r="F1325" s="1560"/>
      <c r="G1325" s="1561" t="s">
        <v>216</v>
      </c>
      <c r="H1325" s="1571" t="s">
        <v>217</v>
      </c>
      <c r="I1325" s="1567"/>
      <c r="J1325" s="1568">
        <v>0</v>
      </c>
    </row>
    <row r="1326" spans="1:11">
      <c r="A1326" s="1568" t="s">
        <v>218</v>
      </c>
      <c r="B1326" s="1571" t="s">
        <v>219</v>
      </c>
      <c r="C1326" s="1579"/>
      <c r="D1326" s="1580">
        <f>SUM(D1317:D1322)-D1325</f>
        <v>36922607029.749718</v>
      </c>
      <c r="E1326" s="1581"/>
      <c r="F1326" s="1582"/>
      <c r="G1326" s="1568" t="s">
        <v>218</v>
      </c>
      <c r="H1326" s="1571" t="s">
        <v>219</v>
      </c>
      <c r="I1326" s="1579"/>
      <c r="J1326" s="1580">
        <f>SUM(J1317:J1322)-J1325</f>
        <v>37168723792.855782</v>
      </c>
      <c r="K1326" s="3350">
        <f>J1326+D1326</f>
        <v>74091330822.605499</v>
      </c>
    </row>
    <row r="1327" spans="1:11">
      <c r="K1327" s="3355"/>
    </row>
    <row r="1328" spans="1:11">
      <c r="A1328" s="4836" t="str">
        <f>$K$2</f>
        <v>Tháng 12/24</v>
      </c>
      <c r="B1328" s="4836"/>
      <c r="C1328" s="4836"/>
      <c r="D1328" s="4836"/>
      <c r="E1328" s="1560"/>
      <c r="F1328" s="1560"/>
      <c r="G1328" s="4836" t="str">
        <f>$K$2</f>
        <v>Tháng 12/24</v>
      </c>
      <c r="H1328" s="4836"/>
      <c r="I1328" s="4836"/>
      <c r="J1328" s="4836"/>
    </row>
    <row r="1329" spans="1:11" ht="18">
      <c r="A1329" s="1561" t="s">
        <v>1</v>
      </c>
      <c r="B1329" s="1562" t="str">
        <f>VLOOKUP(C1329,'Đội 3'!$A$16:$C$46,3,0)</f>
        <v>Phay</v>
      </c>
      <c r="C1329" s="1563">
        <v>27</v>
      </c>
      <c r="D1329" s="1563"/>
      <c r="E1329" s="1564"/>
      <c r="F1329" s="1565"/>
      <c r="G1329" s="1561" t="s">
        <v>1</v>
      </c>
      <c r="H1329" s="1562" t="str">
        <f>VLOOKUP(I1329,'Đội 3'!$A$16:$C$46,3,0)</f>
        <v>Bươi</v>
      </c>
      <c r="I1329" s="1563">
        <v>28</v>
      </c>
      <c r="J1329" s="1563"/>
    </row>
    <row r="1330" spans="1:11" ht="18">
      <c r="A1330" s="1561" t="s">
        <v>205</v>
      </c>
      <c r="B1330" s="1566" t="s">
        <v>206</v>
      </c>
      <c r="C1330" s="1567">
        <f>VLOOKUP(C1329,'Đội 3'!$A$16:$F$46,6,0)</f>
        <v>0</v>
      </c>
      <c r="D1330" s="1568">
        <f>C1330*25000</f>
        <v>0</v>
      </c>
      <c r="E1330" s="1569"/>
      <c r="F1330" s="1570"/>
      <c r="G1330" s="1561" t="s">
        <v>205</v>
      </c>
      <c r="H1330" s="1566" t="s">
        <v>206</v>
      </c>
      <c r="I1330" s="1567">
        <f>VLOOKUP(I1329,'Đội 3'!$A$16:$F$46,6,0)</f>
        <v>0</v>
      </c>
      <c r="J1330" s="1568">
        <f>I1330*25000</f>
        <v>0</v>
      </c>
    </row>
    <row r="1331" spans="1:11">
      <c r="A1331" s="1561" t="s">
        <v>207</v>
      </c>
      <c r="B1331" s="1571" t="s">
        <v>208</v>
      </c>
      <c r="C1331" s="1567">
        <f>VLOOKUP(C1329,'Đội 3'!$A$16:$O$46,13,0)</f>
        <v>550474</v>
      </c>
      <c r="D1331" s="2374">
        <f>+C1331*$L$3</f>
        <v>16642139148.119999</v>
      </c>
      <c r="E1331" s="1572"/>
      <c r="F1331" s="1573"/>
      <c r="G1331" s="1561" t="s">
        <v>207</v>
      </c>
      <c r="H1331" s="1571" t="s">
        <v>208</v>
      </c>
      <c r="I1331" s="1567">
        <f>VLOOKUP(I1329,'Đội 3'!$A$16:$O$46,13,0)</f>
        <v>649559</v>
      </c>
      <c r="J1331" s="2374">
        <f>+I1331*$L$3</f>
        <v>19637714520.419998</v>
      </c>
    </row>
    <row r="1332" spans="1:11">
      <c r="A1332" s="1561" t="s">
        <v>1259</v>
      </c>
      <c r="B1332" s="1571" t="s">
        <v>209</v>
      </c>
      <c r="C1332" s="2369">
        <f>VLOOKUP(C1329,'Đội 3'!$A$16:$P$46,14,0)</f>
        <v>844693.01816058392</v>
      </c>
      <c r="D1332" s="2374">
        <f>+C1332*$L$4</f>
        <v>42598730492.716766</v>
      </c>
      <c r="E1332" s="1572"/>
      <c r="F1332" s="1573"/>
      <c r="G1332" s="1561" t="s">
        <v>1259</v>
      </c>
      <c r="H1332" s="1571" t="s">
        <v>209</v>
      </c>
      <c r="I1332" s="2369">
        <f>VLOOKUP(I1329,'Đội 3'!$A$16:$P$46,14,0)</f>
        <v>996737.76142948912</v>
      </c>
      <c r="J1332" s="2374">
        <f>+I1332*$L$4</f>
        <v>50266501981.405792</v>
      </c>
    </row>
    <row r="1333" spans="1:11">
      <c r="A1333" s="1561" t="s">
        <v>1531</v>
      </c>
      <c r="B1333" s="1571"/>
      <c r="C1333" s="2369">
        <f>VLOOKUP(C1329,'Đội 3'!$A$16:$S$46,16,0)</f>
        <v>2</v>
      </c>
      <c r="D1333" s="2374">
        <f>+C1333*20000</f>
        <v>40000</v>
      </c>
      <c r="E1333" s="1572"/>
      <c r="F1333" s="1573"/>
      <c r="G1333" s="1561" t="s">
        <v>1531</v>
      </c>
      <c r="H1333" s="1571"/>
      <c r="I1333" s="2369">
        <f>VLOOKUP(I1329,'Đội 3'!$A$16:$S$46,16,0)</f>
        <v>2</v>
      </c>
      <c r="J1333" s="2374">
        <f>+I1333*20000</f>
        <v>40000</v>
      </c>
    </row>
    <row r="1334" spans="1:11" hidden="1">
      <c r="A1334" s="1561" t="s">
        <v>1971</v>
      </c>
      <c r="B1334" s="1571"/>
      <c r="C1334" s="2369">
        <v>0</v>
      </c>
      <c r="D1334" s="2374">
        <f>+C1334*25000</f>
        <v>0</v>
      </c>
      <c r="E1334" s="1572"/>
      <c r="F1334" s="1573"/>
      <c r="G1334" s="1561" t="s">
        <v>1971</v>
      </c>
      <c r="H1334" s="1571"/>
      <c r="I1334" s="2369">
        <v>0</v>
      </c>
      <c r="J1334" s="2374">
        <f>+I1334*25000</f>
        <v>0</v>
      </c>
    </row>
    <row r="1335" spans="1:11">
      <c r="A1335" s="1561" t="s">
        <v>210</v>
      </c>
      <c r="B1335" s="1571" t="s">
        <v>211</v>
      </c>
      <c r="C1335" s="1567">
        <f>VLOOKUP(C1329,'Đội 3'!$A$16:$J$46,10,0)</f>
        <v>146.87299270072992</v>
      </c>
      <c r="D1335" s="2374" t="str">
        <f>VLOOKUP(C1329,'Đội 3'!$A$16:$M$46,12,0)</f>
        <v>B</v>
      </c>
      <c r="E1335" s="1574"/>
      <c r="F1335" s="1573"/>
      <c r="G1335" s="1561" t="s">
        <v>210</v>
      </c>
      <c r="H1335" s="1571" t="s">
        <v>211</v>
      </c>
      <c r="I1335" s="1567">
        <f>VLOOKUP(I1329,'Đội 3'!$A$16:$J$46,10,0)</f>
        <v>173.31013138686131</v>
      </c>
      <c r="J1335" s="2374" t="str">
        <f>VLOOKUP(I1329,'Đội 3'!$A$16:$M$46,12,0)</f>
        <v>B</v>
      </c>
    </row>
    <row r="1336" spans="1:11">
      <c r="A1336" s="1568" t="s">
        <v>212</v>
      </c>
      <c r="B1336" s="1571" t="s">
        <v>213</v>
      </c>
      <c r="C1336" s="1567"/>
      <c r="D1336" s="1568"/>
      <c r="E1336" s="1575"/>
      <c r="F1336" s="1576"/>
      <c r="G1336" s="1568" t="s">
        <v>212</v>
      </c>
      <c r="H1336" s="1571" t="s">
        <v>213</v>
      </c>
      <c r="I1336" s="1567"/>
      <c r="J1336" s="1568"/>
    </row>
    <row r="1337" spans="1:11">
      <c r="A1337" s="1577" t="s">
        <v>214</v>
      </c>
      <c r="B1337" s="1571" t="s">
        <v>215</v>
      </c>
      <c r="C1337" s="1567"/>
      <c r="D1337" s="1568"/>
      <c r="E1337" s="1574"/>
      <c r="F1337" s="1576"/>
      <c r="G1337" s="1577" t="s">
        <v>214</v>
      </c>
      <c r="H1337" s="1571" t="s">
        <v>215</v>
      </c>
      <c r="I1337" s="1567"/>
      <c r="J1337" s="1568"/>
    </row>
    <row r="1338" spans="1:11">
      <c r="A1338" s="1561" t="s">
        <v>216</v>
      </c>
      <c r="B1338" s="1571" t="s">
        <v>217</v>
      </c>
      <c r="C1338" s="1567"/>
      <c r="D1338" s="1568">
        <v>0</v>
      </c>
      <c r="E1338" s="1578"/>
      <c r="F1338" s="1560"/>
      <c r="G1338" s="1561" t="s">
        <v>216</v>
      </c>
      <c r="H1338" s="1571" t="s">
        <v>217</v>
      </c>
      <c r="I1338" s="1567"/>
      <c r="J1338" s="1568">
        <v>0</v>
      </c>
    </row>
    <row r="1339" spans="1:11">
      <c r="A1339" s="1568" t="s">
        <v>218</v>
      </c>
      <c r="B1339" s="1571" t="s">
        <v>219</v>
      </c>
      <c r="C1339" s="1579"/>
      <c r="D1339" s="1580">
        <f>SUM(D1330:D1335)-D1338</f>
        <v>59240909640.836761</v>
      </c>
      <c r="E1339" s="1581"/>
      <c r="F1339" s="1582"/>
      <c r="G1339" s="1568" t="s">
        <v>218</v>
      </c>
      <c r="H1339" s="1571" t="s">
        <v>219</v>
      </c>
      <c r="I1339" s="1579"/>
      <c r="J1339" s="1580">
        <f>SUM(J1330:J1335)-J1338</f>
        <v>69904256501.82579</v>
      </c>
      <c r="K1339" s="3350">
        <f>J1339+D1339</f>
        <v>129145166142.66255</v>
      </c>
    </row>
    <row r="1340" spans="1:11">
      <c r="K1340" s="3355"/>
    </row>
    <row r="1341" spans="1:11">
      <c r="A1341" s="4836" t="str">
        <f>$K$2</f>
        <v>Tháng 12/24</v>
      </c>
      <c r="B1341" s="4836"/>
      <c r="C1341" s="4836"/>
      <c r="D1341" s="4836"/>
      <c r="E1341" s="1560"/>
      <c r="F1341" s="1560"/>
      <c r="G1341" s="4836" t="str">
        <f>$K$2</f>
        <v>Tháng 12/24</v>
      </c>
      <c r="H1341" s="4836"/>
      <c r="I1341" s="4836"/>
      <c r="J1341" s="4836"/>
    </row>
    <row r="1342" spans="1:11" ht="18">
      <c r="A1342" s="1561" t="s">
        <v>1</v>
      </c>
      <c r="B1342" s="1562" t="str">
        <f>VLOOKUP(C1342,'Đội 3'!$A$16:$C$46,3,0)</f>
        <v>A Bổ</v>
      </c>
      <c r="C1342" s="1563">
        <v>29</v>
      </c>
      <c r="D1342" s="1563"/>
      <c r="E1342" s="1564"/>
      <c r="F1342" s="1565"/>
      <c r="G1342" s="1561" t="s">
        <v>1</v>
      </c>
      <c r="H1342" s="1562" t="str">
        <f>VLOOKUP(I1342,'Đội 3'!$A$16:$C$46,3,0)</f>
        <v>A Bưng</v>
      </c>
      <c r="I1342" s="1563">
        <v>30</v>
      </c>
      <c r="J1342" s="1563"/>
    </row>
    <row r="1343" spans="1:11" ht="18">
      <c r="A1343" s="1561" t="s">
        <v>205</v>
      </c>
      <c r="B1343" s="1566" t="s">
        <v>206</v>
      </c>
      <c r="C1343" s="1567">
        <f>VLOOKUP(C1342,'Đội 3'!$A$16:$F$46,6,0)</f>
        <v>0</v>
      </c>
      <c r="D1343" s="1568">
        <f>C1343*25000</f>
        <v>0</v>
      </c>
      <c r="E1343" s="1569"/>
      <c r="F1343" s="1570"/>
      <c r="G1343" s="1561" t="s">
        <v>205</v>
      </c>
      <c r="H1343" s="1566" t="s">
        <v>206</v>
      </c>
      <c r="I1343" s="1567">
        <f>VLOOKUP(I1342,'Đội 3'!$A$16:$F$46,6,0)</f>
        <v>0</v>
      </c>
      <c r="J1343" s="1568">
        <f>I1343*25000</f>
        <v>0</v>
      </c>
    </row>
    <row r="1344" spans="1:11">
      <c r="A1344" s="1561" t="s">
        <v>207</v>
      </c>
      <c r="B1344" s="1571" t="s">
        <v>208</v>
      </c>
      <c r="C1344" s="1567">
        <f>VLOOKUP(C1342,'Đội 3'!$A$16:$O$46,13,0)</f>
        <v>933262</v>
      </c>
      <c r="D1344" s="2374">
        <f>+C1344*$L$3</f>
        <v>28214731423.559998</v>
      </c>
      <c r="E1344" s="1572"/>
      <c r="F1344" s="1573"/>
      <c r="G1344" s="1561" t="s">
        <v>207</v>
      </c>
      <c r="H1344" s="1571" t="s">
        <v>208</v>
      </c>
      <c r="I1344" s="1567">
        <f>VLOOKUP(I1342,'Đội 3'!$A$16:$O$46,13,0)</f>
        <v>1072210</v>
      </c>
      <c r="J1344" s="2374">
        <f>+I1344*$L$3</f>
        <v>32415460159.799995</v>
      </c>
    </row>
    <row r="1345" spans="1:12">
      <c r="A1345" s="1561" t="s">
        <v>1259</v>
      </c>
      <c r="B1345" s="1571" t="s">
        <v>209</v>
      </c>
      <c r="C1345" s="2369">
        <f>VLOOKUP(C1342,'Đội 3'!$A$16:$P$46,14,0)</f>
        <v>1407543.2962391824</v>
      </c>
      <c r="D1345" s="2374">
        <f>+C1345*$L$4</f>
        <v>70983844123.50412</v>
      </c>
      <c r="E1345" s="1572"/>
      <c r="F1345" s="1573"/>
      <c r="G1345" s="1561" t="s">
        <v>1259</v>
      </c>
      <c r="H1345" s="1571" t="s">
        <v>209</v>
      </c>
      <c r="I1345" s="2369">
        <f>VLOOKUP(I1342,'Đội 3'!$A$16:$P$46,14,0)</f>
        <v>1617103.0922053135</v>
      </c>
      <c r="J1345" s="2374">
        <f>+I1345*$L$4</f>
        <v>81552158385.068008</v>
      </c>
    </row>
    <row r="1346" spans="1:12">
      <c r="A1346" s="1561" t="s">
        <v>1531</v>
      </c>
      <c r="B1346" s="1571"/>
      <c r="C1346" s="2369">
        <f>VLOOKUP(C1342,'Đội 3'!$A$16:$S$46,16,0)</f>
        <v>3</v>
      </c>
      <c r="D1346" s="2374">
        <f>+C1346*20000</f>
        <v>60000</v>
      </c>
      <c r="E1346" s="1572"/>
      <c r="F1346" s="1573"/>
      <c r="G1346" s="1561" t="s">
        <v>1531</v>
      </c>
      <c r="H1346" s="1571"/>
      <c r="I1346" s="2369">
        <f>VLOOKUP(I1342,'Đội 3'!$A$16:$S$46,16,0)</f>
        <v>2</v>
      </c>
      <c r="J1346" s="2374">
        <f>+I1346*20000</f>
        <v>40000</v>
      </c>
    </row>
    <row r="1347" spans="1:12" hidden="1">
      <c r="A1347" s="1561" t="s">
        <v>1971</v>
      </c>
      <c r="B1347" s="1571"/>
      <c r="C1347" s="2369">
        <v>0</v>
      </c>
      <c r="D1347" s="2374">
        <f>+C1347*25000</f>
        <v>0</v>
      </c>
      <c r="E1347" s="1572"/>
      <c r="F1347" s="1573"/>
      <c r="G1347" s="1561" t="s">
        <v>1971</v>
      </c>
      <c r="H1347" s="1571"/>
      <c r="I1347" s="2369">
        <v>0</v>
      </c>
      <c r="J1347" s="2374">
        <f>+I1347*25000</f>
        <v>0</v>
      </c>
    </row>
    <row r="1348" spans="1:12">
      <c r="A1348" s="1561" t="s">
        <v>210</v>
      </c>
      <c r="B1348" s="1571" t="s">
        <v>211</v>
      </c>
      <c r="C1348" s="1567">
        <f>VLOOKUP(C1342,'Đội 3'!$A$16:$J$46,10,0)</f>
        <v>236.75926423357663</v>
      </c>
      <c r="D1348" s="2374" t="str">
        <f>VLOOKUP(C1342,'Đội 3'!$A$16:$M$46,12,0)</f>
        <v>A</v>
      </c>
      <c r="E1348" s="1574"/>
      <c r="F1348" s="1573"/>
      <c r="G1348" s="1561" t="s">
        <v>210</v>
      </c>
      <c r="H1348" s="1571" t="s">
        <v>211</v>
      </c>
      <c r="I1348" s="1567">
        <f>VLOOKUP(I1342,'Đội 3'!$A$16:$J$46,10,0)</f>
        <v>272.00878248175184</v>
      </c>
      <c r="J1348" s="2374" t="str">
        <f>VLOOKUP(I1342,'Đội 3'!$A$16:$M$46,12,0)</f>
        <v>A</v>
      </c>
    </row>
    <row r="1349" spans="1:12">
      <c r="A1349" s="1568" t="s">
        <v>212</v>
      </c>
      <c r="B1349" s="1571" t="s">
        <v>213</v>
      </c>
      <c r="C1349" s="1567"/>
      <c r="D1349" s="1568"/>
      <c r="E1349" s="1575"/>
      <c r="F1349" s="1576"/>
      <c r="G1349" s="1568" t="s">
        <v>212</v>
      </c>
      <c r="H1349" s="1571" t="s">
        <v>213</v>
      </c>
      <c r="I1349" s="1567"/>
      <c r="J1349" s="1568"/>
    </row>
    <row r="1350" spans="1:12">
      <c r="A1350" s="1577" t="s">
        <v>214</v>
      </c>
      <c r="B1350" s="1571" t="s">
        <v>215</v>
      </c>
      <c r="C1350" s="1567"/>
      <c r="D1350" s="1568"/>
      <c r="E1350" s="1574"/>
      <c r="F1350" s="1576"/>
      <c r="G1350" s="1577" t="s">
        <v>214</v>
      </c>
      <c r="H1350" s="1571" t="s">
        <v>215</v>
      </c>
      <c r="I1350" s="1567"/>
      <c r="J1350" s="1568"/>
    </row>
    <row r="1351" spans="1:12">
      <c r="A1351" s="1561" t="s">
        <v>216</v>
      </c>
      <c r="B1351" s="1571" t="s">
        <v>217</v>
      </c>
      <c r="C1351" s="1567"/>
      <c r="D1351" s="1568">
        <v>0</v>
      </c>
      <c r="E1351" s="1578"/>
      <c r="F1351" s="1560"/>
      <c r="G1351" s="1561" t="s">
        <v>216</v>
      </c>
      <c r="H1351" s="1571" t="s">
        <v>217</v>
      </c>
      <c r="I1351" s="1567"/>
      <c r="J1351" s="1568">
        <v>0</v>
      </c>
    </row>
    <row r="1352" spans="1:12">
      <c r="A1352" s="1568" t="s">
        <v>218</v>
      </c>
      <c r="B1352" s="1571" t="s">
        <v>219</v>
      </c>
      <c r="C1352" s="1579"/>
      <c r="D1352" s="1580">
        <f>SUM(D1343:D1348)-D1351</f>
        <v>99198635547.064117</v>
      </c>
      <c r="E1352" s="1581"/>
      <c r="F1352" s="1582"/>
      <c r="G1352" s="1568" t="s">
        <v>218</v>
      </c>
      <c r="H1352" s="1571" t="s">
        <v>219</v>
      </c>
      <c r="I1352" s="1579"/>
      <c r="J1352" s="1580">
        <f>SUM(J1343:J1348)-J1351</f>
        <v>113967658544.86801</v>
      </c>
      <c r="K1352" s="3350">
        <f>J1352+D1352</f>
        <v>213166294091.93213</v>
      </c>
    </row>
    <row r="1353" spans="1:12">
      <c r="K1353" s="3355"/>
    </row>
    <row r="1354" spans="1:12">
      <c r="A1354" s="4836" t="str">
        <f>$K$2</f>
        <v>Tháng 12/24</v>
      </c>
      <c r="B1354" s="4836"/>
      <c r="C1354" s="4836"/>
      <c r="D1354" s="4836"/>
      <c r="E1354" s="1560"/>
      <c r="F1354" s="1560"/>
      <c r="G1354" s="4836" t="str">
        <f>$K$2</f>
        <v>Tháng 12/24</v>
      </c>
      <c r="H1354" s="4836"/>
      <c r="I1354" s="4836"/>
      <c r="J1354" s="4836"/>
      <c r="K1354" s="3356"/>
      <c r="L1354" s="3354"/>
    </row>
    <row r="1355" spans="1:12" ht="18">
      <c r="A1355" s="1561" t="s">
        <v>1</v>
      </c>
      <c r="B1355" s="1562" t="str">
        <f>VLOOKUP(C1355,'Đội 3'!$A$16:$C$46,3,0)</f>
        <v>Cha Sơ</v>
      </c>
      <c r="C1355" s="1563">
        <v>31</v>
      </c>
      <c r="D1355" s="1563"/>
      <c r="E1355" s="1564"/>
      <c r="F1355" s="1565"/>
      <c r="G1355" s="1561" t="s">
        <v>1</v>
      </c>
      <c r="H1355" s="1562"/>
      <c r="I1355" s="1563"/>
      <c r="J1355" s="1563"/>
    </row>
    <row r="1356" spans="1:12" ht="18">
      <c r="A1356" s="1561" t="s">
        <v>205</v>
      </c>
      <c r="B1356" s="1566" t="s">
        <v>206</v>
      </c>
      <c r="C1356" s="1567">
        <f>VLOOKUP(C1355,'Đội 3'!$A$16:$F$46,6,0)</f>
        <v>0</v>
      </c>
      <c r="D1356" s="1568">
        <f>C1356*25000</f>
        <v>0</v>
      </c>
      <c r="E1356" s="1569"/>
      <c r="F1356" s="1570"/>
      <c r="G1356" s="1561" t="s">
        <v>205</v>
      </c>
      <c r="H1356" s="1566" t="s">
        <v>206</v>
      </c>
      <c r="I1356" s="1567"/>
      <c r="J1356" s="1568">
        <f>I1356*25000</f>
        <v>0</v>
      </c>
    </row>
    <row r="1357" spans="1:12">
      <c r="A1357" s="1561" t="s">
        <v>207</v>
      </c>
      <c r="B1357" s="1571" t="s">
        <v>208</v>
      </c>
      <c r="C1357" s="1567">
        <f>VLOOKUP(C1355,'Đội 3'!$A$16:$O$46,13,0)</f>
        <v>389963</v>
      </c>
      <c r="D1357" s="2374">
        <f>+C1357*$L$3</f>
        <v>11789509601.939999</v>
      </c>
      <c r="E1357" s="1572"/>
      <c r="F1357" s="1573"/>
      <c r="G1357" s="1561" t="s">
        <v>207</v>
      </c>
      <c r="H1357" s="1571" t="s">
        <v>208</v>
      </c>
      <c r="I1357" s="1567"/>
      <c r="J1357" s="2374">
        <f>+I1357*$L$3</f>
        <v>0</v>
      </c>
    </row>
    <row r="1358" spans="1:12">
      <c r="A1358" s="1561" t="s">
        <v>1259</v>
      </c>
      <c r="B1358" s="1571" t="s">
        <v>209</v>
      </c>
      <c r="C1358" s="2369">
        <f>VLOOKUP(C1355,'Đội 3'!$A$16:$P$46,14,0)</f>
        <v>389963</v>
      </c>
      <c r="D1358" s="2374">
        <f>+C1358*$L$4</f>
        <v>19666231852.259998</v>
      </c>
      <c r="E1358" s="1572"/>
      <c r="F1358" s="1573"/>
      <c r="G1358" s="1561" t="s">
        <v>1259</v>
      </c>
      <c r="H1358" s="1571" t="s">
        <v>209</v>
      </c>
      <c r="I1358" s="2369"/>
      <c r="J1358" s="2374">
        <f>+I1358*$L$4</f>
        <v>0</v>
      </c>
    </row>
    <row r="1359" spans="1:12">
      <c r="A1359" s="1561" t="s">
        <v>1531</v>
      </c>
      <c r="B1359" s="1571"/>
      <c r="C1359" s="2369">
        <f>VLOOKUP(C1355,'Đội 3'!$A$16:$S$46,16,0)</f>
        <v>0</v>
      </c>
      <c r="D1359" s="2374">
        <f>+C1359*20000+VLOOKUP(C1355,'Đội 3'!$A$16:$R$46,14,0)*$L$5</f>
        <v>7799260000</v>
      </c>
      <c r="E1359" s="1572"/>
      <c r="F1359" s="1573"/>
      <c r="G1359" s="1561" t="s">
        <v>1531</v>
      </c>
      <c r="H1359" s="1571"/>
      <c r="I1359" s="2369"/>
      <c r="J1359" s="2374">
        <f>+I1359*20000</f>
        <v>0</v>
      </c>
    </row>
    <row r="1360" spans="1:12">
      <c r="A1360" s="1561" t="s">
        <v>1971</v>
      </c>
      <c r="B1360" s="1571"/>
      <c r="C1360" s="2369">
        <v>0</v>
      </c>
      <c r="D1360" s="2374">
        <f>+C1360*25000</f>
        <v>0</v>
      </c>
      <c r="E1360" s="1572"/>
      <c r="F1360" s="1573"/>
      <c r="G1360" s="1561" t="s">
        <v>1971</v>
      </c>
      <c r="H1360" s="1571"/>
      <c r="I1360" s="2369"/>
      <c r="J1360" s="2374">
        <f>+I1360*25000</f>
        <v>0</v>
      </c>
    </row>
    <row r="1361" spans="1:14">
      <c r="A1361" s="1561" t="s">
        <v>210</v>
      </c>
      <c r="B1361" s="1571" t="s">
        <v>211</v>
      </c>
      <c r="C1361" s="1567">
        <f>VLOOKUP(C1355,'Đội 3'!$A$16:$J$46,10,0)</f>
        <v>0</v>
      </c>
      <c r="D1361" s="2374">
        <f>VLOOKUP(C1355,'Đội 3'!$A$16:$M$46,12,0)</f>
        <v>0</v>
      </c>
      <c r="E1361" s="1574"/>
      <c r="F1361" s="1573"/>
      <c r="G1361" s="1561" t="s">
        <v>210</v>
      </c>
      <c r="H1361" s="1571" t="s">
        <v>211</v>
      </c>
      <c r="I1361" s="1567"/>
      <c r="J1361" s="2374"/>
    </row>
    <row r="1362" spans="1:14">
      <c r="A1362" s="1568" t="s">
        <v>212</v>
      </c>
      <c r="B1362" s="1571" t="s">
        <v>213</v>
      </c>
      <c r="C1362" s="1567"/>
      <c r="D1362" s="1568"/>
      <c r="E1362" s="1575"/>
      <c r="F1362" s="1576"/>
      <c r="G1362" s="1568" t="s">
        <v>212</v>
      </c>
      <c r="H1362" s="1571" t="s">
        <v>213</v>
      </c>
      <c r="I1362" s="1567"/>
      <c r="J1362" s="1568"/>
    </row>
    <row r="1363" spans="1:14">
      <c r="A1363" s="1577" t="s">
        <v>214</v>
      </c>
      <c r="B1363" s="1571" t="s">
        <v>215</v>
      </c>
      <c r="C1363" s="1567"/>
      <c r="D1363" s="1568"/>
      <c r="E1363" s="1574"/>
      <c r="F1363" s="1576"/>
      <c r="G1363" s="1577" t="s">
        <v>214</v>
      </c>
      <c r="H1363" s="1571" t="s">
        <v>215</v>
      </c>
      <c r="I1363" s="1567"/>
      <c r="J1363" s="1568">
        <f>+'Đội 1'!AC1303</f>
        <v>0</v>
      </c>
    </row>
    <row r="1364" spans="1:14">
      <c r="A1364" s="1561" t="s">
        <v>216</v>
      </c>
      <c r="B1364" s="1571" t="s">
        <v>217</v>
      </c>
      <c r="C1364" s="1567"/>
      <c r="D1364" s="1568">
        <v>0</v>
      </c>
      <c r="E1364" s="1578"/>
      <c r="F1364" s="1560"/>
      <c r="G1364" s="1561" t="s">
        <v>216</v>
      </c>
      <c r="H1364" s="1571" t="s">
        <v>217</v>
      </c>
      <c r="I1364" s="1567"/>
      <c r="J1364" s="1568">
        <f>+J1363</f>
        <v>0</v>
      </c>
    </row>
    <row r="1365" spans="1:14">
      <c r="A1365" s="1568" t="s">
        <v>218</v>
      </c>
      <c r="B1365" s="1571" t="s">
        <v>219</v>
      </c>
      <c r="C1365" s="1579"/>
      <c r="D1365" s="1580">
        <f>SUM(D1356:D1361)-D1364</f>
        <v>39255001454.199997</v>
      </c>
      <c r="E1365" s="1581"/>
      <c r="F1365" s="1582"/>
      <c r="G1365" s="1568" t="s">
        <v>218</v>
      </c>
      <c r="H1365" s="1571" t="s">
        <v>219</v>
      </c>
      <c r="I1365" s="1579"/>
      <c r="J1365" s="1580">
        <f>SUM(J1356:J1361)-J1364</f>
        <v>0</v>
      </c>
      <c r="K1365" s="3350">
        <f>J1365+D1365</f>
        <v>39255001454.199997</v>
      </c>
    </row>
    <row r="1366" spans="1:14">
      <c r="K1366" s="3353">
        <f>SUM(K1162:K1365)</f>
        <v>829668641553.01843</v>
      </c>
      <c r="L1366" s="3354" t="s">
        <v>1372</v>
      </c>
      <c r="M1366" s="3347">
        <f>+'Đội 3'!W47</f>
        <v>40008399</v>
      </c>
      <c r="N1366" s="3350">
        <f>+M1366-K1366</f>
        <v>-829628633154.01843</v>
      </c>
    </row>
  </sheetData>
  <mergeCells count="203">
    <mergeCell ref="A467:D467"/>
    <mergeCell ref="G467:J467"/>
    <mergeCell ref="A481:D481"/>
    <mergeCell ref="G481:J481"/>
    <mergeCell ref="A494:D494"/>
    <mergeCell ref="G494:J494"/>
    <mergeCell ref="A507:D507"/>
    <mergeCell ref="G507:J507"/>
    <mergeCell ref="A1274:D1274"/>
    <mergeCell ref="G1274:J1274"/>
    <mergeCell ref="A833:D833"/>
    <mergeCell ref="G833:J833"/>
    <mergeCell ref="A847:D847"/>
    <mergeCell ref="G847:J847"/>
    <mergeCell ref="A860:D860"/>
    <mergeCell ref="G860:J860"/>
    <mergeCell ref="A874:D874"/>
    <mergeCell ref="G874:J874"/>
    <mergeCell ref="A888:D888"/>
    <mergeCell ref="G888:J888"/>
    <mergeCell ref="A734:D734"/>
    <mergeCell ref="G734:J734"/>
    <mergeCell ref="A748:D748"/>
    <mergeCell ref="G748:J748"/>
    <mergeCell ref="A1287:D1287"/>
    <mergeCell ref="G1287:J1287"/>
    <mergeCell ref="A1301:D1301"/>
    <mergeCell ref="G1301:J1301"/>
    <mergeCell ref="A1315:D1315"/>
    <mergeCell ref="G1315:J1315"/>
    <mergeCell ref="A1024:D1024"/>
    <mergeCell ref="G1024:J1024"/>
    <mergeCell ref="A1038:D1038"/>
    <mergeCell ref="G1038:J1038"/>
    <mergeCell ref="A1052:D1052"/>
    <mergeCell ref="G1052:J1052"/>
    <mergeCell ref="A1080:D1080"/>
    <mergeCell ref="G1080:J1080"/>
    <mergeCell ref="A1094:D1094"/>
    <mergeCell ref="G1094:J1094"/>
    <mergeCell ref="A1106:D1106"/>
    <mergeCell ref="G1106:J1106"/>
    <mergeCell ref="A1151:D1151"/>
    <mergeCell ref="G1151:J1151"/>
    <mergeCell ref="A1164:D1164"/>
    <mergeCell ref="G1164:J1164"/>
    <mergeCell ref="A1219:D1219"/>
    <mergeCell ref="G1219:J1219"/>
    <mergeCell ref="A762:D762"/>
    <mergeCell ref="G762:J762"/>
    <mergeCell ref="A778:D778"/>
    <mergeCell ref="G778:J778"/>
    <mergeCell ref="A792:D792"/>
    <mergeCell ref="G792:J792"/>
    <mergeCell ref="A535:D535"/>
    <mergeCell ref="G535:J535"/>
    <mergeCell ref="A549:D549"/>
    <mergeCell ref="G549:J549"/>
    <mergeCell ref="A577:D577"/>
    <mergeCell ref="G577:J577"/>
    <mergeCell ref="A591:D591"/>
    <mergeCell ref="G591:J591"/>
    <mergeCell ref="A619:D619"/>
    <mergeCell ref="G619:J619"/>
    <mergeCell ref="A605:D605"/>
    <mergeCell ref="G605:J605"/>
    <mergeCell ref="A563:D563"/>
    <mergeCell ref="G563:J563"/>
    <mergeCell ref="A399:D399"/>
    <mergeCell ref="G399:J399"/>
    <mergeCell ref="A413:D413"/>
    <mergeCell ref="G413:J413"/>
    <mergeCell ref="A425:D425"/>
    <mergeCell ref="G425:J425"/>
    <mergeCell ref="A439:D439"/>
    <mergeCell ref="G439:J439"/>
    <mergeCell ref="A453:D453"/>
    <mergeCell ref="G453:J453"/>
    <mergeCell ref="A208:D208"/>
    <mergeCell ref="G208:J208"/>
    <mergeCell ref="A929:D929"/>
    <mergeCell ref="G929:J929"/>
    <mergeCell ref="A236:D236"/>
    <mergeCell ref="G236:J236"/>
    <mergeCell ref="A264:D264"/>
    <mergeCell ref="G264:J264"/>
    <mergeCell ref="A277:D277"/>
    <mergeCell ref="G277:J277"/>
    <mergeCell ref="A291:D291"/>
    <mergeCell ref="G291:J291"/>
    <mergeCell ref="A304:D304"/>
    <mergeCell ref="G304:J304"/>
    <mergeCell ref="A318:D318"/>
    <mergeCell ref="G318:J318"/>
    <mergeCell ref="A332:D332"/>
    <mergeCell ref="G332:J332"/>
    <mergeCell ref="A345:D345"/>
    <mergeCell ref="G345:J345"/>
    <mergeCell ref="A359:D359"/>
    <mergeCell ref="G359:J359"/>
    <mergeCell ref="A373:D373"/>
    <mergeCell ref="G373:J373"/>
    <mergeCell ref="G127:J127"/>
    <mergeCell ref="A155:D155"/>
    <mergeCell ref="G155:J155"/>
    <mergeCell ref="A168:D168"/>
    <mergeCell ref="G168:J168"/>
    <mergeCell ref="A182:D182"/>
    <mergeCell ref="G182:J182"/>
    <mergeCell ref="A196:D196"/>
    <mergeCell ref="G196:J196"/>
    <mergeCell ref="A1178:D1178"/>
    <mergeCell ref="G1178:J1178"/>
    <mergeCell ref="A1192:D1192"/>
    <mergeCell ref="G1192:J1192"/>
    <mergeCell ref="A1205:D1205"/>
    <mergeCell ref="G1205:J1205"/>
    <mergeCell ref="A956:D956"/>
    <mergeCell ref="G956:J956"/>
    <mergeCell ref="A970:D970"/>
    <mergeCell ref="G970:J970"/>
    <mergeCell ref="A983:D983"/>
    <mergeCell ref="G983:J983"/>
    <mergeCell ref="A997:D997"/>
    <mergeCell ref="G997:J997"/>
    <mergeCell ref="A1011:D1011"/>
    <mergeCell ref="G1011:J1011"/>
    <mergeCell ref="A1120:D1120"/>
    <mergeCell ref="G1120:J1120"/>
    <mergeCell ref="A1134:D1134"/>
    <mergeCell ref="G1134:J1134"/>
    <mergeCell ref="A521:D521"/>
    <mergeCell ref="G521:J521"/>
    <mergeCell ref="A1233:D1233"/>
    <mergeCell ref="G1233:J1233"/>
    <mergeCell ref="A1246:D1246"/>
    <mergeCell ref="G1246:J1246"/>
    <mergeCell ref="A1260:D1260"/>
    <mergeCell ref="G1260:J1260"/>
    <mergeCell ref="A674:D674"/>
    <mergeCell ref="G674:J674"/>
    <mergeCell ref="A691:D691"/>
    <mergeCell ref="G691:J691"/>
    <mergeCell ref="A705:D705"/>
    <mergeCell ref="G705:J705"/>
    <mergeCell ref="A719:D719"/>
    <mergeCell ref="G719:J719"/>
    <mergeCell ref="A819:D819"/>
    <mergeCell ref="G819:J819"/>
    <mergeCell ref="A806:D806"/>
    <mergeCell ref="G806:J806"/>
    <mergeCell ref="A901:D901"/>
    <mergeCell ref="G901:J901"/>
    <mergeCell ref="A915:D915"/>
    <mergeCell ref="G915:J915"/>
    <mergeCell ref="A222:D222"/>
    <mergeCell ref="G222:J222"/>
    <mergeCell ref="A141:D141"/>
    <mergeCell ref="G141:J141"/>
    <mergeCell ref="A46:D46"/>
    <mergeCell ref="G46:J46"/>
    <mergeCell ref="B1:J1"/>
    <mergeCell ref="A2:D2"/>
    <mergeCell ref="G2:J2"/>
    <mergeCell ref="A16:D16"/>
    <mergeCell ref="G16:J16"/>
    <mergeCell ref="A30:D30"/>
    <mergeCell ref="G30:J30"/>
    <mergeCell ref="A60:D60"/>
    <mergeCell ref="G60:J60"/>
    <mergeCell ref="A74:D74"/>
    <mergeCell ref="G74:J74"/>
    <mergeCell ref="A86:D86"/>
    <mergeCell ref="G86:J86"/>
    <mergeCell ref="A100:D100"/>
    <mergeCell ref="G100:J100"/>
    <mergeCell ref="A114:D114"/>
    <mergeCell ref="G114:J114"/>
    <mergeCell ref="A127:D127"/>
    <mergeCell ref="A1341:D1341"/>
    <mergeCell ref="G1341:J1341"/>
    <mergeCell ref="A1354:D1354"/>
    <mergeCell ref="G1354:J1354"/>
    <mergeCell ref="A252:D252"/>
    <mergeCell ref="G252:J252"/>
    <mergeCell ref="A250:J250"/>
    <mergeCell ref="A942:D942"/>
    <mergeCell ref="G942:J942"/>
    <mergeCell ref="A1066:D1066"/>
    <mergeCell ref="G1066:J1066"/>
    <mergeCell ref="B520:J520"/>
    <mergeCell ref="B969:J969"/>
    <mergeCell ref="A1150:J1150"/>
    <mergeCell ref="A1328:D1328"/>
    <mergeCell ref="G1328:J1328"/>
    <mergeCell ref="A385:D385"/>
    <mergeCell ref="G385:J385"/>
    <mergeCell ref="A660:D660"/>
    <mergeCell ref="G660:J660"/>
    <mergeCell ref="A633:D633"/>
    <mergeCell ref="G633:J633"/>
    <mergeCell ref="A646:D646"/>
    <mergeCell ref="G646:J646"/>
  </mergeCells>
  <pageMargins left="0.35433070866141736" right="0.19685039370078741" top="0.74803149606299213" bottom="0.5" header="0.31496062992125984" footer="0.31496062992125984"/>
  <pageSetup paperSize="9" scale="80" orientation="landscape" r:id="rId1"/>
  <rowBreaks count="32" manualBreakCount="32">
    <brk id="43" max="11" man="1"/>
    <brk id="85" max="11" man="1"/>
    <brk id="126" max="11" man="1"/>
    <brk id="167" max="11" man="1"/>
    <brk id="207" max="11" man="1"/>
    <brk id="248" max="11" man="1"/>
    <brk id="289" max="11" man="1"/>
    <brk id="330" max="11" man="1"/>
    <brk id="372" max="11" man="1"/>
    <brk id="411" max="11" man="1"/>
    <brk id="451" max="11" man="1"/>
    <brk id="493" max="11" man="1"/>
    <brk id="518" max="11" man="1"/>
    <brk id="561" max="11" man="1"/>
    <brk id="603" max="11" man="1"/>
    <brk id="645" max="11" man="1"/>
    <brk id="687" max="11" man="1"/>
    <brk id="776" max="11" man="1"/>
    <brk id="818" max="11" man="1"/>
    <brk id="859" max="11" man="1"/>
    <brk id="900" max="11" man="1"/>
    <brk id="941" max="11" man="1"/>
    <brk id="968" max="11" man="1"/>
    <brk id="1009" max="11" man="1"/>
    <brk id="1050" max="11" man="1"/>
    <brk id="1092" max="11" man="1"/>
    <brk id="1147" max="11" man="1"/>
    <brk id="1190" max="11" man="1"/>
    <brk id="1231" max="11" man="1"/>
    <brk id="1272" max="11" man="1"/>
    <brk id="1313" max="11" man="1"/>
    <brk id="1353" max="11" man="1"/>
  </rowBreaks>
  <colBreaks count="1" manualBreakCount="1">
    <brk id="10" max="1353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opLeftCell="A40" workbookViewId="0">
      <selection activeCell="D54" sqref="D54"/>
    </sheetView>
  </sheetViews>
  <sheetFormatPr defaultRowHeight="16.5"/>
  <cols>
    <col min="1" max="1" width="4.85546875" style="2187" customWidth="1"/>
    <col min="2" max="2" width="21.5703125" style="2187" customWidth="1"/>
    <col min="3" max="3" width="26.42578125" style="2187" customWidth="1"/>
    <col min="4" max="4" width="24.140625" style="2187" customWidth="1"/>
    <col min="5" max="5" width="11.28515625" style="2187" hidden="1" customWidth="1"/>
    <col min="6" max="6" width="24.5703125" style="2187" customWidth="1"/>
    <col min="7" max="16384" width="9.140625" style="2187"/>
  </cols>
  <sheetData>
    <row r="1" spans="1:35">
      <c r="A1" s="4842" t="s">
        <v>23</v>
      </c>
      <c r="B1" s="4842"/>
      <c r="C1" s="4842"/>
      <c r="D1" s="4842"/>
      <c r="E1" s="4842"/>
      <c r="F1" s="4842"/>
      <c r="G1" s="3329"/>
      <c r="H1" s="3329"/>
      <c r="I1" s="3329"/>
      <c r="J1" s="3329"/>
      <c r="K1" s="3329"/>
      <c r="L1" s="3329"/>
      <c r="M1" s="3329"/>
      <c r="N1" s="3329"/>
      <c r="O1" s="3329"/>
      <c r="P1" s="3329"/>
      <c r="Q1" s="3329"/>
      <c r="R1" s="3329"/>
      <c r="S1" s="3329"/>
      <c r="T1" s="3329"/>
      <c r="U1" s="3329"/>
      <c r="V1" s="3329"/>
      <c r="W1" s="3329"/>
      <c r="X1" s="3329"/>
      <c r="Y1" s="3329"/>
      <c r="Z1" s="3329"/>
      <c r="AA1" s="3329"/>
      <c r="AB1" s="3329"/>
      <c r="AC1" s="3329"/>
      <c r="AD1" s="3329"/>
      <c r="AE1" s="3329"/>
      <c r="AF1" s="3329"/>
      <c r="AG1" s="3329"/>
      <c r="AH1" s="3329"/>
      <c r="AI1" s="3329"/>
    </row>
    <row r="2" spans="1:35">
      <c r="A2" s="4842" t="s">
        <v>45</v>
      </c>
      <c r="B2" s="4842"/>
      <c r="C2" s="4842"/>
      <c r="D2" s="4842"/>
      <c r="E2" s="4842"/>
      <c r="F2" s="4842"/>
      <c r="G2" s="3329"/>
      <c r="H2" s="3329"/>
      <c r="I2" s="3329"/>
      <c r="J2" s="3329"/>
      <c r="K2" s="3329"/>
      <c r="L2" s="3329"/>
      <c r="M2" s="3329"/>
      <c r="N2" s="3329"/>
      <c r="O2" s="3329"/>
      <c r="P2" s="3329"/>
      <c r="Q2" s="3329"/>
      <c r="R2" s="3329"/>
      <c r="S2" s="3329"/>
      <c r="T2" s="3329"/>
      <c r="U2" s="3329"/>
      <c r="V2" s="3329"/>
      <c r="W2" s="3329"/>
      <c r="X2" s="3329"/>
      <c r="Y2" s="3329"/>
      <c r="Z2" s="3329"/>
      <c r="AA2" s="3329"/>
      <c r="AB2" s="3329"/>
      <c r="AC2" s="3329"/>
      <c r="AD2" s="3329"/>
      <c r="AE2" s="3329"/>
      <c r="AF2" s="3329"/>
      <c r="AG2" s="3329"/>
      <c r="AH2" s="3329"/>
      <c r="AI2" s="3329"/>
    </row>
    <row r="3" spans="1:35">
      <c r="A3" s="4843" t="s">
        <v>1308</v>
      </c>
      <c r="B3" s="4843"/>
      <c r="C3" s="4843"/>
      <c r="D3" s="4843"/>
      <c r="E3" s="4843"/>
      <c r="F3" s="4843"/>
      <c r="G3" s="3328"/>
      <c r="H3" s="3328"/>
      <c r="I3" s="3328"/>
      <c r="J3" s="3328"/>
      <c r="K3" s="3328"/>
      <c r="L3" s="3328"/>
      <c r="M3" s="3328"/>
      <c r="N3" s="3328"/>
      <c r="O3" s="3328"/>
      <c r="P3" s="3328"/>
      <c r="Q3" s="3328"/>
      <c r="R3" s="3328"/>
      <c r="S3" s="3328"/>
      <c r="T3" s="3328"/>
      <c r="U3" s="3328"/>
      <c r="V3" s="3328"/>
      <c r="W3" s="3328"/>
      <c r="X3" s="3328"/>
      <c r="Y3" s="3328"/>
      <c r="Z3" s="3328"/>
      <c r="AA3" s="3328"/>
      <c r="AB3" s="3328"/>
      <c r="AC3" s="3328"/>
      <c r="AD3" s="3328"/>
      <c r="AE3" s="3328"/>
      <c r="AF3" s="3328"/>
      <c r="AG3" s="3328"/>
      <c r="AH3" s="3328"/>
      <c r="AI3" s="3328"/>
    </row>
    <row r="4" spans="1:35">
      <c r="A4" s="4848" t="s">
        <v>1482</v>
      </c>
      <c r="B4" s="4848"/>
      <c r="C4" s="4848"/>
      <c r="D4" s="3699"/>
      <c r="E4" s="3330"/>
      <c r="F4" s="3330"/>
      <c r="G4" s="3330"/>
      <c r="H4" s="3330"/>
      <c r="I4" s="3330"/>
      <c r="J4" s="3330"/>
      <c r="K4" s="3330"/>
      <c r="L4" s="3330"/>
      <c r="M4" s="3330"/>
      <c r="N4" s="3330"/>
      <c r="O4" s="3330"/>
      <c r="P4" s="3330"/>
      <c r="Q4" s="3330"/>
      <c r="R4" s="3330"/>
      <c r="S4" s="3330"/>
      <c r="T4" s="3330"/>
      <c r="U4" s="3330"/>
      <c r="V4" s="3330"/>
      <c r="W4" s="3330"/>
      <c r="X4" s="3330"/>
      <c r="Y4" s="3330"/>
      <c r="Z4" s="3330"/>
      <c r="AA4" s="3330"/>
      <c r="AB4" s="3330"/>
      <c r="AC4" s="3330"/>
      <c r="AD4" s="3330"/>
      <c r="AE4" s="3330"/>
      <c r="AF4" s="3330"/>
      <c r="AG4" s="3330"/>
      <c r="AH4" s="3330"/>
      <c r="AI4" s="2950">
        <v>1</v>
      </c>
    </row>
    <row r="5" spans="1:35">
      <c r="A5" s="4842" t="s">
        <v>2408</v>
      </c>
      <c r="B5" s="4842"/>
      <c r="C5" s="4842"/>
      <c r="D5" s="3698"/>
      <c r="E5" s="3330"/>
      <c r="F5" s="3330"/>
      <c r="G5" s="3330"/>
      <c r="H5" s="3330"/>
      <c r="I5" s="3330"/>
      <c r="J5" s="3330"/>
      <c r="K5" s="3330"/>
      <c r="L5" s="3330"/>
      <c r="M5" s="3330"/>
      <c r="N5" s="3330"/>
      <c r="O5" s="3330"/>
      <c r="P5" s="3330"/>
      <c r="Q5" s="3330"/>
      <c r="R5" s="3330"/>
      <c r="S5" s="3330"/>
      <c r="T5" s="3330"/>
      <c r="U5" s="3330"/>
      <c r="V5" s="3330"/>
      <c r="W5" s="3330"/>
      <c r="X5" s="3330"/>
      <c r="Y5" s="3330"/>
      <c r="Z5" s="3330"/>
      <c r="AA5" s="3330"/>
      <c r="AB5" s="3330"/>
      <c r="AC5" s="3330"/>
      <c r="AD5" s="3330"/>
      <c r="AE5" s="3330"/>
      <c r="AF5" s="3330"/>
      <c r="AG5" s="3330"/>
      <c r="AH5" s="3330"/>
      <c r="AI5" s="2950" t="s">
        <v>133</v>
      </c>
    </row>
    <row r="6" spans="1:35">
      <c r="A6" s="3330"/>
      <c r="B6" s="3330"/>
      <c r="C6" s="3330"/>
      <c r="D6" s="3330"/>
      <c r="E6" s="3330"/>
      <c r="F6" s="3330"/>
      <c r="G6" s="3330"/>
      <c r="H6" s="3330"/>
      <c r="I6" s="3330"/>
      <c r="J6" s="3330"/>
      <c r="K6" s="3330"/>
      <c r="L6" s="3330"/>
      <c r="M6" s="3330"/>
      <c r="N6" s="3330"/>
      <c r="O6" s="3330"/>
      <c r="P6" s="3330"/>
      <c r="Q6" s="3330"/>
      <c r="R6" s="3330"/>
      <c r="S6" s="3330"/>
      <c r="T6" s="3330"/>
      <c r="U6" s="3330"/>
      <c r="V6" s="3330"/>
      <c r="W6" s="3330"/>
      <c r="X6" s="3330"/>
      <c r="Y6" s="3330"/>
      <c r="Z6" s="3330"/>
      <c r="AA6" s="3330"/>
      <c r="AB6" s="3330"/>
      <c r="AC6" s="3330"/>
      <c r="AD6" s="3330"/>
      <c r="AE6" s="3330"/>
      <c r="AF6" s="3330"/>
      <c r="AG6" s="3330"/>
      <c r="AH6" s="3330"/>
      <c r="AI6" s="3331"/>
    </row>
    <row r="7" spans="1:35" ht="19.5">
      <c r="A7" s="4852" t="s">
        <v>2409</v>
      </c>
      <c r="B7" s="4852"/>
      <c r="C7" s="4852"/>
      <c r="D7" s="4852"/>
      <c r="E7" s="4852"/>
      <c r="F7" s="4852"/>
      <c r="G7" s="3329"/>
      <c r="H7" s="3329"/>
      <c r="I7" s="3329"/>
      <c r="J7" s="3329"/>
      <c r="K7" s="3329"/>
      <c r="L7" s="3329"/>
      <c r="M7" s="3329"/>
      <c r="N7" s="3329"/>
      <c r="O7" s="3329"/>
      <c r="P7" s="3329"/>
      <c r="Q7" s="3329"/>
      <c r="R7" s="3329"/>
      <c r="S7" s="3329"/>
      <c r="T7" s="3329"/>
      <c r="U7" s="3329"/>
      <c r="V7" s="3329"/>
      <c r="W7" s="3329"/>
      <c r="X7" s="3329"/>
      <c r="Y7" s="3329"/>
      <c r="Z7" s="3329"/>
      <c r="AA7" s="3329"/>
      <c r="AB7" s="3329"/>
      <c r="AC7" s="3329"/>
      <c r="AD7" s="3329"/>
      <c r="AE7" s="3329"/>
      <c r="AF7" s="3329"/>
      <c r="AG7" s="3329"/>
      <c r="AH7" s="3329"/>
      <c r="AI7" s="3329"/>
    </row>
    <row r="8" spans="1:35">
      <c r="A8" s="4854"/>
      <c r="B8" s="4854"/>
      <c r="C8" s="4854"/>
      <c r="D8" s="4854"/>
      <c r="E8" s="4854"/>
      <c r="F8" s="4854"/>
      <c r="G8" s="3333"/>
    </row>
    <row r="11" spans="1:35" ht="16.5" customHeight="1">
      <c r="A11" s="4849" t="s">
        <v>0</v>
      </c>
      <c r="B11" s="4849" t="s">
        <v>1</v>
      </c>
      <c r="C11" s="4849" t="s">
        <v>1982</v>
      </c>
      <c r="D11" s="4844" t="s">
        <v>2410</v>
      </c>
      <c r="E11" s="4846" t="s">
        <v>1976</v>
      </c>
      <c r="F11" s="4847" t="s">
        <v>1357</v>
      </c>
    </row>
    <row r="12" spans="1:35">
      <c r="A12" s="4845"/>
      <c r="B12" s="4845"/>
      <c r="C12" s="4845"/>
      <c r="D12" s="4845"/>
      <c r="E12" s="4846"/>
      <c r="F12" s="4846"/>
    </row>
    <row r="13" spans="1:35" ht="19.5" customHeight="1">
      <c r="A13" s="3332">
        <v>1</v>
      </c>
      <c r="B13" s="3332" t="s">
        <v>1557</v>
      </c>
      <c r="C13" s="3332" t="s">
        <v>2411</v>
      </c>
      <c r="D13" s="3334">
        <v>800000</v>
      </c>
      <c r="E13" s="3332"/>
      <c r="F13" s="3332"/>
    </row>
    <row r="14" spans="1:35" ht="19.5" customHeight="1">
      <c r="A14" s="3332">
        <v>2</v>
      </c>
      <c r="B14" s="3332" t="s">
        <v>2169</v>
      </c>
      <c r="C14" s="3332" t="s">
        <v>2411</v>
      </c>
      <c r="D14" s="3334">
        <v>300000</v>
      </c>
      <c r="E14" s="3332"/>
      <c r="F14" s="3332"/>
    </row>
    <row r="15" spans="1:35" ht="19.5" customHeight="1">
      <c r="A15" s="3332">
        <v>3</v>
      </c>
      <c r="B15" s="3332" t="s">
        <v>2170</v>
      </c>
      <c r="C15" s="3332" t="s">
        <v>2411</v>
      </c>
      <c r="D15" s="3334">
        <v>700000</v>
      </c>
      <c r="E15" s="3332"/>
      <c r="F15" s="3332"/>
    </row>
    <row r="16" spans="1:35" ht="19.5" customHeight="1">
      <c r="A16" s="3332">
        <v>4</v>
      </c>
      <c r="B16" s="3332" t="s">
        <v>2171</v>
      </c>
      <c r="C16" s="3332" t="s">
        <v>2411</v>
      </c>
      <c r="D16" s="3334">
        <v>500000</v>
      </c>
      <c r="E16" s="3332"/>
      <c r="F16" s="3332"/>
    </row>
    <row r="17" spans="1:6" ht="19.5" customHeight="1">
      <c r="A17" s="3332">
        <v>5</v>
      </c>
      <c r="B17" s="3332" t="s">
        <v>2172</v>
      </c>
      <c r="C17" s="3332" t="s">
        <v>2411</v>
      </c>
      <c r="D17" s="3334">
        <v>300000</v>
      </c>
      <c r="E17" s="3332"/>
      <c r="F17" s="3332"/>
    </row>
    <row r="18" spans="1:6" ht="19.5" customHeight="1">
      <c r="A18" s="3332">
        <v>6</v>
      </c>
      <c r="B18" s="3332" t="s">
        <v>1528</v>
      </c>
      <c r="C18" s="3332" t="s">
        <v>2411</v>
      </c>
      <c r="D18" s="3334">
        <v>600000</v>
      </c>
      <c r="E18" s="3332"/>
      <c r="F18" s="3332"/>
    </row>
    <row r="19" spans="1:6" ht="19.5" customHeight="1">
      <c r="A19" s="3332">
        <v>7</v>
      </c>
      <c r="B19" s="3332" t="s">
        <v>2173</v>
      </c>
      <c r="C19" s="3332" t="s">
        <v>2411</v>
      </c>
      <c r="D19" s="3334">
        <v>500000</v>
      </c>
      <c r="E19" s="3332"/>
      <c r="F19" s="3332"/>
    </row>
    <row r="20" spans="1:6" ht="19.5" customHeight="1">
      <c r="A20" s="3332">
        <v>8</v>
      </c>
      <c r="B20" s="3332" t="s">
        <v>2174</v>
      </c>
      <c r="C20" s="3332" t="s">
        <v>2411</v>
      </c>
      <c r="D20" s="3334">
        <v>400000</v>
      </c>
      <c r="E20" s="3332"/>
      <c r="F20" s="3332"/>
    </row>
    <row r="21" spans="1:6" ht="19.5" customHeight="1">
      <c r="A21" s="3332">
        <v>9</v>
      </c>
      <c r="B21" s="3332" t="s">
        <v>2175</v>
      </c>
      <c r="C21" s="3332" t="s">
        <v>2411</v>
      </c>
      <c r="D21" s="3334">
        <v>400000</v>
      </c>
      <c r="E21" s="3332"/>
      <c r="F21" s="3332"/>
    </row>
    <row r="22" spans="1:6" ht="19.5" customHeight="1">
      <c r="A22" s="3332">
        <v>10</v>
      </c>
      <c r="B22" s="3332" t="s">
        <v>2176</v>
      </c>
      <c r="C22" s="3332" t="s">
        <v>2411</v>
      </c>
      <c r="D22" s="3334">
        <v>500000</v>
      </c>
      <c r="E22" s="3332"/>
      <c r="F22" s="3332"/>
    </row>
    <row r="23" spans="1:6" ht="19.5" customHeight="1">
      <c r="A23" s="3332">
        <v>11</v>
      </c>
      <c r="B23" s="3332" t="s">
        <v>2177</v>
      </c>
      <c r="C23" s="3332" t="s">
        <v>2411</v>
      </c>
      <c r="D23" s="3334">
        <v>300000</v>
      </c>
      <c r="E23" s="3332"/>
      <c r="F23" s="3332"/>
    </row>
    <row r="24" spans="1:6" ht="19.5" customHeight="1">
      <c r="A24" s="3332">
        <v>12</v>
      </c>
      <c r="B24" s="3332" t="s">
        <v>2178</v>
      </c>
      <c r="C24" s="3332" t="s">
        <v>2411</v>
      </c>
      <c r="D24" s="3334">
        <v>1000000</v>
      </c>
      <c r="E24" s="3332"/>
      <c r="F24" s="3332"/>
    </row>
    <row r="25" spans="1:6" ht="19.5" customHeight="1">
      <c r="A25" s="3332">
        <v>13</v>
      </c>
      <c r="B25" s="3332" t="s">
        <v>2179</v>
      </c>
      <c r="C25" s="3332" t="s">
        <v>2411</v>
      </c>
      <c r="D25" s="3334">
        <v>500000</v>
      </c>
      <c r="E25" s="3332"/>
      <c r="F25" s="3332"/>
    </row>
    <row r="26" spans="1:6" ht="19.5" customHeight="1">
      <c r="A26" s="3332">
        <v>14</v>
      </c>
      <c r="B26" s="3332" t="s">
        <v>1301</v>
      </c>
      <c r="C26" s="3332" t="s">
        <v>2411</v>
      </c>
      <c r="D26" s="3334">
        <v>600000</v>
      </c>
      <c r="E26" s="3332"/>
      <c r="F26" s="3332"/>
    </row>
    <row r="27" spans="1:6" ht="19.5" customHeight="1">
      <c r="A27" s="3332">
        <v>15</v>
      </c>
      <c r="B27" s="3332" t="s">
        <v>2180</v>
      </c>
      <c r="C27" s="3332" t="s">
        <v>2411</v>
      </c>
      <c r="D27" s="3334">
        <v>700000</v>
      </c>
      <c r="E27" s="3332"/>
      <c r="F27" s="3332"/>
    </row>
    <row r="28" spans="1:6" ht="19.5" customHeight="1">
      <c r="A28" s="3332">
        <v>16</v>
      </c>
      <c r="B28" s="3332" t="s">
        <v>289</v>
      </c>
      <c r="C28" s="3332" t="s">
        <v>2411</v>
      </c>
      <c r="D28" s="3334">
        <v>500000</v>
      </c>
      <c r="E28" s="3332"/>
      <c r="F28" s="3332"/>
    </row>
    <row r="29" spans="1:6" ht="19.5" customHeight="1">
      <c r="A29" s="3332">
        <v>17</v>
      </c>
      <c r="B29" s="3332" t="s">
        <v>2181</v>
      </c>
      <c r="C29" s="3332" t="s">
        <v>2411</v>
      </c>
      <c r="D29" s="3334">
        <v>600000</v>
      </c>
      <c r="E29" s="3332"/>
      <c r="F29" s="3332"/>
    </row>
    <row r="30" spans="1:6" ht="19.5" customHeight="1">
      <c r="A30" s="3332">
        <v>18</v>
      </c>
      <c r="B30" s="3332" t="s">
        <v>2182</v>
      </c>
      <c r="C30" s="3332" t="s">
        <v>2411</v>
      </c>
      <c r="D30" s="3334">
        <v>800000</v>
      </c>
      <c r="E30" s="3332"/>
      <c r="F30" s="3332"/>
    </row>
    <row r="31" spans="1:6" ht="19.5" customHeight="1">
      <c r="A31" s="3332">
        <v>19</v>
      </c>
      <c r="B31" s="3332" t="s">
        <v>2183</v>
      </c>
      <c r="C31" s="3332" t="s">
        <v>2411</v>
      </c>
      <c r="D31" s="3334">
        <v>1000000</v>
      </c>
      <c r="E31" s="3332"/>
      <c r="F31" s="3332"/>
    </row>
    <row r="32" spans="1:6" ht="19.5" customHeight="1">
      <c r="A32" s="3332">
        <v>20</v>
      </c>
      <c r="B32" s="3332" t="s">
        <v>1236</v>
      </c>
      <c r="C32" s="3332" t="s">
        <v>2411</v>
      </c>
      <c r="D32" s="3334">
        <v>800000</v>
      </c>
      <c r="E32" s="3332"/>
      <c r="F32" s="3332"/>
    </row>
    <row r="33" spans="1:6" ht="19.5" customHeight="1">
      <c r="A33" s="3332">
        <v>21</v>
      </c>
      <c r="B33" s="3332" t="s">
        <v>2184</v>
      </c>
      <c r="C33" s="3332" t="s">
        <v>2411</v>
      </c>
      <c r="D33" s="3334">
        <v>900000</v>
      </c>
      <c r="E33" s="3332"/>
      <c r="F33" s="3332"/>
    </row>
    <row r="34" spans="1:6" ht="19.5" customHeight="1">
      <c r="A34" s="3332">
        <v>22</v>
      </c>
      <c r="B34" s="3332" t="s">
        <v>2185</v>
      </c>
      <c r="C34" s="3332" t="s">
        <v>2411</v>
      </c>
      <c r="D34" s="3334">
        <v>700000</v>
      </c>
      <c r="E34" s="3332"/>
      <c r="F34" s="3332"/>
    </row>
    <row r="35" spans="1:6" ht="19.5" customHeight="1">
      <c r="A35" s="3332">
        <v>23</v>
      </c>
      <c r="B35" s="3332" t="s">
        <v>2186</v>
      </c>
      <c r="C35" s="3332" t="s">
        <v>2411</v>
      </c>
      <c r="D35" s="3334">
        <v>1000000</v>
      </c>
      <c r="E35" s="3332"/>
      <c r="F35" s="3332"/>
    </row>
    <row r="36" spans="1:6" ht="19.5" customHeight="1">
      <c r="A36" s="3332">
        <v>24</v>
      </c>
      <c r="B36" s="3332" t="s">
        <v>2187</v>
      </c>
      <c r="C36" s="3332" t="s">
        <v>2411</v>
      </c>
      <c r="D36" s="3334">
        <v>800000</v>
      </c>
      <c r="E36" s="3332"/>
      <c r="F36" s="3332"/>
    </row>
    <row r="37" spans="1:6" ht="19.5" customHeight="1">
      <c r="A37" s="3332">
        <v>25</v>
      </c>
      <c r="B37" s="3332" t="s">
        <v>1525</v>
      </c>
      <c r="C37" s="3332" t="s">
        <v>2411</v>
      </c>
      <c r="D37" s="3334">
        <v>800000</v>
      </c>
      <c r="E37" s="3332"/>
      <c r="F37" s="3332"/>
    </row>
    <row r="38" spans="1:6" ht="19.5" customHeight="1">
      <c r="A38" s="3332">
        <v>26</v>
      </c>
      <c r="B38" s="3332" t="s">
        <v>2188</v>
      </c>
      <c r="C38" s="3332" t="s">
        <v>2411</v>
      </c>
      <c r="D38" s="3334">
        <v>500000</v>
      </c>
      <c r="E38" s="3332"/>
      <c r="F38" s="3332"/>
    </row>
    <row r="39" spans="1:6" ht="19.5" customHeight="1">
      <c r="A39" s="3332">
        <v>27</v>
      </c>
      <c r="B39" s="3332" t="s">
        <v>2189</v>
      </c>
      <c r="C39" s="3332" t="s">
        <v>2411</v>
      </c>
      <c r="D39" s="3334">
        <v>500000</v>
      </c>
      <c r="E39" s="3332"/>
      <c r="F39" s="3332"/>
    </row>
    <row r="40" spans="1:6" ht="19.5" customHeight="1">
      <c r="A40" s="3332">
        <v>28</v>
      </c>
      <c r="B40" s="3332" t="s">
        <v>1507</v>
      </c>
      <c r="C40" s="3332" t="s">
        <v>2411</v>
      </c>
      <c r="D40" s="3334">
        <v>500000</v>
      </c>
      <c r="E40" s="3332"/>
      <c r="F40" s="3332"/>
    </row>
    <row r="41" spans="1:6" ht="19.5" customHeight="1">
      <c r="A41" s="3332">
        <v>29</v>
      </c>
      <c r="B41" s="3332" t="s">
        <v>2190</v>
      </c>
      <c r="C41" s="3332" t="s">
        <v>2411</v>
      </c>
      <c r="D41" s="3334">
        <v>500000</v>
      </c>
      <c r="E41" s="3332"/>
      <c r="F41" s="3332"/>
    </row>
    <row r="42" spans="1:6" ht="19.5" customHeight="1">
      <c r="A42" s="3332">
        <v>30</v>
      </c>
      <c r="B42" s="3332" t="s">
        <v>2191</v>
      </c>
      <c r="C42" s="3332" t="s">
        <v>2411</v>
      </c>
      <c r="D42" s="3334">
        <v>500000</v>
      </c>
      <c r="E42" s="3332"/>
      <c r="F42" s="3332"/>
    </row>
    <row r="43" spans="1:6" ht="19.5" customHeight="1">
      <c r="A43" s="3332">
        <v>31</v>
      </c>
      <c r="B43" s="3332" t="s">
        <v>1923</v>
      </c>
      <c r="C43" s="3332" t="s">
        <v>2411</v>
      </c>
      <c r="D43" s="3334">
        <v>500000</v>
      </c>
      <c r="E43" s="3332"/>
      <c r="F43" s="3332"/>
    </row>
    <row r="44" spans="1:6" ht="19.5" customHeight="1">
      <c r="A44" s="3332">
        <v>32</v>
      </c>
      <c r="B44" s="3332" t="s">
        <v>2192</v>
      </c>
      <c r="C44" s="3332" t="s">
        <v>2411</v>
      </c>
      <c r="D44" s="3334">
        <v>500000</v>
      </c>
      <c r="E44" s="3332"/>
      <c r="F44" s="3332"/>
    </row>
    <row r="45" spans="1:6" ht="19.5" customHeight="1">
      <c r="A45" s="3332">
        <v>33</v>
      </c>
      <c r="B45" s="3332" t="s">
        <v>2193</v>
      </c>
      <c r="C45" s="3332" t="s">
        <v>2411</v>
      </c>
      <c r="D45" s="3334">
        <v>500000</v>
      </c>
      <c r="E45" s="3332"/>
      <c r="F45" s="3332"/>
    </row>
    <row r="46" spans="1:6" ht="19.5" customHeight="1">
      <c r="A46" s="3332">
        <v>34</v>
      </c>
      <c r="B46" s="3332" t="s">
        <v>2195</v>
      </c>
      <c r="C46" s="3332" t="s">
        <v>2412</v>
      </c>
      <c r="D46" s="3334">
        <v>500000</v>
      </c>
      <c r="E46" s="3332"/>
      <c r="F46" s="3332"/>
    </row>
    <row r="47" spans="1:6" ht="19.5" customHeight="1">
      <c r="A47" s="3332">
        <v>35</v>
      </c>
      <c r="B47" s="3332" t="s">
        <v>2196</v>
      </c>
      <c r="C47" s="3332" t="s">
        <v>2412</v>
      </c>
      <c r="D47" s="3334">
        <v>500000</v>
      </c>
      <c r="E47" s="3332"/>
      <c r="F47" s="3332"/>
    </row>
    <row r="48" spans="1:6" ht="19.5" customHeight="1">
      <c r="A48" s="3332">
        <v>36</v>
      </c>
      <c r="B48" s="3332" t="s">
        <v>2197</v>
      </c>
      <c r="C48" s="3332" t="s">
        <v>2412</v>
      </c>
      <c r="D48" s="3334">
        <v>500000</v>
      </c>
      <c r="E48" s="3332"/>
      <c r="F48" s="3332"/>
    </row>
    <row r="49" spans="1:6" ht="19.5" customHeight="1">
      <c r="A49" s="3332">
        <v>37</v>
      </c>
      <c r="B49" s="3332" t="s">
        <v>2198</v>
      </c>
      <c r="C49" s="3332" t="s">
        <v>2412</v>
      </c>
      <c r="D49" s="3334">
        <v>500000</v>
      </c>
      <c r="E49" s="3332"/>
      <c r="F49" s="3332"/>
    </row>
    <row r="50" spans="1:6" ht="19.5" customHeight="1">
      <c r="A50" s="3332">
        <v>38</v>
      </c>
      <c r="B50" s="3332" t="s">
        <v>2199</v>
      </c>
      <c r="C50" s="3332" t="s">
        <v>2412</v>
      </c>
      <c r="D50" s="3334">
        <v>500000</v>
      </c>
      <c r="E50" s="3332"/>
      <c r="F50" s="3332"/>
    </row>
    <row r="51" spans="1:6" ht="19.5" customHeight="1">
      <c r="A51" s="3332">
        <v>39</v>
      </c>
      <c r="B51" s="3332" t="s">
        <v>2200</v>
      </c>
      <c r="C51" s="3332" t="s">
        <v>2412</v>
      </c>
      <c r="D51" s="3334">
        <v>500000</v>
      </c>
      <c r="E51" s="3332"/>
      <c r="F51" s="3332"/>
    </row>
    <row r="52" spans="1:6" ht="19.5" customHeight="1">
      <c r="A52" s="3332">
        <v>40</v>
      </c>
      <c r="B52" s="3332" t="s">
        <v>2201</v>
      </c>
      <c r="C52" s="3332" t="s">
        <v>2412</v>
      </c>
      <c r="D52" s="3334">
        <v>700000</v>
      </c>
      <c r="E52" s="3332"/>
      <c r="F52" s="3332"/>
    </row>
    <row r="53" spans="1:6" ht="19.5" customHeight="1">
      <c r="A53" s="3332">
        <v>41</v>
      </c>
      <c r="B53" s="3332" t="s">
        <v>2202</v>
      </c>
      <c r="C53" s="3332" t="s">
        <v>2412</v>
      </c>
      <c r="D53" s="3334">
        <v>700000</v>
      </c>
      <c r="E53" s="3332"/>
      <c r="F53" s="3332"/>
    </row>
    <row r="54" spans="1:6" ht="19.5" customHeight="1">
      <c r="A54" s="3332">
        <v>42</v>
      </c>
      <c r="B54" s="3332" t="s">
        <v>2203</v>
      </c>
      <c r="C54" s="3332" t="s">
        <v>2412</v>
      </c>
      <c r="D54" s="3334">
        <v>800000</v>
      </c>
      <c r="E54" s="3332"/>
      <c r="F54" s="3332"/>
    </row>
    <row r="55" spans="1:6" ht="19.5" customHeight="1">
      <c r="A55" s="3332">
        <v>43</v>
      </c>
      <c r="B55" s="3332" t="s">
        <v>2204</v>
      </c>
      <c r="C55" s="3332" t="s">
        <v>2412</v>
      </c>
      <c r="D55" s="3334">
        <v>800000</v>
      </c>
      <c r="E55" s="3332"/>
      <c r="F55" s="3332"/>
    </row>
    <row r="56" spans="1:6" ht="19.5" customHeight="1">
      <c r="A56" s="3332">
        <v>44</v>
      </c>
      <c r="B56" s="3332" t="s">
        <v>2205</v>
      </c>
      <c r="C56" s="3332" t="s">
        <v>2412</v>
      </c>
      <c r="D56" s="3334">
        <v>800000</v>
      </c>
      <c r="E56" s="3332"/>
      <c r="F56" s="3332"/>
    </row>
    <row r="57" spans="1:6" ht="19.5" customHeight="1">
      <c r="A57" s="3332">
        <v>45</v>
      </c>
      <c r="B57" s="3332" t="s">
        <v>2206</v>
      </c>
      <c r="C57" s="3332" t="s">
        <v>2412</v>
      </c>
      <c r="D57" s="3334">
        <v>800000</v>
      </c>
      <c r="E57" s="3332"/>
      <c r="F57" s="3332"/>
    </row>
    <row r="58" spans="1:6" ht="19.5" customHeight="1">
      <c r="A58" s="3332">
        <v>46</v>
      </c>
      <c r="B58" s="3332" t="s">
        <v>2207</v>
      </c>
      <c r="C58" s="3332" t="s">
        <v>2412</v>
      </c>
      <c r="D58" s="3334">
        <v>800000</v>
      </c>
      <c r="E58" s="3332"/>
      <c r="F58" s="3332"/>
    </row>
    <row r="59" spans="1:6" ht="19.5" customHeight="1">
      <c r="A59" s="3332">
        <v>47</v>
      </c>
      <c r="B59" s="3332" t="s">
        <v>2208</v>
      </c>
      <c r="C59" s="3332" t="s">
        <v>2412</v>
      </c>
      <c r="D59" s="3334">
        <v>800000</v>
      </c>
      <c r="E59" s="3332"/>
      <c r="F59" s="3332"/>
    </row>
    <row r="60" spans="1:6" ht="19.5" customHeight="1">
      <c r="A60" s="3332">
        <v>48</v>
      </c>
      <c r="B60" s="3332" t="s">
        <v>2209</v>
      </c>
      <c r="C60" s="3332" t="s">
        <v>2412</v>
      </c>
      <c r="D60" s="3334">
        <v>800000</v>
      </c>
      <c r="E60" s="3332"/>
      <c r="F60" s="3332"/>
    </row>
    <row r="61" spans="1:6" ht="19.5" customHeight="1">
      <c r="A61" s="4850" t="s">
        <v>61</v>
      </c>
      <c r="B61" s="4851"/>
      <c r="C61" s="2188"/>
      <c r="D61" s="2191">
        <f>SUM(D13:D60)</f>
        <v>30000000</v>
      </c>
      <c r="E61" s="3332"/>
      <c r="F61" s="3332"/>
    </row>
    <row r="62" spans="1:6">
      <c r="D62" s="4702" t="s">
        <v>2413</v>
      </c>
      <c r="E62" s="4702"/>
      <c r="F62" s="4702"/>
    </row>
    <row r="63" spans="1:6">
      <c r="A63" s="4853"/>
      <c r="B63" s="4853"/>
      <c r="C63" s="4853"/>
      <c r="D63" s="4853" t="s">
        <v>2414</v>
      </c>
      <c r="E63" s="4853"/>
      <c r="F63" s="4853"/>
    </row>
  </sheetData>
  <mergeCells count="17">
    <mergeCell ref="A61:B61"/>
    <mergeCell ref="A11:A12"/>
    <mergeCell ref="A7:F7"/>
    <mergeCell ref="D62:F62"/>
    <mergeCell ref="D63:F63"/>
    <mergeCell ref="B11:B12"/>
    <mergeCell ref="A8:F8"/>
    <mergeCell ref="A63:C63"/>
    <mergeCell ref="A1:F1"/>
    <mergeCell ref="A2:F2"/>
    <mergeCell ref="A3:F3"/>
    <mergeCell ref="D11:D12"/>
    <mergeCell ref="E11:E12"/>
    <mergeCell ref="F11:F12"/>
    <mergeCell ref="A4:C4"/>
    <mergeCell ref="A5:C5"/>
    <mergeCell ref="C11:C12"/>
  </mergeCells>
  <conditionalFormatting sqref="AI4:AI5">
    <cfRule type="expression" dxfId="1" priority="1" stopIfTrue="1">
      <formula>$AQ$4=""</formula>
    </cfRule>
  </conditionalFormatting>
  <pageMargins left="0.23622047244094491" right="0.19685039370078741" top="0.74803149606299213" bottom="0.65" header="0.31496062992125984" footer="0.31496062992125984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opLeftCell="A50" workbookViewId="0">
      <selection activeCell="J56" sqref="J56"/>
    </sheetView>
  </sheetViews>
  <sheetFormatPr defaultRowHeight="16.5"/>
  <cols>
    <col min="1" max="1" width="4.85546875" style="2187" customWidth="1"/>
    <col min="2" max="2" width="21.5703125" style="2187" customWidth="1"/>
    <col min="3" max="3" width="26.42578125" style="2187" customWidth="1"/>
    <col min="4" max="4" width="24.140625" style="2187" customWidth="1"/>
    <col min="5" max="5" width="11.28515625" style="2187" hidden="1" customWidth="1"/>
    <col min="6" max="6" width="24.5703125" style="2187" customWidth="1"/>
    <col min="7" max="16384" width="9.140625" style="2187"/>
  </cols>
  <sheetData>
    <row r="1" spans="1:35">
      <c r="A1" s="4842" t="s">
        <v>23</v>
      </c>
      <c r="B1" s="4842"/>
      <c r="C1" s="4842"/>
      <c r="D1" s="4842"/>
      <c r="E1" s="4842"/>
      <c r="F1" s="4842"/>
      <c r="G1" s="3329"/>
      <c r="H1" s="3329"/>
      <c r="I1" s="3329"/>
      <c r="J1" s="3329"/>
      <c r="K1" s="3329"/>
      <c r="L1" s="3329"/>
      <c r="M1" s="3329"/>
      <c r="N1" s="3329"/>
      <c r="O1" s="3329"/>
      <c r="P1" s="3329"/>
      <c r="Q1" s="3329"/>
      <c r="R1" s="3329"/>
      <c r="S1" s="3329"/>
      <c r="T1" s="3329"/>
      <c r="U1" s="3329"/>
      <c r="V1" s="3329"/>
      <c r="W1" s="3329"/>
      <c r="X1" s="3329"/>
      <c r="Y1" s="3329"/>
      <c r="Z1" s="3329"/>
      <c r="AA1" s="3329"/>
      <c r="AB1" s="3329"/>
      <c r="AC1" s="3329"/>
      <c r="AD1" s="3329"/>
      <c r="AE1" s="3329"/>
      <c r="AF1" s="3329"/>
      <c r="AG1" s="3329"/>
      <c r="AH1" s="3329"/>
      <c r="AI1" s="3329"/>
    </row>
    <row r="2" spans="1:35">
      <c r="A2" s="4842" t="s">
        <v>45</v>
      </c>
      <c r="B2" s="4842"/>
      <c r="C2" s="4842"/>
      <c r="D2" s="4842"/>
      <c r="E2" s="4842"/>
      <c r="F2" s="4842"/>
      <c r="G2" s="3329"/>
      <c r="H2" s="3329"/>
      <c r="I2" s="3329"/>
      <c r="J2" s="3329"/>
      <c r="K2" s="3329"/>
      <c r="L2" s="3329"/>
      <c r="M2" s="3329"/>
      <c r="N2" s="3329"/>
      <c r="O2" s="3329"/>
      <c r="P2" s="3329"/>
      <c r="Q2" s="3329"/>
      <c r="R2" s="3329"/>
      <c r="S2" s="3329"/>
      <c r="T2" s="3329"/>
      <c r="U2" s="3329"/>
      <c r="V2" s="3329"/>
      <c r="W2" s="3329"/>
      <c r="X2" s="3329"/>
      <c r="Y2" s="3329"/>
      <c r="Z2" s="3329"/>
      <c r="AA2" s="3329"/>
      <c r="AB2" s="3329"/>
      <c r="AC2" s="3329"/>
      <c r="AD2" s="3329"/>
      <c r="AE2" s="3329"/>
      <c r="AF2" s="3329"/>
      <c r="AG2" s="3329"/>
      <c r="AH2" s="3329"/>
      <c r="AI2" s="3329"/>
    </row>
    <row r="3" spans="1:35">
      <c r="A3" s="4843" t="s">
        <v>1308</v>
      </c>
      <c r="B3" s="4843"/>
      <c r="C3" s="4843"/>
      <c r="D3" s="4843"/>
      <c r="E3" s="4843"/>
      <c r="F3" s="4843"/>
      <c r="G3" s="3328"/>
      <c r="H3" s="3328"/>
      <c r="I3" s="3328"/>
      <c r="J3" s="3328"/>
      <c r="K3" s="3328"/>
      <c r="L3" s="3328"/>
      <c r="M3" s="3328"/>
      <c r="N3" s="3328"/>
      <c r="O3" s="3328"/>
      <c r="P3" s="3328"/>
      <c r="Q3" s="3328"/>
      <c r="R3" s="3328"/>
      <c r="S3" s="3328"/>
      <c r="T3" s="3328"/>
      <c r="U3" s="3328"/>
      <c r="V3" s="3328"/>
      <c r="W3" s="3328"/>
      <c r="X3" s="3328"/>
      <c r="Y3" s="3328"/>
      <c r="Z3" s="3328"/>
      <c r="AA3" s="3328"/>
      <c r="AB3" s="3328"/>
      <c r="AC3" s="3328"/>
      <c r="AD3" s="3328"/>
      <c r="AE3" s="3328"/>
      <c r="AF3" s="3328"/>
      <c r="AG3" s="3328"/>
      <c r="AH3" s="3328"/>
      <c r="AI3" s="3328"/>
    </row>
    <row r="4" spans="1:35">
      <c r="A4" s="4848" t="s">
        <v>1482</v>
      </c>
      <c r="B4" s="4848"/>
      <c r="C4" s="4848"/>
      <c r="D4" s="3699"/>
      <c r="E4" s="3330"/>
      <c r="F4" s="3330"/>
      <c r="G4" s="3330"/>
      <c r="H4" s="3330"/>
      <c r="I4" s="3330"/>
      <c r="J4" s="3330"/>
      <c r="K4" s="3330"/>
      <c r="L4" s="3330"/>
      <c r="M4" s="3330"/>
      <c r="N4" s="3330"/>
      <c r="O4" s="3330"/>
      <c r="P4" s="3330"/>
      <c r="Q4" s="3330"/>
      <c r="R4" s="3330"/>
      <c r="S4" s="3330"/>
      <c r="T4" s="3330"/>
      <c r="U4" s="3330"/>
      <c r="V4" s="3330"/>
      <c r="W4" s="3330"/>
      <c r="X4" s="3330"/>
      <c r="Y4" s="3330"/>
      <c r="Z4" s="3330"/>
      <c r="AA4" s="3330"/>
      <c r="AB4" s="3330"/>
      <c r="AC4" s="3330"/>
      <c r="AD4" s="3330"/>
      <c r="AE4" s="3330"/>
      <c r="AF4" s="3330"/>
      <c r="AG4" s="3330"/>
      <c r="AH4" s="3330"/>
      <c r="AI4" s="2950">
        <v>1</v>
      </c>
    </row>
    <row r="5" spans="1:35">
      <c r="A5" s="4842" t="s">
        <v>2415</v>
      </c>
      <c r="B5" s="4842"/>
      <c r="C5" s="4842"/>
      <c r="D5" s="3698"/>
      <c r="E5" s="3330"/>
      <c r="F5" s="3330"/>
      <c r="G5" s="3330"/>
      <c r="H5" s="3330"/>
      <c r="I5" s="3330"/>
      <c r="J5" s="3330"/>
      <c r="K5" s="3330"/>
      <c r="L5" s="3330"/>
      <c r="M5" s="3330"/>
      <c r="N5" s="3330"/>
      <c r="O5" s="3330"/>
      <c r="P5" s="3330"/>
      <c r="Q5" s="3330"/>
      <c r="R5" s="3330"/>
      <c r="S5" s="3330"/>
      <c r="T5" s="3330"/>
      <c r="U5" s="3330"/>
      <c r="V5" s="3330"/>
      <c r="W5" s="3330"/>
      <c r="X5" s="3330"/>
      <c r="Y5" s="3330"/>
      <c r="Z5" s="3330"/>
      <c r="AA5" s="3330"/>
      <c r="AB5" s="3330"/>
      <c r="AC5" s="3330"/>
      <c r="AD5" s="3330"/>
      <c r="AE5" s="3330"/>
      <c r="AF5" s="3330"/>
      <c r="AG5" s="3330"/>
      <c r="AH5" s="3330"/>
      <c r="AI5" s="2950" t="s">
        <v>133</v>
      </c>
    </row>
    <row r="6" spans="1:35">
      <c r="A6" s="3330"/>
      <c r="B6" s="3330"/>
      <c r="C6" s="3330"/>
      <c r="D6" s="3330"/>
      <c r="E6" s="3330"/>
      <c r="F6" s="3330"/>
      <c r="G6" s="3330"/>
      <c r="H6" s="3330"/>
      <c r="I6" s="3330"/>
      <c r="J6" s="3330"/>
      <c r="K6" s="3330"/>
      <c r="L6" s="3330"/>
      <c r="M6" s="3330"/>
      <c r="N6" s="3330"/>
      <c r="O6" s="3330"/>
      <c r="P6" s="3330"/>
      <c r="Q6" s="3330"/>
      <c r="R6" s="3330"/>
      <c r="S6" s="3330"/>
      <c r="T6" s="3330"/>
      <c r="U6" s="3330"/>
      <c r="V6" s="3330"/>
      <c r="W6" s="3330"/>
      <c r="X6" s="3330"/>
      <c r="Y6" s="3330"/>
      <c r="Z6" s="3330"/>
      <c r="AA6" s="3330"/>
      <c r="AB6" s="3330"/>
      <c r="AC6" s="3330"/>
      <c r="AD6" s="3330"/>
      <c r="AE6" s="3330"/>
      <c r="AF6" s="3330"/>
      <c r="AG6" s="3330"/>
      <c r="AH6" s="3330"/>
      <c r="AI6" s="3331"/>
    </row>
    <row r="7" spans="1:35" ht="19.5">
      <c r="A7" s="4852" t="s">
        <v>2409</v>
      </c>
      <c r="B7" s="4852"/>
      <c r="C7" s="4852"/>
      <c r="D7" s="4852"/>
      <c r="E7" s="4852"/>
      <c r="F7" s="4852"/>
      <c r="G7" s="3329"/>
      <c r="H7" s="3329"/>
      <c r="I7" s="3329"/>
      <c r="J7" s="3329"/>
      <c r="K7" s="3329"/>
      <c r="L7" s="3329"/>
      <c r="M7" s="3329"/>
      <c r="N7" s="3329"/>
      <c r="O7" s="3329"/>
      <c r="P7" s="3329"/>
      <c r="Q7" s="3329"/>
      <c r="R7" s="3329"/>
      <c r="S7" s="3329"/>
      <c r="T7" s="3329"/>
      <c r="U7" s="3329"/>
      <c r="V7" s="3329"/>
      <c r="W7" s="3329"/>
      <c r="X7" s="3329"/>
      <c r="Y7" s="3329"/>
      <c r="Z7" s="3329"/>
      <c r="AA7" s="3329"/>
      <c r="AB7" s="3329"/>
      <c r="AC7" s="3329"/>
      <c r="AD7" s="3329"/>
      <c r="AE7" s="3329"/>
      <c r="AF7" s="3329"/>
      <c r="AG7" s="3329"/>
      <c r="AH7" s="3329"/>
      <c r="AI7" s="3329"/>
    </row>
    <row r="8" spans="1:35">
      <c r="A8" s="4854"/>
      <c r="B8" s="4854"/>
      <c r="C8" s="4854"/>
      <c r="D8" s="4854"/>
      <c r="E8" s="4854"/>
      <c r="F8" s="4854"/>
      <c r="G8" s="3333"/>
    </row>
    <row r="11" spans="1:35" ht="16.5" customHeight="1">
      <c r="A11" s="4849" t="s">
        <v>0</v>
      </c>
      <c r="B11" s="4849" t="s">
        <v>1</v>
      </c>
      <c r="C11" s="4849" t="s">
        <v>1982</v>
      </c>
      <c r="D11" s="4844" t="s">
        <v>2410</v>
      </c>
      <c r="E11" s="4846" t="s">
        <v>1976</v>
      </c>
      <c r="F11" s="4847" t="s">
        <v>1357</v>
      </c>
    </row>
    <row r="12" spans="1:35">
      <c r="A12" s="4845"/>
      <c r="B12" s="4845"/>
      <c r="C12" s="4845"/>
      <c r="D12" s="4845"/>
      <c r="E12" s="4846"/>
      <c r="F12" s="4846"/>
    </row>
    <row r="13" spans="1:35" ht="19.5" customHeight="1">
      <c r="A13" s="3332">
        <v>1</v>
      </c>
      <c r="B13" s="3332" t="s">
        <v>2232</v>
      </c>
      <c r="C13" s="3332" t="s">
        <v>2416</v>
      </c>
      <c r="D13" s="3334">
        <v>900000</v>
      </c>
      <c r="E13" s="3332"/>
      <c r="F13" s="3332"/>
    </row>
    <row r="14" spans="1:35" ht="19.5" customHeight="1">
      <c r="A14" s="3332">
        <v>2</v>
      </c>
      <c r="B14" s="3332" t="s">
        <v>2233</v>
      </c>
      <c r="C14" s="3332" t="s">
        <v>2416</v>
      </c>
      <c r="D14" s="3334">
        <v>700000</v>
      </c>
      <c r="E14" s="3332"/>
      <c r="F14" s="3332"/>
    </row>
    <row r="15" spans="1:35" ht="19.5" customHeight="1">
      <c r="A15" s="3332">
        <v>3</v>
      </c>
      <c r="B15" s="3332" t="s">
        <v>2234</v>
      </c>
      <c r="C15" s="3332" t="s">
        <v>2416</v>
      </c>
      <c r="D15" s="3334">
        <v>700000</v>
      </c>
      <c r="E15" s="3332"/>
      <c r="F15" s="3332"/>
    </row>
    <row r="16" spans="1:35" ht="19.5" customHeight="1">
      <c r="A16" s="3332">
        <v>4</v>
      </c>
      <c r="B16" s="3332" t="s">
        <v>2235</v>
      </c>
      <c r="C16" s="3332" t="s">
        <v>2416</v>
      </c>
      <c r="D16" s="3334">
        <v>600000</v>
      </c>
      <c r="E16" s="3332"/>
      <c r="F16" s="3332"/>
    </row>
    <row r="17" spans="1:6" ht="19.5" customHeight="1">
      <c r="A17" s="3332">
        <v>5</v>
      </c>
      <c r="B17" s="3332" t="s">
        <v>2236</v>
      </c>
      <c r="C17" s="3332" t="s">
        <v>2416</v>
      </c>
      <c r="D17" s="3334">
        <v>1000000</v>
      </c>
      <c r="E17" s="3332"/>
      <c r="F17" s="3332"/>
    </row>
    <row r="18" spans="1:6" ht="19.5" customHeight="1">
      <c r="A18" s="3332">
        <v>6</v>
      </c>
      <c r="B18" s="3332" t="s">
        <v>2237</v>
      </c>
      <c r="C18" s="3332" t="s">
        <v>2416</v>
      </c>
      <c r="D18" s="3334">
        <v>600000</v>
      </c>
      <c r="E18" s="3332"/>
      <c r="F18" s="3332"/>
    </row>
    <row r="19" spans="1:6" ht="19.5" customHeight="1">
      <c r="A19" s="3332">
        <v>7</v>
      </c>
      <c r="B19" s="3332" t="s">
        <v>2238</v>
      </c>
      <c r="C19" s="3332" t="s">
        <v>2416</v>
      </c>
      <c r="D19" s="3334">
        <v>500000</v>
      </c>
      <c r="E19" s="3332"/>
      <c r="F19" s="3332"/>
    </row>
    <row r="20" spans="1:6" ht="19.5" customHeight="1">
      <c r="A20" s="3332">
        <v>8</v>
      </c>
      <c r="B20" s="3332" t="s">
        <v>2239</v>
      </c>
      <c r="C20" s="3332" t="s">
        <v>2416</v>
      </c>
      <c r="D20" s="3334">
        <v>1000000</v>
      </c>
      <c r="E20" s="3332"/>
      <c r="F20" s="3332"/>
    </row>
    <row r="21" spans="1:6" ht="19.5" customHeight="1">
      <c r="A21" s="3332">
        <v>9</v>
      </c>
      <c r="B21" s="3332" t="s">
        <v>2240</v>
      </c>
      <c r="C21" s="3332" t="s">
        <v>2416</v>
      </c>
      <c r="D21" s="3334">
        <v>400000</v>
      </c>
      <c r="E21" s="3332"/>
      <c r="F21" s="3332"/>
    </row>
    <row r="22" spans="1:6" ht="19.5" customHeight="1">
      <c r="A22" s="3332">
        <v>10</v>
      </c>
      <c r="B22" s="3332" t="s">
        <v>2241</v>
      </c>
      <c r="C22" s="3332" t="s">
        <v>2416</v>
      </c>
      <c r="D22" s="3334">
        <v>900000</v>
      </c>
      <c r="E22" s="3332"/>
      <c r="F22" s="3332"/>
    </row>
    <row r="23" spans="1:6" ht="19.5" customHeight="1">
      <c r="A23" s="3332">
        <v>11</v>
      </c>
      <c r="B23" s="3332" t="s">
        <v>2242</v>
      </c>
      <c r="C23" s="3332" t="s">
        <v>2416</v>
      </c>
      <c r="D23" s="3334">
        <v>800000</v>
      </c>
      <c r="E23" s="3332"/>
      <c r="F23" s="3332"/>
    </row>
    <row r="24" spans="1:6" ht="19.5" customHeight="1">
      <c r="A24" s="3332">
        <v>12</v>
      </c>
      <c r="B24" s="3332" t="s">
        <v>488</v>
      </c>
      <c r="C24" s="3332" t="s">
        <v>2416</v>
      </c>
      <c r="D24" s="3334">
        <v>1000000</v>
      </c>
      <c r="E24" s="3332"/>
      <c r="F24" s="3332"/>
    </row>
    <row r="25" spans="1:6" ht="19.5" customHeight="1">
      <c r="A25" s="3332">
        <v>13</v>
      </c>
      <c r="B25" s="3332" t="s">
        <v>2243</v>
      </c>
      <c r="C25" s="3332" t="s">
        <v>2416</v>
      </c>
      <c r="D25" s="3334">
        <v>800000</v>
      </c>
      <c r="E25" s="3332"/>
      <c r="F25" s="3332"/>
    </row>
    <row r="26" spans="1:6" ht="19.5" customHeight="1">
      <c r="A26" s="3332">
        <v>14</v>
      </c>
      <c r="B26" s="3332" t="s">
        <v>2244</v>
      </c>
      <c r="C26" s="3332" t="s">
        <v>2416</v>
      </c>
      <c r="D26" s="3334">
        <v>800000</v>
      </c>
      <c r="E26" s="3332"/>
      <c r="F26" s="3332"/>
    </row>
    <row r="27" spans="1:6" ht="19.5" customHeight="1">
      <c r="A27" s="3332">
        <v>15</v>
      </c>
      <c r="B27" s="3332" t="s">
        <v>2245</v>
      </c>
      <c r="C27" s="3332" t="s">
        <v>2416</v>
      </c>
      <c r="D27" s="3334">
        <v>1000000</v>
      </c>
      <c r="E27" s="3332"/>
      <c r="F27" s="3332"/>
    </row>
    <row r="28" spans="1:6" ht="19.5" customHeight="1">
      <c r="A28" s="3332">
        <v>16</v>
      </c>
      <c r="B28" s="3332" t="s">
        <v>2246</v>
      </c>
      <c r="C28" s="3332" t="s">
        <v>2416</v>
      </c>
      <c r="D28" s="3334">
        <v>500000</v>
      </c>
      <c r="E28" s="3332"/>
      <c r="F28" s="3332"/>
    </row>
    <row r="29" spans="1:6" ht="19.5" customHeight="1">
      <c r="A29" s="3332">
        <v>17</v>
      </c>
      <c r="B29" s="3332" t="s">
        <v>2247</v>
      </c>
      <c r="C29" s="3332" t="s">
        <v>2416</v>
      </c>
      <c r="D29" s="3334">
        <v>1000000</v>
      </c>
      <c r="E29" s="3332"/>
      <c r="F29" s="3332"/>
    </row>
    <row r="30" spans="1:6" ht="19.5" customHeight="1">
      <c r="A30" s="3332">
        <v>18</v>
      </c>
      <c r="B30" s="3332" t="s">
        <v>2248</v>
      </c>
      <c r="C30" s="3332" t="s">
        <v>2416</v>
      </c>
      <c r="D30" s="3334">
        <v>800000</v>
      </c>
      <c r="E30" s="3332"/>
      <c r="F30" s="3332"/>
    </row>
    <row r="31" spans="1:6" ht="19.5" customHeight="1">
      <c r="A31" s="3332">
        <v>19</v>
      </c>
      <c r="B31" s="3332" t="s">
        <v>2249</v>
      </c>
      <c r="C31" s="3332" t="s">
        <v>2416</v>
      </c>
      <c r="D31" s="3334">
        <v>1000000</v>
      </c>
      <c r="E31" s="3332"/>
      <c r="F31" s="3332"/>
    </row>
    <row r="32" spans="1:6" ht="19.5" customHeight="1">
      <c r="A32" s="3332">
        <v>20</v>
      </c>
      <c r="B32" s="3332" t="s">
        <v>2250</v>
      </c>
      <c r="C32" s="3332" t="s">
        <v>2416</v>
      </c>
      <c r="D32" s="3334">
        <v>800000</v>
      </c>
      <c r="E32" s="3332"/>
      <c r="F32" s="3332"/>
    </row>
    <row r="33" spans="1:6" ht="19.5" customHeight="1">
      <c r="A33" s="3332">
        <v>21</v>
      </c>
      <c r="B33" s="3332" t="s">
        <v>2251</v>
      </c>
      <c r="C33" s="3332" t="s">
        <v>2416</v>
      </c>
      <c r="D33" s="3334">
        <v>900000</v>
      </c>
      <c r="E33" s="3332"/>
      <c r="F33" s="3332"/>
    </row>
    <row r="34" spans="1:6" ht="19.5" customHeight="1">
      <c r="A34" s="3332">
        <v>22</v>
      </c>
      <c r="B34" s="3332" t="s">
        <v>2252</v>
      </c>
      <c r="C34" s="3332" t="s">
        <v>2416</v>
      </c>
      <c r="D34" s="3334">
        <v>700000</v>
      </c>
      <c r="E34" s="3332"/>
      <c r="F34" s="3332"/>
    </row>
    <row r="35" spans="1:6" ht="19.5" customHeight="1">
      <c r="A35" s="3332">
        <v>23</v>
      </c>
      <c r="B35" s="3332" t="s">
        <v>2253</v>
      </c>
      <c r="C35" s="3332" t="s">
        <v>2416</v>
      </c>
      <c r="D35" s="3334">
        <v>1000000</v>
      </c>
      <c r="E35" s="3332"/>
      <c r="F35" s="3332"/>
    </row>
    <row r="36" spans="1:6" ht="19.5" customHeight="1">
      <c r="A36" s="3332">
        <v>24</v>
      </c>
      <c r="B36" s="3332" t="s">
        <v>2254</v>
      </c>
      <c r="C36" s="3332" t="s">
        <v>2416</v>
      </c>
      <c r="D36" s="3334">
        <v>800000</v>
      </c>
      <c r="E36" s="3332"/>
      <c r="F36" s="3332"/>
    </row>
    <row r="37" spans="1:6" ht="19.5" customHeight="1">
      <c r="A37" s="3332">
        <v>25</v>
      </c>
      <c r="B37" s="3332" t="s">
        <v>2255</v>
      </c>
      <c r="C37" s="3332" t="s">
        <v>2416</v>
      </c>
      <c r="D37" s="3334">
        <v>800000</v>
      </c>
      <c r="E37" s="3332"/>
      <c r="F37" s="3332"/>
    </row>
    <row r="38" spans="1:6" ht="19.5" customHeight="1">
      <c r="A38" s="3332">
        <v>26</v>
      </c>
      <c r="B38" s="3332" t="s">
        <v>2256</v>
      </c>
      <c r="C38" s="3332" t="s">
        <v>2416</v>
      </c>
      <c r="D38" s="3334">
        <v>1000000</v>
      </c>
      <c r="E38" s="3332"/>
      <c r="F38" s="3332"/>
    </row>
    <row r="39" spans="1:6" ht="19.5" customHeight="1">
      <c r="A39" s="3332">
        <v>27</v>
      </c>
      <c r="B39" s="3332" t="s">
        <v>2257</v>
      </c>
      <c r="C39" s="3332" t="s">
        <v>2416</v>
      </c>
      <c r="D39" s="3334">
        <v>500000</v>
      </c>
      <c r="E39" s="3332"/>
      <c r="F39" s="3332"/>
    </row>
    <row r="40" spans="1:6" ht="19.5" customHeight="1">
      <c r="A40" s="3332">
        <v>28</v>
      </c>
      <c r="B40" s="3332" t="s">
        <v>488</v>
      </c>
      <c r="C40" s="3332" t="s">
        <v>2416</v>
      </c>
      <c r="D40" s="3334">
        <v>800000</v>
      </c>
      <c r="E40" s="3332"/>
      <c r="F40" s="3332"/>
    </row>
    <row r="41" spans="1:6" ht="19.5" customHeight="1">
      <c r="A41" s="3332">
        <v>29</v>
      </c>
      <c r="B41" s="3332" t="s">
        <v>2258</v>
      </c>
      <c r="C41" s="3332" t="s">
        <v>2416</v>
      </c>
      <c r="D41" s="3334">
        <v>800000</v>
      </c>
      <c r="E41" s="3332"/>
      <c r="F41" s="3332"/>
    </row>
    <row r="42" spans="1:6" ht="19.5" customHeight="1">
      <c r="A42" s="3332">
        <v>30</v>
      </c>
      <c r="B42" s="3332" t="s">
        <v>2259</v>
      </c>
      <c r="C42" s="3332" t="s">
        <v>2416</v>
      </c>
      <c r="D42" s="3334">
        <v>800000</v>
      </c>
      <c r="E42" s="3332"/>
      <c r="F42" s="3332"/>
    </row>
    <row r="43" spans="1:6" ht="19.5" customHeight="1">
      <c r="A43" s="3332">
        <v>31</v>
      </c>
      <c r="B43" s="3332" t="s">
        <v>2260</v>
      </c>
      <c r="C43" s="3332" t="s">
        <v>2416</v>
      </c>
      <c r="D43" s="3334">
        <v>800000</v>
      </c>
      <c r="E43" s="3332"/>
      <c r="F43" s="3332"/>
    </row>
    <row r="44" spans="1:6" ht="19.5" customHeight="1">
      <c r="A44" s="3332">
        <v>32</v>
      </c>
      <c r="B44" s="3332" t="s">
        <v>2261</v>
      </c>
      <c r="C44" s="3332" t="s">
        <v>2416</v>
      </c>
      <c r="D44" s="3334">
        <v>1000000</v>
      </c>
      <c r="E44" s="3332"/>
      <c r="F44" s="3332"/>
    </row>
    <row r="45" spans="1:6" ht="19.5" customHeight="1">
      <c r="A45" s="3332">
        <v>33</v>
      </c>
      <c r="B45" s="3332" t="s">
        <v>1504</v>
      </c>
      <c r="C45" s="3332" t="s">
        <v>2416</v>
      </c>
      <c r="D45" s="3334">
        <v>800000</v>
      </c>
      <c r="E45" s="3332"/>
      <c r="F45" s="3332"/>
    </row>
    <row r="46" spans="1:6" ht="19.5" customHeight="1">
      <c r="A46" s="3332">
        <v>34</v>
      </c>
      <c r="B46" s="3332" t="s">
        <v>2262</v>
      </c>
      <c r="C46" s="3332" t="s">
        <v>2416</v>
      </c>
      <c r="D46" s="3334">
        <v>800000</v>
      </c>
      <c r="E46" s="3332"/>
      <c r="F46" s="3332"/>
    </row>
    <row r="47" spans="1:6" ht="19.5" customHeight="1">
      <c r="A47" s="3332">
        <v>35</v>
      </c>
      <c r="B47" s="3332" t="s">
        <v>2263</v>
      </c>
      <c r="C47" s="3332" t="s">
        <v>2416</v>
      </c>
      <c r="D47" s="3334">
        <v>1000000</v>
      </c>
      <c r="E47" s="3332"/>
      <c r="F47" s="3332"/>
    </row>
    <row r="48" spans="1:6" ht="19.5" customHeight="1">
      <c r="A48" s="3332">
        <v>36</v>
      </c>
      <c r="B48" s="3332" t="s">
        <v>1491</v>
      </c>
      <c r="C48" s="3332" t="s">
        <v>2416</v>
      </c>
      <c r="D48" s="3334">
        <v>800000</v>
      </c>
      <c r="E48" s="3332"/>
      <c r="F48" s="3332"/>
    </row>
    <row r="49" spans="1:6" ht="19.5" customHeight="1">
      <c r="A49" s="3332">
        <v>37</v>
      </c>
      <c r="B49" s="3332" t="s">
        <v>1492</v>
      </c>
      <c r="C49" s="3332" t="s">
        <v>2416</v>
      </c>
      <c r="D49" s="3334">
        <v>800000</v>
      </c>
      <c r="E49" s="3332"/>
      <c r="F49" s="3332"/>
    </row>
    <row r="50" spans="1:6" ht="19.5" customHeight="1">
      <c r="A50" s="3332">
        <v>38</v>
      </c>
      <c r="B50" s="3332" t="s">
        <v>1712</v>
      </c>
      <c r="C50" s="3332" t="s">
        <v>2416</v>
      </c>
      <c r="D50" s="3334">
        <v>800000</v>
      </c>
      <c r="E50" s="3332"/>
      <c r="F50" s="3332"/>
    </row>
    <row r="51" spans="1:6" ht="19.5" customHeight="1">
      <c r="A51" s="3332">
        <v>39</v>
      </c>
      <c r="B51" s="3332" t="s">
        <v>1538</v>
      </c>
      <c r="C51" s="3332" t="s">
        <v>2416</v>
      </c>
      <c r="D51" s="3334">
        <v>1000000</v>
      </c>
      <c r="E51" s="3332"/>
      <c r="F51" s="3332"/>
    </row>
    <row r="52" spans="1:6" ht="19.5" customHeight="1">
      <c r="A52" s="3332">
        <v>40</v>
      </c>
      <c r="B52" s="3332" t="s">
        <v>2264</v>
      </c>
      <c r="C52" s="3332" t="s">
        <v>2416</v>
      </c>
      <c r="D52" s="3334">
        <v>800000</v>
      </c>
      <c r="E52" s="3332"/>
      <c r="F52" s="3332"/>
    </row>
    <row r="53" spans="1:6" ht="19.5" customHeight="1">
      <c r="A53" s="3332">
        <v>41</v>
      </c>
      <c r="B53" s="3332" t="s">
        <v>2265</v>
      </c>
      <c r="C53" s="3332" t="s">
        <v>2416</v>
      </c>
      <c r="D53" s="3334">
        <v>800000</v>
      </c>
      <c r="E53" s="3332"/>
      <c r="F53" s="3332"/>
    </row>
    <row r="54" spans="1:6" ht="19.5" customHeight="1">
      <c r="A54" s="3332">
        <v>42</v>
      </c>
      <c r="B54" s="3332" t="s">
        <v>2266</v>
      </c>
      <c r="C54" s="3332" t="s">
        <v>2416</v>
      </c>
      <c r="D54" s="3334">
        <v>1000000</v>
      </c>
      <c r="E54" s="3332"/>
      <c r="F54" s="3332"/>
    </row>
    <row r="55" spans="1:6" ht="19.5" customHeight="1">
      <c r="A55" s="3332">
        <v>43</v>
      </c>
      <c r="B55" s="3332" t="s">
        <v>2267</v>
      </c>
      <c r="C55" s="3332" t="s">
        <v>2416</v>
      </c>
      <c r="D55" s="3334">
        <v>800000</v>
      </c>
      <c r="E55" s="3332"/>
      <c r="F55" s="3332"/>
    </row>
    <row r="56" spans="1:6" ht="19.5" customHeight="1">
      <c r="A56" s="3332">
        <v>44</v>
      </c>
      <c r="B56" s="3332" t="s">
        <v>2268</v>
      </c>
      <c r="C56" s="3332" t="s">
        <v>2416</v>
      </c>
      <c r="D56" s="3334">
        <v>1000000</v>
      </c>
      <c r="E56" s="3332"/>
      <c r="F56" s="3332"/>
    </row>
    <row r="57" spans="1:6" ht="19.5" customHeight="1">
      <c r="A57" s="3332">
        <v>45</v>
      </c>
      <c r="B57" s="3332" t="s">
        <v>2269</v>
      </c>
      <c r="C57" s="3332" t="s">
        <v>2416</v>
      </c>
      <c r="D57" s="3334">
        <v>900000</v>
      </c>
      <c r="E57" s="3332"/>
      <c r="F57" s="3332"/>
    </row>
    <row r="58" spans="1:6" ht="19.5" customHeight="1">
      <c r="A58" s="3332">
        <v>46</v>
      </c>
      <c r="B58" s="3332" t="s">
        <v>2270</v>
      </c>
      <c r="C58" s="3332" t="s">
        <v>2416</v>
      </c>
      <c r="D58" s="3334">
        <v>1000000</v>
      </c>
      <c r="E58" s="3332"/>
      <c r="F58" s="3332"/>
    </row>
    <row r="59" spans="1:6" ht="19.5" customHeight="1">
      <c r="A59" s="3332">
        <v>47</v>
      </c>
      <c r="B59" s="3332" t="s">
        <v>1229</v>
      </c>
      <c r="C59" s="3332" t="s">
        <v>2416</v>
      </c>
      <c r="D59" s="3334">
        <v>1000000</v>
      </c>
      <c r="E59" s="3332"/>
      <c r="F59" s="3332"/>
    </row>
    <row r="60" spans="1:6" ht="19.5" customHeight="1">
      <c r="A60" s="3332">
        <v>48</v>
      </c>
      <c r="B60" s="3332" t="s">
        <v>1507</v>
      </c>
      <c r="C60" s="3332" t="s">
        <v>2416</v>
      </c>
      <c r="D60" s="3334">
        <v>1000000</v>
      </c>
      <c r="E60" s="3332"/>
      <c r="F60" s="3332"/>
    </row>
    <row r="61" spans="1:6" ht="19.5" customHeight="1">
      <c r="A61" s="4850" t="s">
        <v>61</v>
      </c>
      <c r="B61" s="4851"/>
      <c r="C61" s="2188"/>
      <c r="D61" s="2191">
        <f>SUM(D13:D60)</f>
        <v>40000000</v>
      </c>
      <c r="E61" s="3332"/>
      <c r="F61" s="3332"/>
    </row>
    <row r="62" spans="1:6">
      <c r="D62" s="4702" t="s">
        <v>2417</v>
      </c>
      <c r="E62" s="4702"/>
      <c r="F62" s="4702"/>
    </row>
    <row r="63" spans="1:6">
      <c r="A63" s="4853" t="s">
        <v>2414</v>
      </c>
      <c r="B63" s="4853"/>
      <c r="C63" s="4853"/>
      <c r="D63" s="4853" t="s">
        <v>21</v>
      </c>
      <c r="E63" s="4853"/>
      <c r="F63" s="4853"/>
    </row>
  </sheetData>
  <mergeCells count="17">
    <mergeCell ref="A7:F7"/>
    <mergeCell ref="A1:F1"/>
    <mergeCell ref="A2:F2"/>
    <mergeCell ref="A3:F3"/>
    <mergeCell ref="A4:C4"/>
    <mergeCell ref="A5:C5"/>
    <mergeCell ref="A61:B61"/>
    <mergeCell ref="D62:F62"/>
    <mergeCell ref="A63:C63"/>
    <mergeCell ref="D63:F63"/>
    <mergeCell ref="A8:F8"/>
    <mergeCell ref="A11:A12"/>
    <mergeCell ref="B11:B12"/>
    <mergeCell ref="C11:C12"/>
    <mergeCell ref="D11:D12"/>
    <mergeCell ref="E11:E12"/>
    <mergeCell ref="F11:F12"/>
  </mergeCells>
  <conditionalFormatting sqref="AI4:AI5">
    <cfRule type="expression" dxfId="0" priority="1" stopIfTrue="1">
      <formula>$AQ$4=""</formula>
    </cfRule>
  </conditionalFormatting>
  <pageMargins left="0.23622047244094491" right="0.19685039370078741" top="0.74803149606299213" bottom="0.65" header="0.31496062992125984" footer="0.31496062992125984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3" workbookViewId="0">
      <selection activeCell="A27" sqref="A27:B27"/>
    </sheetView>
  </sheetViews>
  <sheetFormatPr defaultRowHeight="16.5"/>
  <cols>
    <col min="1" max="1" width="9.140625" style="2270"/>
    <col min="2" max="3" width="25.7109375" style="2270" customWidth="1"/>
    <col min="4" max="4" width="18.28515625" style="2270" customWidth="1"/>
    <col min="5" max="6" width="16" style="2270" customWidth="1"/>
    <col min="7" max="7" width="20.7109375" style="2270" customWidth="1"/>
    <col min="8" max="16384" width="9.140625" style="2270"/>
  </cols>
  <sheetData>
    <row r="1" spans="1:7">
      <c r="A1" s="4105" t="s">
        <v>23</v>
      </c>
      <c r="B1" s="4105"/>
      <c r="C1" s="4105"/>
      <c r="D1" s="4105"/>
      <c r="E1" s="4105"/>
      <c r="F1" s="4105"/>
      <c r="G1" s="4105"/>
    </row>
    <row r="2" spans="1:7">
      <c r="A2" s="4105" t="s">
        <v>45</v>
      </c>
      <c r="B2" s="4105"/>
      <c r="C2" s="4105"/>
      <c r="D2" s="4105"/>
      <c r="E2" s="4105"/>
      <c r="F2" s="4105"/>
      <c r="G2" s="4105"/>
    </row>
    <row r="3" spans="1:7">
      <c r="A3" s="3934" t="s">
        <v>1308</v>
      </c>
      <c r="B3" s="3934"/>
      <c r="C3" s="3934"/>
      <c r="D3" s="3934"/>
      <c r="E3" s="3934"/>
      <c r="F3" s="3934"/>
      <c r="G3" s="3934"/>
    </row>
    <row r="4" spans="1:7">
      <c r="A4" s="3410" t="s">
        <v>1482</v>
      </c>
      <c r="B4" s="3410"/>
      <c r="C4" s="3410"/>
      <c r="D4" s="3410"/>
      <c r="E4" s="3410"/>
      <c r="F4" s="3410"/>
      <c r="G4" s="3410"/>
    </row>
    <row r="5" spans="1:7">
      <c r="A5" s="3411" t="s">
        <v>2022</v>
      </c>
      <c r="B5" s="3411"/>
      <c r="C5" s="3411"/>
      <c r="D5" s="3411"/>
      <c r="E5" s="3411"/>
      <c r="F5" s="3411"/>
      <c r="G5" s="3411"/>
    </row>
    <row r="6" spans="1:7">
      <c r="B6" s="3410"/>
      <c r="C6" s="3410"/>
      <c r="D6" s="3410"/>
      <c r="E6" s="3410"/>
      <c r="F6" s="3410"/>
      <c r="G6" s="3410"/>
    </row>
    <row r="7" spans="1:7" ht="18.75">
      <c r="A7" s="4856" t="s">
        <v>2023</v>
      </c>
      <c r="B7" s="4856"/>
      <c r="C7" s="4856"/>
      <c r="D7" s="4856"/>
      <c r="E7" s="4856"/>
      <c r="F7" s="4856"/>
      <c r="G7" s="4856"/>
    </row>
    <row r="9" spans="1:7" ht="33">
      <c r="A9" s="3424" t="s">
        <v>0</v>
      </c>
      <c r="B9" s="3424" t="s">
        <v>2024</v>
      </c>
      <c r="C9" s="3424" t="s">
        <v>2025</v>
      </c>
      <c r="D9" s="3424" t="s">
        <v>2026</v>
      </c>
      <c r="E9" s="3426" t="s">
        <v>2027</v>
      </c>
      <c r="F9" s="3424" t="s">
        <v>2028</v>
      </c>
      <c r="G9" s="3424" t="s">
        <v>92</v>
      </c>
    </row>
    <row r="10" spans="1:7">
      <c r="A10" s="2275">
        <v>1</v>
      </c>
      <c r="B10" s="2275" t="s">
        <v>2029</v>
      </c>
      <c r="C10" s="2275" t="s">
        <v>2041</v>
      </c>
      <c r="D10" s="2275" t="s">
        <v>2033</v>
      </c>
      <c r="E10" s="3427">
        <v>33</v>
      </c>
      <c r="F10" s="2275">
        <f>+E10*100000</f>
        <v>3300000</v>
      </c>
      <c r="G10" s="2275"/>
    </row>
    <row r="11" spans="1:7">
      <c r="A11" s="2275">
        <v>2</v>
      </c>
      <c r="B11" s="2275" t="s">
        <v>2030</v>
      </c>
      <c r="C11" s="2275" t="s">
        <v>2041</v>
      </c>
      <c r="D11" s="2275" t="s">
        <v>2033</v>
      </c>
      <c r="E11" s="3427">
        <v>36</v>
      </c>
      <c r="F11" s="2275">
        <f>+E11*100000</f>
        <v>3600000</v>
      </c>
      <c r="G11" s="2275"/>
    </row>
    <row r="12" spans="1:7">
      <c r="A12" s="2275">
        <v>3</v>
      </c>
      <c r="B12" s="2275" t="s">
        <v>2031</v>
      </c>
      <c r="C12" s="2275" t="s">
        <v>2041</v>
      </c>
      <c r="D12" s="2275" t="s">
        <v>2033</v>
      </c>
      <c r="E12" s="3427">
        <v>62</v>
      </c>
      <c r="F12" s="2275">
        <f>+E12*100000</f>
        <v>6200000</v>
      </c>
      <c r="G12" s="2275"/>
    </row>
    <row r="13" spans="1:7">
      <c r="A13" s="2275">
        <v>4</v>
      </c>
      <c r="B13" s="2275" t="s">
        <v>2032</v>
      </c>
      <c r="C13" s="2275" t="s">
        <v>2041</v>
      </c>
      <c r="D13" s="2275" t="s">
        <v>2033</v>
      </c>
      <c r="E13" s="3427">
        <v>23</v>
      </c>
      <c r="F13" s="2275">
        <f>+E13*100000</f>
        <v>2300000</v>
      </c>
      <c r="G13" s="2275"/>
    </row>
    <row r="14" spans="1:7">
      <c r="A14" s="2275">
        <v>5</v>
      </c>
      <c r="B14" s="2275" t="s">
        <v>453</v>
      </c>
      <c r="C14" s="2275" t="s">
        <v>2041</v>
      </c>
      <c r="D14" s="2275" t="s">
        <v>2033</v>
      </c>
      <c r="E14" s="3427">
        <v>30</v>
      </c>
      <c r="F14" s="2275">
        <f>+E14*100000</f>
        <v>3000000</v>
      </c>
      <c r="G14" s="2275"/>
    </row>
    <row r="15" spans="1:7">
      <c r="A15" s="4109" t="s">
        <v>1287</v>
      </c>
      <c r="B15" s="4111"/>
      <c r="C15" s="2272"/>
      <c r="D15" s="2272"/>
      <c r="E15" s="2276">
        <f>SUM(E10:E14)</f>
        <v>184</v>
      </c>
      <c r="F15" s="2276">
        <f>SUM(F10:F14)</f>
        <v>18400000</v>
      </c>
      <c r="G15" s="2272"/>
    </row>
    <row r="17" spans="1:7">
      <c r="A17" s="2270" t="s">
        <v>2034</v>
      </c>
    </row>
    <row r="18" spans="1:7">
      <c r="A18" s="3424" t="s">
        <v>0</v>
      </c>
      <c r="B18" s="3424" t="s">
        <v>2035</v>
      </c>
      <c r="C18" s="3424" t="s">
        <v>13</v>
      </c>
      <c r="D18" s="3424" t="s">
        <v>1446</v>
      </c>
      <c r="E18" s="3424" t="s">
        <v>94</v>
      </c>
      <c r="F18" s="3424" t="s">
        <v>1254</v>
      </c>
      <c r="G18" s="3424" t="s">
        <v>92</v>
      </c>
    </row>
    <row r="19" spans="1:7">
      <c r="A19" s="2271">
        <v>1</v>
      </c>
      <c r="B19" s="2271" t="s">
        <v>2036</v>
      </c>
      <c r="C19" s="3425" t="s">
        <v>2040</v>
      </c>
      <c r="D19" s="2271">
        <v>2</v>
      </c>
      <c r="E19" s="2275">
        <v>5500000</v>
      </c>
      <c r="F19" s="3428">
        <f t="shared" ref="F19:F24" si="0">+D19*E19</f>
        <v>11000000</v>
      </c>
      <c r="G19" s="2271"/>
    </row>
    <row r="20" spans="1:7">
      <c r="A20" s="2271">
        <v>2</v>
      </c>
      <c r="B20" s="2271" t="s">
        <v>2037</v>
      </c>
      <c r="C20" s="3425" t="s">
        <v>2040</v>
      </c>
      <c r="D20" s="2271">
        <v>2</v>
      </c>
      <c r="E20" s="2275">
        <v>1500000</v>
      </c>
      <c r="F20" s="3428">
        <f t="shared" si="0"/>
        <v>3000000</v>
      </c>
      <c r="G20" s="2271"/>
    </row>
    <row r="21" spans="1:7">
      <c r="A21" s="2271">
        <v>3</v>
      </c>
      <c r="B21" s="2271" t="s">
        <v>2039</v>
      </c>
      <c r="C21" s="3425" t="s">
        <v>815</v>
      </c>
      <c r="D21" s="2271">
        <v>50</v>
      </c>
      <c r="E21" s="2275">
        <v>40000</v>
      </c>
      <c r="F21" s="3428">
        <f t="shared" si="0"/>
        <v>2000000</v>
      </c>
      <c r="G21" s="2271"/>
    </row>
    <row r="22" spans="1:7">
      <c r="A22" s="2271">
        <v>4</v>
      </c>
      <c r="B22" s="2271" t="s">
        <v>2038</v>
      </c>
      <c r="C22" s="3425" t="s">
        <v>815</v>
      </c>
      <c r="D22" s="2271">
        <v>100</v>
      </c>
      <c r="E22" s="2275">
        <v>18000</v>
      </c>
      <c r="F22" s="3428">
        <f t="shared" si="0"/>
        <v>1800000</v>
      </c>
      <c r="G22" s="2271"/>
    </row>
    <row r="23" spans="1:7">
      <c r="A23" s="2271">
        <v>5</v>
      </c>
      <c r="B23" s="2271" t="s">
        <v>2042</v>
      </c>
      <c r="C23" s="2271"/>
      <c r="D23" s="2271">
        <v>1</v>
      </c>
      <c r="E23" s="2275">
        <v>250000</v>
      </c>
      <c r="F23" s="3428">
        <f t="shared" si="0"/>
        <v>250000</v>
      </c>
      <c r="G23" s="2271"/>
    </row>
    <row r="24" spans="1:7">
      <c r="A24" s="2271">
        <v>6</v>
      </c>
      <c r="B24" s="2271" t="s">
        <v>2043</v>
      </c>
      <c r="C24" s="2271"/>
      <c r="D24" s="2271">
        <v>1</v>
      </c>
      <c r="E24" s="2275">
        <v>350000</v>
      </c>
      <c r="F24" s="3428">
        <f t="shared" si="0"/>
        <v>350000</v>
      </c>
      <c r="G24" s="2271"/>
    </row>
    <row r="25" spans="1:7">
      <c r="A25" s="4109" t="s">
        <v>1287</v>
      </c>
      <c r="B25" s="4111"/>
      <c r="C25" s="2272"/>
      <c r="D25" s="2272"/>
      <c r="E25" s="2272"/>
      <c r="F25" s="3413">
        <f>SUM(F19:F24)</f>
        <v>18400000</v>
      </c>
      <c r="G25" s="2271"/>
    </row>
    <row r="26" spans="1:7">
      <c r="E26" s="4855" t="s">
        <v>2009</v>
      </c>
      <c r="F26" s="4855"/>
      <c r="G26" s="4855"/>
    </row>
    <row r="27" spans="1:7">
      <c r="A27" s="4107" t="s">
        <v>20</v>
      </c>
      <c r="B27" s="4107"/>
      <c r="C27" s="3429"/>
      <c r="D27" s="3429"/>
      <c r="E27" s="4107" t="s">
        <v>21</v>
      </c>
      <c r="F27" s="4107"/>
      <c r="G27" s="4107"/>
    </row>
    <row r="28" spans="1:7">
      <c r="F28" s="2277"/>
    </row>
  </sheetData>
  <mergeCells count="9">
    <mergeCell ref="A25:B25"/>
    <mergeCell ref="E26:G26"/>
    <mergeCell ref="E27:G27"/>
    <mergeCell ref="A27:B27"/>
    <mergeCell ref="A1:G1"/>
    <mergeCell ref="A2:G2"/>
    <mergeCell ref="A3:G3"/>
    <mergeCell ref="A7:G7"/>
    <mergeCell ref="A15:B15"/>
  </mergeCells>
  <pageMargins left="0.70866141732283472" right="0.70866141732283472" top="0.56000000000000005" bottom="0.74803149606299213" header="0.31496062992125984" footer="0.31496062992125984"/>
  <pageSetup paperSize="9"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selection activeCell="I40" sqref="I40"/>
    </sheetView>
  </sheetViews>
  <sheetFormatPr defaultRowHeight="12.75"/>
  <cols>
    <col min="1" max="1" width="5.5703125" style="31" customWidth="1"/>
    <col min="2" max="2" width="5.28515625" style="31" hidden="1" customWidth="1"/>
    <col min="3" max="3" width="22.5703125" style="31" customWidth="1"/>
    <col min="4" max="4" width="11" style="31" customWidth="1"/>
    <col min="5" max="5" width="21.5703125" style="31" customWidth="1"/>
    <col min="6" max="6" width="15.85546875" style="31" customWidth="1"/>
    <col min="7" max="7" width="16.28515625" style="31" customWidth="1"/>
    <col min="8" max="8" width="7.140625" style="31" customWidth="1"/>
    <col min="9" max="16384" width="9.140625" style="31"/>
  </cols>
  <sheetData>
    <row r="1" spans="1:13" ht="16.5">
      <c r="A1" s="4105" t="s">
        <v>23</v>
      </c>
      <c r="B1" s="4105"/>
      <c r="C1" s="4105"/>
      <c r="D1" s="4105"/>
      <c r="E1" s="4105"/>
      <c r="F1" s="4105"/>
      <c r="G1" s="4105"/>
      <c r="H1" s="3411"/>
      <c r="I1" s="3411"/>
      <c r="J1" s="3411"/>
      <c r="K1" s="3411"/>
      <c r="L1" s="3411"/>
      <c r="M1" s="3411"/>
    </row>
    <row r="2" spans="1:13" ht="16.5">
      <c r="A2" s="4105" t="s">
        <v>45</v>
      </c>
      <c r="B2" s="4105"/>
      <c r="C2" s="4105"/>
      <c r="D2" s="4105"/>
      <c r="E2" s="4105"/>
      <c r="F2" s="4105"/>
      <c r="G2" s="4105"/>
      <c r="H2" s="3411"/>
      <c r="I2" s="3411"/>
      <c r="J2" s="3411"/>
      <c r="K2" s="3411"/>
      <c r="L2" s="3411"/>
      <c r="M2" s="3411"/>
    </row>
    <row r="3" spans="1:13" ht="16.5">
      <c r="A3" s="3934" t="s">
        <v>1308</v>
      </c>
      <c r="B3" s="3934"/>
      <c r="C3" s="3934"/>
      <c r="D3" s="3934"/>
      <c r="E3" s="3934"/>
      <c r="F3" s="3934"/>
      <c r="G3" s="3934"/>
      <c r="H3" s="2096"/>
      <c r="I3" s="2096"/>
      <c r="J3" s="2096"/>
      <c r="K3" s="2096"/>
      <c r="L3" s="2096"/>
      <c r="M3" s="2096"/>
    </row>
    <row r="4" spans="1:13" ht="16.5">
      <c r="A4" s="4106" t="s">
        <v>1482</v>
      </c>
      <c r="B4" s="4106"/>
      <c r="C4" s="4106"/>
      <c r="D4" s="4106"/>
      <c r="E4" s="4106"/>
      <c r="F4" s="3410"/>
      <c r="G4" s="3410"/>
      <c r="H4" s="3410"/>
      <c r="I4" s="3410"/>
      <c r="J4" s="3410"/>
      <c r="K4" s="2116"/>
      <c r="L4" s="3410"/>
      <c r="M4" s="3410"/>
    </row>
    <row r="5" spans="1:13" ht="16.5">
      <c r="A5" s="4105" t="s">
        <v>2114</v>
      </c>
      <c r="B5" s="4105"/>
      <c r="C5" s="4105"/>
      <c r="D5" s="4105"/>
      <c r="E5" s="4105"/>
      <c r="F5" s="3411"/>
      <c r="G5" s="3411"/>
      <c r="H5" s="3411"/>
      <c r="I5" s="3411"/>
      <c r="J5" s="3411"/>
      <c r="K5" s="2116"/>
      <c r="L5" s="3410"/>
      <c r="M5" s="3410"/>
    </row>
    <row r="6" spans="1:13" ht="16.5">
      <c r="B6" s="3410"/>
      <c r="C6" s="3410"/>
      <c r="D6" s="3410"/>
      <c r="E6" s="3410"/>
      <c r="F6" s="3410"/>
      <c r="G6" s="3410"/>
      <c r="H6" s="3410"/>
      <c r="I6" s="3410"/>
      <c r="J6" s="3410"/>
      <c r="K6" s="2116"/>
      <c r="L6" s="3410"/>
      <c r="M6" s="3410"/>
    </row>
    <row r="7" spans="1:13" ht="59.25" customHeight="1">
      <c r="A7" s="4112" t="s">
        <v>2115</v>
      </c>
      <c r="B7" s="4112"/>
      <c r="C7" s="4112"/>
      <c r="D7" s="4112"/>
      <c r="E7" s="4112"/>
      <c r="F7" s="4112"/>
      <c r="G7" s="4112"/>
      <c r="H7" s="3412"/>
      <c r="I7" s="3412"/>
      <c r="J7" s="3412"/>
      <c r="K7" s="3412"/>
      <c r="L7" s="3412"/>
      <c r="M7" s="3412"/>
    </row>
    <row r="8" spans="1:13" ht="16.5">
      <c r="B8" s="4113"/>
      <c r="C8" s="4113"/>
      <c r="D8" s="4113"/>
      <c r="E8" s="4113"/>
      <c r="F8" s="4113"/>
      <c r="G8" s="4113"/>
      <c r="H8" s="4113"/>
      <c r="I8" s="4113"/>
      <c r="J8" s="4113"/>
      <c r="K8" s="4113"/>
      <c r="L8" s="4113"/>
      <c r="M8" s="4113"/>
    </row>
    <row r="9" spans="1:13" ht="16.5">
      <c r="A9" s="4857" t="s">
        <v>0</v>
      </c>
      <c r="B9" s="4858"/>
      <c r="C9" s="2273" t="s">
        <v>1</v>
      </c>
      <c r="D9" s="2273" t="s">
        <v>2014</v>
      </c>
      <c r="E9" s="2273" t="s">
        <v>2015</v>
      </c>
      <c r="F9" s="2273" t="s">
        <v>10</v>
      </c>
      <c r="G9" s="2273" t="s">
        <v>2016</v>
      </c>
      <c r="H9" s="2270"/>
      <c r="I9" s="2270"/>
      <c r="J9" s="2270"/>
      <c r="K9" s="2270"/>
      <c r="L9" s="2270"/>
      <c r="M9" s="2270"/>
    </row>
    <row r="10" spans="1:13" ht="16.5">
      <c r="A10" s="2271">
        <v>1</v>
      </c>
      <c r="B10" s="2271">
        <v>1</v>
      </c>
      <c r="C10" s="2271" t="s">
        <v>1183</v>
      </c>
      <c r="D10" s="2271" t="s">
        <v>452</v>
      </c>
      <c r="E10" s="2275">
        <v>700000</v>
      </c>
      <c r="F10" s="2271"/>
      <c r="G10" s="2271"/>
    </row>
    <row r="11" spans="1:13" ht="16.5">
      <c r="A11" s="2271">
        <v>2</v>
      </c>
      <c r="B11" s="2271">
        <v>2</v>
      </c>
      <c r="C11" s="2271" t="s">
        <v>1184</v>
      </c>
      <c r="D11" s="2271" t="s">
        <v>452</v>
      </c>
      <c r="E11" s="2275">
        <v>700000</v>
      </c>
      <c r="F11" s="2271"/>
      <c r="G11" s="2271"/>
    </row>
    <row r="12" spans="1:13" ht="16.5">
      <c r="A12" s="2271">
        <v>3</v>
      </c>
      <c r="B12" s="2271">
        <v>3</v>
      </c>
      <c r="C12" s="2271" t="s">
        <v>1615</v>
      </c>
      <c r="D12" s="2271" t="s">
        <v>452</v>
      </c>
      <c r="E12" s="2275">
        <v>700000</v>
      </c>
      <c r="F12" s="2271"/>
      <c r="G12" s="2271"/>
    </row>
    <row r="13" spans="1:13" ht="16.5">
      <c r="A13" s="2271">
        <v>4</v>
      </c>
      <c r="B13" s="2271">
        <v>4</v>
      </c>
      <c r="C13" s="2271" t="s">
        <v>1490</v>
      </c>
      <c r="D13" s="2271" t="s">
        <v>452</v>
      </c>
      <c r="E13" s="2275">
        <v>700000</v>
      </c>
      <c r="F13" s="2271"/>
      <c r="G13" s="2271"/>
    </row>
    <row r="14" spans="1:13" ht="16.5">
      <c r="A14" s="2271">
        <v>5</v>
      </c>
      <c r="B14" s="2271">
        <v>5</v>
      </c>
      <c r="C14" s="2271" t="s">
        <v>1491</v>
      </c>
      <c r="D14" s="2271" t="s">
        <v>452</v>
      </c>
      <c r="E14" s="2275">
        <v>700000</v>
      </c>
      <c r="F14" s="2271"/>
      <c r="G14" s="2271"/>
    </row>
    <row r="15" spans="1:13" ht="16.5">
      <c r="A15" s="2271">
        <v>6</v>
      </c>
      <c r="B15" s="2271">
        <v>6</v>
      </c>
      <c r="C15" s="2271" t="s">
        <v>1492</v>
      </c>
      <c r="D15" s="2271" t="s">
        <v>452</v>
      </c>
      <c r="E15" s="2275">
        <v>700000</v>
      </c>
      <c r="F15" s="2271"/>
      <c r="G15" s="2271"/>
    </row>
    <row r="16" spans="1:13" ht="16.5">
      <c r="A16" s="2271">
        <v>7</v>
      </c>
      <c r="B16" s="2271">
        <v>7</v>
      </c>
      <c r="C16" s="2271" t="s">
        <v>1694</v>
      </c>
      <c r="D16" s="2271" t="s">
        <v>452</v>
      </c>
      <c r="E16" s="2275">
        <v>700000</v>
      </c>
      <c r="F16" s="2271"/>
      <c r="G16" s="2271"/>
    </row>
    <row r="17" spans="1:7" ht="16.5">
      <c r="A17" s="2271">
        <v>8</v>
      </c>
      <c r="B17" s="2271">
        <v>8</v>
      </c>
      <c r="C17" s="2271" t="s">
        <v>1616</v>
      </c>
      <c r="D17" s="2271" t="s">
        <v>452</v>
      </c>
      <c r="E17" s="2275">
        <v>700000</v>
      </c>
      <c r="F17" s="2271"/>
      <c r="G17" s="2271"/>
    </row>
    <row r="18" spans="1:7" ht="16.5">
      <c r="A18" s="2271">
        <v>9</v>
      </c>
      <c r="B18" s="2271">
        <v>9</v>
      </c>
      <c r="C18" s="2271" t="s">
        <v>1533</v>
      </c>
      <c r="D18" s="2271" t="s">
        <v>452</v>
      </c>
      <c r="E18" s="2275">
        <v>700000</v>
      </c>
      <c r="F18" s="2271"/>
      <c r="G18" s="2271"/>
    </row>
    <row r="19" spans="1:7" ht="16.5">
      <c r="A19" s="2271">
        <v>10</v>
      </c>
      <c r="B19" s="2271">
        <v>10</v>
      </c>
      <c r="C19" s="2271" t="s">
        <v>1695</v>
      </c>
      <c r="D19" s="2271" t="s">
        <v>452</v>
      </c>
      <c r="E19" s="2275">
        <v>700000</v>
      </c>
      <c r="F19" s="2271"/>
      <c r="G19" s="2271"/>
    </row>
    <row r="20" spans="1:7" ht="16.5">
      <c r="A20" s="2271">
        <v>11</v>
      </c>
      <c r="B20" s="2271">
        <v>11</v>
      </c>
      <c r="C20" s="2271" t="s">
        <v>1535</v>
      </c>
      <c r="D20" s="2271" t="s">
        <v>452</v>
      </c>
      <c r="E20" s="2275">
        <v>700000</v>
      </c>
      <c r="F20" s="2271"/>
      <c r="G20" s="2271"/>
    </row>
    <row r="21" spans="1:7" ht="16.5">
      <c r="A21" s="2271">
        <v>12</v>
      </c>
      <c r="B21" s="2271">
        <v>12</v>
      </c>
      <c r="C21" s="2271" t="s">
        <v>1696</v>
      </c>
      <c r="D21" s="2271" t="s">
        <v>452</v>
      </c>
      <c r="E21" s="2275">
        <v>700000</v>
      </c>
      <c r="F21" s="2271"/>
      <c r="G21" s="2271"/>
    </row>
    <row r="22" spans="1:7" ht="16.5">
      <c r="A22" s="2271">
        <v>13</v>
      </c>
      <c r="B22" s="2271">
        <v>13</v>
      </c>
      <c r="C22" s="2271" t="s">
        <v>1495</v>
      </c>
      <c r="D22" s="2271" t="s">
        <v>452</v>
      </c>
      <c r="E22" s="2275">
        <v>700000</v>
      </c>
      <c r="F22" s="2271"/>
      <c r="G22" s="2271"/>
    </row>
    <row r="23" spans="1:7" ht="16.5">
      <c r="A23" s="2271">
        <v>14</v>
      </c>
      <c r="B23" s="2271">
        <v>14</v>
      </c>
      <c r="C23" s="2271" t="s">
        <v>1496</v>
      </c>
      <c r="D23" s="2271" t="s">
        <v>452</v>
      </c>
      <c r="E23" s="2275">
        <v>700000</v>
      </c>
      <c r="F23" s="2271"/>
      <c r="G23" s="2271"/>
    </row>
    <row r="24" spans="1:7" ht="16.5">
      <c r="A24" s="2271">
        <v>15</v>
      </c>
      <c r="B24" s="2271">
        <v>15</v>
      </c>
      <c r="C24" s="2271" t="s">
        <v>2113</v>
      </c>
      <c r="D24" s="2271" t="s">
        <v>452</v>
      </c>
      <c r="E24" s="2275">
        <v>700000</v>
      </c>
      <c r="F24" s="2271"/>
      <c r="G24" s="2271"/>
    </row>
    <row r="25" spans="1:7" ht="16.5">
      <c r="A25" s="2271">
        <v>16</v>
      </c>
      <c r="B25" s="2271">
        <v>16</v>
      </c>
      <c r="C25" s="2271" t="s">
        <v>1181</v>
      </c>
      <c r="D25" s="2271" t="s">
        <v>452</v>
      </c>
      <c r="E25" s="2275">
        <v>700000</v>
      </c>
      <c r="F25" s="2271"/>
      <c r="G25" s="2271"/>
    </row>
    <row r="26" spans="1:7" ht="16.5">
      <c r="A26" s="2271">
        <v>17</v>
      </c>
      <c r="B26" s="2271">
        <v>17</v>
      </c>
      <c r="C26" s="2271" t="s">
        <v>1702</v>
      </c>
      <c r="D26" s="2271" t="s">
        <v>452</v>
      </c>
      <c r="E26" s="2275">
        <v>700000</v>
      </c>
      <c r="F26" s="2271"/>
      <c r="G26" s="2271"/>
    </row>
    <row r="27" spans="1:7" ht="16.5">
      <c r="A27" s="2271">
        <v>18</v>
      </c>
      <c r="B27" s="2271">
        <v>18</v>
      </c>
      <c r="C27" s="2271" t="s">
        <v>1536</v>
      </c>
      <c r="D27" s="2271" t="s">
        <v>452</v>
      </c>
      <c r="E27" s="2275">
        <v>700000</v>
      </c>
      <c r="F27" s="2271"/>
      <c r="G27" s="2271"/>
    </row>
    <row r="28" spans="1:7" ht="16.5">
      <c r="A28" s="2271">
        <v>19</v>
      </c>
      <c r="B28" s="2271">
        <v>19</v>
      </c>
      <c r="C28" s="2271" t="s">
        <v>1500</v>
      </c>
      <c r="D28" s="2271" t="s">
        <v>452</v>
      </c>
      <c r="E28" s="2275">
        <v>700000</v>
      </c>
      <c r="F28" s="2271"/>
      <c r="G28" s="2271"/>
    </row>
    <row r="29" spans="1:7" ht="16.5">
      <c r="A29" s="2271">
        <v>20</v>
      </c>
      <c r="B29" s="2271">
        <v>20</v>
      </c>
      <c r="C29" s="2271" t="s">
        <v>1504</v>
      </c>
      <c r="D29" s="2271" t="s">
        <v>452</v>
      </c>
      <c r="E29" s="2275">
        <v>700000</v>
      </c>
      <c r="F29" s="2271"/>
      <c r="G29" s="2271"/>
    </row>
    <row r="30" spans="1:7" ht="16.5">
      <c r="A30" s="4109" t="s">
        <v>61</v>
      </c>
      <c r="B30" s="4110"/>
      <c r="C30" s="4111"/>
      <c r="D30" s="2272"/>
      <c r="E30" s="3413">
        <f>+SUM(E10:E29)</f>
        <v>14000000</v>
      </c>
      <c r="F30" s="2272"/>
      <c r="G30" s="2272"/>
    </row>
    <row r="31" spans="1:7" ht="16.5">
      <c r="D31" s="4702" t="s">
        <v>2111</v>
      </c>
      <c r="E31" s="4702"/>
      <c r="F31" s="4702"/>
      <c r="G31" s="4702"/>
    </row>
    <row r="32" spans="1:7" ht="16.5">
      <c r="A32" s="4107" t="s">
        <v>20</v>
      </c>
      <c r="B32" s="4107"/>
      <c r="C32" s="4107"/>
      <c r="D32" s="4107"/>
      <c r="E32" s="4107" t="s">
        <v>21</v>
      </c>
      <c r="F32" s="4107"/>
      <c r="G32" s="4107"/>
    </row>
    <row r="42" spans="1:8" ht="16.5">
      <c r="A42" s="2309" t="s">
        <v>84</v>
      </c>
      <c r="B42" s="2309"/>
      <c r="C42" s="2309"/>
      <c r="D42" s="4687" t="s">
        <v>176</v>
      </c>
      <c r="E42" s="4687"/>
      <c r="F42" s="4687" t="s">
        <v>177</v>
      </c>
      <c r="G42" s="4687"/>
      <c r="H42" s="116"/>
    </row>
  </sheetData>
  <mergeCells count="14">
    <mergeCell ref="F42:G42"/>
    <mergeCell ref="D42:E42"/>
    <mergeCell ref="D31:G31"/>
    <mergeCell ref="E32:G32"/>
    <mergeCell ref="A1:G1"/>
    <mergeCell ref="A2:G2"/>
    <mergeCell ref="A3:G3"/>
    <mergeCell ref="A4:E4"/>
    <mergeCell ref="A5:E5"/>
    <mergeCell ref="A32:D32"/>
    <mergeCell ref="B8:M8"/>
    <mergeCell ref="A9:B9"/>
    <mergeCell ref="A30:C30"/>
    <mergeCell ref="A7:G7"/>
  </mergeCells>
  <pageMargins left="0.56999999999999995" right="0.45" top="0.5600000000000000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"/>
  <sheetViews>
    <sheetView workbookViewId="0">
      <selection activeCell="J15" sqref="J15"/>
    </sheetView>
  </sheetViews>
  <sheetFormatPr defaultRowHeight="16.5"/>
  <cols>
    <col min="1" max="1" width="4.85546875" style="2270" customWidth="1"/>
    <col min="2" max="2" width="4.5703125" style="2270" customWidth="1"/>
    <col min="3" max="3" width="25" style="2270" customWidth="1"/>
    <col min="4" max="4" width="15.85546875" style="2270" customWidth="1"/>
    <col min="5" max="6" width="12.7109375" style="2270" customWidth="1"/>
    <col min="7" max="16384" width="9.140625" style="2270"/>
  </cols>
  <sheetData>
    <row r="1" spans="1:14">
      <c r="A1" s="4105" t="s">
        <v>23</v>
      </c>
      <c r="B1" s="4105"/>
      <c r="C1" s="4105"/>
      <c r="D1" s="4105"/>
      <c r="E1" s="4105"/>
      <c r="F1" s="4105"/>
      <c r="G1" s="4105"/>
      <c r="H1" s="3411"/>
      <c r="I1" s="3411"/>
      <c r="J1" s="3411"/>
      <c r="K1" s="3411"/>
      <c r="L1" s="3411"/>
      <c r="M1" s="3411"/>
      <c r="N1" s="3411"/>
    </row>
    <row r="2" spans="1:14">
      <c r="A2" s="4105" t="s">
        <v>45</v>
      </c>
      <c r="B2" s="4105"/>
      <c r="C2" s="4105"/>
      <c r="D2" s="4105"/>
      <c r="E2" s="4105"/>
      <c r="F2" s="4105"/>
      <c r="G2" s="4105"/>
      <c r="H2" s="3411"/>
      <c r="I2" s="3411"/>
      <c r="J2" s="3411"/>
      <c r="K2" s="3411"/>
      <c r="L2" s="3411"/>
      <c r="M2" s="3411"/>
      <c r="N2" s="3411"/>
    </row>
    <row r="3" spans="1:14">
      <c r="A3" s="3934" t="s">
        <v>1308</v>
      </c>
      <c r="B3" s="3934"/>
      <c r="C3" s="3934"/>
      <c r="D3" s="3934"/>
      <c r="E3" s="3934"/>
      <c r="F3" s="3934"/>
      <c r="G3" s="3934"/>
      <c r="H3" s="2096"/>
      <c r="I3" s="2096"/>
      <c r="J3" s="2096"/>
      <c r="K3" s="2096"/>
      <c r="L3" s="2096"/>
      <c r="M3" s="2096"/>
      <c r="N3" s="2096"/>
    </row>
    <row r="4" spans="1:14" ht="18.75" customHeight="1">
      <c r="A4" s="4106" t="s">
        <v>1482</v>
      </c>
      <c r="B4" s="4106"/>
      <c r="C4" s="4106"/>
      <c r="D4" s="4106"/>
      <c r="E4" s="3410"/>
      <c r="F4" s="3410"/>
      <c r="G4" s="3410"/>
      <c r="H4" s="3410"/>
      <c r="I4" s="3410"/>
      <c r="J4" s="3410"/>
      <c r="K4" s="3410"/>
      <c r="L4" s="2116"/>
      <c r="M4" s="3410"/>
      <c r="N4" s="3410"/>
    </row>
    <row r="5" spans="1:14" ht="18.75" customHeight="1">
      <c r="A5" s="4105" t="s">
        <v>1153</v>
      </c>
      <c r="B5" s="4105"/>
      <c r="C5" s="4105"/>
      <c r="D5" s="4105"/>
      <c r="E5" s="3411"/>
      <c r="F5" s="3411"/>
      <c r="G5" s="3411"/>
      <c r="H5" s="3411"/>
      <c r="I5" s="3411"/>
      <c r="J5" s="3411"/>
      <c r="K5" s="3411"/>
      <c r="L5" s="2116"/>
      <c r="M5" s="3410"/>
      <c r="N5" s="3410"/>
    </row>
    <row r="6" spans="1:14">
      <c r="B6" s="3410"/>
      <c r="C6" s="3410"/>
      <c r="D6" s="3410"/>
      <c r="E6" s="3410"/>
      <c r="F6" s="3410"/>
      <c r="G6" s="3410"/>
      <c r="H6" s="3410"/>
      <c r="I6" s="3410"/>
      <c r="J6" s="3410"/>
      <c r="K6" s="3410"/>
      <c r="L6" s="2116"/>
      <c r="M6" s="3410"/>
      <c r="N6" s="3410"/>
    </row>
    <row r="7" spans="1:14" ht="26.25" customHeight="1">
      <c r="A7" s="4856" t="s">
        <v>2073</v>
      </c>
      <c r="B7" s="4856"/>
      <c r="C7" s="4856"/>
      <c r="D7" s="4856"/>
      <c r="E7" s="4856"/>
      <c r="F7" s="4856"/>
      <c r="G7" s="4856"/>
    </row>
    <row r="9" spans="1:14" ht="33">
      <c r="A9" s="4114" t="s">
        <v>0</v>
      </c>
      <c r="B9" s="4114"/>
      <c r="C9" s="3502" t="s">
        <v>1</v>
      </c>
      <c r="D9" s="3502" t="s">
        <v>2064</v>
      </c>
      <c r="E9" s="3502" t="s">
        <v>46</v>
      </c>
      <c r="F9" s="3426" t="s">
        <v>2072</v>
      </c>
      <c r="G9" s="3502" t="s">
        <v>92</v>
      </c>
    </row>
    <row r="10" spans="1:14">
      <c r="A10" s="2271">
        <v>1</v>
      </c>
      <c r="B10" s="2271">
        <v>1</v>
      </c>
      <c r="C10" s="2271" t="s">
        <v>1675</v>
      </c>
      <c r="D10" s="2271" t="s">
        <v>1883</v>
      </c>
      <c r="E10" s="2271" t="s">
        <v>167</v>
      </c>
      <c r="F10" s="3425">
        <v>1</v>
      </c>
      <c r="G10" s="2271"/>
    </row>
    <row r="11" spans="1:14">
      <c r="A11" s="2271">
        <v>2</v>
      </c>
      <c r="B11" s="2271">
        <v>2</v>
      </c>
      <c r="C11" s="2271" t="s">
        <v>1304</v>
      </c>
      <c r="D11" s="2271" t="s">
        <v>1883</v>
      </c>
      <c r="E11" s="2271" t="s">
        <v>167</v>
      </c>
      <c r="F11" s="3425">
        <v>1</v>
      </c>
      <c r="G11" s="2271"/>
    </row>
    <row r="12" spans="1:14">
      <c r="A12" s="2271">
        <v>3</v>
      </c>
      <c r="B12" s="2271">
        <v>3</v>
      </c>
      <c r="C12" s="2271" t="s">
        <v>1925</v>
      </c>
      <c r="D12" s="2271" t="s">
        <v>1883</v>
      </c>
      <c r="E12" s="2271" t="s">
        <v>167</v>
      </c>
      <c r="F12" s="3425">
        <v>1</v>
      </c>
      <c r="G12" s="2271"/>
    </row>
    <row r="13" spans="1:14">
      <c r="A13" s="2271">
        <v>4</v>
      </c>
      <c r="B13" s="2271">
        <v>4</v>
      </c>
      <c r="C13" s="2271" t="s">
        <v>1966</v>
      </c>
      <c r="D13" s="2271" t="s">
        <v>1883</v>
      </c>
      <c r="E13" s="2271" t="s">
        <v>167</v>
      </c>
      <c r="F13" s="3425">
        <v>1</v>
      </c>
      <c r="G13" s="2271"/>
    </row>
    <row r="14" spans="1:14">
      <c r="A14" s="2271">
        <v>5</v>
      </c>
      <c r="B14" s="2271">
        <v>5</v>
      </c>
      <c r="C14" s="2271" t="s">
        <v>1918</v>
      </c>
      <c r="D14" s="2271" t="s">
        <v>1883</v>
      </c>
      <c r="E14" s="2271" t="s">
        <v>167</v>
      </c>
      <c r="F14" s="3425">
        <v>1</v>
      </c>
      <c r="G14" s="2271"/>
    </row>
    <row r="15" spans="1:14">
      <c r="A15" s="2271">
        <v>6</v>
      </c>
      <c r="B15" s="2271">
        <v>6</v>
      </c>
      <c r="C15" s="2271" t="s">
        <v>1261</v>
      </c>
      <c r="D15" s="2271" t="s">
        <v>1883</v>
      </c>
      <c r="E15" s="2271" t="s">
        <v>167</v>
      </c>
      <c r="F15" s="3425">
        <v>1</v>
      </c>
      <c r="G15" s="2271"/>
    </row>
    <row r="16" spans="1:14">
      <c r="A16" s="2271">
        <v>7</v>
      </c>
      <c r="B16" s="2271">
        <v>7</v>
      </c>
      <c r="C16" s="2271" t="s">
        <v>1926</v>
      </c>
      <c r="D16" s="2271" t="s">
        <v>1883</v>
      </c>
      <c r="E16" s="2271" t="s">
        <v>167</v>
      </c>
      <c r="F16" s="3425">
        <v>1</v>
      </c>
      <c r="G16" s="2271"/>
    </row>
    <row r="17" spans="1:7">
      <c r="A17" s="2271">
        <v>8</v>
      </c>
      <c r="B17" s="2271">
        <v>8</v>
      </c>
      <c r="C17" s="2271" t="s">
        <v>1238</v>
      </c>
      <c r="D17" s="2271" t="s">
        <v>1883</v>
      </c>
      <c r="E17" s="2271" t="s">
        <v>167</v>
      </c>
      <c r="F17" s="3425">
        <v>1</v>
      </c>
      <c r="G17" s="2271"/>
    </row>
    <row r="18" spans="1:7">
      <c r="A18" s="2271">
        <v>9</v>
      </c>
      <c r="B18" s="2271">
        <v>9</v>
      </c>
      <c r="C18" s="2271" t="s">
        <v>1552</v>
      </c>
      <c r="D18" s="2271" t="s">
        <v>1883</v>
      </c>
      <c r="E18" s="2271" t="s">
        <v>167</v>
      </c>
      <c r="F18" s="3425">
        <v>1</v>
      </c>
      <c r="G18" s="2271"/>
    </row>
    <row r="19" spans="1:7">
      <c r="A19" s="2271">
        <v>10</v>
      </c>
      <c r="B19" s="2271">
        <v>10</v>
      </c>
      <c r="C19" s="2271" t="s">
        <v>1525</v>
      </c>
      <c r="D19" s="2271" t="s">
        <v>1883</v>
      </c>
      <c r="E19" s="2271" t="s">
        <v>167</v>
      </c>
      <c r="F19" s="3425">
        <v>1</v>
      </c>
      <c r="G19" s="2271"/>
    </row>
    <row r="20" spans="1:7">
      <c r="A20" s="2271">
        <v>11</v>
      </c>
      <c r="B20" s="2271">
        <v>11</v>
      </c>
      <c r="C20" s="2271" t="s">
        <v>1554</v>
      </c>
      <c r="D20" s="2271" t="s">
        <v>1883</v>
      </c>
      <c r="E20" s="2271" t="s">
        <v>167</v>
      </c>
      <c r="F20" s="3425">
        <v>1</v>
      </c>
      <c r="G20" s="2271"/>
    </row>
    <row r="21" spans="1:7">
      <c r="A21" s="2271">
        <v>12</v>
      </c>
      <c r="B21" s="2271">
        <v>12</v>
      </c>
      <c r="C21" s="2271" t="s">
        <v>1919</v>
      </c>
      <c r="D21" s="2271" t="s">
        <v>1883</v>
      </c>
      <c r="E21" s="2271" t="s">
        <v>167</v>
      </c>
      <c r="F21" s="3425">
        <v>1</v>
      </c>
      <c r="G21" s="2271"/>
    </row>
    <row r="22" spans="1:7">
      <c r="A22" s="2271">
        <v>13</v>
      </c>
      <c r="B22" s="2271">
        <v>13</v>
      </c>
      <c r="C22" s="2271" t="s">
        <v>1555</v>
      </c>
      <c r="D22" s="2271" t="s">
        <v>1883</v>
      </c>
      <c r="E22" s="2271" t="s">
        <v>167</v>
      </c>
      <c r="F22" s="3425">
        <v>1</v>
      </c>
      <c r="G22" s="2271"/>
    </row>
    <row r="23" spans="1:7">
      <c r="A23" s="2271">
        <v>14</v>
      </c>
      <c r="B23" s="2271">
        <v>14</v>
      </c>
      <c r="C23" s="2271" t="s">
        <v>552</v>
      </c>
      <c r="D23" s="2271" t="s">
        <v>1883</v>
      </c>
      <c r="E23" s="2271" t="s">
        <v>167</v>
      </c>
      <c r="F23" s="3425">
        <v>1</v>
      </c>
      <c r="G23" s="2271"/>
    </row>
    <row r="24" spans="1:7">
      <c r="A24" s="2271">
        <v>15</v>
      </c>
      <c r="B24" s="2271">
        <v>15</v>
      </c>
      <c r="C24" s="2271" t="s">
        <v>1920</v>
      </c>
      <c r="D24" s="2271" t="s">
        <v>1883</v>
      </c>
      <c r="E24" s="2271" t="s">
        <v>167</v>
      </c>
      <c r="F24" s="3425">
        <v>1</v>
      </c>
      <c r="G24" s="2271"/>
    </row>
    <row r="25" spans="1:7">
      <c r="A25" s="2271">
        <v>16</v>
      </c>
      <c r="B25" s="2271">
        <v>16</v>
      </c>
      <c r="C25" s="2271" t="s">
        <v>1967</v>
      </c>
      <c r="D25" s="2271" t="s">
        <v>1883</v>
      </c>
      <c r="E25" s="2271" t="s">
        <v>167</v>
      </c>
      <c r="F25" s="3425">
        <v>1</v>
      </c>
      <c r="G25" s="2271"/>
    </row>
    <row r="26" spans="1:7">
      <c r="A26" s="2271">
        <v>17</v>
      </c>
      <c r="B26" s="2271">
        <v>17</v>
      </c>
      <c r="C26" s="2271" t="s">
        <v>1236</v>
      </c>
      <c r="D26" s="2271" t="s">
        <v>1883</v>
      </c>
      <c r="E26" s="2271" t="s">
        <v>167</v>
      </c>
      <c r="F26" s="3425">
        <v>1</v>
      </c>
      <c r="G26" s="2271"/>
    </row>
    <row r="27" spans="1:7">
      <c r="A27" s="2271">
        <v>18</v>
      </c>
      <c r="B27" s="2271">
        <v>18</v>
      </c>
      <c r="C27" s="2271" t="s">
        <v>1676</v>
      </c>
      <c r="D27" s="2271" t="s">
        <v>1883</v>
      </c>
      <c r="E27" s="2271" t="s">
        <v>167</v>
      </c>
      <c r="F27" s="3425">
        <v>1</v>
      </c>
      <c r="G27" s="2271"/>
    </row>
    <row r="28" spans="1:7">
      <c r="A28" s="2271">
        <v>19</v>
      </c>
      <c r="B28" s="2271">
        <v>19</v>
      </c>
      <c r="C28" s="2271" t="s">
        <v>289</v>
      </c>
      <c r="D28" s="2271" t="s">
        <v>1883</v>
      </c>
      <c r="E28" s="2271" t="s">
        <v>167</v>
      </c>
      <c r="F28" s="3425">
        <v>1</v>
      </c>
      <c r="G28" s="2271"/>
    </row>
    <row r="29" spans="1:7">
      <c r="A29" s="2271">
        <v>20</v>
      </c>
      <c r="B29" s="2271">
        <v>20</v>
      </c>
      <c r="C29" s="2271" t="s">
        <v>1557</v>
      </c>
      <c r="D29" s="2271" t="s">
        <v>1883</v>
      </c>
      <c r="E29" s="2271" t="s">
        <v>167</v>
      </c>
      <c r="F29" s="3425">
        <v>1</v>
      </c>
      <c r="G29" s="2271"/>
    </row>
    <row r="30" spans="1:7">
      <c r="A30" s="2271">
        <v>21</v>
      </c>
      <c r="B30" s="2271">
        <v>21</v>
      </c>
      <c r="C30" s="2271" t="s">
        <v>1921</v>
      </c>
      <c r="D30" s="2271" t="s">
        <v>1883</v>
      </c>
      <c r="E30" s="2271" t="s">
        <v>167</v>
      </c>
      <c r="F30" s="3425">
        <v>1</v>
      </c>
      <c r="G30" s="2271"/>
    </row>
    <row r="31" spans="1:7">
      <c r="A31" s="2271">
        <v>22</v>
      </c>
      <c r="B31" s="2271">
        <v>22</v>
      </c>
      <c r="C31" s="2271" t="s">
        <v>1558</v>
      </c>
      <c r="D31" s="2271" t="s">
        <v>1883</v>
      </c>
      <c r="E31" s="2271" t="s">
        <v>167</v>
      </c>
      <c r="F31" s="3425">
        <v>1</v>
      </c>
      <c r="G31" s="2271"/>
    </row>
    <row r="32" spans="1:7">
      <c r="A32" s="2271">
        <v>23</v>
      </c>
      <c r="B32" s="2271">
        <v>23</v>
      </c>
      <c r="C32" s="2271" t="s">
        <v>1524</v>
      </c>
      <c r="D32" s="2271" t="s">
        <v>1883</v>
      </c>
      <c r="E32" s="2271" t="s">
        <v>167</v>
      </c>
      <c r="F32" s="3425">
        <v>1</v>
      </c>
      <c r="G32" s="2271"/>
    </row>
    <row r="33" spans="1:7">
      <c r="A33" s="2271">
        <v>24</v>
      </c>
      <c r="B33" s="2271">
        <v>24</v>
      </c>
      <c r="C33" s="2271" t="s">
        <v>490</v>
      </c>
      <c r="D33" s="2271" t="s">
        <v>1883</v>
      </c>
      <c r="E33" s="2271" t="s">
        <v>167</v>
      </c>
      <c r="F33" s="3425">
        <v>1</v>
      </c>
      <c r="G33" s="2271"/>
    </row>
    <row r="34" spans="1:7">
      <c r="A34" s="2271">
        <v>25</v>
      </c>
      <c r="B34" s="2271">
        <v>25</v>
      </c>
      <c r="C34" s="2271" t="s">
        <v>1678</v>
      </c>
      <c r="D34" s="2271" t="s">
        <v>1883</v>
      </c>
      <c r="E34" s="2271" t="s">
        <v>167</v>
      </c>
      <c r="F34" s="3425">
        <v>1</v>
      </c>
      <c r="G34" s="2271"/>
    </row>
    <row r="35" spans="1:7">
      <c r="A35" s="2271">
        <v>26</v>
      </c>
      <c r="B35" s="2271">
        <v>26</v>
      </c>
      <c r="C35" s="2271" t="s">
        <v>1528</v>
      </c>
      <c r="D35" s="2271" t="s">
        <v>1883</v>
      </c>
      <c r="E35" s="2271" t="s">
        <v>167</v>
      </c>
      <c r="F35" s="3425">
        <v>1</v>
      </c>
      <c r="G35" s="2271"/>
    </row>
    <row r="36" spans="1:7">
      <c r="A36" s="2271">
        <v>27</v>
      </c>
      <c r="B36" s="2271">
        <v>27</v>
      </c>
      <c r="C36" s="2271" t="s">
        <v>1527</v>
      </c>
      <c r="D36" s="2271" t="s">
        <v>1883</v>
      </c>
      <c r="E36" s="2271" t="s">
        <v>167</v>
      </c>
      <c r="F36" s="3425">
        <v>1</v>
      </c>
      <c r="G36" s="2271"/>
    </row>
    <row r="37" spans="1:7">
      <c r="A37" s="2271">
        <v>28</v>
      </c>
      <c r="B37" s="2271">
        <v>28</v>
      </c>
      <c r="C37" s="2271" t="s">
        <v>1529</v>
      </c>
      <c r="D37" s="2271" t="s">
        <v>1883</v>
      </c>
      <c r="E37" s="2271" t="s">
        <v>167</v>
      </c>
      <c r="F37" s="3425">
        <v>1</v>
      </c>
      <c r="G37" s="2271"/>
    </row>
    <row r="38" spans="1:7">
      <c r="A38" s="2271">
        <v>29</v>
      </c>
      <c r="B38" s="2271">
        <v>29</v>
      </c>
      <c r="C38" s="2271" t="s">
        <v>1922</v>
      </c>
      <c r="D38" s="2271" t="s">
        <v>1883</v>
      </c>
      <c r="E38" s="2271" t="s">
        <v>167</v>
      </c>
      <c r="F38" s="3425">
        <v>1</v>
      </c>
      <c r="G38" s="2271"/>
    </row>
    <row r="39" spans="1:7">
      <c r="A39" s="2271">
        <v>30</v>
      </c>
      <c r="B39" s="2271">
        <v>30</v>
      </c>
      <c r="C39" s="2271" t="s">
        <v>1559</v>
      </c>
      <c r="D39" s="2271" t="s">
        <v>1883</v>
      </c>
      <c r="E39" s="2271" t="s">
        <v>167</v>
      </c>
      <c r="F39" s="3425">
        <v>1</v>
      </c>
      <c r="G39" s="2271"/>
    </row>
    <row r="40" spans="1:7">
      <c r="A40" s="2271">
        <v>31</v>
      </c>
      <c r="B40" s="2271">
        <v>31</v>
      </c>
      <c r="C40" s="2271" t="s">
        <v>1923</v>
      </c>
      <c r="D40" s="2271" t="s">
        <v>1883</v>
      </c>
      <c r="E40" s="2271" t="s">
        <v>167</v>
      </c>
      <c r="F40" s="3425">
        <v>1</v>
      </c>
      <c r="G40" s="2271"/>
    </row>
    <row r="41" spans="1:7">
      <c r="A41" s="2271">
        <v>32</v>
      </c>
      <c r="B41" s="2271">
        <v>32</v>
      </c>
      <c r="C41" s="2271" t="s">
        <v>1488</v>
      </c>
      <c r="D41" s="2271" t="s">
        <v>1883</v>
      </c>
      <c r="E41" s="2271" t="s">
        <v>167</v>
      </c>
      <c r="F41" s="3425">
        <v>1</v>
      </c>
      <c r="G41" s="2271"/>
    </row>
    <row r="42" spans="1:7">
      <c r="A42" s="2271">
        <v>33</v>
      </c>
      <c r="B42" s="2271">
        <v>33</v>
      </c>
      <c r="C42" s="2271" t="s">
        <v>1927</v>
      </c>
      <c r="D42" s="2271" t="s">
        <v>1883</v>
      </c>
      <c r="E42" s="2271" t="s">
        <v>167</v>
      </c>
      <c r="F42" s="3425">
        <v>1</v>
      </c>
      <c r="G42" s="2271"/>
    </row>
    <row r="43" spans="1:7">
      <c r="A43" s="2272"/>
      <c r="B43" s="4109" t="s">
        <v>1883</v>
      </c>
      <c r="C43" s="4111"/>
      <c r="D43" s="2272"/>
      <c r="E43" s="2272"/>
      <c r="F43" s="3508">
        <f>SUM(F10:F42)</f>
        <v>33</v>
      </c>
      <c r="G43" s="2272"/>
    </row>
    <row r="44" spans="1:7">
      <c r="A44" s="2271">
        <v>34</v>
      </c>
      <c r="B44" s="2271">
        <v>1</v>
      </c>
      <c r="C44" s="2271" t="s">
        <v>1081</v>
      </c>
      <c r="D44" s="2271" t="s">
        <v>2065</v>
      </c>
      <c r="E44" s="2271" t="s">
        <v>167</v>
      </c>
      <c r="F44" s="3425">
        <v>1</v>
      </c>
      <c r="G44" s="2271"/>
    </row>
    <row r="45" spans="1:7">
      <c r="A45" s="2271">
        <v>35</v>
      </c>
      <c r="B45" s="2271">
        <v>2</v>
      </c>
      <c r="C45" s="2271" t="s">
        <v>1904</v>
      </c>
      <c r="D45" s="2271" t="s">
        <v>2065</v>
      </c>
      <c r="E45" s="2271" t="s">
        <v>167</v>
      </c>
      <c r="F45" s="3425">
        <v>1</v>
      </c>
      <c r="G45" s="2271"/>
    </row>
    <row r="46" spans="1:7">
      <c r="A46" s="2271">
        <v>36</v>
      </c>
      <c r="B46" s="2271">
        <v>3</v>
      </c>
      <c r="C46" s="2271" t="s">
        <v>1530</v>
      </c>
      <c r="D46" s="2271" t="s">
        <v>2065</v>
      </c>
      <c r="E46" s="2271" t="s">
        <v>167</v>
      </c>
      <c r="F46" s="3425">
        <v>1</v>
      </c>
      <c r="G46" s="2271"/>
    </row>
    <row r="47" spans="1:7">
      <c r="A47" s="2271">
        <v>37</v>
      </c>
      <c r="B47" s="2271">
        <v>4</v>
      </c>
      <c r="C47" s="2271" t="s">
        <v>1905</v>
      </c>
      <c r="D47" s="2271" t="s">
        <v>2065</v>
      </c>
      <c r="E47" s="2271" t="s">
        <v>167</v>
      </c>
      <c r="F47" s="3425">
        <v>1</v>
      </c>
      <c r="G47" s="2271"/>
    </row>
    <row r="48" spans="1:7">
      <c r="A48" s="2271">
        <v>38</v>
      </c>
      <c r="B48" s="2271">
        <v>5</v>
      </c>
      <c r="C48" s="2271" t="s">
        <v>1906</v>
      </c>
      <c r="D48" s="2271" t="s">
        <v>2065</v>
      </c>
      <c r="E48" s="2271" t="s">
        <v>167</v>
      </c>
      <c r="F48" s="3425">
        <v>1</v>
      </c>
      <c r="G48" s="2271"/>
    </row>
    <row r="49" spans="1:7">
      <c r="A49" s="2271">
        <v>39</v>
      </c>
      <c r="B49" s="2271">
        <v>6</v>
      </c>
      <c r="C49" s="2271" t="s">
        <v>1907</v>
      </c>
      <c r="D49" s="2271" t="s">
        <v>2065</v>
      </c>
      <c r="E49" s="2271" t="s">
        <v>167</v>
      </c>
      <c r="F49" s="3425">
        <v>1</v>
      </c>
      <c r="G49" s="2271"/>
    </row>
    <row r="50" spans="1:7">
      <c r="A50" s="2271">
        <v>40</v>
      </c>
      <c r="B50" s="2271">
        <v>7</v>
      </c>
      <c r="C50" s="2271" t="s">
        <v>1560</v>
      </c>
      <c r="D50" s="2271" t="s">
        <v>2065</v>
      </c>
      <c r="E50" s="2271" t="s">
        <v>167</v>
      </c>
      <c r="F50" s="3425">
        <v>1</v>
      </c>
      <c r="G50" s="2271"/>
    </row>
    <row r="51" spans="1:7">
      <c r="A51" s="2271">
        <v>41</v>
      </c>
      <c r="B51" s="2271">
        <v>8</v>
      </c>
      <c r="C51" s="2271" t="s">
        <v>1561</v>
      </c>
      <c r="D51" s="2271" t="s">
        <v>2065</v>
      </c>
      <c r="E51" s="2271" t="s">
        <v>167</v>
      </c>
      <c r="F51" s="3425">
        <v>1</v>
      </c>
      <c r="G51" s="2271"/>
    </row>
    <row r="52" spans="1:7">
      <c r="A52" s="2271">
        <v>42</v>
      </c>
      <c r="B52" s="2271">
        <v>9</v>
      </c>
      <c r="C52" s="2271" t="s">
        <v>1683</v>
      </c>
      <c r="D52" s="2271" t="s">
        <v>2065</v>
      </c>
      <c r="E52" s="2271" t="s">
        <v>167</v>
      </c>
      <c r="F52" s="3425">
        <v>1</v>
      </c>
      <c r="G52" s="2271"/>
    </row>
    <row r="53" spans="1:7">
      <c r="A53" s="2271">
        <v>43</v>
      </c>
      <c r="B53" s="2271">
        <v>10</v>
      </c>
      <c r="C53" s="2271" t="s">
        <v>1189</v>
      </c>
      <c r="D53" s="2271" t="s">
        <v>2065</v>
      </c>
      <c r="E53" s="2271" t="s">
        <v>167</v>
      </c>
      <c r="F53" s="3425">
        <v>1</v>
      </c>
      <c r="G53" s="2271"/>
    </row>
    <row r="54" spans="1:7">
      <c r="A54" s="2271">
        <v>44</v>
      </c>
      <c r="B54" s="2271">
        <v>11</v>
      </c>
      <c r="C54" s="2271" t="s">
        <v>1908</v>
      </c>
      <c r="D54" s="2271" t="s">
        <v>2065</v>
      </c>
      <c r="E54" s="2271" t="s">
        <v>167</v>
      </c>
      <c r="F54" s="3425">
        <v>1</v>
      </c>
      <c r="G54" s="2271"/>
    </row>
    <row r="55" spans="1:7">
      <c r="A55" s="2271">
        <v>45</v>
      </c>
      <c r="B55" s="2271">
        <v>12</v>
      </c>
      <c r="C55" s="2271" t="s">
        <v>1909</v>
      </c>
      <c r="D55" s="2271" t="s">
        <v>2065</v>
      </c>
      <c r="E55" s="2271" t="s">
        <v>167</v>
      </c>
      <c r="F55" s="3425">
        <v>1</v>
      </c>
      <c r="G55" s="2271"/>
    </row>
    <row r="56" spans="1:7">
      <c r="A56" s="2271">
        <v>46</v>
      </c>
      <c r="B56" s="2271">
        <v>13</v>
      </c>
      <c r="C56" s="2271" t="s">
        <v>1910</v>
      </c>
      <c r="D56" s="2271" t="s">
        <v>2065</v>
      </c>
      <c r="E56" s="2271" t="s">
        <v>167</v>
      </c>
      <c r="F56" s="3425">
        <v>1</v>
      </c>
      <c r="G56" s="2271"/>
    </row>
    <row r="57" spans="1:7">
      <c r="A57" s="2271">
        <v>47</v>
      </c>
      <c r="B57" s="2271">
        <v>14</v>
      </c>
      <c r="C57" s="2271" t="s">
        <v>1911</v>
      </c>
      <c r="D57" s="2271" t="s">
        <v>2065</v>
      </c>
      <c r="E57" s="2271" t="s">
        <v>167</v>
      </c>
      <c r="F57" s="3425">
        <v>1</v>
      </c>
      <c r="G57" s="2271"/>
    </row>
    <row r="58" spans="1:7">
      <c r="A58" s="2271">
        <v>48</v>
      </c>
      <c r="B58" s="2271">
        <v>15</v>
      </c>
      <c r="C58" s="2271" t="s">
        <v>1912</v>
      </c>
      <c r="D58" s="2271" t="s">
        <v>2065</v>
      </c>
      <c r="E58" s="2271" t="s">
        <v>167</v>
      </c>
      <c r="F58" s="3425">
        <v>1</v>
      </c>
      <c r="G58" s="2271"/>
    </row>
    <row r="59" spans="1:7">
      <c r="A59" s="2271">
        <v>49</v>
      </c>
      <c r="B59" s="2271">
        <v>16</v>
      </c>
      <c r="C59" s="2271" t="s">
        <v>1564</v>
      </c>
      <c r="D59" s="2271" t="s">
        <v>2065</v>
      </c>
      <c r="E59" s="2271" t="s">
        <v>167</v>
      </c>
      <c r="F59" s="3425">
        <v>1</v>
      </c>
      <c r="G59" s="2271"/>
    </row>
    <row r="60" spans="1:7">
      <c r="A60" s="2271">
        <v>50</v>
      </c>
      <c r="B60" s="2271">
        <v>17</v>
      </c>
      <c r="C60" s="2271" t="s">
        <v>1685</v>
      </c>
      <c r="D60" s="2271" t="s">
        <v>2065</v>
      </c>
      <c r="E60" s="2271" t="s">
        <v>167</v>
      </c>
      <c r="F60" s="3425">
        <v>1</v>
      </c>
      <c r="G60" s="2271"/>
    </row>
    <row r="61" spans="1:7">
      <c r="A61" s="2271">
        <v>51</v>
      </c>
      <c r="B61" s="2271">
        <v>18</v>
      </c>
      <c r="C61" s="2271" t="s">
        <v>1913</v>
      </c>
      <c r="D61" s="2271" t="s">
        <v>2065</v>
      </c>
      <c r="E61" s="2271" t="s">
        <v>167</v>
      </c>
      <c r="F61" s="3425">
        <v>1</v>
      </c>
      <c r="G61" s="2271"/>
    </row>
    <row r="62" spans="1:7">
      <c r="A62" s="2271">
        <v>52</v>
      </c>
      <c r="B62" s="2271">
        <v>19</v>
      </c>
      <c r="C62" s="2271" t="s">
        <v>1914</v>
      </c>
      <c r="D62" s="2271" t="s">
        <v>2065</v>
      </c>
      <c r="E62" s="2271" t="s">
        <v>167</v>
      </c>
      <c r="F62" s="3425">
        <v>1</v>
      </c>
      <c r="G62" s="2271"/>
    </row>
    <row r="63" spans="1:7">
      <c r="A63" s="2271">
        <v>53</v>
      </c>
      <c r="B63" s="2271">
        <v>20</v>
      </c>
      <c r="C63" s="2271" t="s">
        <v>1915</v>
      </c>
      <c r="D63" s="2271" t="s">
        <v>2065</v>
      </c>
      <c r="E63" s="2271" t="s">
        <v>167</v>
      </c>
      <c r="F63" s="3425">
        <v>1</v>
      </c>
      <c r="G63" s="2271"/>
    </row>
    <row r="64" spans="1:7">
      <c r="A64" s="2271">
        <v>54</v>
      </c>
      <c r="B64" s="2271">
        <v>21</v>
      </c>
      <c r="C64" s="2271" t="s">
        <v>1992</v>
      </c>
      <c r="D64" s="2271" t="s">
        <v>2065</v>
      </c>
      <c r="E64" s="2271" t="s">
        <v>167</v>
      </c>
      <c r="F64" s="3425">
        <v>1</v>
      </c>
      <c r="G64" s="2271"/>
    </row>
    <row r="65" spans="1:7">
      <c r="A65" s="2271">
        <v>55</v>
      </c>
      <c r="B65" s="2271">
        <v>22</v>
      </c>
      <c r="C65" s="2271" t="s">
        <v>1916</v>
      </c>
      <c r="D65" s="2271" t="s">
        <v>2065</v>
      </c>
      <c r="E65" s="2271" t="s">
        <v>167</v>
      </c>
      <c r="F65" s="3425">
        <v>1</v>
      </c>
      <c r="G65" s="2271"/>
    </row>
    <row r="66" spans="1:7">
      <c r="A66" s="2271">
        <v>56</v>
      </c>
      <c r="B66" s="2271">
        <v>23</v>
      </c>
      <c r="C66" s="2271" t="s">
        <v>1917</v>
      </c>
      <c r="D66" s="2271" t="s">
        <v>2065</v>
      </c>
      <c r="E66" s="2271" t="s">
        <v>167</v>
      </c>
      <c r="F66" s="3425">
        <v>1</v>
      </c>
      <c r="G66" s="2271"/>
    </row>
    <row r="67" spans="1:7">
      <c r="A67" s="2271">
        <v>57</v>
      </c>
      <c r="B67" s="2271">
        <v>24</v>
      </c>
      <c r="C67" s="2271" t="s">
        <v>1178</v>
      </c>
      <c r="D67" s="2271" t="s">
        <v>2065</v>
      </c>
      <c r="E67" s="2271" t="s">
        <v>167</v>
      </c>
      <c r="F67" s="3425">
        <v>1</v>
      </c>
      <c r="G67" s="2271"/>
    </row>
    <row r="68" spans="1:7">
      <c r="A68" s="2271">
        <v>58</v>
      </c>
      <c r="B68" s="2271">
        <v>25</v>
      </c>
      <c r="C68" s="2271" t="s">
        <v>1929</v>
      </c>
      <c r="D68" s="2271" t="s">
        <v>2065</v>
      </c>
      <c r="E68" s="2271" t="s">
        <v>167</v>
      </c>
      <c r="F68" s="3425">
        <v>1</v>
      </c>
      <c r="G68" s="2271"/>
    </row>
    <row r="69" spans="1:7">
      <c r="A69" s="2271">
        <v>59</v>
      </c>
      <c r="B69" s="2271">
        <v>26</v>
      </c>
      <c r="C69" s="2271" t="s">
        <v>1993</v>
      </c>
      <c r="D69" s="2271" t="s">
        <v>2065</v>
      </c>
      <c r="E69" s="2271" t="s">
        <v>167</v>
      </c>
      <c r="F69" s="3425">
        <v>1</v>
      </c>
      <c r="G69" s="2271"/>
    </row>
    <row r="70" spans="1:7">
      <c r="A70" s="2271">
        <v>60</v>
      </c>
      <c r="B70" s="2271">
        <v>27</v>
      </c>
      <c r="C70" s="2271" t="s">
        <v>1994</v>
      </c>
      <c r="D70" s="2271" t="s">
        <v>2065</v>
      </c>
      <c r="E70" s="2271" t="s">
        <v>167</v>
      </c>
      <c r="F70" s="3425">
        <v>1</v>
      </c>
      <c r="G70" s="2271"/>
    </row>
    <row r="71" spans="1:7">
      <c r="A71" s="2271">
        <v>61</v>
      </c>
      <c r="B71" s="2271">
        <v>28</v>
      </c>
      <c r="C71" s="2271" t="s">
        <v>1995</v>
      </c>
      <c r="D71" s="2271" t="s">
        <v>2065</v>
      </c>
      <c r="E71" s="2271" t="s">
        <v>167</v>
      </c>
      <c r="F71" s="3425">
        <v>1</v>
      </c>
      <c r="G71" s="2271"/>
    </row>
    <row r="72" spans="1:7">
      <c r="A72" s="2271">
        <v>62</v>
      </c>
      <c r="B72" s="2271">
        <v>29</v>
      </c>
      <c r="C72" s="2271" t="s">
        <v>2019</v>
      </c>
      <c r="D72" s="2271" t="s">
        <v>2065</v>
      </c>
      <c r="E72" s="2271" t="s">
        <v>167</v>
      </c>
      <c r="F72" s="3425">
        <v>1</v>
      </c>
      <c r="G72" s="2271"/>
    </row>
    <row r="73" spans="1:7">
      <c r="A73" s="2271">
        <v>63</v>
      </c>
      <c r="B73" s="2271">
        <v>30</v>
      </c>
      <c r="C73" s="2271" t="s">
        <v>1996</v>
      </c>
      <c r="D73" s="2271" t="s">
        <v>2065</v>
      </c>
      <c r="E73" s="2271" t="s">
        <v>167</v>
      </c>
      <c r="F73" s="3425">
        <v>1</v>
      </c>
      <c r="G73" s="2271"/>
    </row>
    <row r="74" spans="1:7">
      <c r="A74" s="2271">
        <v>64</v>
      </c>
      <c r="B74" s="2271">
        <v>31</v>
      </c>
      <c r="C74" s="2271" t="s">
        <v>2020</v>
      </c>
      <c r="D74" s="2271" t="s">
        <v>2065</v>
      </c>
      <c r="E74" s="2271" t="s">
        <v>167</v>
      </c>
      <c r="F74" s="3425">
        <v>1</v>
      </c>
      <c r="G74" s="2271"/>
    </row>
    <row r="75" spans="1:7">
      <c r="A75" s="2271">
        <v>65</v>
      </c>
      <c r="B75" s="2271">
        <v>32</v>
      </c>
      <c r="C75" s="2271" t="s">
        <v>1997</v>
      </c>
      <c r="D75" s="2271" t="s">
        <v>2065</v>
      </c>
      <c r="E75" s="2271" t="s">
        <v>167</v>
      </c>
      <c r="F75" s="3425">
        <v>1</v>
      </c>
      <c r="G75" s="2271"/>
    </row>
    <row r="76" spans="1:7">
      <c r="A76" s="2271">
        <v>66</v>
      </c>
      <c r="B76" s="2271">
        <v>33</v>
      </c>
      <c r="C76" s="2271" t="s">
        <v>1998</v>
      </c>
      <c r="D76" s="2271" t="s">
        <v>2065</v>
      </c>
      <c r="E76" s="2271" t="s">
        <v>167</v>
      </c>
      <c r="F76" s="3425">
        <v>1</v>
      </c>
      <c r="G76" s="2271"/>
    </row>
    <row r="77" spans="1:7">
      <c r="A77" s="2271">
        <v>67</v>
      </c>
      <c r="B77" s="2271">
        <v>34</v>
      </c>
      <c r="C77" s="2271" t="s">
        <v>1999</v>
      </c>
      <c r="D77" s="2271" t="s">
        <v>2065</v>
      </c>
      <c r="E77" s="2271" t="s">
        <v>167</v>
      </c>
      <c r="F77" s="3425">
        <v>1</v>
      </c>
      <c r="G77" s="2271"/>
    </row>
    <row r="78" spans="1:7">
      <c r="A78" s="2271">
        <v>68</v>
      </c>
      <c r="B78" s="2271">
        <v>35</v>
      </c>
      <c r="C78" s="2271" t="s">
        <v>2000</v>
      </c>
      <c r="D78" s="2271" t="s">
        <v>2065</v>
      </c>
      <c r="E78" s="2271" t="s">
        <v>167</v>
      </c>
      <c r="F78" s="3425">
        <v>1</v>
      </c>
      <c r="G78" s="2271"/>
    </row>
    <row r="79" spans="1:7">
      <c r="A79" s="2271">
        <v>69</v>
      </c>
      <c r="B79" s="2271">
        <v>36</v>
      </c>
      <c r="C79" s="2271" t="s">
        <v>2001</v>
      </c>
      <c r="D79" s="2271" t="s">
        <v>2065</v>
      </c>
      <c r="E79" s="2271" t="s">
        <v>167</v>
      </c>
      <c r="F79" s="3425">
        <v>1</v>
      </c>
      <c r="G79" s="2271"/>
    </row>
    <row r="80" spans="1:7">
      <c r="A80" s="2272"/>
      <c r="B80" s="2272"/>
      <c r="C80" s="2272" t="s">
        <v>2065</v>
      </c>
      <c r="D80" s="2272"/>
      <c r="E80" s="2272"/>
      <c r="F80" s="3508">
        <f>SUM(F44:F79)</f>
        <v>36</v>
      </c>
      <c r="G80" s="2272"/>
    </row>
    <row r="81" spans="1:7">
      <c r="A81" s="2271">
        <v>70</v>
      </c>
      <c r="B81" s="2271">
        <v>1</v>
      </c>
      <c r="C81" s="2271" t="s">
        <v>1489</v>
      </c>
      <c r="D81" s="2271" t="s">
        <v>2066</v>
      </c>
      <c r="E81" s="2271" t="s">
        <v>167</v>
      </c>
      <c r="F81" s="3425">
        <v>1</v>
      </c>
      <c r="G81" s="2271"/>
    </row>
    <row r="82" spans="1:7">
      <c r="A82" s="2271">
        <v>71</v>
      </c>
      <c r="B82" s="2271">
        <v>2</v>
      </c>
      <c r="C82" s="2271" t="s">
        <v>1532</v>
      </c>
      <c r="D82" s="2271" t="s">
        <v>2066</v>
      </c>
      <c r="E82" s="2271" t="s">
        <v>167</v>
      </c>
      <c r="F82" s="3425">
        <v>1</v>
      </c>
      <c r="G82" s="2271"/>
    </row>
    <row r="83" spans="1:7">
      <c r="A83" s="2271">
        <v>72</v>
      </c>
      <c r="B83" s="2271">
        <v>3</v>
      </c>
      <c r="C83" s="2271" t="s">
        <v>1691</v>
      </c>
      <c r="D83" s="2271" t="s">
        <v>2066</v>
      </c>
      <c r="E83" s="2271" t="s">
        <v>167</v>
      </c>
      <c r="F83" s="3425">
        <v>1</v>
      </c>
      <c r="G83" s="2271"/>
    </row>
    <row r="84" spans="1:7">
      <c r="A84" s="2271">
        <v>73</v>
      </c>
      <c r="B84" s="2271">
        <v>4</v>
      </c>
      <c r="C84" s="2271" t="s">
        <v>1692</v>
      </c>
      <c r="D84" s="2271" t="s">
        <v>2066</v>
      </c>
      <c r="E84" s="2271" t="s">
        <v>167</v>
      </c>
      <c r="F84" s="3425">
        <v>1</v>
      </c>
      <c r="G84" s="2271"/>
    </row>
    <row r="85" spans="1:7">
      <c r="A85" s="2271">
        <v>74</v>
      </c>
      <c r="B85" s="2271">
        <v>5</v>
      </c>
      <c r="C85" s="2271" t="s">
        <v>1693</v>
      </c>
      <c r="D85" s="2271" t="s">
        <v>2066</v>
      </c>
      <c r="E85" s="2271" t="s">
        <v>167</v>
      </c>
      <c r="F85" s="3425">
        <v>1</v>
      </c>
      <c r="G85" s="2271"/>
    </row>
    <row r="86" spans="1:7">
      <c r="A86" s="2271">
        <v>75</v>
      </c>
      <c r="B86" s="2271">
        <v>6</v>
      </c>
      <c r="C86" s="2271" t="s">
        <v>281</v>
      </c>
      <c r="D86" s="2271" t="s">
        <v>2066</v>
      </c>
      <c r="E86" s="2271" t="s">
        <v>167</v>
      </c>
      <c r="F86" s="3425">
        <v>1</v>
      </c>
      <c r="G86" s="2271"/>
    </row>
    <row r="87" spans="1:7">
      <c r="A87" s="2271">
        <v>76</v>
      </c>
      <c r="B87" s="2271">
        <v>7</v>
      </c>
      <c r="C87" s="2271" t="s">
        <v>1183</v>
      </c>
      <c r="D87" s="2271" t="s">
        <v>2066</v>
      </c>
      <c r="E87" s="2271" t="s">
        <v>167</v>
      </c>
      <c r="F87" s="3425">
        <v>1</v>
      </c>
      <c r="G87" s="2271"/>
    </row>
    <row r="88" spans="1:7">
      <c r="A88" s="2271">
        <v>77</v>
      </c>
      <c r="B88" s="2271">
        <v>8</v>
      </c>
      <c r="C88" s="2271" t="s">
        <v>1184</v>
      </c>
      <c r="D88" s="2271" t="s">
        <v>2066</v>
      </c>
      <c r="E88" s="2271" t="s">
        <v>167</v>
      </c>
      <c r="F88" s="3425">
        <v>1</v>
      </c>
      <c r="G88" s="2271"/>
    </row>
    <row r="89" spans="1:7">
      <c r="A89" s="2271">
        <v>78</v>
      </c>
      <c r="B89" s="2271">
        <v>9</v>
      </c>
      <c r="C89" s="2271" t="s">
        <v>1615</v>
      </c>
      <c r="D89" s="2271" t="s">
        <v>2066</v>
      </c>
      <c r="E89" s="2271" t="s">
        <v>167</v>
      </c>
      <c r="F89" s="3425">
        <v>1</v>
      </c>
      <c r="G89" s="2271"/>
    </row>
    <row r="90" spans="1:7">
      <c r="A90" s="2271">
        <v>79</v>
      </c>
      <c r="B90" s="2271">
        <v>10</v>
      </c>
      <c r="C90" s="2271" t="s">
        <v>1490</v>
      </c>
      <c r="D90" s="2271" t="s">
        <v>2066</v>
      </c>
      <c r="E90" s="2271" t="s">
        <v>167</v>
      </c>
      <c r="F90" s="3425">
        <v>1</v>
      </c>
      <c r="G90" s="2271"/>
    </row>
    <row r="91" spans="1:7">
      <c r="A91" s="2271">
        <v>80</v>
      </c>
      <c r="B91" s="2271">
        <v>11</v>
      </c>
      <c r="C91" s="2271" t="s">
        <v>1491</v>
      </c>
      <c r="D91" s="2271" t="s">
        <v>2066</v>
      </c>
      <c r="E91" s="2271" t="s">
        <v>167</v>
      </c>
      <c r="F91" s="3425">
        <v>1</v>
      </c>
      <c r="G91" s="2271"/>
    </row>
    <row r="92" spans="1:7">
      <c r="A92" s="2271">
        <v>81</v>
      </c>
      <c r="B92" s="2271">
        <v>12</v>
      </c>
      <c r="C92" s="2271" t="s">
        <v>1492</v>
      </c>
      <c r="D92" s="2271" t="s">
        <v>2066</v>
      </c>
      <c r="E92" s="2271" t="s">
        <v>167</v>
      </c>
      <c r="F92" s="3425">
        <v>1</v>
      </c>
      <c r="G92" s="2271"/>
    </row>
    <row r="93" spans="1:7">
      <c r="A93" s="2271">
        <v>82</v>
      </c>
      <c r="B93" s="2271">
        <v>13</v>
      </c>
      <c r="C93" s="2271" t="s">
        <v>1694</v>
      </c>
      <c r="D93" s="2271" t="s">
        <v>2066</v>
      </c>
      <c r="E93" s="2271" t="s">
        <v>167</v>
      </c>
      <c r="F93" s="3425">
        <v>1</v>
      </c>
      <c r="G93" s="2271"/>
    </row>
    <row r="94" spans="1:7">
      <c r="A94" s="2271">
        <v>83</v>
      </c>
      <c r="B94" s="2271">
        <v>14</v>
      </c>
      <c r="C94" s="2271" t="s">
        <v>1616</v>
      </c>
      <c r="D94" s="2271" t="s">
        <v>2066</v>
      </c>
      <c r="E94" s="2271" t="s">
        <v>167</v>
      </c>
      <c r="F94" s="3425">
        <v>1</v>
      </c>
      <c r="G94" s="2271"/>
    </row>
    <row r="95" spans="1:7">
      <c r="A95" s="2271">
        <v>84</v>
      </c>
      <c r="B95" s="2271">
        <v>15</v>
      </c>
      <c r="C95" s="2271" t="s">
        <v>1229</v>
      </c>
      <c r="D95" s="2271" t="s">
        <v>2066</v>
      </c>
      <c r="E95" s="2271" t="s">
        <v>167</v>
      </c>
      <c r="F95" s="3425">
        <v>1</v>
      </c>
      <c r="G95" s="2271"/>
    </row>
    <row r="96" spans="1:7">
      <c r="A96" s="2271">
        <v>85</v>
      </c>
      <c r="B96" s="2271">
        <v>16</v>
      </c>
      <c r="C96" s="2271" t="s">
        <v>1494</v>
      </c>
      <c r="D96" s="2271" t="s">
        <v>2066</v>
      </c>
      <c r="E96" s="2271" t="s">
        <v>167</v>
      </c>
      <c r="F96" s="3425">
        <v>1</v>
      </c>
      <c r="G96" s="2271"/>
    </row>
    <row r="97" spans="1:7">
      <c r="A97" s="2271">
        <v>86</v>
      </c>
      <c r="B97" s="2271">
        <v>17</v>
      </c>
      <c r="C97" s="2271" t="s">
        <v>243</v>
      </c>
      <c r="D97" s="2271" t="s">
        <v>2066</v>
      </c>
      <c r="E97" s="2271" t="s">
        <v>167</v>
      </c>
      <c r="F97" s="3425">
        <v>1</v>
      </c>
      <c r="G97" s="2271"/>
    </row>
    <row r="98" spans="1:7">
      <c r="A98" s="2271">
        <v>87</v>
      </c>
      <c r="B98" s="2271">
        <v>18</v>
      </c>
      <c r="C98" s="2271" t="s">
        <v>1533</v>
      </c>
      <c r="D98" s="2271" t="s">
        <v>2066</v>
      </c>
      <c r="E98" s="2271" t="s">
        <v>167</v>
      </c>
      <c r="F98" s="3425">
        <v>1</v>
      </c>
      <c r="G98" s="2271"/>
    </row>
    <row r="99" spans="1:7">
      <c r="A99" s="2271">
        <v>88</v>
      </c>
      <c r="B99" s="2271">
        <v>19</v>
      </c>
      <c r="C99" s="2271" t="s">
        <v>1534</v>
      </c>
      <c r="D99" s="2271" t="s">
        <v>2066</v>
      </c>
      <c r="E99" s="2271" t="s">
        <v>167</v>
      </c>
      <c r="F99" s="3425">
        <v>1</v>
      </c>
      <c r="G99" s="2271"/>
    </row>
    <row r="100" spans="1:7">
      <c r="A100" s="2271">
        <v>89</v>
      </c>
      <c r="B100" s="2271">
        <v>20</v>
      </c>
      <c r="C100" s="2271" t="s">
        <v>1695</v>
      </c>
      <c r="D100" s="2271" t="s">
        <v>2066</v>
      </c>
      <c r="E100" s="2271" t="s">
        <v>167</v>
      </c>
      <c r="F100" s="3425">
        <v>1</v>
      </c>
      <c r="G100" s="2271"/>
    </row>
    <row r="101" spans="1:7">
      <c r="A101" s="2271">
        <v>90</v>
      </c>
      <c r="B101" s="2271">
        <v>21</v>
      </c>
      <c r="C101" s="2271" t="s">
        <v>1535</v>
      </c>
      <c r="D101" s="2271" t="s">
        <v>2066</v>
      </c>
      <c r="E101" s="2271" t="s">
        <v>167</v>
      </c>
      <c r="F101" s="3425">
        <v>1</v>
      </c>
      <c r="G101" s="2271"/>
    </row>
    <row r="102" spans="1:7">
      <c r="A102" s="2271">
        <v>91</v>
      </c>
      <c r="B102" s="2271">
        <v>22</v>
      </c>
      <c r="C102" s="2271" t="s">
        <v>1696</v>
      </c>
      <c r="D102" s="2271" t="s">
        <v>2066</v>
      </c>
      <c r="E102" s="2271" t="s">
        <v>167</v>
      </c>
      <c r="F102" s="3425">
        <v>1</v>
      </c>
      <c r="G102" s="2271"/>
    </row>
    <row r="103" spans="1:7">
      <c r="A103" s="2271">
        <v>92</v>
      </c>
      <c r="B103" s="2271">
        <v>23</v>
      </c>
      <c r="C103" s="2271" t="s">
        <v>1495</v>
      </c>
      <c r="D103" s="2271" t="s">
        <v>2066</v>
      </c>
      <c r="E103" s="2271" t="s">
        <v>167</v>
      </c>
      <c r="F103" s="3425">
        <v>1</v>
      </c>
      <c r="G103" s="2271"/>
    </row>
    <row r="104" spans="1:7">
      <c r="A104" s="2271">
        <v>93</v>
      </c>
      <c r="B104" s="2271">
        <v>24</v>
      </c>
      <c r="C104" s="2271" t="s">
        <v>1496</v>
      </c>
      <c r="D104" s="2271" t="s">
        <v>2066</v>
      </c>
      <c r="E104" s="2271" t="s">
        <v>167</v>
      </c>
      <c r="F104" s="3425">
        <v>1</v>
      </c>
      <c r="G104" s="2271"/>
    </row>
    <row r="105" spans="1:7">
      <c r="A105" s="2271">
        <v>94</v>
      </c>
      <c r="B105" s="2271">
        <v>25</v>
      </c>
      <c r="C105" s="2271" t="s">
        <v>1697</v>
      </c>
      <c r="D105" s="2271" t="s">
        <v>2066</v>
      </c>
      <c r="E105" s="2271" t="s">
        <v>167</v>
      </c>
      <c r="F105" s="3425">
        <v>1</v>
      </c>
      <c r="G105" s="2271"/>
    </row>
    <row r="106" spans="1:7">
      <c r="A106" s="2271">
        <v>95</v>
      </c>
      <c r="B106" s="2271">
        <v>26</v>
      </c>
      <c r="C106" s="2271" t="s">
        <v>1698</v>
      </c>
      <c r="D106" s="2271" t="s">
        <v>2066</v>
      </c>
      <c r="E106" s="2271" t="s">
        <v>167</v>
      </c>
      <c r="F106" s="3425">
        <v>1</v>
      </c>
      <c r="G106" s="2271"/>
    </row>
    <row r="107" spans="1:7">
      <c r="A107" s="2271">
        <v>96</v>
      </c>
      <c r="B107" s="2271">
        <v>27</v>
      </c>
      <c r="C107" s="2271" t="s">
        <v>1699</v>
      </c>
      <c r="D107" s="2271" t="s">
        <v>2066</v>
      </c>
      <c r="E107" s="2271" t="s">
        <v>167</v>
      </c>
      <c r="F107" s="3425">
        <v>1</v>
      </c>
      <c r="G107" s="2271"/>
    </row>
    <row r="108" spans="1:7">
      <c r="A108" s="2271">
        <v>97</v>
      </c>
      <c r="B108" s="2271">
        <v>28</v>
      </c>
      <c r="C108" s="2271" t="s">
        <v>1700</v>
      </c>
      <c r="D108" s="2271" t="s">
        <v>2066</v>
      </c>
      <c r="E108" s="2271" t="s">
        <v>167</v>
      </c>
      <c r="F108" s="3425">
        <v>1</v>
      </c>
      <c r="G108" s="2271"/>
    </row>
    <row r="109" spans="1:7">
      <c r="A109" s="2271">
        <v>98</v>
      </c>
      <c r="B109" s="2271">
        <v>29</v>
      </c>
      <c r="C109" s="2271" t="s">
        <v>1701</v>
      </c>
      <c r="D109" s="2271" t="s">
        <v>2066</v>
      </c>
      <c r="E109" s="2271" t="s">
        <v>167</v>
      </c>
      <c r="F109" s="3425">
        <v>1</v>
      </c>
      <c r="G109" s="2271"/>
    </row>
    <row r="110" spans="1:7">
      <c r="A110" s="2271">
        <v>99</v>
      </c>
      <c r="B110" s="2271">
        <v>30</v>
      </c>
      <c r="C110" s="2271" t="s">
        <v>1702</v>
      </c>
      <c r="D110" s="2271" t="s">
        <v>2066</v>
      </c>
      <c r="E110" s="2271" t="s">
        <v>167</v>
      </c>
      <c r="F110" s="3425">
        <v>1</v>
      </c>
      <c r="G110" s="2271"/>
    </row>
    <row r="111" spans="1:7">
      <c r="A111" s="2271">
        <v>100</v>
      </c>
      <c r="B111" s="2271">
        <v>31</v>
      </c>
      <c r="C111" s="2271" t="s">
        <v>1536</v>
      </c>
      <c r="D111" s="2271" t="s">
        <v>2066</v>
      </c>
      <c r="E111" s="2271" t="s">
        <v>167</v>
      </c>
      <c r="F111" s="3425">
        <v>1</v>
      </c>
      <c r="G111" s="2271"/>
    </row>
    <row r="112" spans="1:7">
      <c r="A112" s="2271">
        <v>101</v>
      </c>
      <c r="B112" s="2271">
        <v>32</v>
      </c>
      <c r="C112" s="2271" t="s">
        <v>1703</v>
      </c>
      <c r="D112" s="2271" t="s">
        <v>2066</v>
      </c>
      <c r="E112" s="2271" t="s">
        <v>167</v>
      </c>
      <c r="F112" s="3425">
        <v>1</v>
      </c>
      <c r="G112" s="2271"/>
    </row>
    <row r="113" spans="1:7">
      <c r="A113" s="2271">
        <v>102</v>
      </c>
      <c r="B113" s="2271">
        <v>33</v>
      </c>
      <c r="C113" s="2271" t="s">
        <v>1500</v>
      </c>
      <c r="D113" s="2271" t="s">
        <v>2066</v>
      </c>
      <c r="E113" s="2271" t="s">
        <v>167</v>
      </c>
      <c r="F113" s="3425">
        <v>1</v>
      </c>
      <c r="G113" s="2271"/>
    </row>
    <row r="114" spans="1:7">
      <c r="A114" s="2271">
        <v>103</v>
      </c>
      <c r="B114" s="2271">
        <v>34</v>
      </c>
      <c r="C114" s="2271" t="s">
        <v>1704</v>
      </c>
      <c r="D114" s="2271" t="s">
        <v>2066</v>
      </c>
      <c r="E114" s="2271" t="s">
        <v>167</v>
      </c>
      <c r="F114" s="3425">
        <v>1</v>
      </c>
      <c r="G114" s="2271"/>
    </row>
    <row r="115" spans="1:7">
      <c r="A115" s="2271">
        <v>104</v>
      </c>
      <c r="B115" s="2271">
        <v>35</v>
      </c>
      <c r="C115" s="2271" t="s">
        <v>1504</v>
      </c>
      <c r="D115" s="2271" t="s">
        <v>2066</v>
      </c>
      <c r="E115" s="2271" t="s">
        <v>167</v>
      </c>
      <c r="F115" s="3425">
        <v>1</v>
      </c>
      <c r="G115" s="2271"/>
    </row>
    <row r="116" spans="1:7">
      <c r="A116" s="2271">
        <v>105</v>
      </c>
      <c r="B116" s="2271">
        <v>36</v>
      </c>
      <c r="C116" s="2271" t="s">
        <v>1537</v>
      </c>
      <c r="D116" s="2271" t="s">
        <v>2066</v>
      </c>
      <c r="E116" s="2271" t="s">
        <v>167</v>
      </c>
      <c r="F116" s="3425">
        <v>1</v>
      </c>
      <c r="G116" s="2271"/>
    </row>
    <row r="117" spans="1:7">
      <c r="A117" s="2271">
        <v>106</v>
      </c>
      <c r="B117" s="2271">
        <v>37</v>
      </c>
      <c r="C117" s="2271" t="s">
        <v>1501</v>
      </c>
      <c r="D117" s="2271" t="s">
        <v>2066</v>
      </c>
      <c r="E117" s="2271" t="s">
        <v>167</v>
      </c>
      <c r="F117" s="3425">
        <v>1</v>
      </c>
      <c r="G117" s="2271"/>
    </row>
    <row r="118" spans="1:7">
      <c r="A118" s="2271">
        <v>107</v>
      </c>
      <c r="B118" s="2271">
        <v>38</v>
      </c>
      <c r="C118" s="2271" t="s">
        <v>1502</v>
      </c>
      <c r="D118" s="2271" t="s">
        <v>2066</v>
      </c>
      <c r="E118" s="2271" t="s">
        <v>167</v>
      </c>
      <c r="F118" s="3425">
        <v>1</v>
      </c>
      <c r="G118" s="2271"/>
    </row>
    <row r="119" spans="1:7">
      <c r="A119" s="2271">
        <v>108</v>
      </c>
      <c r="B119" s="2271">
        <v>39</v>
      </c>
      <c r="C119" s="2271" t="s">
        <v>1705</v>
      </c>
      <c r="D119" s="2271" t="s">
        <v>2066</v>
      </c>
      <c r="E119" s="2271" t="s">
        <v>167</v>
      </c>
      <c r="F119" s="3425">
        <v>1</v>
      </c>
      <c r="G119" s="2271"/>
    </row>
    <row r="120" spans="1:7">
      <c r="A120" s="2271">
        <v>109</v>
      </c>
      <c r="B120" s="2271">
        <v>40</v>
      </c>
      <c r="C120" s="2271" t="s">
        <v>1706</v>
      </c>
      <c r="D120" s="2271" t="s">
        <v>2066</v>
      </c>
      <c r="E120" s="2271" t="s">
        <v>167</v>
      </c>
      <c r="F120" s="3425">
        <v>1</v>
      </c>
      <c r="G120" s="2271"/>
    </row>
    <row r="121" spans="1:7">
      <c r="A121" s="2271">
        <v>110</v>
      </c>
      <c r="B121" s="2271">
        <v>41</v>
      </c>
      <c r="C121" s="2271" t="s">
        <v>1707</v>
      </c>
      <c r="D121" s="2271" t="s">
        <v>2066</v>
      </c>
      <c r="E121" s="2271" t="s">
        <v>167</v>
      </c>
      <c r="F121" s="3425">
        <v>1</v>
      </c>
      <c r="G121" s="2271"/>
    </row>
    <row r="122" spans="1:7">
      <c r="A122" s="2271">
        <v>111</v>
      </c>
      <c r="B122" s="2271">
        <v>42</v>
      </c>
      <c r="C122" s="2271" t="s">
        <v>1708</v>
      </c>
      <c r="D122" s="2271" t="s">
        <v>2066</v>
      </c>
      <c r="E122" s="2271" t="s">
        <v>167</v>
      </c>
      <c r="F122" s="3425">
        <v>1</v>
      </c>
      <c r="G122" s="2271"/>
    </row>
    <row r="123" spans="1:7">
      <c r="A123" s="2271">
        <v>112</v>
      </c>
      <c r="B123" s="2271">
        <v>43</v>
      </c>
      <c r="C123" s="2271" t="s">
        <v>1505</v>
      </c>
      <c r="D123" s="2271" t="s">
        <v>2066</v>
      </c>
      <c r="E123" s="2271" t="s">
        <v>167</v>
      </c>
      <c r="F123" s="3425">
        <v>1</v>
      </c>
      <c r="G123" s="2271"/>
    </row>
    <row r="124" spans="1:7">
      <c r="A124" s="2271">
        <v>113</v>
      </c>
      <c r="B124" s="2271">
        <v>44</v>
      </c>
      <c r="C124" s="2271" t="s">
        <v>1075</v>
      </c>
      <c r="D124" s="2271" t="s">
        <v>2066</v>
      </c>
      <c r="E124" s="2271" t="s">
        <v>167</v>
      </c>
      <c r="F124" s="3425">
        <v>1</v>
      </c>
      <c r="G124" s="2271"/>
    </row>
    <row r="125" spans="1:7">
      <c r="A125" s="2271">
        <v>114</v>
      </c>
      <c r="B125" s="2271">
        <v>45</v>
      </c>
      <c r="C125" s="2271" t="s">
        <v>1506</v>
      </c>
      <c r="D125" s="2271" t="s">
        <v>2066</v>
      </c>
      <c r="E125" s="2271" t="s">
        <v>167</v>
      </c>
      <c r="F125" s="3425">
        <v>1</v>
      </c>
      <c r="G125" s="2271"/>
    </row>
    <row r="126" spans="1:7">
      <c r="A126" s="2271">
        <v>115</v>
      </c>
      <c r="B126" s="2271">
        <v>46</v>
      </c>
      <c r="C126" s="2271" t="s">
        <v>1622</v>
      </c>
      <c r="D126" s="2271" t="s">
        <v>2066</v>
      </c>
      <c r="E126" s="2271" t="s">
        <v>167</v>
      </c>
      <c r="F126" s="3425">
        <v>1</v>
      </c>
      <c r="G126" s="2271"/>
    </row>
    <row r="127" spans="1:7">
      <c r="A127" s="2271">
        <v>116</v>
      </c>
      <c r="B127" s="2271">
        <v>47</v>
      </c>
      <c r="C127" s="2271" t="s">
        <v>1507</v>
      </c>
      <c r="D127" s="2271" t="s">
        <v>2066</v>
      </c>
      <c r="E127" s="2271" t="s">
        <v>167</v>
      </c>
      <c r="F127" s="3425">
        <v>1</v>
      </c>
      <c r="G127" s="2271"/>
    </row>
    <row r="128" spans="1:7">
      <c r="A128" s="2271">
        <v>117</v>
      </c>
      <c r="B128" s="2271">
        <v>48</v>
      </c>
      <c r="C128" s="2271" t="s">
        <v>1538</v>
      </c>
      <c r="D128" s="2271" t="s">
        <v>2066</v>
      </c>
      <c r="E128" s="2271" t="s">
        <v>167</v>
      </c>
      <c r="F128" s="3425">
        <v>1</v>
      </c>
      <c r="G128" s="2271"/>
    </row>
    <row r="129" spans="1:7">
      <c r="A129" s="2271">
        <v>118</v>
      </c>
      <c r="B129" s="2271">
        <v>49</v>
      </c>
      <c r="C129" s="2271" t="s">
        <v>1539</v>
      </c>
      <c r="D129" s="2271" t="s">
        <v>2066</v>
      </c>
      <c r="E129" s="2271" t="s">
        <v>167</v>
      </c>
      <c r="F129" s="3425">
        <v>1</v>
      </c>
      <c r="G129" s="2271"/>
    </row>
    <row r="130" spans="1:7">
      <c r="A130" s="2271">
        <v>119</v>
      </c>
      <c r="B130" s="2271">
        <v>50</v>
      </c>
      <c r="C130" s="2271" t="s">
        <v>1508</v>
      </c>
      <c r="D130" s="2271" t="s">
        <v>2066</v>
      </c>
      <c r="E130" s="2271" t="s">
        <v>167</v>
      </c>
      <c r="F130" s="3425">
        <v>1</v>
      </c>
      <c r="G130" s="2271"/>
    </row>
    <row r="131" spans="1:7">
      <c r="A131" s="2271">
        <v>120</v>
      </c>
      <c r="B131" s="2271">
        <v>51</v>
      </c>
      <c r="C131" s="2271" t="s">
        <v>1540</v>
      </c>
      <c r="D131" s="2271" t="s">
        <v>2066</v>
      </c>
      <c r="E131" s="2271" t="s">
        <v>167</v>
      </c>
      <c r="F131" s="3425">
        <v>1</v>
      </c>
      <c r="G131" s="2271"/>
    </row>
    <row r="132" spans="1:7">
      <c r="A132" s="2271">
        <v>121</v>
      </c>
      <c r="B132" s="2271">
        <v>52</v>
      </c>
      <c r="C132" s="2271" t="s">
        <v>1709</v>
      </c>
      <c r="D132" s="2271" t="s">
        <v>2066</v>
      </c>
      <c r="E132" s="2271" t="s">
        <v>167</v>
      </c>
      <c r="F132" s="3425">
        <v>1</v>
      </c>
      <c r="G132" s="2271"/>
    </row>
    <row r="133" spans="1:7">
      <c r="A133" s="2271">
        <v>122</v>
      </c>
      <c r="B133" s="2271">
        <v>53</v>
      </c>
      <c r="C133" s="2271" t="s">
        <v>1710</v>
      </c>
      <c r="D133" s="2271" t="s">
        <v>2066</v>
      </c>
      <c r="E133" s="2271" t="s">
        <v>167</v>
      </c>
      <c r="F133" s="3425">
        <v>1</v>
      </c>
      <c r="G133" s="2271"/>
    </row>
    <row r="134" spans="1:7">
      <c r="A134" s="2271">
        <v>123</v>
      </c>
      <c r="B134" s="2271">
        <v>54</v>
      </c>
      <c r="C134" s="2271" t="s">
        <v>1201</v>
      </c>
      <c r="D134" s="2271" t="s">
        <v>2066</v>
      </c>
      <c r="E134" s="2271" t="s">
        <v>167</v>
      </c>
      <c r="F134" s="3425">
        <v>1</v>
      </c>
      <c r="G134" s="2271"/>
    </row>
    <row r="135" spans="1:7">
      <c r="A135" s="2271">
        <v>124</v>
      </c>
      <c r="B135" s="2271">
        <v>55</v>
      </c>
      <c r="C135" s="2271" t="s">
        <v>1711</v>
      </c>
      <c r="D135" s="2271" t="s">
        <v>2066</v>
      </c>
      <c r="E135" s="2271" t="s">
        <v>167</v>
      </c>
      <c r="F135" s="3425">
        <v>1</v>
      </c>
      <c r="G135" s="2271"/>
    </row>
    <row r="136" spans="1:7">
      <c r="A136" s="2271">
        <v>125</v>
      </c>
      <c r="B136" s="2271">
        <v>56</v>
      </c>
      <c r="C136" s="2271" t="s">
        <v>1624</v>
      </c>
      <c r="D136" s="2271" t="s">
        <v>2066</v>
      </c>
      <c r="E136" s="2271" t="s">
        <v>167</v>
      </c>
      <c r="F136" s="3425">
        <v>1</v>
      </c>
      <c r="G136" s="2271"/>
    </row>
    <row r="137" spans="1:7">
      <c r="A137" s="2271">
        <v>126</v>
      </c>
      <c r="B137" s="2271">
        <v>57</v>
      </c>
      <c r="C137" s="2271" t="s">
        <v>1625</v>
      </c>
      <c r="D137" s="2271" t="s">
        <v>2066</v>
      </c>
      <c r="E137" s="2271" t="s">
        <v>167</v>
      </c>
      <c r="F137" s="3425">
        <v>1</v>
      </c>
      <c r="G137" s="2271"/>
    </row>
    <row r="138" spans="1:7">
      <c r="A138" s="2271">
        <v>127</v>
      </c>
      <c r="B138" s="2271">
        <v>58</v>
      </c>
      <c r="C138" s="2271" t="s">
        <v>1968</v>
      </c>
      <c r="D138" s="2271" t="s">
        <v>2066</v>
      </c>
      <c r="E138" s="2271" t="s">
        <v>167</v>
      </c>
      <c r="F138" s="3425">
        <v>1</v>
      </c>
      <c r="G138" s="2271"/>
    </row>
    <row r="139" spans="1:7">
      <c r="A139" s="2271">
        <v>128</v>
      </c>
      <c r="B139" s="2271">
        <v>59</v>
      </c>
      <c r="C139" s="2271" t="s">
        <v>1969</v>
      </c>
      <c r="D139" s="2271" t="s">
        <v>2066</v>
      </c>
      <c r="E139" s="2271" t="s">
        <v>167</v>
      </c>
      <c r="F139" s="3425">
        <v>1</v>
      </c>
      <c r="G139" s="2271"/>
    </row>
    <row r="140" spans="1:7">
      <c r="A140" s="2271">
        <v>129</v>
      </c>
      <c r="B140" s="2271">
        <v>60</v>
      </c>
      <c r="C140" s="2271" t="s">
        <v>1712</v>
      </c>
      <c r="D140" s="2271" t="s">
        <v>2066</v>
      </c>
      <c r="E140" s="2271" t="s">
        <v>167</v>
      </c>
      <c r="F140" s="3425">
        <v>1</v>
      </c>
      <c r="G140" s="2271"/>
    </row>
    <row r="141" spans="1:7">
      <c r="A141" s="2271">
        <v>130</v>
      </c>
      <c r="B141" s="2271">
        <v>61</v>
      </c>
      <c r="C141" s="2271" t="s">
        <v>1713</v>
      </c>
      <c r="D141" s="2271" t="s">
        <v>2066</v>
      </c>
      <c r="E141" s="2271" t="s">
        <v>167</v>
      </c>
      <c r="F141" s="3425">
        <v>1</v>
      </c>
      <c r="G141" s="2271"/>
    </row>
    <row r="142" spans="1:7">
      <c r="A142" s="2271">
        <v>131</v>
      </c>
      <c r="B142" s="2271">
        <v>62</v>
      </c>
      <c r="C142" s="2271" t="s">
        <v>523</v>
      </c>
      <c r="D142" s="2271" t="s">
        <v>2066</v>
      </c>
      <c r="E142" s="2271" t="s">
        <v>167</v>
      </c>
      <c r="F142" s="3425">
        <v>1</v>
      </c>
      <c r="G142" s="2271"/>
    </row>
    <row r="143" spans="1:7">
      <c r="A143" s="2272"/>
      <c r="B143" s="2272"/>
      <c r="C143" s="2272" t="s">
        <v>2066</v>
      </c>
      <c r="D143" s="2272"/>
      <c r="E143" s="2272"/>
      <c r="F143" s="3508">
        <f>SUM(F81:F142)</f>
        <v>62</v>
      </c>
      <c r="G143" s="2272"/>
    </row>
    <row r="144" spans="1:7">
      <c r="A144" s="2271">
        <v>132</v>
      </c>
      <c r="B144" s="2271">
        <v>1</v>
      </c>
      <c r="C144" s="2271" t="s">
        <v>1511</v>
      </c>
      <c r="D144" s="2271" t="s">
        <v>1865</v>
      </c>
      <c r="E144" s="2271" t="s">
        <v>167</v>
      </c>
      <c r="F144" s="3425">
        <v>1</v>
      </c>
      <c r="G144" s="2271"/>
    </row>
    <row r="145" spans="1:7">
      <c r="A145" s="2271">
        <v>133</v>
      </c>
      <c r="B145" s="2271">
        <v>2</v>
      </c>
      <c r="C145" s="2271" t="s">
        <v>1268</v>
      </c>
      <c r="D145" s="2271" t="s">
        <v>1865</v>
      </c>
      <c r="E145" s="2271" t="s">
        <v>167</v>
      </c>
      <c r="F145" s="3425">
        <v>1</v>
      </c>
      <c r="G145" s="2271"/>
    </row>
    <row r="146" spans="1:7">
      <c r="A146" s="2271">
        <v>134</v>
      </c>
      <c r="B146" s="2271">
        <v>3</v>
      </c>
      <c r="C146" s="2271" t="s">
        <v>847</v>
      </c>
      <c r="D146" s="2271" t="s">
        <v>1865</v>
      </c>
      <c r="E146" s="2271" t="s">
        <v>167</v>
      </c>
      <c r="F146" s="3425">
        <v>1</v>
      </c>
      <c r="G146" s="2271"/>
    </row>
    <row r="147" spans="1:7">
      <c r="A147" s="2271">
        <v>135</v>
      </c>
      <c r="B147" s="2271">
        <v>4</v>
      </c>
      <c r="C147" s="2271" t="s">
        <v>1205</v>
      </c>
      <c r="D147" s="2271" t="s">
        <v>1865</v>
      </c>
      <c r="E147" s="2271" t="s">
        <v>167</v>
      </c>
      <c r="F147" s="3425">
        <v>1</v>
      </c>
      <c r="G147" s="2271"/>
    </row>
    <row r="148" spans="1:7">
      <c r="A148" s="2271">
        <v>136</v>
      </c>
      <c r="B148" s="2271">
        <v>5</v>
      </c>
      <c r="C148" s="2271" t="s">
        <v>1206</v>
      </c>
      <c r="D148" s="2271" t="s">
        <v>1865</v>
      </c>
      <c r="E148" s="2271" t="s">
        <v>167</v>
      </c>
      <c r="F148" s="3425">
        <v>1</v>
      </c>
      <c r="G148" s="2271"/>
    </row>
    <row r="149" spans="1:7">
      <c r="A149" s="2271">
        <v>137</v>
      </c>
      <c r="B149" s="2271">
        <v>6</v>
      </c>
      <c r="C149" s="2271" t="s">
        <v>1207</v>
      </c>
      <c r="D149" s="2271" t="s">
        <v>1865</v>
      </c>
      <c r="E149" s="2271" t="s">
        <v>167</v>
      </c>
      <c r="F149" s="3425">
        <v>1</v>
      </c>
      <c r="G149" s="2271"/>
    </row>
    <row r="150" spans="1:7">
      <c r="A150" s="2271">
        <v>138</v>
      </c>
      <c r="B150" s="2271">
        <v>7</v>
      </c>
      <c r="C150" s="2271" t="s">
        <v>567</v>
      </c>
      <c r="D150" s="2271" t="s">
        <v>1865</v>
      </c>
      <c r="E150" s="2271" t="s">
        <v>167</v>
      </c>
      <c r="F150" s="3425">
        <v>1</v>
      </c>
      <c r="G150" s="2271"/>
    </row>
    <row r="151" spans="1:7">
      <c r="A151" s="2271">
        <v>139</v>
      </c>
      <c r="B151" s="2271">
        <v>8</v>
      </c>
      <c r="C151" s="2271" t="s">
        <v>1512</v>
      </c>
      <c r="D151" s="2271" t="s">
        <v>1865</v>
      </c>
      <c r="E151" s="2271" t="s">
        <v>167</v>
      </c>
      <c r="F151" s="3425">
        <v>1</v>
      </c>
      <c r="G151" s="2271"/>
    </row>
    <row r="152" spans="1:7">
      <c r="A152" s="2271">
        <v>140</v>
      </c>
      <c r="B152" s="2271">
        <v>9</v>
      </c>
      <c r="C152" s="2271" t="s">
        <v>1210</v>
      </c>
      <c r="D152" s="2271" t="s">
        <v>1865</v>
      </c>
      <c r="E152" s="2271" t="s">
        <v>167</v>
      </c>
      <c r="F152" s="3425">
        <v>1</v>
      </c>
      <c r="G152" s="2271"/>
    </row>
    <row r="153" spans="1:7">
      <c r="A153" s="2271">
        <v>141</v>
      </c>
      <c r="B153" s="2271">
        <v>10</v>
      </c>
      <c r="C153" s="2271" t="s">
        <v>1541</v>
      </c>
      <c r="D153" s="2271" t="s">
        <v>1865</v>
      </c>
      <c r="E153" s="2271" t="s">
        <v>167</v>
      </c>
      <c r="F153" s="3425">
        <v>1</v>
      </c>
      <c r="G153" s="2271"/>
    </row>
    <row r="154" spans="1:7">
      <c r="A154" s="2271">
        <v>142</v>
      </c>
      <c r="B154" s="2271">
        <v>11</v>
      </c>
      <c r="C154" s="2271" t="s">
        <v>1513</v>
      </c>
      <c r="D154" s="2271" t="s">
        <v>1865</v>
      </c>
      <c r="E154" s="2271" t="s">
        <v>167</v>
      </c>
      <c r="F154" s="3425">
        <v>1</v>
      </c>
      <c r="G154" s="2271"/>
    </row>
    <row r="155" spans="1:7">
      <c r="A155" s="2271">
        <v>143</v>
      </c>
      <c r="B155" s="2271">
        <v>12</v>
      </c>
      <c r="C155" s="2271" t="s">
        <v>1514</v>
      </c>
      <c r="D155" s="2271" t="s">
        <v>1865</v>
      </c>
      <c r="E155" s="2271" t="s">
        <v>167</v>
      </c>
      <c r="F155" s="3425">
        <v>1</v>
      </c>
      <c r="G155" s="2271"/>
    </row>
    <row r="156" spans="1:7">
      <c r="A156" s="2271">
        <v>144</v>
      </c>
      <c r="B156" s="2271">
        <v>13</v>
      </c>
      <c r="C156" s="2271" t="s">
        <v>1303</v>
      </c>
      <c r="D156" s="2271" t="s">
        <v>1865</v>
      </c>
      <c r="E156" s="2271" t="s">
        <v>167</v>
      </c>
      <c r="F156" s="3425">
        <v>1</v>
      </c>
      <c r="G156" s="2271"/>
    </row>
    <row r="157" spans="1:7">
      <c r="A157" s="2271">
        <v>145</v>
      </c>
      <c r="B157" s="2271">
        <v>14</v>
      </c>
      <c r="C157" s="2271" t="s">
        <v>850</v>
      </c>
      <c r="D157" s="2271" t="s">
        <v>1865</v>
      </c>
      <c r="E157" s="2271" t="s">
        <v>167</v>
      </c>
      <c r="F157" s="3425">
        <v>1</v>
      </c>
      <c r="G157" s="2271"/>
    </row>
    <row r="158" spans="1:7">
      <c r="A158" s="2271">
        <v>146</v>
      </c>
      <c r="B158" s="2271">
        <v>15</v>
      </c>
      <c r="C158" s="2271" t="s">
        <v>1515</v>
      </c>
      <c r="D158" s="2271" t="s">
        <v>1865</v>
      </c>
      <c r="E158" s="2271" t="s">
        <v>167</v>
      </c>
      <c r="F158" s="3425">
        <v>1</v>
      </c>
      <c r="G158" s="2271"/>
    </row>
    <row r="159" spans="1:7">
      <c r="A159" s="2271">
        <v>147</v>
      </c>
      <c r="B159" s="2271">
        <v>16</v>
      </c>
      <c r="C159" s="2271" t="s">
        <v>1516</v>
      </c>
      <c r="D159" s="2271" t="s">
        <v>1865</v>
      </c>
      <c r="E159" s="2271" t="s">
        <v>167</v>
      </c>
      <c r="F159" s="3425">
        <v>1</v>
      </c>
      <c r="G159" s="2271"/>
    </row>
    <row r="160" spans="1:7">
      <c r="A160" s="2271">
        <v>148</v>
      </c>
      <c r="B160" s="2271">
        <v>17</v>
      </c>
      <c r="C160" s="2271" t="s">
        <v>288</v>
      </c>
      <c r="D160" s="2271" t="s">
        <v>1865</v>
      </c>
      <c r="E160" s="2271" t="s">
        <v>167</v>
      </c>
      <c r="F160" s="3425">
        <v>1</v>
      </c>
      <c r="G160" s="2271"/>
    </row>
    <row r="161" spans="1:7">
      <c r="A161" s="2271">
        <v>149</v>
      </c>
      <c r="B161" s="2271">
        <v>18</v>
      </c>
      <c r="C161" s="2271" t="s">
        <v>1215</v>
      </c>
      <c r="D161" s="2271" t="s">
        <v>1865</v>
      </c>
      <c r="E161" s="2271" t="s">
        <v>167</v>
      </c>
      <c r="F161" s="3425">
        <v>1</v>
      </c>
      <c r="G161" s="2271"/>
    </row>
    <row r="162" spans="1:7">
      <c r="A162" s="2271">
        <v>150</v>
      </c>
      <c r="B162" s="2271">
        <v>19</v>
      </c>
      <c r="C162" s="2271" t="s">
        <v>1189</v>
      </c>
      <c r="D162" s="2271" t="s">
        <v>1865</v>
      </c>
      <c r="E162" s="2271" t="s">
        <v>167</v>
      </c>
      <c r="F162" s="3425">
        <v>1</v>
      </c>
      <c r="G162" s="2271"/>
    </row>
    <row r="163" spans="1:7">
      <c r="A163" s="2271">
        <v>151</v>
      </c>
      <c r="B163" s="2271">
        <v>20</v>
      </c>
      <c r="C163" s="2271" t="s">
        <v>1542</v>
      </c>
      <c r="D163" s="2271" t="s">
        <v>1865</v>
      </c>
      <c r="E163" s="2271" t="s">
        <v>167</v>
      </c>
      <c r="F163" s="3425">
        <v>1</v>
      </c>
      <c r="G163" s="2271"/>
    </row>
    <row r="164" spans="1:7">
      <c r="A164" s="2271">
        <v>152</v>
      </c>
      <c r="B164" s="2271">
        <v>21</v>
      </c>
      <c r="C164" s="2271" t="s">
        <v>1543</v>
      </c>
      <c r="D164" s="2271" t="s">
        <v>1865</v>
      </c>
      <c r="E164" s="2271" t="s">
        <v>167</v>
      </c>
      <c r="F164" s="3425">
        <v>1</v>
      </c>
      <c r="G164" s="2271"/>
    </row>
    <row r="165" spans="1:7">
      <c r="A165" s="2271">
        <v>153</v>
      </c>
      <c r="B165" s="2271">
        <v>22</v>
      </c>
      <c r="C165" s="2271" t="s">
        <v>1253</v>
      </c>
      <c r="D165" s="2271" t="s">
        <v>1865</v>
      </c>
      <c r="E165" s="2271" t="s">
        <v>167</v>
      </c>
      <c r="F165" s="3425">
        <v>1</v>
      </c>
      <c r="G165" s="2271"/>
    </row>
    <row r="166" spans="1:7">
      <c r="A166" s="2271">
        <v>154</v>
      </c>
      <c r="B166" s="2271">
        <v>23</v>
      </c>
      <c r="C166" s="2271" t="s">
        <v>1544</v>
      </c>
      <c r="D166" s="2271" t="s">
        <v>1865</v>
      </c>
      <c r="E166" s="2271" t="s">
        <v>167</v>
      </c>
      <c r="F166" s="3425">
        <v>1</v>
      </c>
      <c r="G166" s="2271"/>
    </row>
    <row r="167" spans="1:7">
      <c r="A167" s="2271"/>
      <c r="B167" s="2272"/>
      <c r="C167" s="2272" t="s">
        <v>1865</v>
      </c>
      <c r="D167" s="2272"/>
      <c r="E167" s="2272"/>
      <c r="F167" s="3508">
        <f>SUM(F144:F166)</f>
        <v>23</v>
      </c>
      <c r="G167" s="2271"/>
    </row>
    <row r="168" spans="1:7">
      <c r="A168" s="2271">
        <v>155</v>
      </c>
      <c r="B168" s="2271">
        <v>1</v>
      </c>
      <c r="C168" s="2271" t="s">
        <v>1216</v>
      </c>
      <c r="D168" s="2271" t="s">
        <v>453</v>
      </c>
      <c r="E168" s="2271" t="s">
        <v>167</v>
      </c>
      <c r="F168" s="3425">
        <v>1</v>
      </c>
      <c r="G168" s="2271"/>
    </row>
    <row r="169" spans="1:7">
      <c r="A169" s="2271">
        <v>156</v>
      </c>
      <c r="B169" s="2271">
        <v>2</v>
      </c>
      <c r="C169" s="2271" t="s">
        <v>351</v>
      </c>
      <c r="D169" s="2271" t="s">
        <v>453</v>
      </c>
      <c r="E169" s="2271" t="s">
        <v>167</v>
      </c>
      <c r="F169" s="3425">
        <v>1</v>
      </c>
      <c r="G169" s="2271"/>
    </row>
    <row r="170" spans="1:7">
      <c r="A170" s="2271">
        <v>157</v>
      </c>
      <c r="B170" s="2271">
        <v>3</v>
      </c>
      <c r="C170" s="2271" t="s">
        <v>334</v>
      </c>
      <c r="D170" s="2271" t="s">
        <v>453</v>
      </c>
      <c r="E170" s="2271" t="s">
        <v>167</v>
      </c>
      <c r="F170" s="3425">
        <v>1</v>
      </c>
      <c r="G170" s="2271"/>
    </row>
    <row r="171" spans="1:7">
      <c r="A171" s="2271">
        <v>158</v>
      </c>
      <c r="B171" s="2271">
        <v>4</v>
      </c>
      <c r="C171" s="2271" t="s">
        <v>1218</v>
      </c>
      <c r="D171" s="2271" t="s">
        <v>453</v>
      </c>
      <c r="E171" s="2271" t="s">
        <v>167</v>
      </c>
      <c r="F171" s="3425">
        <v>1</v>
      </c>
      <c r="G171" s="2271"/>
    </row>
    <row r="172" spans="1:7">
      <c r="A172" s="2271">
        <v>159</v>
      </c>
      <c r="B172" s="2271">
        <v>5</v>
      </c>
      <c r="C172" s="2271" t="s">
        <v>1517</v>
      </c>
      <c r="D172" s="2271" t="s">
        <v>453</v>
      </c>
      <c r="E172" s="2271" t="s">
        <v>167</v>
      </c>
      <c r="F172" s="3425">
        <v>1</v>
      </c>
      <c r="G172" s="2271"/>
    </row>
    <row r="173" spans="1:7">
      <c r="A173" s="2271">
        <v>160</v>
      </c>
      <c r="B173" s="2271">
        <v>6</v>
      </c>
      <c r="C173" s="2271" t="s">
        <v>1217</v>
      </c>
      <c r="D173" s="2271" t="s">
        <v>453</v>
      </c>
      <c r="E173" s="2271" t="s">
        <v>167</v>
      </c>
      <c r="F173" s="3425">
        <v>1</v>
      </c>
      <c r="G173" s="2271"/>
    </row>
    <row r="174" spans="1:7">
      <c r="A174" s="2271">
        <v>161</v>
      </c>
      <c r="B174" s="2271">
        <v>7</v>
      </c>
      <c r="C174" s="2271" t="s">
        <v>1545</v>
      </c>
      <c r="D174" s="2271" t="s">
        <v>453</v>
      </c>
      <c r="E174" s="2271" t="s">
        <v>167</v>
      </c>
      <c r="F174" s="3425">
        <v>1</v>
      </c>
      <c r="G174" s="2271"/>
    </row>
    <row r="175" spans="1:7">
      <c r="A175" s="2271">
        <v>162</v>
      </c>
      <c r="B175" s="2271">
        <v>8</v>
      </c>
      <c r="C175" s="2271" t="s">
        <v>152</v>
      </c>
      <c r="D175" s="2271" t="s">
        <v>453</v>
      </c>
      <c r="E175" s="2271" t="s">
        <v>167</v>
      </c>
      <c r="F175" s="3425">
        <v>1</v>
      </c>
      <c r="G175" s="2271"/>
    </row>
    <row r="176" spans="1:7">
      <c r="A176" s="2271">
        <v>163</v>
      </c>
      <c r="B176" s="2271">
        <v>9</v>
      </c>
      <c r="C176" s="2271" t="s">
        <v>571</v>
      </c>
      <c r="D176" s="2271" t="s">
        <v>453</v>
      </c>
      <c r="E176" s="2271" t="s">
        <v>167</v>
      </c>
      <c r="F176" s="3425">
        <v>1</v>
      </c>
      <c r="G176" s="2271"/>
    </row>
    <row r="177" spans="1:7">
      <c r="A177" s="2271">
        <v>164</v>
      </c>
      <c r="B177" s="2271">
        <v>10</v>
      </c>
      <c r="C177" s="2271" t="s">
        <v>1219</v>
      </c>
      <c r="D177" s="2271" t="s">
        <v>453</v>
      </c>
      <c r="E177" s="2271" t="s">
        <v>167</v>
      </c>
      <c r="F177" s="3425">
        <v>1</v>
      </c>
      <c r="G177" s="2271"/>
    </row>
    <row r="178" spans="1:7">
      <c r="A178" s="2271">
        <v>165</v>
      </c>
      <c r="B178" s="2271">
        <v>11</v>
      </c>
      <c r="C178" s="2271" t="s">
        <v>853</v>
      </c>
      <c r="D178" s="2271" t="s">
        <v>453</v>
      </c>
      <c r="E178" s="2271" t="s">
        <v>167</v>
      </c>
      <c r="F178" s="3425">
        <v>1</v>
      </c>
      <c r="G178" s="2271"/>
    </row>
    <row r="179" spans="1:7">
      <c r="A179" s="2271">
        <v>166</v>
      </c>
      <c r="B179" s="2271">
        <v>12</v>
      </c>
      <c r="C179" s="2271" t="s">
        <v>1220</v>
      </c>
      <c r="D179" s="2271" t="s">
        <v>453</v>
      </c>
      <c r="E179" s="2271" t="s">
        <v>167</v>
      </c>
      <c r="F179" s="3425">
        <v>1</v>
      </c>
      <c r="G179" s="2271"/>
    </row>
    <row r="180" spans="1:7">
      <c r="A180" s="2271">
        <v>167</v>
      </c>
      <c r="B180" s="2271">
        <v>13</v>
      </c>
      <c r="C180" s="2271" t="s">
        <v>1221</v>
      </c>
      <c r="D180" s="2271" t="s">
        <v>453</v>
      </c>
      <c r="E180" s="2271" t="s">
        <v>167</v>
      </c>
      <c r="F180" s="3425">
        <v>1</v>
      </c>
      <c r="G180" s="2271"/>
    </row>
    <row r="181" spans="1:7">
      <c r="A181" s="2271">
        <v>168</v>
      </c>
      <c r="B181" s="2271">
        <v>14</v>
      </c>
      <c r="C181" s="2271" t="s">
        <v>1222</v>
      </c>
      <c r="D181" s="2271" t="s">
        <v>453</v>
      </c>
      <c r="E181" s="2271" t="s">
        <v>167</v>
      </c>
      <c r="F181" s="3425">
        <v>1</v>
      </c>
      <c r="G181" s="2271"/>
    </row>
    <row r="182" spans="1:7">
      <c r="A182" s="2271">
        <v>169</v>
      </c>
      <c r="B182" s="2271">
        <v>15</v>
      </c>
      <c r="C182" s="2271" t="s">
        <v>1223</v>
      </c>
      <c r="D182" s="2271" t="s">
        <v>453</v>
      </c>
      <c r="E182" s="2271" t="s">
        <v>167</v>
      </c>
      <c r="F182" s="3425">
        <v>1</v>
      </c>
      <c r="G182" s="2271"/>
    </row>
    <row r="183" spans="1:7">
      <c r="A183" s="2271">
        <v>170</v>
      </c>
      <c r="B183" s="2271">
        <v>16</v>
      </c>
      <c r="C183" s="2271" t="s">
        <v>1224</v>
      </c>
      <c r="D183" s="2271" t="s">
        <v>453</v>
      </c>
      <c r="E183" s="2271" t="s">
        <v>167</v>
      </c>
      <c r="F183" s="3425">
        <v>1</v>
      </c>
      <c r="G183" s="2271"/>
    </row>
    <row r="184" spans="1:7">
      <c r="A184" s="2271">
        <v>171</v>
      </c>
      <c r="B184" s="2271">
        <v>17</v>
      </c>
      <c r="C184" s="2271" t="s">
        <v>1546</v>
      </c>
      <c r="D184" s="2271" t="s">
        <v>453</v>
      </c>
      <c r="E184" s="2271" t="s">
        <v>167</v>
      </c>
      <c r="F184" s="3425">
        <v>1</v>
      </c>
      <c r="G184" s="2271"/>
    </row>
    <row r="185" spans="1:7">
      <c r="A185" s="2271">
        <v>172</v>
      </c>
      <c r="B185" s="2271">
        <v>18</v>
      </c>
      <c r="C185" s="2271" t="s">
        <v>1226</v>
      </c>
      <c r="D185" s="2271" t="s">
        <v>453</v>
      </c>
      <c r="E185" s="2271" t="s">
        <v>167</v>
      </c>
      <c r="F185" s="3425">
        <v>1</v>
      </c>
      <c r="G185" s="2271"/>
    </row>
    <row r="186" spans="1:7">
      <c r="A186" s="2271">
        <v>173</v>
      </c>
      <c r="B186" s="2271">
        <v>19</v>
      </c>
      <c r="C186" s="2271" t="s">
        <v>861</v>
      </c>
      <c r="D186" s="2271" t="s">
        <v>453</v>
      </c>
      <c r="E186" s="2271" t="s">
        <v>167</v>
      </c>
      <c r="F186" s="3425">
        <v>1</v>
      </c>
      <c r="G186" s="2271"/>
    </row>
    <row r="187" spans="1:7">
      <c r="A187" s="2271">
        <v>174</v>
      </c>
      <c r="B187" s="2271">
        <v>20</v>
      </c>
      <c r="C187" s="2271" t="s">
        <v>486</v>
      </c>
      <c r="D187" s="2271" t="s">
        <v>453</v>
      </c>
      <c r="E187" s="2271" t="s">
        <v>167</v>
      </c>
      <c r="F187" s="3425">
        <v>1</v>
      </c>
      <c r="G187" s="2271"/>
    </row>
    <row r="188" spans="1:7">
      <c r="A188" s="2271">
        <v>175</v>
      </c>
      <c r="B188" s="2271">
        <v>21</v>
      </c>
      <c r="C188" s="2271" t="s">
        <v>836</v>
      </c>
      <c r="D188" s="2271" t="s">
        <v>453</v>
      </c>
      <c r="E188" s="2271" t="s">
        <v>167</v>
      </c>
      <c r="F188" s="3425">
        <v>1</v>
      </c>
      <c r="G188" s="2271"/>
    </row>
    <row r="189" spans="1:7">
      <c r="A189" s="2271">
        <v>176</v>
      </c>
      <c r="B189" s="2271">
        <v>22</v>
      </c>
      <c r="C189" s="2271" t="s">
        <v>1227</v>
      </c>
      <c r="D189" s="2271" t="s">
        <v>453</v>
      </c>
      <c r="E189" s="2271" t="s">
        <v>167</v>
      </c>
      <c r="F189" s="3425">
        <v>1</v>
      </c>
      <c r="G189" s="2271"/>
    </row>
    <row r="190" spans="1:7">
      <c r="A190" s="2271">
        <v>177</v>
      </c>
      <c r="B190" s="2271">
        <v>23</v>
      </c>
      <c r="C190" s="2271" t="s">
        <v>1228</v>
      </c>
      <c r="D190" s="2271" t="s">
        <v>453</v>
      </c>
      <c r="E190" s="2271" t="s">
        <v>167</v>
      </c>
      <c r="F190" s="3425">
        <v>1</v>
      </c>
      <c r="G190" s="2271"/>
    </row>
    <row r="191" spans="1:7">
      <c r="A191" s="2271">
        <v>178</v>
      </c>
      <c r="B191" s="2271">
        <v>24</v>
      </c>
      <c r="C191" s="2271" t="s">
        <v>1229</v>
      </c>
      <c r="D191" s="2271" t="s">
        <v>453</v>
      </c>
      <c r="E191" s="2271" t="s">
        <v>167</v>
      </c>
      <c r="F191" s="3425">
        <v>1</v>
      </c>
      <c r="G191" s="2271"/>
    </row>
    <row r="192" spans="1:7">
      <c r="A192" s="2271">
        <v>179</v>
      </c>
      <c r="B192" s="2271">
        <v>25</v>
      </c>
      <c r="C192" s="2271" t="s">
        <v>1518</v>
      </c>
      <c r="D192" s="2271" t="s">
        <v>453</v>
      </c>
      <c r="E192" s="2271" t="s">
        <v>167</v>
      </c>
      <c r="F192" s="3425">
        <v>1</v>
      </c>
      <c r="G192" s="2271"/>
    </row>
    <row r="193" spans="1:7">
      <c r="A193" s="2271">
        <v>180</v>
      </c>
      <c r="B193" s="2271">
        <v>26</v>
      </c>
      <c r="C193" s="2271" t="s">
        <v>1519</v>
      </c>
      <c r="D193" s="2271" t="s">
        <v>453</v>
      </c>
      <c r="E193" s="2271" t="s">
        <v>167</v>
      </c>
      <c r="F193" s="3425">
        <v>1</v>
      </c>
      <c r="G193" s="2271"/>
    </row>
    <row r="194" spans="1:7">
      <c r="A194" s="2271">
        <v>181</v>
      </c>
      <c r="B194" s="2271">
        <v>27</v>
      </c>
      <c r="C194" s="2271" t="s">
        <v>1520</v>
      </c>
      <c r="D194" s="2271" t="s">
        <v>453</v>
      </c>
      <c r="E194" s="2271" t="s">
        <v>167</v>
      </c>
      <c r="F194" s="3425">
        <v>1</v>
      </c>
      <c r="G194" s="2271"/>
    </row>
    <row r="195" spans="1:7">
      <c r="A195" s="2271">
        <v>182</v>
      </c>
      <c r="B195" s="2271">
        <v>28</v>
      </c>
      <c r="C195" s="2271" t="s">
        <v>1521</v>
      </c>
      <c r="D195" s="2271" t="s">
        <v>453</v>
      </c>
      <c r="E195" s="2271" t="s">
        <v>167</v>
      </c>
      <c r="F195" s="3425">
        <v>1</v>
      </c>
      <c r="G195" s="2271"/>
    </row>
    <row r="196" spans="1:7">
      <c r="A196" s="2271">
        <v>183</v>
      </c>
      <c r="B196" s="2271">
        <v>29</v>
      </c>
      <c r="C196" s="2271" t="s">
        <v>1522</v>
      </c>
      <c r="D196" s="2271" t="s">
        <v>453</v>
      </c>
      <c r="E196" s="2271" t="s">
        <v>167</v>
      </c>
      <c r="F196" s="3425">
        <v>1</v>
      </c>
      <c r="G196" s="2271"/>
    </row>
    <row r="197" spans="1:7">
      <c r="A197" s="2271">
        <v>184</v>
      </c>
      <c r="B197" s="2271">
        <v>30</v>
      </c>
      <c r="C197" s="2271" t="s">
        <v>1230</v>
      </c>
      <c r="D197" s="2271" t="s">
        <v>453</v>
      </c>
      <c r="E197" s="2271" t="s">
        <v>167</v>
      </c>
      <c r="F197" s="3425">
        <v>1</v>
      </c>
      <c r="G197" s="2271"/>
    </row>
    <row r="198" spans="1:7">
      <c r="A198" s="2271"/>
      <c r="B198" s="2272"/>
      <c r="C198" s="2272" t="s">
        <v>453</v>
      </c>
      <c r="D198" s="2272"/>
      <c r="E198" s="2272"/>
      <c r="F198" s="3508">
        <f>SUM(F168:F197)</f>
        <v>30</v>
      </c>
      <c r="G198" s="2271"/>
    </row>
    <row r="199" spans="1:7">
      <c r="A199" s="2271">
        <v>185</v>
      </c>
      <c r="B199" s="2271">
        <v>1</v>
      </c>
      <c r="C199" s="2271" t="s">
        <v>426</v>
      </c>
      <c r="D199" s="2271" t="s">
        <v>54</v>
      </c>
      <c r="E199" s="2271" t="s">
        <v>54</v>
      </c>
      <c r="F199" s="3425">
        <v>1</v>
      </c>
      <c r="G199" s="2271"/>
    </row>
    <row r="200" spans="1:7">
      <c r="A200" s="2271">
        <v>186</v>
      </c>
      <c r="B200" s="2271">
        <v>2</v>
      </c>
      <c r="C200" s="2271" t="s">
        <v>519</v>
      </c>
      <c r="D200" s="2271" t="s">
        <v>54</v>
      </c>
      <c r="E200" s="2271" t="s">
        <v>54</v>
      </c>
      <c r="F200" s="3425">
        <v>1</v>
      </c>
      <c r="G200" s="2271"/>
    </row>
    <row r="201" spans="1:7">
      <c r="A201" s="2271">
        <v>187</v>
      </c>
      <c r="B201" s="2271">
        <v>3</v>
      </c>
      <c r="C201" s="2271" t="s">
        <v>1483</v>
      </c>
      <c r="D201" s="2271" t="s">
        <v>54</v>
      </c>
      <c r="E201" s="2271" t="s">
        <v>54</v>
      </c>
      <c r="F201" s="3425">
        <v>1</v>
      </c>
      <c r="G201" s="2271"/>
    </row>
    <row r="202" spans="1:7">
      <c r="A202" s="2271">
        <v>188</v>
      </c>
      <c r="B202" s="2271">
        <v>4</v>
      </c>
      <c r="C202" s="2271" t="s">
        <v>1484</v>
      </c>
      <c r="D202" s="2271" t="s">
        <v>54</v>
      </c>
      <c r="E202" s="2271" t="s">
        <v>54</v>
      </c>
      <c r="F202" s="3425">
        <v>1</v>
      </c>
      <c r="G202" s="2271"/>
    </row>
    <row r="203" spans="1:7">
      <c r="A203" s="2271">
        <v>189</v>
      </c>
      <c r="B203" s="2271">
        <v>5</v>
      </c>
      <c r="C203" s="2271" t="s">
        <v>1434</v>
      </c>
      <c r="D203" s="2271" t="s">
        <v>54</v>
      </c>
      <c r="E203" s="2271" t="s">
        <v>54</v>
      </c>
      <c r="F203" s="3425">
        <v>1</v>
      </c>
      <c r="G203" s="2271"/>
    </row>
    <row r="204" spans="1:7">
      <c r="A204" s="2271">
        <v>190</v>
      </c>
      <c r="B204" s="2271">
        <v>6</v>
      </c>
      <c r="C204" s="2271" t="s">
        <v>169</v>
      </c>
      <c r="D204" s="2271" t="s">
        <v>54</v>
      </c>
      <c r="E204" s="2271" t="s">
        <v>54</v>
      </c>
      <c r="F204" s="3425">
        <v>1</v>
      </c>
      <c r="G204" s="2271"/>
    </row>
    <row r="205" spans="1:7">
      <c r="A205" s="2271">
        <v>191</v>
      </c>
      <c r="B205" s="2271">
        <v>7</v>
      </c>
      <c r="C205" s="2271" t="s">
        <v>1435</v>
      </c>
      <c r="D205" s="2271" t="s">
        <v>54</v>
      </c>
      <c r="E205" s="2271" t="s">
        <v>54</v>
      </c>
      <c r="F205" s="3425">
        <v>1</v>
      </c>
      <c r="G205" s="2271"/>
    </row>
    <row r="206" spans="1:7">
      <c r="A206" s="2271">
        <v>192</v>
      </c>
      <c r="B206" s="2271">
        <v>8</v>
      </c>
      <c r="C206" s="2271" t="s">
        <v>1485</v>
      </c>
      <c r="D206" s="2271" t="s">
        <v>54</v>
      </c>
      <c r="E206" s="2271" t="s">
        <v>54</v>
      </c>
      <c r="F206" s="3425">
        <v>1</v>
      </c>
      <c r="G206" s="2271"/>
    </row>
    <row r="207" spans="1:7">
      <c r="A207" s="2271">
        <v>193</v>
      </c>
      <c r="B207" s="2271">
        <v>9</v>
      </c>
      <c r="C207" s="2271" t="s">
        <v>1433</v>
      </c>
      <c r="D207" s="2271" t="s">
        <v>54</v>
      </c>
      <c r="E207" s="2271" t="s">
        <v>54</v>
      </c>
      <c r="F207" s="3425">
        <v>1</v>
      </c>
      <c r="G207" s="2271"/>
    </row>
    <row r="208" spans="1:7">
      <c r="A208" s="2271">
        <v>194</v>
      </c>
      <c r="B208" s="2271">
        <v>10</v>
      </c>
      <c r="C208" s="2271" t="s">
        <v>1486</v>
      </c>
      <c r="D208" s="2271" t="s">
        <v>54</v>
      </c>
      <c r="E208" s="2271" t="s">
        <v>54</v>
      </c>
      <c r="F208" s="3425">
        <v>1</v>
      </c>
      <c r="G208" s="2271"/>
    </row>
    <row r="209" spans="1:7">
      <c r="A209" s="2272"/>
      <c r="B209" s="2272"/>
      <c r="C209" s="2272" t="s">
        <v>54</v>
      </c>
      <c r="D209" s="2272"/>
      <c r="E209" s="2272"/>
      <c r="F209" s="3508">
        <f>SUM(F199:F208)</f>
        <v>10</v>
      </c>
      <c r="G209" s="2272"/>
    </row>
    <row r="210" spans="1:7">
      <c r="A210" s="2271">
        <v>195</v>
      </c>
      <c r="B210" s="2271">
        <v>1</v>
      </c>
      <c r="C210" s="2271" t="s">
        <v>327</v>
      </c>
      <c r="D210" s="2271" t="s">
        <v>832</v>
      </c>
      <c r="E210" s="2271"/>
      <c r="F210" s="3425">
        <v>1</v>
      </c>
      <c r="G210" s="2271"/>
    </row>
    <row r="211" spans="1:7">
      <c r="A211" s="2271">
        <v>196</v>
      </c>
      <c r="B211" s="2271">
        <v>2</v>
      </c>
      <c r="C211" s="2271" t="s">
        <v>437</v>
      </c>
      <c r="D211" s="2271" t="s">
        <v>832</v>
      </c>
      <c r="E211" s="2271"/>
      <c r="F211" s="3425">
        <v>1</v>
      </c>
      <c r="G211" s="2271"/>
    </row>
    <row r="212" spans="1:7">
      <c r="A212" s="2271">
        <v>197</v>
      </c>
      <c r="B212" s="2271">
        <v>3</v>
      </c>
      <c r="C212" s="2271" t="s">
        <v>1579</v>
      </c>
      <c r="D212" s="2440" t="s">
        <v>2067</v>
      </c>
      <c r="E212" s="2271" t="s">
        <v>1578</v>
      </c>
      <c r="F212" s="3425">
        <v>1</v>
      </c>
      <c r="G212" s="2271"/>
    </row>
    <row r="213" spans="1:7">
      <c r="A213" s="2271">
        <v>198</v>
      </c>
      <c r="B213" s="2271">
        <v>4</v>
      </c>
      <c r="C213" s="2440" t="s">
        <v>1075</v>
      </c>
      <c r="D213" s="2440" t="s">
        <v>2067</v>
      </c>
      <c r="E213" s="2440" t="s">
        <v>1104</v>
      </c>
      <c r="F213" s="3425">
        <v>1</v>
      </c>
      <c r="G213" s="2271"/>
    </row>
    <row r="214" spans="1:7">
      <c r="A214" s="2271">
        <v>199</v>
      </c>
      <c r="B214" s="2271">
        <v>5</v>
      </c>
      <c r="C214" s="2440" t="s">
        <v>1102</v>
      </c>
      <c r="D214" s="2440" t="s">
        <v>2067</v>
      </c>
      <c r="E214" s="2440" t="s">
        <v>1104</v>
      </c>
      <c r="F214" s="3425">
        <v>1</v>
      </c>
      <c r="G214" s="2271"/>
    </row>
    <row r="215" spans="1:7">
      <c r="A215" s="2271">
        <v>200</v>
      </c>
      <c r="B215" s="2271">
        <v>6</v>
      </c>
      <c r="C215" s="2440" t="s">
        <v>1280</v>
      </c>
      <c r="D215" s="2440" t="s">
        <v>2067</v>
      </c>
      <c r="E215" s="2440" t="s">
        <v>1104</v>
      </c>
      <c r="F215" s="3425">
        <v>1</v>
      </c>
      <c r="G215" s="2271"/>
    </row>
    <row r="216" spans="1:7">
      <c r="A216" s="2271">
        <v>201</v>
      </c>
      <c r="B216" s="2271">
        <v>7</v>
      </c>
      <c r="C216" s="3507" t="s">
        <v>2068</v>
      </c>
      <c r="D216" s="2440"/>
      <c r="E216" s="2440"/>
      <c r="F216" s="3425">
        <v>4</v>
      </c>
      <c r="G216" s="2271"/>
    </row>
    <row r="217" spans="1:7">
      <c r="A217" s="2271">
        <v>202</v>
      </c>
      <c r="B217" s="2271">
        <v>8</v>
      </c>
      <c r="C217" s="3507" t="s">
        <v>2069</v>
      </c>
      <c r="D217" s="2440"/>
      <c r="E217" s="2440"/>
      <c r="F217" s="3425">
        <v>12</v>
      </c>
      <c r="G217" s="2271"/>
    </row>
    <row r="218" spans="1:7">
      <c r="A218" s="2272"/>
      <c r="B218" s="2272"/>
      <c r="C218" s="4859" t="s">
        <v>1287</v>
      </c>
      <c r="D218" s="4860"/>
      <c r="E218" s="2272"/>
      <c r="F218" s="3425">
        <f>SUM(F210:F217)</f>
        <v>22</v>
      </c>
      <c r="G218" s="2272"/>
    </row>
    <row r="219" spans="1:7">
      <c r="A219" s="2272"/>
      <c r="B219" s="2272"/>
      <c r="C219" s="4109" t="s">
        <v>2070</v>
      </c>
      <c r="D219" s="4111"/>
      <c r="E219" s="2272"/>
      <c r="F219" s="3508">
        <f>+F218+F209+F198+F167+F143+F80+F43</f>
        <v>216</v>
      </c>
      <c r="G219" s="2272"/>
    </row>
    <row r="220" spans="1:7">
      <c r="D220" s="4702" t="s">
        <v>2071</v>
      </c>
      <c r="E220" s="4702"/>
      <c r="F220" s="4702"/>
      <c r="G220" s="4702"/>
    </row>
    <row r="221" spans="1:7">
      <c r="A221" s="4107" t="s">
        <v>920</v>
      </c>
      <c r="B221" s="4107"/>
      <c r="C221" s="4107"/>
      <c r="D221" s="4107" t="s">
        <v>21</v>
      </c>
      <c r="E221" s="4107"/>
      <c r="F221" s="4107"/>
      <c r="G221" s="4107"/>
    </row>
  </sheetData>
  <mergeCells count="13">
    <mergeCell ref="D220:G220"/>
    <mergeCell ref="D221:G221"/>
    <mergeCell ref="A221:C221"/>
    <mergeCell ref="B43:C43"/>
    <mergeCell ref="C218:D218"/>
    <mergeCell ref="C219:D219"/>
    <mergeCell ref="A7:G7"/>
    <mergeCell ref="A9:B9"/>
    <mergeCell ref="A4:D4"/>
    <mergeCell ref="A5:D5"/>
    <mergeCell ref="A1:G1"/>
    <mergeCell ref="A2:G2"/>
    <mergeCell ref="A3:G3"/>
  </mergeCells>
  <pageMargins left="0.7" right="0.7" top="0.75" bottom="0.75" header="0.3" footer="0.3"/>
  <pageSetup paperSize="9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topLeftCell="A166" workbookViewId="0">
      <selection activeCell="C224" sqref="C224"/>
    </sheetView>
  </sheetViews>
  <sheetFormatPr defaultRowHeight="16.5"/>
  <cols>
    <col min="1" max="1" width="4.85546875" style="2270" customWidth="1"/>
    <col min="2" max="2" width="4.5703125" style="2270" customWidth="1"/>
    <col min="3" max="3" width="25" style="2270" customWidth="1"/>
    <col min="4" max="4" width="15.85546875" style="2270" customWidth="1"/>
    <col min="5" max="6" width="12.7109375" style="2270" customWidth="1"/>
    <col min="7" max="7" width="10.5703125" style="2270" customWidth="1"/>
    <col min="8" max="16384" width="9.140625" style="2270"/>
  </cols>
  <sheetData>
    <row r="1" spans="1:14">
      <c r="A1" s="4105" t="s">
        <v>23</v>
      </c>
      <c r="B1" s="4105"/>
      <c r="C1" s="4105"/>
      <c r="D1" s="4105"/>
      <c r="E1" s="4105"/>
      <c r="F1" s="4105"/>
      <c r="G1" s="4105"/>
      <c r="H1" s="3411"/>
      <c r="I1" s="3411"/>
      <c r="J1" s="3411"/>
      <c r="K1" s="3411"/>
      <c r="L1" s="3411"/>
      <c r="M1" s="3411"/>
      <c r="N1" s="3411"/>
    </row>
    <row r="2" spans="1:14">
      <c r="A2" s="4105" t="s">
        <v>45</v>
      </c>
      <c r="B2" s="4105"/>
      <c r="C2" s="4105"/>
      <c r="D2" s="4105"/>
      <c r="E2" s="4105"/>
      <c r="F2" s="4105"/>
      <c r="G2" s="4105"/>
      <c r="H2" s="3411"/>
      <c r="I2" s="3411"/>
      <c r="J2" s="3411"/>
      <c r="K2" s="3411"/>
      <c r="L2" s="3411"/>
      <c r="M2" s="3411"/>
      <c r="N2" s="3411"/>
    </row>
    <row r="3" spans="1:14">
      <c r="A3" s="3934" t="s">
        <v>1308</v>
      </c>
      <c r="B3" s="3934"/>
      <c r="C3" s="3934"/>
      <c r="D3" s="3934"/>
      <c r="E3" s="3934"/>
      <c r="F3" s="3934"/>
      <c r="G3" s="3934"/>
      <c r="H3" s="2096"/>
      <c r="I3" s="2096"/>
      <c r="J3" s="2096"/>
      <c r="K3" s="2096"/>
      <c r="L3" s="2096"/>
      <c r="M3" s="2096"/>
      <c r="N3" s="2096"/>
    </row>
    <row r="4" spans="1:14" ht="18.75" customHeight="1">
      <c r="A4" s="4106" t="s">
        <v>1482</v>
      </c>
      <c r="B4" s="4106"/>
      <c r="C4" s="4106"/>
      <c r="D4" s="4106"/>
      <c r="E4" s="3410"/>
      <c r="F4" s="3410"/>
      <c r="G4" s="3410"/>
      <c r="H4" s="3410"/>
      <c r="I4" s="3410"/>
      <c r="J4" s="3410"/>
      <c r="K4" s="3410"/>
      <c r="L4" s="2116"/>
      <c r="M4" s="3410"/>
      <c r="N4" s="3410"/>
    </row>
    <row r="5" spans="1:14" ht="18.75" customHeight="1">
      <c r="A5" s="4105" t="s">
        <v>1153</v>
      </c>
      <c r="B5" s="4105"/>
      <c r="C5" s="4105"/>
      <c r="D5" s="4105"/>
      <c r="E5" s="3411"/>
      <c r="F5" s="3411"/>
      <c r="G5" s="3411"/>
      <c r="H5" s="3411"/>
      <c r="I5" s="3411"/>
      <c r="J5" s="3411"/>
      <c r="K5" s="3411"/>
      <c r="L5" s="2116"/>
      <c r="M5" s="3410"/>
      <c r="N5" s="3410"/>
    </row>
    <row r="6" spans="1:14">
      <c r="B6" s="3410"/>
      <c r="C6" s="3410"/>
      <c r="D6" s="3410"/>
      <c r="E6" s="3410"/>
      <c r="F6" s="3410"/>
      <c r="G6" s="3410"/>
      <c r="H6" s="3410"/>
      <c r="I6" s="3410"/>
      <c r="J6" s="3410"/>
      <c r="K6" s="3410"/>
      <c r="L6" s="2116"/>
      <c r="M6" s="3410"/>
      <c r="N6" s="3410"/>
    </row>
    <row r="7" spans="1:14" ht="26.25" customHeight="1">
      <c r="A7" s="4856" t="s">
        <v>2073</v>
      </c>
      <c r="B7" s="4856"/>
      <c r="C7" s="4856"/>
      <c r="D7" s="4856"/>
      <c r="E7" s="4856"/>
      <c r="F7" s="4856"/>
      <c r="G7" s="4856"/>
    </row>
    <row r="9" spans="1:14" ht="33">
      <c r="A9" s="4114" t="s">
        <v>0</v>
      </c>
      <c r="B9" s="4114"/>
      <c r="C9" s="3509" t="s">
        <v>1</v>
      </c>
      <c r="D9" s="3509" t="s">
        <v>2064</v>
      </c>
      <c r="E9" s="3509" t="s">
        <v>46</v>
      </c>
      <c r="F9" s="3426" t="s">
        <v>2072</v>
      </c>
      <c r="G9" s="3509" t="s">
        <v>92</v>
      </c>
    </row>
    <row r="10" spans="1:14">
      <c r="A10" s="2271">
        <v>1</v>
      </c>
      <c r="B10" s="2271">
        <v>1</v>
      </c>
      <c r="C10" s="2271" t="s">
        <v>1675</v>
      </c>
      <c r="D10" s="2271" t="s">
        <v>1883</v>
      </c>
      <c r="E10" s="2271" t="s">
        <v>167</v>
      </c>
      <c r="F10" s="3425">
        <v>1</v>
      </c>
      <c r="G10" s="2271"/>
    </row>
    <row r="11" spans="1:14">
      <c r="A11" s="2271">
        <v>2</v>
      </c>
      <c r="B11" s="2271">
        <v>2</v>
      </c>
      <c r="C11" s="2271" t="s">
        <v>1304</v>
      </c>
      <c r="D11" s="2271" t="s">
        <v>1883</v>
      </c>
      <c r="E11" s="2271" t="s">
        <v>167</v>
      </c>
      <c r="F11" s="3425">
        <v>1</v>
      </c>
      <c r="G11" s="2271"/>
    </row>
    <row r="12" spans="1:14">
      <c r="A12" s="2271">
        <v>3</v>
      </c>
      <c r="B12" s="2271">
        <v>3</v>
      </c>
      <c r="C12" s="2271" t="s">
        <v>1925</v>
      </c>
      <c r="D12" s="2271" t="s">
        <v>1883</v>
      </c>
      <c r="E12" s="2271" t="s">
        <v>167</v>
      </c>
      <c r="F12" s="3425">
        <v>1</v>
      </c>
      <c r="G12" s="2271"/>
    </row>
    <row r="13" spans="1:14">
      <c r="A13" s="2271">
        <v>4</v>
      </c>
      <c r="B13" s="2271">
        <v>4</v>
      </c>
      <c r="C13" s="2271" t="s">
        <v>1966</v>
      </c>
      <c r="D13" s="2271" t="s">
        <v>1883</v>
      </c>
      <c r="E13" s="2271" t="s">
        <v>167</v>
      </c>
      <c r="F13" s="3425">
        <v>1</v>
      </c>
      <c r="G13" s="2271"/>
    </row>
    <row r="14" spans="1:14">
      <c r="A14" s="2271">
        <v>5</v>
      </c>
      <c r="B14" s="2271">
        <v>5</v>
      </c>
      <c r="C14" s="2271" t="s">
        <v>1918</v>
      </c>
      <c r="D14" s="2271" t="s">
        <v>1883</v>
      </c>
      <c r="E14" s="2271" t="s">
        <v>167</v>
      </c>
      <c r="F14" s="3425">
        <v>1</v>
      </c>
      <c r="G14" s="2271"/>
    </row>
    <row r="15" spans="1:14">
      <c r="A15" s="2271">
        <v>6</v>
      </c>
      <c r="B15" s="2271">
        <v>6</v>
      </c>
      <c r="C15" s="2271" t="s">
        <v>1261</v>
      </c>
      <c r="D15" s="2271" t="s">
        <v>1883</v>
      </c>
      <c r="E15" s="2271" t="s">
        <v>167</v>
      </c>
      <c r="F15" s="3425">
        <v>1</v>
      </c>
      <c r="G15" s="2271"/>
    </row>
    <row r="16" spans="1:14">
      <c r="A16" s="2271">
        <v>7</v>
      </c>
      <c r="B16" s="2271">
        <v>7</v>
      </c>
      <c r="C16" s="2271" t="s">
        <v>1926</v>
      </c>
      <c r="D16" s="2271" t="s">
        <v>1883</v>
      </c>
      <c r="E16" s="2271" t="s">
        <v>167</v>
      </c>
      <c r="F16" s="3425">
        <v>1</v>
      </c>
      <c r="G16" s="2271"/>
    </row>
    <row r="17" spans="1:7">
      <c r="A17" s="2271">
        <v>8</v>
      </c>
      <c r="B17" s="2271">
        <v>8</v>
      </c>
      <c r="C17" s="2271" t="s">
        <v>1238</v>
      </c>
      <c r="D17" s="2271" t="s">
        <v>1883</v>
      </c>
      <c r="E17" s="2271" t="s">
        <v>167</v>
      </c>
      <c r="F17" s="3425">
        <v>1</v>
      </c>
      <c r="G17" s="2271"/>
    </row>
    <row r="18" spans="1:7">
      <c r="A18" s="2271">
        <v>9</v>
      </c>
      <c r="B18" s="2271">
        <v>9</v>
      </c>
      <c r="C18" s="2271" t="s">
        <v>1552</v>
      </c>
      <c r="D18" s="2271" t="s">
        <v>1883</v>
      </c>
      <c r="E18" s="2271" t="s">
        <v>167</v>
      </c>
      <c r="F18" s="3425">
        <v>1</v>
      </c>
      <c r="G18" s="2271"/>
    </row>
    <row r="19" spans="1:7">
      <c r="A19" s="2271">
        <v>10</v>
      </c>
      <c r="B19" s="2271">
        <v>10</v>
      </c>
      <c r="C19" s="2271" t="s">
        <v>1525</v>
      </c>
      <c r="D19" s="2271" t="s">
        <v>1883</v>
      </c>
      <c r="E19" s="2271" t="s">
        <v>167</v>
      </c>
      <c r="F19" s="3425">
        <v>1</v>
      </c>
      <c r="G19" s="2271"/>
    </row>
    <row r="20" spans="1:7">
      <c r="A20" s="2271">
        <v>11</v>
      </c>
      <c r="B20" s="2271">
        <v>11</v>
      </c>
      <c r="C20" s="2271" t="s">
        <v>1554</v>
      </c>
      <c r="D20" s="2271" t="s">
        <v>1883</v>
      </c>
      <c r="E20" s="2271" t="s">
        <v>167</v>
      </c>
      <c r="F20" s="3425">
        <v>1</v>
      </c>
      <c r="G20" s="2271"/>
    </row>
    <row r="21" spans="1:7">
      <c r="A21" s="2271">
        <v>12</v>
      </c>
      <c r="B21" s="2271">
        <v>12</v>
      </c>
      <c r="C21" s="2271" t="s">
        <v>1919</v>
      </c>
      <c r="D21" s="2271" t="s">
        <v>1883</v>
      </c>
      <c r="E21" s="2271" t="s">
        <v>167</v>
      </c>
      <c r="F21" s="3425">
        <v>1</v>
      </c>
      <c r="G21" s="2271"/>
    </row>
    <row r="22" spans="1:7">
      <c r="A22" s="2271">
        <v>13</v>
      </c>
      <c r="B22" s="2271">
        <v>13</v>
      </c>
      <c r="C22" s="2271" t="s">
        <v>1555</v>
      </c>
      <c r="D22" s="2271" t="s">
        <v>1883</v>
      </c>
      <c r="E22" s="2271" t="s">
        <v>167</v>
      </c>
      <c r="F22" s="3425">
        <v>1</v>
      </c>
      <c r="G22" s="2271"/>
    </row>
    <row r="23" spans="1:7">
      <c r="A23" s="2271">
        <v>14</v>
      </c>
      <c r="B23" s="2271">
        <v>14</v>
      </c>
      <c r="C23" s="2271" t="s">
        <v>552</v>
      </c>
      <c r="D23" s="2271" t="s">
        <v>1883</v>
      </c>
      <c r="E23" s="2271" t="s">
        <v>167</v>
      </c>
      <c r="F23" s="3425">
        <v>1</v>
      </c>
      <c r="G23" s="2271"/>
    </row>
    <row r="24" spans="1:7">
      <c r="A24" s="2271">
        <v>15</v>
      </c>
      <c r="B24" s="2271">
        <v>15</v>
      </c>
      <c r="C24" s="2271" t="s">
        <v>1920</v>
      </c>
      <c r="D24" s="2271" t="s">
        <v>1883</v>
      </c>
      <c r="E24" s="2271" t="s">
        <v>167</v>
      </c>
      <c r="F24" s="3425">
        <v>1</v>
      </c>
      <c r="G24" s="2271"/>
    </row>
    <row r="25" spans="1:7">
      <c r="A25" s="2271">
        <v>16</v>
      </c>
      <c r="B25" s="2271">
        <v>16</v>
      </c>
      <c r="C25" s="2271" t="s">
        <v>1967</v>
      </c>
      <c r="D25" s="2271" t="s">
        <v>1883</v>
      </c>
      <c r="E25" s="2271" t="s">
        <v>167</v>
      </c>
      <c r="F25" s="3425">
        <v>1</v>
      </c>
      <c r="G25" s="2271"/>
    </row>
    <row r="26" spans="1:7">
      <c r="A26" s="2271">
        <v>17</v>
      </c>
      <c r="B26" s="2271">
        <v>17</v>
      </c>
      <c r="C26" s="2271" t="s">
        <v>1236</v>
      </c>
      <c r="D26" s="2271" t="s">
        <v>1883</v>
      </c>
      <c r="E26" s="2271" t="s">
        <v>167</v>
      </c>
      <c r="F26" s="3425">
        <v>1</v>
      </c>
      <c r="G26" s="2271"/>
    </row>
    <row r="27" spans="1:7">
      <c r="A27" s="2271">
        <v>18</v>
      </c>
      <c r="B27" s="2271">
        <v>18</v>
      </c>
      <c r="C27" s="2271" t="s">
        <v>1676</v>
      </c>
      <c r="D27" s="2271" t="s">
        <v>1883</v>
      </c>
      <c r="E27" s="2271" t="s">
        <v>167</v>
      </c>
      <c r="F27" s="3425">
        <v>1</v>
      </c>
      <c r="G27" s="2271"/>
    </row>
    <row r="28" spans="1:7">
      <c r="A28" s="2271">
        <v>19</v>
      </c>
      <c r="B28" s="2271">
        <v>19</v>
      </c>
      <c r="C28" s="2271" t="s">
        <v>289</v>
      </c>
      <c r="D28" s="2271" t="s">
        <v>1883</v>
      </c>
      <c r="E28" s="2271" t="s">
        <v>167</v>
      </c>
      <c r="F28" s="3425">
        <v>1</v>
      </c>
      <c r="G28" s="2271"/>
    </row>
    <row r="29" spans="1:7">
      <c r="A29" s="2271">
        <v>20</v>
      </c>
      <c r="B29" s="2271">
        <v>20</v>
      </c>
      <c r="C29" s="2271" t="s">
        <v>1557</v>
      </c>
      <c r="D29" s="2271" t="s">
        <v>1883</v>
      </c>
      <c r="E29" s="2271" t="s">
        <v>167</v>
      </c>
      <c r="F29" s="3425">
        <v>1</v>
      </c>
      <c r="G29" s="2271"/>
    </row>
    <row r="30" spans="1:7">
      <c r="A30" s="2271">
        <v>21</v>
      </c>
      <c r="B30" s="2271">
        <v>21</v>
      </c>
      <c r="C30" s="2271" t="s">
        <v>1921</v>
      </c>
      <c r="D30" s="2271" t="s">
        <v>1883</v>
      </c>
      <c r="E30" s="2271" t="s">
        <v>167</v>
      </c>
      <c r="F30" s="3425">
        <v>1</v>
      </c>
      <c r="G30" s="2271"/>
    </row>
    <row r="31" spans="1:7">
      <c r="A31" s="2271">
        <v>22</v>
      </c>
      <c r="B31" s="2271">
        <v>22</v>
      </c>
      <c r="C31" s="2271" t="s">
        <v>1558</v>
      </c>
      <c r="D31" s="2271" t="s">
        <v>1883</v>
      </c>
      <c r="E31" s="2271" t="s">
        <v>167</v>
      </c>
      <c r="F31" s="3425">
        <v>1</v>
      </c>
      <c r="G31" s="2271"/>
    </row>
    <row r="32" spans="1:7">
      <c r="A32" s="2271">
        <v>23</v>
      </c>
      <c r="B32" s="2271">
        <v>23</v>
      </c>
      <c r="C32" s="2271" t="s">
        <v>1524</v>
      </c>
      <c r="D32" s="2271" t="s">
        <v>1883</v>
      </c>
      <c r="E32" s="2271" t="s">
        <v>167</v>
      </c>
      <c r="F32" s="3425">
        <v>1</v>
      </c>
      <c r="G32" s="2271"/>
    </row>
    <row r="33" spans="1:7">
      <c r="A33" s="2271">
        <v>24</v>
      </c>
      <c r="B33" s="2271">
        <v>24</v>
      </c>
      <c r="C33" s="2271" t="s">
        <v>490</v>
      </c>
      <c r="D33" s="2271" t="s">
        <v>1883</v>
      </c>
      <c r="E33" s="2271" t="s">
        <v>167</v>
      </c>
      <c r="F33" s="3425">
        <v>1</v>
      </c>
      <c r="G33" s="2271"/>
    </row>
    <row r="34" spans="1:7">
      <c r="A34" s="2271">
        <v>25</v>
      </c>
      <c r="B34" s="2271">
        <v>25</v>
      </c>
      <c r="C34" s="2271" t="s">
        <v>1678</v>
      </c>
      <c r="D34" s="2271" t="s">
        <v>1883</v>
      </c>
      <c r="E34" s="2271" t="s">
        <v>167</v>
      </c>
      <c r="F34" s="3425">
        <v>1</v>
      </c>
      <c r="G34" s="2271"/>
    </row>
    <row r="35" spans="1:7">
      <c r="A35" s="2271">
        <v>26</v>
      </c>
      <c r="B35" s="2271">
        <v>26</v>
      </c>
      <c r="C35" s="2271" t="s">
        <v>1528</v>
      </c>
      <c r="D35" s="2271" t="s">
        <v>1883</v>
      </c>
      <c r="E35" s="2271" t="s">
        <v>167</v>
      </c>
      <c r="F35" s="3425">
        <v>1</v>
      </c>
      <c r="G35" s="2271"/>
    </row>
    <row r="36" spans="1:7">
      <c r="A36" s="2271">
        <v>27</v>
      </c>
      <c r="B36" s="2271">
        <v>27</v>
      </c>
      <c r="C36" s="2271" t="s">
        <v>1527</v>
      </c>
      <c r="D36" s="2271" t="s">
        <v>1883</v>
      </c>
      <c r="E36" s="2271" t="s">
        <v>167</v>
      </c>
      <c r="F36" s="3425">
        <v>1</v>
      </c>
      <c r="G36" s="2271"/>
    </row>
    <row r="37" spans="1:7">
      <c r="A37" s="2271">
        <v>28</v>
      </c>
      <c r="B37" s="2271">
        <v>28</v>
      </c>
      <c r="C37" s="2271" t="s">
        <v>1529</v>
      </c>
      <c r="D37" s="2271" t="s">
        <v>1883</v>
      </c>
      <c r="E37" s="2271" t="s">
        <v>167</v>
      </c>
      <c r="F37" s="3425">
        <v>1</v>
      </c>
      <c r="G37" s="2271"/>
    </row>
    <row r="38" spans="1:7">
      <c r="A38" s="2271">
        <v>29</v>
      </c>
      <c r="B38" s="2271">
        <v>29</v>
      </c>
      <c r="C38" s="2271" t="s">
        <v>1922</v>
      </c>
      <c r="D38" s="2271" t="s">
        <v>1883</v>
      </c>
      <c r="E38" s="2271" t="s">
        <v>167</v>
      </c>
      <c r="F38" s="3425">
        <v>1</v>
      </c>
      <c r="G38" s="2271"/>
    </row>
    <row r="39" spans="1:7">
      <c r="A39" s="2271">
        <v>30</v>
      </c>
      <c r="B39" s="2271">
        <v>30</v>
      </c>
      <c r="C39" s="2271" t="s">
        <v>1559</v>
      </c>
      <c r="D39" s="2271" t="s">
        <v>1883</v>
      </c>
      <c r="E39" s="2271" t="s">
        <v>167</v>
      </c>
      <c r="F39" s="3425">
        <v>1</v>
      </c>
      <c r="G39" s="2271"/>
    </row>
    <row r="40" spans="1:7">
      <c r="A40" s="2271">
        <v>31</v>
      </c>
      <c r="B40" s="2271">
        <v>31</v>
      </c>
      <c r="C40" s="2271" t="s">
        <v>1923</v>
      </c>
      <c r="D40" s="2271" t="s">
        <v>1883</v>
      </c>
      <c r="E40" s="2271" t="s">
        <v>167</v>
      </c>
      <c r="F40" s="3425">
        <v>1</v>
      </c>
      <c r="G40" s="2271"/>
    </row>
    <row r="41" spans="1:7">
      <c r="A41" s="2271">
        <v>32</v>
      </c>
      <c r="B41" s="2271">
        <v>32</v>
      </c>
      <c r="C41" s="2271" t="s">
        <v>1488</v>
      </c>
      <c r="D41" s="2271" t="s">
        <v>1883</v>
      </c>
      <c r="E41" s="2271" t="s">
        <v>167</v>
      </c>
      <c r="F41" s="3425">
        <v>1</v>
      </c>
      <c r="G41" s="2271"/>
    </row>
    <row r="42" spans="1:7">
      <c r="A42" s="2271">
        <v>33</v>
      </c>
      <c r="B42" s="2271">
        <v>33</v>
      </c>
      <c r="C42" s="2271" t="s">
        <v>1927</v>
      </c>
      <c r="D42" s="2271" t="s">
        <v>1883</v>
      </c>
      <c r="E42" s="2271" t="s">
        <v>167</v>
      </c>
      <c r="F42" s="3425">
        <v>1</v>
      </c>
      <c r="G42" s="2271"/>
    </row>
    <row r="43" spans="1:7">
      <c r="A43" s="2272"/>
      <c r="B43" s="4109" t="s">
        <v>1883</v>
      </c>
      <c r="C43" s="4111"/>
      <c r="D43" s="2272"/>
      <c r="E43" s="2272"/>
      <c r="F43" s="3508">
        <f>SUM(F10:F42)</f>
        <v>33</v>
      </c>
      <c r="G43" s="2272"/>
    </row>
    <row r="44" spans="1:7">
      <c r="A44" s="2271">
        <v>34</v>
      </c>
      <c r="B44" s="2271">
        <v>1</v>
      </c>
      <c r="C44" s="2271" t="s">
        <v>1081</v>
      </c>
      <c r="D44" s="2271" t="s">
        <v>2065</v>
      </c>
      <c r="E44" s="2271" t="s">
        <v>167</v>
      </c>
      <c r="F44" s="3425">
        <v>1</v>
      </c>
      <c r="G44" s="2271"/>
    </row>
    <row r="45" spans="1:7">
      <c r="A45" s="2271">
        <v>35</v>
      </c>
      <c r="B45" s="2271">
        <v>2</v>
      </c>
      <c r="C45" s="2271" t="s">
        <v>1904</v>
      </c>
      <c r="D45" s="2271" t="s">
        <v>2065</v>
      </c>
      <c r="E45" s="2271" t="s">
        <v>167</v>
      </c>
      <c r="F45" s="3425">
        <v>1</v>
      </c>
      <c r="G45" s="2271"/>
    </row>
    <row r="46" spans="1:7">
      <c r="A46" s="2271">
        <v>36</v>
      </c>
      <c r="B46" s="2271">
        <v>3</v>
      </c>
      <c r="C46" s="2271" t="s">
        <v>1530</v>
      </c>
      <c r="D46" s="2271" t="s">
        <v>2065</v>
      </c>
      <c r="E46" s="2271" t="s">
        <v>167</v>
      </c>
      <c r="F46" s="3425">
        <v>1</v>
      </c>
      <c r="G46" s="2271"/>
    </row>
    <row r="47" spans="1:7">
      <c r="A47" s="2271">
        <v>37</v>
      </c>
      <c r="B47" s="2271">
        <v>4</v>
      </c>
      <c r="C47" s="2271" t="s">
        <v>1905</v>
      </c>
      <c r="D47" s="2271" t="s">
        <v>2065</v>
      </c>
      <c r="E47" s="2271" t="s">
        <v>167</v>
      </c>
      <c r="F47" s="3425">
        <v>1</v>
      </c>
      <c r="G47" s="2271"/>
    </row>
    <row r="48" spans="1:7">
      <c r="A48" s="2271">
        <v>38</v>
      </c>
      <c r="B48" s="2271">
        <v>5</v>
      </c>
      <c r="C48" s="2271" t="s">
        <v>1906</v>
      </c>
      <c r="D48" s="2271" t="s">
        <v>2065</v>
      </c>
      <c r="E48" s="2271" t="s">
        <v>167</v>
      </c>
      <c r="F48" s="3425">
        <v>1</v>
      </c>
      <c r="G48" s="2271"/>
    </row>
    <row r="49" spans="1:7">
      <c r="A49" s="2271">
        <v>39</v>
      </c>
      <c r="B49" s="2271">
        <v>6</v>
      </c>
      <c r="C49" s="2271" t="s">
        <v>1907</v>
      </c>
      <c r="D49" s="2271" t="s">
        <v>2065</v>
      </c>
      <c r="E49" s="2271" t="s">
        <v>167</v>
      </c>
      <c r="F49" s="3425">
        <v>1</v>
      </c>
      <c r="G49" s="2271"/>
    </row>
    <row r="50" spans="1:7">
      <c r="A50" s="2271">
        <v>40</v>
      </c>
      <c r="B50" s="2271">
        <v>7</v>
      </c>
      <c r="C50" s="2271" t="s">
        <v>1560</v>
      </c>
      <c r="D50" s="2271" t="s">
        <v>2065</v>
      </c>
      <c r="E50" s="2271" t="s">
        <v>167</v>
      </c>
      <c r="F50" s="3425">
        <v>1</v>
      </c>
      <c r="G50" s="2271"/>
    </row>
    <row r="51" spans="1:7">
      <c r="A51" s="2271">
        <v>41</v>
      </c>
      <c r="B51" s="2271">
        <v>8</v>
      </c>
      <c r="C51" s="2271" t="s">
        <v>1561</v>
      </c>
      <c r="D51" s="2271" t="s">
        <v>2065</v>
      </c>
      <c r="E51" s="2271" t="s">
        <v>167</v>
      </c>
      <c r="F51" s="3425">
        <v>1</v>
      </c>
      <c r="G51" s="2271"/>
    </row>
    <row r="52" spans="1:7">
      <c r="A52" s="2271">
        <v>42</v>
      </c>
      <c r="B52" s="2271">
        <v>9</v>
      </c>
      <c r="C52" s="2271" t="s">
        <v>1683</v>
      </c>
      <c r="D52" s="2271" t="s">
        <v>2065</v>
      </c>
      <c r="E52" s="2271" t="s">
        <v>167</v>
      </c>
      <c r="F52" s="3425">
        <v>1</v>
      </c>
      <c r="G52" s="2271"/>
    </row>
    <row r="53" spans="1:7">
      <c r="A53" s="2271">
        <v>43</v>
      </c>
      <c r="B53" s="2271">
        <v>10</v>
      </c>
      <c r="C53" s="2271" t="s">
        <v>1189</v>
      </c>
      <c r="D53" s="2271" t="s">
        <v>2065</v>
      </c>
      <c r="E53" s="2271" t="s">
        <v>167</v>
      </c>
      <c r="F53" s="3425">
        <v>1</v>
      </c>
      <c r="G53" s="2271"/>
    </row>
    <row r="54" spans="1:7">
      <c r="A54" s="2271">
        <v>44</v>
      </c>
      <c r="B54" s="2271">
        <v>11</v>
      </c>
      <c r="C54" s="2271" t="s">
        <v>1908</v>
      </c>
      <c r="D54" s="2271" t="s">
        <v>2065</v>
      </c>
      <c r="E54" s="2271" t="s">
        <v>167</v>
      </c>
      <c r="F54" s="3425">
        <v>1</v>
      </c>
      <c r="G54" s="2271"/>
    </row>
    <row r="55" spans="1:7">
      <c r="A55" s="2271">
        <v>45</v>
      </c>
      <c r="B55" s="2271">
        <v>12</v>
      </c>
      <c r="C55" s="2271" t="s">
        <v>1909</v>
      </c>
      <c r="D55" s="2271" t="s">
        <v>2065</v>
      </c>
      <c r="E55" s="2271" t="s">
        <v>167</v>
      </c>
      <c r="F55" s="3425">
        <v>1</v>
      </c>
      <c r="G55" s="2271"/>
    </row>
    <row r="56" spans="1:7">
      <c r="A56" s="2271">
        <v>46</v>
      </c>
      <c r="B56" s="2271">
        <v>13</v>
      </c>
      <c r="C56" s="2271" t="s">
        <v>1910</v>
      </c>
      <c r="D56" s="2271" t="s">
        <v>2065</v>
      </c>
      <c r="E56" s="2271" t="s">
        <v>167</v>
      </c>
      <c r="F56" s="3425">
        <v>1</v>
      </c>
      <c r="G56" s="2271"/>
    </row>
    <row r="57" spans="1:7">
      <c r="A57" s="2271">
        <v>47</v>
      </c>
      <c r="B57" s="2271">
        <v>14</v>
      </c>
      <c r="C57" s="2271" t="s">
        <v>1911</v>
      </c>
      <c r="D57" s="2271" t="s">
        <v>2065</v>
      </c>
      <c r="E57" s="2271" t="s">
        <v>167</v>
      </c>
      <c r="F57" s="3425">
        <v>1</v>
      </c>
      <c r="G57" s="2271"/>
    </row>
    <row r="58" spans="1:7">
      <c r="A58" s="2271">
        <v>48</v>
      </c>
      <c r="B58" s="2271">
        <v>15</v>
      </c>
      <c r="C58" s="2271" t="s">
        <v>1912</v>
      </c>
      <c r="D58" s="2271" t="s">
        <v>2065</v>
      </c>
      <c r="E58" s="2271" t="s">
        <v>167</v>
      </c>
      <c r="F58" s="3425">
        <v>1</v>
      </c>
      <c r="G58" s="2271"/>
    </row>
    <row r="59" spans="1:7">
      <c r="A59" s="2271">
        <v>49</v>
      </c>
      <c r="B59" s="2271">
        <v>16</v>
      </c>
      <c r="C59" s="2271" t="s">
        <v>1564</v>
      </c>
      <c r="D59" s="2271" t="s">
        <v>2065</v>
      </c>
      <c r="E59" s="2271" t="s">
        <v>167</v>
      </c>
      <c r="F59" s="3425">
        <v>1</v>
      </c>
      <c r="G59" s="2271"/>
    </row>
    <row r="60" spans="1:7">
      <c r="A60" s="2271">
        <v>50</v>
      </c>
      <c r="B60" s="2271">
        <v>17</v>
      </c>
      <c r="C60" s="2271" t="s">
        <v>1685</v>
      </c>
      <c r="D60" s="2271" t="s">
        <v>2065</v>
      </c>
      <c r="E60" s="2271" t="s">
        <v>167</v>
      </c>
      <c r="F60" s="3425">
        <v>1</v>
      </c>
      <c r="G60" s="2271"/>
    </row>
    <row r="61" spans="1:7">
      <c r="A61" s="2271">
        <v>51</v>
      </c>
      <c r="B61" s="2271">
        <v>18</v>
      </c>
      <c r="C61" s="2271" t="s">
        <v>1913</v>
      </c>
      <c r="D61" s="2271" t="s">
        <v>2065</v>
      </c>
      <c r="E61" s="2271" t="s">
        <v>167</v>
      </c>
      <c r="F61" s="3425">
        <v>1</v>
      </c>
      <c r="G61" s="2271"/>
    </row>
    <row r="62" spans="1:7">
      <c r="A62" s="2271">
        <v>52</v>
      </c>
      <c r="B62" s="2271">
        <v>19</v>
      </c>
      <c r="C62" s="2271" t="s">
        <v>1914</v>
      </c>
      <c r="D62" s="2271" t="s">
        <v>2065</v>
      </c>
      <c r="E62" s="2271" t="s">
        <v>167</v>
      </c>
      <c r="F62" s="3425">
        <v>1</v>
      </c>
      <c r="G62" s="2271"/>
    </row>
    <row r="63" spans="1:7">
      <c r="A63" s="2271">
        <v>53</v>
      </c>
      <c r="B63" s="2271">
        <v>20</v>
      </c>
      <c r="C63" s="2271" t="s">
        <v>1915</v>
      </c>
      <c r="D63" s="2271" t="s">
        <v>2065</v>
      </c>
      <c r="E63" s="2271" t="s">
        <v>167</v>
      </c>
      <c r="F63" s="3425">
        <v>1</v>
      </c>
      <c r="G63" s="2271"/>
    </row>
    <row r="64" spans="1:7">
      <c r="A64" s="2271">
        <v>54</v>
      </c>
      <c r="B64" s="2271">
        <v>21</v>
      </c>
      <c r="C64" s="2271" t="s">
        <v>1992</v>
      </c>
      <c r="D64" s="2271" t="s">
        <v>2065</v>
      </c>
      <c r="E64" s="2271" t="s">
        <v>167</v>
      </c>
      <c r="F64" s="3425">
        <v>1</v>
      </c>
      <c r="G64" s="2271"/>
    </row>
    <row r="65" spans="1:7">
      <c r="A65" s="2271">
        <v>55</v>
      </c>
      <c r="B65" s="2271">
        <v>22</v>
      </c>
      <c r="C65" s="2271" t="s">
        <v>1916</v>
      </c>
      <c r="D65" s="2271" t="s">
        <v>2065</v>
      </c>
      <c r="E65" s="2271" t="s">
        <v>167</v>
      </c>
      <c r="F65" s="3425">
        <v>1</v>
      </c>
      <c r="G65" s="2271"/>
    </row>
    <row r="66" spans="1:7">
      <c r="A66" s="2271">
        <v>56</v>
      </c>
      <c r="B66" s="2271">
        <v>23</v>
      </c>
      <c r="C66" s="2271" t="s">
        <v>1917</v>
      </c>
      <c r="D66" s="2271" t="s">
        <v>2065</v>
      </c>
      <c r="E66" s="2271" t="s">
        <v>167</v>
      </c>
      <c r="F66" s="3425">
        <v>1</v>
      </c>
      <c r="G66" s="2271"/>
    </row>
    <row r="67" spans="1:7">
      <c r="A67" s="2271">
        <v>57</v>
      </c>
      <c r="B67" s="2271">
        <v>24</v>
      </c>
      <c r="C67" s="2271" t="s">
        <v>1178</v>
      </c>
      <c r="D67" s="2271" t="s">
        <v>2065</v>
      </c>
      <c r="E67" s="2271" t="s">
        <v>167</v>
      </c>
      <c r="F67" s="3425">
        <v>1</v>
      </c>
      <c r="G67" s="2271"/>
    </row>
    <row r="68" spans="1:7">
      <c r="A68" s="2271">
        <v>58</v>
      </c>
      <c r="B68" s="2271">
        <v>25</v>
      </c>
      <c r="C68" s="2271" t="s">
        <v>1929</v>
      </c>
      <c r="D68" s="2271" t="s">
        <v>2065</v>
      </c>
      <c r="E68" s="2271" t="s">
        <v>167</v>
      </c>
      <c r="F68" s="3425">
        <v>1</v>
      </c>
      <c r="G68" s="2271"/>
    </row>
    <row r="69" spans="1:7">
      <c r="A69" s="2271">
        <v>59</v>
      </c>
      <c r="B69" s="2271">
        <v>26</v>
      </c>
      <c r="C69" s="2271" t="s">
        <v>1993</v>
      </c>
      <c r="D69" s="2271" t="s">
        <v>2065</v>
      </c>
      <c r="E69" s="2271" t="s">
        <v>167</v>
      </c>
      <c r="F69" s="3425">
        <v>1</v>
      </c>
      <c r="G69" s="2271"/>
    </row>
    <row r="70" spans="1:7">
      <c r="A70" s="2271">
        <v>60</v>
      </c>
      <c r="B70" s="2271">
        <v>27</v>
      </c>
      <c r="C70" s="2271" t="s">
        <v>1994</v>
      </c>
      <c r="D70" s="2271" t="s">
        <v>2065</v>
      </c>
      <c r="E70" s="2271" t="s">
        <v>167</v>
      </c>
      <c r="F70" s="3425">
        <v>1</v>
      </c>
      <c r="G70" s="2271"/>
    </row>
    <row r="71" spans="1:7">
      <c r="A71" s="2271">
        <v>61</v>
      </c>
      <c r="B71" s="2271">
        <v>28</v>
      </c>
      <c r="C71" s="2271" t="s">
        <v>1995</v>
      </c>
      <c r="D71" s="2271" t="s">
        <v>2065</v>
      </c>
      <c r="E71" s="2271" t="s">
        <v>167</v>
      </c>
      <c r="F71" s="3425">
        <v>1</v>
      </c>
      <c r="G71" s="2271"/>
    </row>
    <row r="72" spans="1:7">
      <c r="A72" s="2271">
        <v>62</v>
      </c>
      <c r="B72" s="2271">
        <v>29</v>
      </c>
      <c r="C72" s="2271" t="s">
        <v>2019</v>
      </c>
      <c r="D72" s="2271" t="s">
        <v>2065</v>
      </c>
      <c r="E72" s="2271" t="s">
        <v>167</v>
      </c>
      <c r="F72" s="3425">
        <v>1</v>
      </c>
      <c r="G72" s="2271"/>
    </row>
    <row r="73" spans="1:7">
      <c r="A73" s="2271">
        <v>63</v>
      </c>
      <c r="B73" s="2271">
        <v>30</v>
      </c>
      <c r="C73" s="2271" t="s">
        <v>1996</v>
      </c>
      <c r="D73" s="2271" t="s">
        <v>2065</v>
      </c>
      <c r="E73" s="2271" t="s">
        <v>167</v>
      </c>
      <c r="F73" s="3425">
        <v>1</v>
      </c>
      <c r="G73" s="2271"/>
    </row>
    <row r="74" spans="1:7">
      <c r="A74" s="2271">
        <v>64</v>
      </c>
      <c r="B74" s="2271">
        <v>31</v>
      </c>
      <c r="C74" s="2271" t="s">
        <v>2020</v>
      </c>
      <c r="D74" s="2271" t="s">
        <v>2065</v>
      </c>
      <c r="E74" s="2271" t="s">
        <v>167</v>
      </c>
      <c r="F74" s="3425">
        <v>1</v>
      </c>
      <c r="G74" s="2271"/>
    </row>
    <row r="75" spans="1:7">
      <c r="A75" s="2271">
        <v>65</v>
      </c>
      <c r="B75" s="2271">
        <v>32</v>
      </c>
      <c r="C75" s="2271" t="s">
        <v>1997</v>
      </c>
      <c r="D75" s="2271" t="s">
        <v>2065</v>
      </c>
      <c r="E75" s="2271" t="s">
        <v>167</v>
      </c>
      <c r="F75" s="3425">
        <v>1</v>
      </c>
      <c r="G75" s="2271"/>
    </row>
    <row r="76" spans="1:7">
      <c r="A76" s="2271">
        <v>66</v>
      </c>
      <c r="B76" s="2271">
        <v>33</v>
      </c>
      <c r="C76" s="2271" t="s">
        <v>1998</v>
      </c>
      <c r="D76" s="2271" t="s">
        <v>2065</v>
      </c>
      <c r="E76" s="2271" t="s">
        <v>167</v>
      </c>
      <c r="F76" s="3425">
        <v>1</v>
      </c>
      <c r="G76" s="2271"/>
    </row>
    <row r="77" spans="1:7">
      <c r="A77" s="2271">
        <v>67</v>
      </c>
      <c r="B77" s="2271">
        <v>34</v>
      </c>
      <c r="C77" s="2271" t="s">
        <v>1999</v>
      </c>
      <c r="D77" s="2271" t="s">
        <v>2065</v>
      </c>
      <c r="E77" s="2271" t="s">
        <v>167</v>
      </c>
      <c r="F77" s="3425">
        <v>1</v>
      </c>
      <c r="G77" s="2271"/>
    </row>
    <row r="78" spans="1:7">
      <c r="A78" s="2271">
        <v>68</v>
      </c>
      <c r="B78" s="2271">
        <v>35</v>
      </c>
      <c r="C78" s="2271" t="s">
        <v>2000</v>
      </c>
      <c r="D78" s="2271" t="s">
        <v>2065</v>
      </c>
      <c r="E78" s="2271" t="s">
        <v>167</v>
      </c>
      <c r="F78" s="3425">
        <v>1</v>
      </c>
      <c r="G78" s="2271"/>
    </row>
    <row r="79" spans="1:7">
      <c r="A79" s="2271">
        <v>69</v>
      </c>
      <c r="B79" s="2271">
        <v>36</v>
      </c>
      <c r="C79" s="2271" t="s">
        <v>2001</v>
      </c>
      <c r="D79" s="2271" t="s">
        <v>2065</v>
      </c>
      <c r="E79" s="2271" t="s">
        <v>167</v>
      </c>
      <c r="F79" s="3425">
        <v>1</v>
      </c>
      <c r="G79" s="2271"/>
    </row>
    <row r="80" spans="1:7">
      <c r="A80" s="2272"/>
      <c r="B80" s="2272"/>
      <c r="C80" s="2272" t="s">
        <v>2065</v>
      </c>
      <c r="D80" s="2272"/>
      <c r="E80" s="2272"/>
      <c r="F80" s="3508">
        <f>SUM(F44:F79)</f>
        <v>36</v>
      </c>
      <c r="G80" s="2272"/>
    </row>
    <row r="81" spans="1:7">
      <c r="A81" s="2271">
        <v>70</v>
      </c>
      <c r="B81" s="2271">
        <v>1</v>
      </c>
      <c r="C81" s="2271" t="s">
        <v>1489</v>
      </c>
      <c r="D81" s="2271" t="s">
        <v>2066</v>
      </c>
      <c r="E81" s="2271" t="s">
        <v>167</v>
      </c>
      <c r="F81" s="3425">
        <v>1</v>
      </c>
      <c r="G81" s="2271"/>
    </row>
    <row r="82" spans="1:7">
      <c r="A82" s="2271">
        <v>71</v>
      </c>
      <c r="B82" s="2271">
        <v>2</v>
      </c>
      <c r="C82" s="2271" t="s">
        <v>1532</v>
      </c>
      <c r="D82" s="2271" t="s">
        <v>2066</v>
      </c>
      <c r="E82" s="2271" t="s">
        <v>167</v>
      </c>
      <c r="F82" s="3425">
        <v>1</v>
      </c>
      <c r="G82" s="2271"/>
    </row>
    <row r="83" spans="1:7">
      <c r="A83" s="2271">
        <v>72</v>
      </c>
      <c r="B83" s="2271">
        <v>3</v>
      </c>
      <c r="C83" s="2271" t="s">
        <v>1691</v>
      </c>
      <c r="D83" s="2271" t="s">
        <v>2066</v>
      </c>
      <c r="E83" s="2271" t="s">
        <v>167</v>
      </c>
      <c r="F83" s="3425">
        <v>1</v>
      </c>
      <c r="G83" s="2271"/>
    </row>
    <row r="84" spans="1:7">
      <c r="A84" s="2271">
        <v>73</v>
      </c>
      <c r="B84" s="2271">
        <v>4</v>
      </c>
      <c r="C84" s="2271" t="s">
        <v>1692</v>
      </c>
      <c r="D84" s="2271" t="s">
        <v>2066</v>
      </c>
      <c r="E84" s="2271" t="s">
        <v>167</v>
      </c>
      <c r="F84" s="3425">
        <v>1</v>
      </c>
      <c r="G84" s="2271"/>
    </row>
    <row r="85" spans="1:7">
      <c r="A85" s="2271">
        <v>74</v>
      </c>
      <c r="B85" s="2271">
        <v>5</v>
      </c>
      <c r="C85" s="2271" t="s">
        <v>1693</v>
      </c>
      <c r="D85" s="2271" t="s">
        <v>2066</v>
      </c>
      <c r="E85" s="2271" t="s">
        <v>167</v>
      </c>
      <c r="F85" s="3425">
        <v>1</v>
      </c>
      <c r="G85" s="2271"/>
    </row>
    <row r="86" spans="1:7">
      <c r="A86" s="2271">
        <v>75</v>
      </c>
      <c r="B86" s="2271">
        <v>6</v>
      </c>
      <c r="C86" s="2271" t="s">
        <v>281</v>
      </c>
      <c r="D86" s="2271" t="s">
        <v>2066</v>
      </c>
      <c r="E86" s="2271" t="s">
        <v>167</v>
      </c>
      <c r="F86" s="3425">
        <v>1</v>
      </c>
      <c r="G86" s="2271"/>
    </row>
    <row r="87" spans="1:7">
      <c r="A87" s="2271">
        <v>76</v>
      </c>
      <c r="B87" s="2271">
        <v>7</v>
      </c>
      <c r="C87" s="2271" t="s">
        <v>1183</v>
      </c>
      <c r="D87" s="2271" t="s">
        <v>2066</v>
      </c>
      <c r="E87" s="2271" t="s">
        <v>167</v>
      </c>
      <c r="F87" s="3425">
        <v>1</v>
      </c>
      <c r="G87" s="2271"/>
    </row>
    <row r="88" spans="1:7">
      <c r="A88" s="2271">
        <v>77</v>
      </c>
      <c r="B88" s="2271">
        <v>8</v>
      </c>
      <c r="C88" s="2271" t="s">
        <v>1184</v>
      </c>
      <c r="D88" s="2271" t="s">
        <v>2066</v>
      </c>
      <c r="E88" s="2271" t="s">
        <v>167</v>
      </c>
      <c r="F88" s="3425">
        <v>1</v>
      </c>
      <c r="G88" s="2271"/>
    </row>
    <row r="89" spans="1:7">
      <c r="A89" s="2271">
        <v>78</v>
      </c>
      <c r="B89" s="2271">
        <v>9</v>
      </c>
      <c r="C89" s="2271" t="s">
        <v>1615</v>
      </c>
      <c r="D89" s="2271" t="s">
        <v>2066</v>
      </c>
      <c r="E89" s="2271" t="s">
        <v>167</v>
      </c>
      <c r="F89" s="3425">
        <v>1</v>
      </c>
      <c r="G89" s="2271"/>
    </row>
    <row r="90" spans="1:7">
      <c r="A90" s="2271">
        <v>79</v>
      </c>
      <c r="B90" s="2271">
        <v>10</v>
      </c>
      <c r="C90" s="2271" t="s">
        <v>1490</v>
      </c>
      <c r="D90" s="2271" t="s">
        <v>2066</v>
      </c>
      <c r="E90" s="2271" t="s">
        <v>167</v>
      </c>
      <c r="F90" s="3425">
        <v>1</v>
      </c>
      <c r="G90" s="2271"/>
    </row>
    <row r="91" spans="1:7">
      <c r="A91" s="2271">
        <v>80</v>
      </c>
      <c r="B91" s="2271">
        <v>11</v>
      </c>
      <c r="C91" s="2271" t="s">
        <v>1491</v>
      </c>
      <c r="D91" s="2271" t="s">
        <v>2066</v>
      </c>
      <c r="E91" s="2271" t="s">
        <v>167</v>
      </c>
      <c r="F91" s="3425">
        <v>1</v>
      </c>
      <c r="G91" s="2271"/>
    </row>
    <row r="92" spans="1:7">
      <c r="A92" s="2271">
        <v>81</v>
      </c>
      <c r="B92" s="2271">
        <v>12</v>
      </c>
      <c r="C92" s="2271" t="s">
        <v>1492</v>
      </c>
      <c r="D92" s="2271" t="s">
        <v>2066</v>
      </c>
      <c r="E92" s="2271" t="s">
        <v>167</v>
      </c>
      <c r="F92" s="3425">
        <v>1</v>
      </c>
      <c r="G92" s="2271"/>
    </row>
    <row r="93" spans="1:7">
      <c r="A93" s="2271">
        <v>82</v>
      </c>
      <c r="B93" s="2271">
        <v>13</v>
      </c>
      <c r="C93" s="2271" t="s">
        <v>1694</v>
      </c>
      <c r="D93" s="2271" t="s">
        <v>2066</v>
      </c>
      <c r="E93" s="2271" t="s">
        <v>167</v>
      </c>
      <c r="F93" s="3425">
        <v>1</v>
      </c>
      <c r="G93" s="2271"/>
    </row>
    <row r="94" spans="1:7">
      <c r="A94" s="2271">
        <v>83</v>
      </c>
      <c r="B94" s="2271">
        <v>14</v>
      </c>
      <c r="C94" s="2271" t="s">
        <v>1616</v>
      </c>
      <c r="D94" s="2271" t="s">
        <v>2066</v>
      </c>
      <c r="E94" s="2271" t="s">
        <v>167</v>
      </c>
      <c r="F94" s="3425">
        <v>1</v>
      </c>
      <c r="G94" s="2271"/>
    </row>
    <row r="95" spans="1:7">
      <c r="A95" s="2271">
        <v>84</v>
      </c>
      <c r="B95" s="2271">
        <v>15</v>
      </c>
      <c r="C95" s="2271" t="s">
        <v>1229</v>
      </c>
      <c r="D95" s="2271" t="s">
        <v>2066</v>
      </c>
      <c r="E95" s="2271" t="s">
        <v>167</v>
      </c>
      <c r="F95" s="3425">
        <v>1</v>
      </c>
      <c r="G95" s="2271"/>
    </row>
    <row r="96" spans="1:7">
      <c r="A96" s="2271">
        <v>85</v>
      </c>
      <c r="B96" s="2271">
        <v>16</v>
      </c>
      <c r="C96" s="2271" t="s">
        <v>1494</v>
      </c>
      <c r="D96" s="2271" t="s">
        <v>2066</v>
      </c>
      <c r="E96" s="2271" t="s">
        <v>167</v>
      </c>
      <c r="F96" s="3425">
        <v>1</v>
      </c>
      <c r="G96" s="2271"/>
    </row>
    <row r="97" spans="1:7">
      <c r="A97" s="2271">
        <v>86</v>
      </c>
      <c r="B97" s="2271">
        <v>17</v>
      </c>
      <c r="C97" s="2271" t="s">
        <v>243</v>
      </c>
      <c r="D97" s="2271" t="s">
        <v>2066</v>
      </c>
      <c r="E97" s="2271" t="s">
        <v>167</v>
      </c>
      <c r="F97" s="3425">
        <v>1</v>
      </c>
      <c r="G97" s="2271"/>
    </row>
    <row r="98" spans="1:7">
      <c r="A98" s="2271">
        <v>87</v>
      </c>
      <c r="B98" s="2271">
        <v>18</v>
      </c>
      <c r="C98" s="2271" t="s">
        <v>1533</v>
      </c>
      <c r="D98" s="2271" t="s">
        <v>2066</v>
      </c>
      <c r="E98" s="2271" t="s">
        <v>167</v>
      </c>
      <c r="F98" s="3425">
        <v>1</v>
      </c>
      <c r="G98" s="2271"/>
    </row>
    <row r="99" spans="1:7">
      <c r="A99" s="2271">
        <v>88</v>
      </c>
      <c r="B99" s="2271">
        <v>19</v>
      </c>
      <c r="C99" s="2271" t="s">
        <v>1534</v>
      </c>
      <c r="D99" s="2271" t="s">
        <v>2066</v>
      </c>
      <c r="E99" s="2271" t="s">
        <v>167</v>
      </c>
      <c r="F99" s="3425">
        <v>1</v>
      </c>
      <c r="G99" s="2271"/>
    </row>
    <row r="100" spans="1:7">
      <c r="A100" s="2271">
        <v>89</v>
      </c>
      <c r="B100" s="2271">
        <v>20</v>
      </c>
      <c r="C100" s="2271" t="s">
        <v>1695</v>
      </c>
      <c r="D100" s="2271" t="s">
        <v>2066</v>
      </c>
      <c r="E100" s="2271" t="s">
        <v>167</v>
      </c>
      <c r="F100" s="3425">
        <v>1</v>
      </c>
      <c r="G100" s="2271"/>
    </row>
    <row r="101" spans="1:7">
      <c r="A101" s="2271">
        <v>90</v>
      </c>
      <c r="B101" s="2271">
        <v>21</v>
      </c>
      <c r="C101" s="2271" t="s">
        <v>1535</v>
      </c>
      <c r="D101" s="2271" t="s">
        <v>2066</v>
      </c>
      <c r="E101" s="2271" t="s">
        <v>167</v>
      </c>
      <c r="F101" s="3425">
        <v>1</v>
      </c>
      <c r="G101" s="2271"/>
    </row>
    <row r="102" spans="1:7">
      <c r="A102" s="2271">
        <v>91</v>
      </c>
      <c r="B102" s="2271">
        <v>22</v>
      </c>
      <c r="C102" s="2271" t="s">
        <v>1696</v>
      </c>
      <c r="D102" s="2271" t="s">
        <v>2066</v>
      </c>
      <c r="E102" s="2271" t="s">
        <v>167</v>
      </c>
      <c r="F102" s="3425">
        <v>1</v>
      </c>
      <c r="G102" s="2271"/>
    </row>
    <row r="103" spans="1:7">
      <c r="A103" s="2271">
        <v>92</v>
      </c>
      <c r="B103" s="2271">
        <v>23</v>
      </c>
      <c r="C103" s="2271" t="s">
        <v>1495</v>
      </c>
      <c r="D103" s="2271" t="s">
        <v>2066</v>
      </c>
      <c r="E103" s="2271" t="s">
        <v>167</v>
      </c>
      <c r="F103" s="3425">
        <v>1</v>
      </c>
      <c r="G103" s="2271"/>
    </row>
    <row r="104" spans="1:7">
      <c r="A104" s="2271">
        <v>93</v>
      </c>
      <c r="B104" s="2271">
        <v>24</v>
      </c>
      <c r="C104" s="2271" t="s">
        <v>1496</v>
      </c>
      <c r="D104" s="2271" t="s">
        <v>2066</v>
      </c>
      <c r="E104" s="2271" t="s">
        <v>167</v>
      </c>
      <c r="F104" s="3425">
        <v>1</v>
      </c>
      <c r="G104" s="2271"/>
    </row>
    <row r="105" spans="1:7">
      <c r="A105" s="2271">
        <v>94</v>
      </c>
      <c r="B105" s="2271">
        <v>25</v>
      </c>
      <c r="C105" s="2271" t="s">
        <v>1697</v>
      </c>
      <c r="D105" s="2271" t="s">
        <v>2066</v>
      </c>
      <c r="E105" s="2271" t="s">
        <v>167</v>
      </c>
      <c r="F105" s="3425">
        <v>1</v>
      </c>
      <c r="G105" s="2271"/>
    </row>
    <row r="106" spans="1:7">
      <c r="A106" s="2271">
        <v>95</v>
      </c>
      <c r="B106" s="2271">
        <v>26</v>
      </c>
      <c r="C106" s="2271" t="s">
        <v>1698</v>
      </c>
      <c r="D106" s="2271" t="s">
        <v>2066</v>
      </c>
      <c r="E106" s="2271" t="s">
        <v>167</v>
      </c>
      <c r="F106" s="3425">
        <v>1</v>
      </c>
      <c r="G106" s="2271"/>
    </row>
    <row r="107" spans="1:7">
      <c r="A107" s="2271">
        <v>96</v>
      </c>
      <c r="B107" s="2271">
        <v>27</v>
      </c>
      <c r="C107" s="2271" t="s">
        <v>1699</v>
      </c>
      <c r="D107" s="2271" t="s">
        <v>2066</v>
      </c>
      <c r="E107" s="2271" t="s">
        <v>167</v>
      </c>
      <c r="F107" s="3425">
        <v>1</v>
      </c>
      <c r="G107" s="2271"/>
    </row>
    <row r="108" spans="1:7">
      <c r="A108" s="2271">
        <v>97</v>
      </c>
      <c r="B108" s="2271">
        <v>28</v>
      </c>
      <c r="C108" s="2271" t="s">
        <v>1700</v>
      </c>
      <c r="D108" s="2271" t="s">
        <v>2066</v>
      </c>
      <c r="E108" s="2271" t="s">
        <v>167</v>
      </c>
      <c r="F108" s="3425">
        <v>1</v>
      </c>
      <c r="G108" s="2271"/>
    </row>
    <row r="109" spans="1:7">
      <c r="A109" s="2271">
        <v>98</v>
      </c>
      <c r="B109" s="2271">
        <v>29</v>
      </c>
      <c r="C109" s="2271" t="s">
        <v>1701</v>
      </c>
      <c r="D109" s="2271" t="s">
        <v>2066</v>
      </c>
      <c r="E109" s="2271" t="s">
        <v>167</v>
      </c>
      <c r="F109" s="3425">
        <v>1</v>
      </c>
      <c r="G109" s="2271"/>
    </row>
    <row r="110" spans="1:7">
      <c r="A110" s="2271">
        <v>99</v>
      </c>
      <c r="B110" s="2271">
        <v>30</v>
      </c>
      <c r="C110" s="2271" t="s">
        <v>1702</v>
      </c>
      <c r="D110" s="2271" t="s">
        <v>2066</v>
      </c>
      <c r="E110" s="2271" t="s">
        <v>167</v>
      </c>
      <c r="F110" s="3425">
        <v>1</v>
      </c>
      <c r="G110" s="2271"/>
    </row>
    <row r="111" spans="1:7">
      <c r="A111" s="2271">
        <v>100</v>
      </c>
      <c r="B111" s="2271">
        <v>31</v>
      </c>
      <c r="C111" s="2271" t="s">
        <v>1536</v>
      </c>
      <c r="D111" s="2271" t="s">
        <v>2066</v>
      </c>
      <c r="E111" s="2271" t="s">
        <v>167</v>
      </c>
      <c r="F111" s="3425">
        <v>1</v>
      </c>
      <c r="G111" s="2271"/>
    </row>
    <row r="112" spans="1:7">
      <c r="A112" s="2271">
        <v>101</v>
      </c>
      <c r="B112" s="2271">
        <v>32</v>
      </c>
      <c r="C112" s="2271" t="s">
        <v>1703</v>
      </c>
      <c r="D112" s="2271" t="s">
        <v>2066</v>
      </c>
      <c r="E112" s="2271" t="s">
        <v>167</v>
      </c>
      <c r="F112" s="3425">
        <v>1</v>
      </c>
      <c r="G112" s="2271"/>
    </row>
    <row r="113" spans="1:7">
      <c r="A113" s="2271">
        <v>102</v>
      </c>
      <c r="B113" s="2271">
        <v>33</v>
      </c>
      <c r="C113" s="2271" t="s">
        <v>1500</v>
      </c>
      <c r="D113" s="2271" t="s">
        <v>2066</v>
      </c>
      <c r="E113" s="2271" t="s">
        <v>167</v>
      </c>
      <c r="F113" s="3425">
        <v>1</v>
      </c>
      <c r="G113" s="2271"/>
    </row>
    <row r="114" spans="1:7">
      <c r="A114" s="2271">
        <v>103</v>
      </c>
      <c r="B114" s="2271">
        <v>34</v>
      </c>
      <c r="C114" s="2271" t="s">
        <v>1704</v>
      </c>
      <c r="D114" s="2271" t="s">
        <v>2066</v>
      </c>
      <c r="E114" s="2271" t="s">
        <v>167</v>
      </c>
      <c r="F114" s="3425">
        <v>1</v>
      </c>
      <c r="G114" s="2271"/>
    </row>
    <row r="115" spans="1:7">
      <c r="A115" s="2271">
        <v>104</v>
      </c>
      <c r="B115" s="2271">
        <v>35</v>
      </c>
      <c r="C115" s="2271" t="s">
        <v>1504</v>
      </c>
      <c r="D115" s="2271" t="s">
        <v>2066</v>
      </c>
      <c r="E115" s="2271" t="s">
        <v>167</v>
      </c>
      <c r="F115" s="3425">
        <v>1</v>
      </c>
      <c r="G115" s="2271"/>
    </row>
    <row r="116" spans="1:7">
      <c r="A116" s="2271">
        <v>105</v>
      </c>
      <c r="B116" s="2271">
        <v>36</v>
      </c>
      <c r="C116" s="2271" t="s">
        <v>1537</v>
      </c>
      <c r="D116" s="2271" t="s">
        <v>2066</v>
      </c>
      <c r="E116" s="2271" t="s">
        <v>167</v>
      </c>
      <c r="F116" s="3425">
        <v>1</v>
      </c>
      <c r="G116" s="2271"/>
    </row>
    <row r="117" spans="1:7">
      <c r="A117" s="2271">
        <v>106</v>
      </c>
      <c r="B117" s="2271">
        <v>37</v>
      </c>
      <c r="C117" s="2271" t="s">
        <v>1501</v>
      </c>
      <c r="D117" s="2271" t="s">
        <v>2066</v>
      </c>
      <c r="E117" s="2271" t="s">
        <v>167</v>
      </c>
      <c r="F117" s="3425">
        <v>1</v>
      </c>
      <c r="G117" s="2271"/>
    </row>
    <row r="118" spans="1:7">
      <c r="A118" s="2271">
        <v>107</v>
      </c>
      <c r="B118" s="2271">
        <v>38</v>
      </c>
      <c r="C118" s="2271" t="s">
        <v>1502</v>
      </c>
      <c r="D118" s="2271" t="s">
        <v>2066</v>
      </c>
      <c r="E118" s="2271" t="s">
        <v>167</v>
      </c>
      <c r="F118" s="3425">
        <v>1</v>
      </c>
      <c r="G118" s="2271"/>
    </row>
    <row r="119" spans="1:7">
      <c r="A119" s="2271">
        <v>108</v>
      </c>
      <c r="B119" s="2271">
        <v>39</v>
      </c>
      <c r="C119" s="2271" t="s">
        <v>1705</v>
      </c>
      <c r="D119" s="2271" t="s">
        <v>2066</v>
      </c>
      <c r="E119" s="2271" t="s">
        <v>167</v>
      </c>
      <c r="F119" s="3425">
        <v>1</v>
      </c>
      <c r="G119" s="2271"/>
    </row>
    <row r="120" spans="1:7">
      <c r="A120" s="2271">
        <v>109</v>
      </c>
      <c r="B120" s="2271">
        <v>40</v>
      </c>
      <c r="C120" s="2271" t="s">
        <v>1706</v>
      </c>
      <c r="D120" s="2271" t="s">
        <v>2066</v>
      </c>
      <c r="E120" s="2271" t="s">
        <v>167</v>
      </c>
      <c r="F120" s="3425">
        <v>1</v>
      </c>
      <c r="G120" s="2271"/>
    </row>
    <row r="121" spans="1:7">
      <c r="A121" s="2271">
        <v>110</v>
      </c>
      <c r="B121" s="2271">
        <v>41</v>
      </c>
      <c r="C121" s="2271" t="s">
        <v>1707</v>
      </c>
      <c r="D121" s="2271" t="s">
        <v>2066</v>
      </c>
      <c r="E121" s="2271" t="s">
        <v>167</v>
      </c>
      <c r="F121" s="3425">
        <v>1</v>
      </c>
      <c r="G121" s="2271"/>
    </row>
    <row r="122" spans="1:7">
      <c r="A122" s="2271">
        <v>111</v>
      </c>
      <c r="B122" s="2271">
        <v>42</v>
      </c>
      <c r="C122" s="2271" t="s">
        <v>1708</v>
      </c>
      <c r="D122" s="2271" t="s">
        <v>2066</v>
      </c>
      <c r="E122" s="2271" t="s">
        <v>167</v>
      </c>
      <c r="F122" s="3425">
        <v>1</v>
      </c>
      <c r="G122" s="2271"/>
    </row>
    <row r="123" spans="1:7">
      <c r="A123" s="2271">
        <v>112</v>
      </c>
      <c r="B123" s="2271">
        <v>43</v>
      </c>
      <c r="C123" s="2271" t="s">
        <v>1505</v>
      </c>
      <c r="D123" s="2271" t="s">
        <v>2066</v>
      </c>
      <c r="E123" s="2271" t="s">
        <v>167</v>
      </c>
      <c r="F123" s="3425">
        <v>1</v>
      </c>
      <c r="G123" s="2271"/>
    </row>
    <row r="124" spans="1:7">
      <c r="A124" s="2271">
        <v>113</v>
      </c>
      <c r="B124" s="2271">
        <v>44</v>
      </c>
      <c r="C124" s="2271" t="s">
        <v>1075</v>
      </c>
      <c r="D124" s="2271" t="s">
        <v>2066</v>
      </c>
      <c r="E124" s="2271" t="s">
        <v>167</v>
      </c>
      <c r="F124" s="3425">
        <v>1</v>
      </c>
      <c r="G124" s="2271"/>
    </row>
    <row r="125" spans="1:7">
      <c r="A125" s="2271">
        <v>114</v>
      </c>
      <c r="B125" s="2271">
        <v>45</v>
      </c>
      <c r="C125" s="2271" t="s">
        <v>1506</v>
      </c>
      <c r="D125" s="2271" t="s">
        <v>2066</v>
      </c>
      <c r="E125" s="2271" t="s">
        <v>167</v>
      </c>
      <c r="F125" s="3425">
        <v>1</v>
      </c>
      <c r="G125" s="2271"/>
    </row>
    <row r="126" spans="1:7">
      <c r="A126" s="2271">
        <v>115</v>
      </c>
      <c r="B126" s="2271">
        <v>46</v>
      </c>
      <c r="C126" s="2271" t="s">
        <v>1622</v>
      </c>
      <c r="D126" s="2271" t="s">
        <v>2066</v>
      </c>
      <c r="E126" s="2271" t="s">
        <v>167</v>
      </c>
      <c r="F126" s="3425">
        <v>1</v>
      </c>
      <c r="G126" s="2271"/>
    </row>
    <row r="127" spans="1:7">
      <c r="A127" s="2271">
        <v>116</v>
      </c>
      <c r="B127" s="2271">
        <v>47</v>
      </c>
      <c r="C127" s="2271" t="s">
        <v>1507</v>
      </c>
      <c r="D127" s="2271" t="s">
        <v>2066</v>
      </c>
      <c r="E127" s="2271" t="s">
        <v>167</v>
      </c>
      <c r="F127" s="3425">
        <v>1</v>
      </c>
      <c r="G127" s="2271"/>
    </row>
    <row r="128" spans="1:7">
      <c r="A128" s="2271">
        <v>117</v>
      </c>
      <c r="B128" s="2271">
        <v>48</v>
      </c>
      <c r="C128" s="2271" t="s">
        <v>1538</v>
      </c>
      <c r="D128" s="2271" t="s">
        <v>2066</v>
      </c>
      <c r="E128" s="2271" t="s">
        <v>167</v>
      </c>
      <c r="F128" s="3425">
        <v>1</v>
      </c>
      <c r="G128" s="2271"/>
    </row>
    <row r="129" spans="1:7">
      <c r="A129" s="2271">
        <v>118</v>
      </c>
      <c r="B129" s="2271">
        <v>49</v>
      </c>
      <c r="C129" s="2271" t="s">
        <v>1539</v>
      </c>
      <c r="D129" s="2271" t="s">
        <v>2066</v>
      </c>
      <c r="E129" s="2271" t="s">
        <v>167</v>
      </c>
      <c r="F129" s="3425">
        <v>1</v>
      </c>
      <c r="G129" s="2271"/>
    </row>
    <row r="130" spans="1:7">
      <c r="A130" s="2271">
        <v>119</v>
      </c>
      <c r="B130" s="2271">
        <v>50</v>
      </c>
      <c r="C130" s="2271" t="s">
        <v>1508</v>
      </c>
      <c r="D130" s="2271" t="s">
        <v>2066</v>
      </c>
      <c r="E130" s="2271" t="s">
        <v>167</v>
      </c>
      <c r="F130" s="3425">
        <v>1</v>
      </c>
      <c r="G130" s="2271"/>
    </row>
    <row r="131" spans="1:7">
      <c r="A131" s="2271">
        <v>120</v>
      </c>
      <c r="B131" s="2271">
        <v>51</v>
      </c>
      <c r="C131" s="2271" t="s">
        <v>1540</v>
      </c>
      <c r="D131" s="2271" t="s">
        <v>2066</v>
      </c>
      <c r="E131" s="2271" t="s">
        <v>167</v>
      </c>
      <c r="F131" s="3425">
        <v>1</v>
      </c>
      <c r="G131" s="2271"/>
    </row>
    <row r="132" spans="1:7">
      <c r="A132" s="2271">
        <v>121</v>
      </c>
      <c r="B132" s="2271">
        <v>52</v>
      </c>
      <c r="C132" s="2271" t="s">
        <v>1709</v>
      </c>
      <c r="D132" s="2271" t="s">
        <v>2066</v>
      </c>
      <c r="E132" s="2271" t="s">
        <v>167</v>
      </c>
      <c r="F132" s="3425">
        <v>1</v>
      </c>
      <c r="G132" s="2271"/>
    </row>
    <row r="133" spans="1:7">
      <c r="A133" s="2271">
        <v>122</v>
      </c>
      <c r="B133" s="2271">
        <v>53</v>
      </c>
      <c r="C133" s="2271" t="s">
        <v>1710</v>
      </c>
      <c r="D133" s="2271" t="s">
        <v>2066</v>
      </c>
      <c r="E133" s="2271" t="s">
        <v>167</v>
      </c>
      <c r="F133" s="3425">
        <v>1</v>
      </c>
      <c r="G133" s="2271"/>
    </row>
    <row r="134" spans="1:7">
      <c r="A134" s="2271">
        <v>123</v>
      </c>
      <c r="B134" s="2271">
        <v>54</v>
      </c>
      <c r="C134" s="2271" t="s">
        <v>1201</v>
      </c>
      <c r="D134" s="2271" t="s">
        <v>2066</v>
      </c>
      <c r="E134" s="2271" t="s">
        <v>167</v>
      </c>
      <c r="F134" s="3425">
        <v>1</v>
      </c>
      <c r="G134" s="2271"/>
    </row>
    <row r="135" spans="1:7">
      <c r="A135" s="2271">
        <v>124</v>
      </c>
      <c r="B135" s="2271">
        <v>55</v>
      </c>
      <c r="C135" s="2271" t="s">
        <v>1711</v>
      </c>
      <c r="D135" s="2271" t="s">
        <v>2066</v>
      </c>
      <c r="E135" s="2271" t="s">
        <v>167</v>
      </c>
      <c r="F135" s="3425">
        <v>1</v>
      </c>
      <c r="G135" s="2271"/>
    </row>
    <row r="136" spans="1:7">
      <c r="A136" s="2271">
        <v>125</v>
      </c>
      <c r="B136" s="2271">
        <v>56</v>
      </c>
      <c r="C136" s="2271" t="s">
        <v>1624</v>
      </c>
      <c r="D136" s="2271" t="s">
        <v>2066</v>
      </c>
      <c r="E136" s="2271" t="s">
        <v>167</v>
      </c>
      <c r="F136" s="3425">
        <v>1</v>
      </c>
      <c r="G136" s="2271"/>
    </row>
    <row r="137" spans="1:7">
      <c r="A137" s="2271">
        <v>126</v>
      </c>
      <c r="B137" s="2271">
        <v>57</v>
      </c>
      <c r="C137" s="2271" t="s">
        <v>1625</v>
      </c>
      <c r="D137" s="2271" t="s">
        <v>2066</v>
      </c>
      <c r="E137" s="2271" t="s">
        <v>167</v>
      </c>
      <c r="F137" s="3425">
        <v>1</v>
      </c>
      <c r="G137" s="2271"/>
    </row>
    <row r="138" spans="1:7">
      <c r="A138" s="2271">
        <v>127</v>
      </c>
      <c r="B138" s="2271">
        <v>58</v>
      </c>
      <c r="C138" s="2271" t="s">
        <v>1968</v>
      </c>
      <c r="D138" s="2271" t="s">
        <v>2066</v>
      </c>
      <c r="E138" s="2271" t="s">
        <v>167</v>
      </c>
      <c r="F138" s="3425">
        <v>1</v>
      </c>
      <c r="G138" s="2271"/>
    </row>
    <row r="139" spans="1:7">
      <c r="A139" s="2271">
        <v>128</v>
      </c>
      <c r="B139" s="2271">
        <v>59</v>
      </c>
      <c r="C139" s="2271" t="s">
        <v>1969</v>
      </c>
      <c r="D139" s="2271" t="s">
        <v>2066</v>
      </c>
      <c r="E139" s="2271" t="s">
        <v>167</v>
      </c>
      <c r="F139" s="3425">
        <v>1</v>
      </c>
      <c r="G139" s="2271"/>
    </row>
    <row r="140" spans="1:7">
      <c r="A140" s="2271">
        <v>129</v>
      </c>
      <c r="B140" s="2271">
        <v>60</v>
      </c>
      <c r="C140" s="2271" t="s">
        <v>1712</v>
      </c>
      <c r="D140" s="2271" t="s">
        <v>2066</v>
      </c>
      <c r="E140" s="2271" t="s">
        <v>167</v>
      </c>
      <c r="F140" s="3425">
        <v>1</v>
      </c>
      <c r="G140" s="2271"/>
    </row>
    <row r="141" spans="1:7">
      <c r="A141" s="2271">
        <v>130</v>
      </c>
      <c r="B141" s="2271">
        <v>61</v>
      </c>
      <c r="C141" s="2271" t="s">
        <v>1713</v>
      </c>
      <c r="D141" s="2271" t="s">
        <v>2066</v>
      </c>
      <c r="E141" s="2271" t="s">
        <v>167</v>
      </c>
      <c r="F141" s="3425">
        <v>1</v>
      </c>
      <c r="G141" s="2271"/>
    </row>
    <row r="142" spans="1:7">
      <c r="A142" s="2271">
        <v>131</v>
      </c>
      <c r="B142" s="2271">
        <v>62</v>
      </c>
      <c r="C142" s="2271" t="s">
        <v>523</v>
      </c>
      <c r="D142" s="2271" t="s">
        <v>2066</v>
      </c>
      <c r="E142" s="2271" t="s">
        <v>167</v>
      </c>
      <c r="F142" s="3425">
        <v>1</v>
      </c>
      <c r="G142" s="2271"/>
    </row>
    <row r="143" spans="1:7">
      <c r="A143" s="2272"/>
      <c r="B143" s="2272"/>
      <c r="C143" s="2272" t="s">
        <v>2066</v>
      </c>
      <c r="D143" s="2272"/>
      <c r="E143" s="2272"/>
      <c r="F143" s="3508">
        <f>SUM(F81:F142)</f>
        <v>62</v>
      </c>
      <c r="G143" s="2272"/>
    </row>
    <row r="144" spans="1:7">
      <c r="A144" s="2271">
        <v>132</v>
      </c>
      <c r="B144" s="2271">
        <v>1</v>
      </c>
      <c r="C144" s="2271" t="s">
        <v>1511</v>
      </c>
      <c r="D144" s="2271" t="s">
        <v>1865</v>
      </c>
      <c r="E144" s="2271" t="s">
        <v>167</v>
      </c>
      <c r="F144" s="3425">
        <v>1</v>
      </c>
      <c r="G144" s="2271"/>
    </row>
    <row r="145" spans="1:7">
      <c r="A145" s="2271">
        <v>133</v>
      </c>
      <c r="B145" s="2271">
        <v>2</v>
      </c>
      <c r="C145" s="2271" t="s">
        <v>1268</v>
      </c>
      <c r="D145" s="2271" t="s">
        <v>1865</v>
      </c>
      <c r="E145" s="2271" t="s">
        <v>167</v>
      </c>
      <c r="F145" s="3425">
        <v>1</v>
      </c>
      <c r="G145" s="2271"/>
    </row>
    <row r="146" spans="1:7">
      <c r="A146" s="2271">
        <v>134</v>
      </c>
      <c r="B146" s="2271">
        <v>3</v>
      </c>
      <c r="C146" s="2271" t="s">
        <v>847</v>
      </c>
      <c r="D146" s="2271" t="s">
        <v>1865</v>
      </c>
      <c r="E146" s="2271" t="s">
        <v>167</v>
      </c>
      <c r="F146" s="3425">
        <v>1</v>
      </c>
      <c r="G146" s="2271"/>
    </row>
    <row r="147" spans="1:7">
      <c r="A147" s="2271">
        <v>135</v>
      </c>
      <c r="B147" s="2271">
        <v>4</v>
      </c>
      <c r="C147" s="2271" t="s">
        <v>1205</v>
      </c>
      <c r="D147" s="2271" t="s">
        <v>1865</v>
      </c>
      <c r="E147" s="2271" t="s">
        <v>167</v>
      </c>
      <c r="F147" s="3425">
        <v>1</v>
      </c>
      <c r="G147" s="2271"/>
    </row>
    <row r="148" spans="1:7">
      <c r="A148" s="2271">
        <v>136</v>
      </c>
      <c r="B148" s="2271">
        <v>5</v>
      </c>
      <c r="C148" s="2271" t="s">
        <v>1206</v>
      </c>
      <c r="D148" s="2271" t="s">
        <v>1865</v>
      </c>
      <c r="E148" s="2271" t="s">
        <v>167</v>
      </c>
      <c r="F148" s="3425">
        <v>1</v>
      </c>
      <c r="G148" s="2271"/>
    </row>
    <row r="149" spans="1:7">
      <c r="A149" s="2271">
        <v>137</v>
      </c>
      <c r="B149" s="2271">
        <v>6</v>
      </c>
      <c r="C149" s="2271" t="s">
        <v>1207</v>
      </c>
      <c r="D149" s="2271" t="s">
        <v>1865</v>
      </c>
      <c r="E149" s="2271" t="s">
        <v>167</v>
      </c>
      <c r="F149" s="3425">
        <v>1</v>
      </c>
      <c r="G149" s="2271"/>
    </row>
    <row r="150" spans="1:7">
      <c r="A150" s="2271">
        <v>138</v>
      </c>
      <c r="B150" s="2271">
        <v>7</v>
      </c>
      <c r="C150" s="2271" t="s">
        <v>567</v>
      </c>
      <c r="D150" s="2271" t="s">
        <v>1865</v>
      </c>
      <c r="E150" s="2271" t="s">
        <v>167</v>
      </c>
      <c r="F150" s="3425">
        <v>1</v>
      </c>
      <c r="G150" s="2271"/>
    </row>
    <row r="151" spans="1:7">
      <c r="A151" s="2271">
        <v>139</v>
      </c>
      <c r="B151" s="2271">
        <v>8</v>
      </c>
      <c r="C151" s="2271" t="s">
        <v>1512</v>
      </c>
      <c r="D151" s="2271" t="s">
        <v>1865</v>
      </c>
      <c r="E151" s="2271" t="s">
        <v>167</v>
      </c>
      <c r="F151" s="3425">
        <v>1</v>
      </c>
      <c r="G151" s="2271"/>
    </row>
    <row r="152" spans="1:7">
      <c r="A152" s="2271">
        <v>140</v>
      </c>
      <c r="B152" s="2271">
        <v>9</v>
      </c>
      <c r="C152" s="2271" t="s">
        <v>1210</v>
      </c>
      <c r="D152" s="2271" t="s">
        <v>1865</v>
      </c>
      <c r="E152" s="2271" t="s">
        <v>167</v>
      </c>
      <c r="F152" s="3425">
        <v>1</v>
      </c>
      <c r="G152" s="2271"/>
    </row>
    <row r="153" spans="1:7">
      <c r="A153" s="2271">
        <v>141</v>
      </c>
      <c r="B153" s="2271">
        <v>10</v>
      </c>
      <c r="C153" s="2271" t="s">
        <v>1541</v>
      </c>
      <c r="D153" s="2271" t="s">
        <v>1865</v>
      </c>
      <c r="E153" s="2271" t="s">
        <v>167</v>
      </c>
      <c r="F153" s="3425">
        <v>1</v>
      </c>
      <c r="G153" s="2271"/>
    </row>
    <row r="154" spans="1:7">
      <c r="A154" s="2271">
        <v>142</v>
      </c>
      <c r="B154" s="2271">
        <v>11</v>
      </c>
      <c r="C154" s="2271" t="s">
        <v>1513</v>
      </c>
      <c r="D154" s="2271" t="s">
        <v>1865</v>
      </c>
      <c r="E154" s="2271" t="s">
        <v>167</v>
      </c>
      <c r="F154" s="3425">
        <v>1</v>
      </c>
      <c r="G154" s="2271"/>
    </row>
    <row r="155" spans="1:7">
      <c r="A155" s="2271">
        <v>143</v>
      </c>
      <c r="B155" s="2271">
        <v>12</v>
      </c>
      <c r="C155" s="2271" t="s">
        <v>1514</v>
      </c>
      <c r="D155" s="2271" t="s">
        <v>1865</v>
      </c>
      <c r="E155" s="2271" t="s">
        <v>167</v>
      </c>
      <c r="F155" s="3425">
        <v>1</v>
      </c>
      <c r="G155" s="2271"/>
    </row>
    <row r="156" spans="1:7">
      <c r="A156" s="2271">
        <v>144</v>
      </c>
      <c r="B156" s="2271">
        <v>13</v>
      </c>
      <c r="C156" s="2271" t="s">
        <v>1303</v>
      </c>
      <c r="D156" s="2271" t="s">
        <v>1865</v>
      </c>
      <c r="E156" s="2271" t="s">
        <v>167</v>
      </c>
      <c r="F156" s="3425">
        <v>1</v>
      </c>
      <c r="G156" s="2271"/>
    </row>
    <row r="157" spans="1:7">
      <c r="A157" s="2271">
        <v>145</v>
      </c>
      <c r="B157" s="2271">
        <v>14</v>
      </c>
      <c r="C157" s="2271" t="s">
        <v>850</v>
      </c>
      <c r="D157" s="2271" t="s">
        <v>1865</v>
      </c>
      <c r="E157" s="2271" t="s">
        <v>167</v>
      </c>
      <c r="F157" s="3425">
        <v>1</v>
      </c>
      <c r="G157" s="2271"/>
    </row>
    <row r="158" spans="1:7">
      <c r="A158" s="2271">
        <v>146</v>
      </c>
      <c r="B158" s="2271">
        <v>15</v>
      </c>
      <c r="C158" s="2271" t="s">
        <v>1515</v>
      </c>
      <c r="D158" s="2271" t="s">
        <v>1865</v>
      </c>
      <c r="E158" s="2271" t="s">
        <v>167</v>
      </c>
      <c r="F158" s="3425">
        <v>1</v>
      </c>
      <c r="G158" s="2271"/>
    </row>
    <row r="159" spans="1:7">
      <c r="A159" s="2271">
        <v>147</v>
      </c>
      <c r="B159" s="2271">
        <v>16</v>
      </c>
      <c r="C159" s="2271" t="s">
        <v>1516</v>
      </c>
      <c r="D159" s="2271" t="s">
        <v>1865</v>
      </c>
      <c r="E159" s="2271" t="s">
        <v>167</v>
      </c>
      <c r="F159" s="3425">
        <v>1</v>
      </c>
      <c r="G159" s="2271"/>
    </row>
    <row r="160" spans="1:7">
      <c r="A160" s="2271">
        <v>148</v>
      </c>
      <c r="B160" s="2271">
        <v>17</v>
      </c>
      <c r="C160" s="2271" t="s">
        <v>288</v>
      </c>
      <c r="D160" s="2271" t="s">
        <v>1865</v>
      </c>
      <c r="E160" s="2271" t="s">
        <v>167</v>
      </c>
      <c r="F160" s="3425">
        <v>1</v>
      </c>
      <c r="G160" s="2271"/>
    </row>
    <row r="161" spans="1:7">
      <c r="A161" s="2271">
        <v>149</v>
      </c>
      <c r="B161" s="2271">
        <v>18</v>
      </c>
      <c r="C161" s="2271" t="s">
        <v>1215</v>
      </c>
      <c r="D161" s="2271" t="s">
        <v>1865</v>
      </c>
      <c r="E161" s="2271" t="s">
        <v>167</v>
      </c>
      <c r="F161" s="3425">
        <v>1</v>
      </c>
      <c r="G161" s="2271"/>
    </row>
    <row r="162" spans="1:7">
      <c r="A162" s="2271">
        <v>150</v>
      </c>
      <c r="B162" s="2271">
        <v>19</v>
      </c>
      <c r="C162" s="2271" t="s">
        <v>1189</v>
      </c>
      <c r="D162" s="2271" t="s">
        <v>1865</v>
      </c>
      <c r="E162" s="2271" t="s">
        <v>167</v>
      </c>
      <c r="F162" s="3425">
        <v>1</v>
      </c>
      <c r="G162" s="2271"/>
    </row>
    <row r="163" spans="1:7">
      <c r="A163" s="2271">
        <v>151</v>
      </c>
      <c r="B163" s="2271">
        <v>20</v>
      </c>
      <c r="C163" s="2271" t="s">
        <v>1542</v>
      </c>
      <c r="D163" s="2271" t="s">
        <v>1865</v>
      </c>
      <c r="E163" s="2271" t="s">
        <v>167</v>
      </c>
      <c r="F163" s="3425">
        <v>1</v>
      </c>
      <c r="G163" s="2271"/>
    </row>
    <row r="164" spans="1:7">
      <c r="A164" s="2271">
        <v>152</v>
      </c>
      <c r="B164" s="2271">
        <v>21</v>
      </c>
      <c r="C164" s="2271" t="s">
        <v>1543</v>
      </c>
      <c r="D164" s="2271" t="s">
        <v>1865</v>
      </c>
      <c r="E164" s="2271" t="s">
        <v>167</v>
      </c>
      <c r="F164" s="3425">
        <v>1</v>
      </c>
      <c r="G164" s="2271"/>
    </row>
    <row r="165" spans="1:7">
      <c r="A165" s="2271">
        <v>153</v>
      </c>
      <c r="B165" s="2271">
        <v>22</v>
      </c>
      <c r="C165" s="2271" t="s">
        <v>1253</v>
      </c>
      <c r="D165" s="2271" t="s">
        <v>1865</v>
      </c>
      <c r="E165" s="2271" t="s">
        <v>167</v>
      </c>
      <c r="F165" s="3425">
        <v>1</v>
      </c>
      <c r="G165" s="2271"/>
    </row>
    <row r="166" spans="1:7">
      <c r="A166" s="2271">
        <v>154</v>
      </c>
      <c r="B166" s="2271">
        <v>23</v>
      </c>
      <c r="C166" s="2271" t="s">
        <v>1544</v>
      </c>
      <c r="D166" s="2271" t="s">
        <v>1865</v>
      </c>
      <c r="E166" s="2271" t="s">
        <v>167</v>
      </c>
      <c r="F166" s="3425">
        <v>1</v>
      </c>
      <c r="G166" s="2271"/>
    </row>
    <row r="167" spans="1:7">
      <c r="A167" s="2271"/>
      <c r="B167" s="2272"/>
      <c r="C167" s="2272" t="s">
        <v>1865</v>
      </c>
      <c r="D167" s="2272"/>
      <c r="E167" s="2272"/>
      <c r="F167" s="3508">
        <f>SUM(F144:F166)</f>
        <v>23</v>
      </c>
      <c r="G167" s="2271"/>
    </row>
    <row r="168" spans="1:7">
      <c r="A168" s="2271">
        <v>155</v>
      </c>
      <c r="B168" s="2271">
        <v>1</v>
      </c>
      <c r="C168" s="2271" t="s">
        <v>1216</v>
      </c>
      <c r="D168" s="2271" t="s">
        <v>453</v>
      </c>
      <c r="E168" s="2271" t="s">
        <v>167</v>
      </c>
      <c r="F168" s="3425">
        <v>1</v>
      </c>
      <c r="G168" s="2271"/>
    </row>
    <row r="169" spans="1:7">
      <c r="A169" s="2271">
        <v>156</v>
      </c>
      <c r="B169" s="2271">
        <v>2</v>
      </c>
      <c r="C169" s="2271" t="s">
        <v>351</v>
      </c>
      <c r="D169" s="2271" t="s">
        <v>453</v>
      </c>
      <c r="E169" s="2271" t="s">
        <v>167</v>
      </c>
      <c r="F169" s="3425">
        <v>1</v>
      </c>
      <c r="G169" s="2271"/>
    </row>
    <row r="170" spans="1:7">
      <c r="A170" s="2271">
        <v>157</v>
      </c>
      <c r="B170" s="2271">
        <v>3</v>
      </c>
      <c r="C170" s="2271" t="s">
        <v>334</v>
      </c>
      <c r="D170" s="2271" t="s">
        <v>453</v>
      </c>
      <c r="E170" s="2271" t="s">
        <v>167</v>
      </c>
      <c r="F170" s="3425">
        <v>1</v>
      </c>
      <c r="G170" s="2271"/>
    </row>
    <row r="171" spans="1:7">
      <c r="A171" s="2271">
        <v>158</v>
      </c>
      <c r="B171" s="2271">
        <v>4</v>
      </c>
      <c r="C171" s="2271" t="s">
        <v>1218</v>
      </c>
      <c r="D171" s="2271" t="s">
        <v>453</v>
      </c>
      <c r="E171" s="2271" t="s">
        <v>167</v>
      </c>
      <c r="F171" s="3425">
        <v>1</v>
      </c>
      <c r="G171" s="2271"/>
    </row>
    <row r="172" spans="1:7">
      <c r="A172" s="2271">
        <v>159</v>
      </c>
      <c r="B172" s="2271">
        <v>5</v>
      </c>
      <c r="C172" s="2271" t="s">
        <v>1517</v>
      </c>
      <c r="D172" s="2271" t="s">
        <v>453</v>
      </c>
      <c r="E172" s="2271" t="s">
        <v>167</v>
      </c>
      <c r="F172" s="3425">
        <v>1</v>
      </c>
      <c r="G172" s="2271"/>
    </row>
    <row r="173" spans="1:7">
      <c r="A173" s="2271">
        <v>160</v>
      </c>
      <c r="B173" s="2271">
        <v>6</v>
      </c>
      <c r="C173" s="2271" t="s">
        <v>1217</v>
      </c>
      <c r="D173" s="2271" t="s">
        <v>453</v>
      </c>
      <c r="E173" s="2271" t="s">
        <v>167</v>
      </c>
      <c r="F173" s="3425">
        <v>1</v>
      </c>
      <c r="G173" s="2271"/>
    </row>
    <row r="174" spans="1:7">
      <c r="A174" s="2271">
        <v>161</v>
      </c>
      <c r="B174" s="2271">
        <v>7</v>
      </c>
      <c r="C174" s="2271" t="s">
        <v>1545</v>
      </c>
      <c r="D174" s="2271" t="s">
        <v>453</v>
      </c>
      <c r="E174" s="2271" t="s">
        <v>167</v>
      </c>
      <c r="F174" s="3425">
        <v>1</v>
      </c>
      <c r="G174" s="2271"/>
    </row>
    <row r="175" spans="1:7">
      <c r="A175" s="2271">
        <v>162</v>
      </c>
      <c r="B175" s="2271">
        <v>8</v>
      </c>
      <c r="C175" s="2271" t="s">
        <v>152</v>
      </c>
      <c r="D175" s="2271" t="s">
        <v>453</v>
      </c>
      <c r="E175" s="2271" t="s">
        <v>167</v>
      </c>
      <c r="F175" s="3425">
        <v>1</v>
      </c>
      <c r="G175" s="2271"/>
    </row>
    <row r="176" spans="1:7">
      <c r="A176" s="2271">
        <v>163</v>
      </c>
      <c r="B176" s="2271">
        <v>9</v>
      </c>
      <c r="C176" s="2271" t="s">
        <v>571</v>
      </c>
      <c r="D176" s="2271" t="s">
        <v>453</v>
      </c>
      <c r="E176" s="2271" t="s">
        <v>167</v>
      </c>
      <c r="F176" s="3425">
        <v>1</v>
      </c>
      <c r="G176" s="2271"/>
    </row>
    <row r="177" spans="1:7">
      <c r="A177" s="2271">
        <v>164</v>
      </c>
      <c r="B177" s="2271">
        <v>10</v>
      </c>
      <c r="C177" s="2271" t="s">
        <v>1219</v>
      </c>
      <c r="D177" s="2271" t="s">
        <v>453</v>
      </c>
      <c r="E177" s="2271" t="s">
        <v>167</v>
      </c>
      <c r="F177" s="3425">
        <v>1</v>
      </c>
      <c r="G177" s="2271"/>
    </row>
    <row r="178" spans="1:7">
      <c r="A178" s="2271">
        <v>165</v>
      </c>
      <c r="B178" s="2271">
        <v>11</v>
      </c>
      <c r="C178" s="2271" t="s">
        <v>853</v>
      </c>
      <c r="D178" s="2271" t="s">
        <v>453</v>
      </c>
      <c r="E178" s="2271" t="s">
        <v>167</v>
      </c>
      <c r="F178" s="3425">
        <v>1</v>
      </c>
      <c r="G178" s="2271"/>
    </row>
    <row r="179" spans="1:7">
      <c r="A179" s="2271">
        <v>166</v>
      </c>
      <c r="B179" s="2271">
        <v>12</v>
      </c>
      <c r="C179" s="2271" t="s">
        <v>1220</v>
      </c>
      <c r="D179" s="2271" t="s">
        <v>453</v>
      </c>
      <c r="E179" s="2271" t="s">
        <v>167</v>
      </c>
      <c r="F179" s="3425">
        <v>1</v>
      </c>
      <c r="G179" s="2271"/>
    </row>
    <row r="180" spans="1:7">
      <c r="A180" s="2271">
        <v>167</v>
      </c>
      <c r="B180" s="2271">
        <v>13</v>
      </c>
      <c r="C180" s="2271" t="s">
        <v>1221</v>
      </c>
      <c r="D180" s="2271" t="s">
        <v>453</v>
      </c>
      <c r="E180" s="2271" t="s">
        <v>167</v>
      </c>
      <c r="F180" s="3425">
        <v>1</v>
      </c>
      <c r="G180" s="2271"/>
    </row>
    <row r="181" spans="1:7">
      <c r="A181" s="2271">
        <v>168</v>
      </c>
      <c r="B181" s="2271">
        <v>14</v>
      </c>
      <c r="C181" s="2271" t="s">
        <v>1222</v>
      </c>
      <c r="D181" s="2271" t="s">
        <v>453</v>
      </c>
      <c r="E181" s="2271" t="s">
        <v>167</v>
      </c>
      <c r="F181" s="3425">
        <v>1</v>
      </c>
      <c r="G181" s="2271"/>
    </row>
    <row r="182" spans="1:7">
      <c r="A182" s="2271">
        <v>169</v>
      </c>
      <c r="B182" s="2271">
        <v>15</v>
      </c>
      <c r="C182" s="2271" t="s">
        <v>1223</v>
      </c>
      <c r="D182" s="2271" t="s">
        <v>453</v>
      </c>
      <c r="E182" s="2271" t="s">
        <v>167</v>
      </c>
      <c r="F182" s="3425">
        <v>1</v>
      </c>
      <c r="G182" s="2271"/>
    </row>
    <row r="183" spans="1:7">
      <c r="A183" s="2271">
        <v>170</v>
      </c>
      <c r="B183" s="2271">
        <v>16</v>
      </c>
      <c r="C183" s="2271" t="s">
        <v>1224</v>
      </c>
      <c r="D183" s="2271" t="s">
        <v>453</v>
      </c>
      <c r="E183" s="2271" t="s">
        <v>167</v>
      </c>
      <c r="F183" s="3425">
        <v>1</v>
      </c>
      <c r="G183" s="2271"/>
    </row>
    <row r="184" spans="1:7">
      <c r="A184" s="2271">
        <v>171</v>
      </c>
      <c r="B184" s="2271">
        <v>17</v>
      </c>
      <c r="C184" s="2271" t="s">
        <v>1546</v>
      </c>
      <c r="D184" s="2271" t="s">
        <v>453</v>
      </c>
      <c r="E184" s="2271" t="s">
        <v>167</v>
      </c>
      <c r="F184" s="3425">
        <v>1</v>
      </c>
      <c r="G184" s="2271"/>
    </row>
    <row r="185" spans="1:7">
      <c r="A185" s="2271">
        <v>172</v>
      </c>
      <c r="B185" s="2271">
        <v>18</v>
      </c>
      <c r="C185" s="2271" t="s">
        <v>1226</v>
      </c>
      <c r="D185" s="2271" t="s">
        <v>453</v>
      </c>
      <c r="E185" s="2271" t="s">
        <v>167</v>
      </c>
      <c r="F185" s="3425">
        <v>1</v>
      </c>
      <c r="G185" s="2271"/>
    </row>
    <row r="186" spans="1:7">
      <c r="A186" s="2271">
        <v>173</v>
      </c>
      <c r="B186" s="2271">
        <v>19</v>
      </c>
      <c r="C186" s="2271" t="s">
        <v>861</v>
      </c>
      <c r="D186" s="2271" t="s">
        <v>453</v>
      </c>
      <c r="E186" s="2271" t="s">
        <v>167</v>
      </c>
      <c r="F186" s="3425">
        <v>1</v>
      </c>
      <c r="G186" s="2271"/>
    </row>
    <row r="187" spans="1:7">
      <c r="A187" s="2271">
        <v>174</v>
      </c>
      <c r="B187" s="2271">
        <v>20</v>
      </c>
      <c r="C187" s="2271" t="s">
        <v>486</v>
      </c>
      <c r="D187" s="2271" t="s">
        <v>453</v>
      </c>
      <c r="E187" s="2271" t="s">
        <v>167</v>
      </c>
      <c r="F187" s="3425">
        <v>1</v>
      </c>
      <c r="G187" s="2271"/>
    </row>
    <row r="188" spans="1:7">
      <c r="A188" s="2271">
        <v>175</v>
      </c>
      <c r="B188" s="2271">
        <v>21</v>
      </c>
      <c r="C188" s="2271" t="s">
        <v>836</v>
      </c>
      <c r="D188" s="2271" t="s">
        <v>453</v>
      </c>
      <c r="E188" s="2271" t="s">
        <v>167</v>
      </c>
      <c r="F188" s="3425">
        <v>1</v>
      </c>
      <c r="G188" s="2271"/>
    </row>
    <row r="189" spans="1:7">
      <c r="A189" s="2271">
        <v>176</v>
      </c>
      <c r="B189" s="2271">
        <v>22</v>
      </c>
      <c r="C189" s="2271" t="s">
        <v>1227</v>
      </c>
      <c r="D189" s="2271" t="s">
        <v>453</v>
      </c>
      <c r="E189" s="2271" t="s">
        <v>167</v>
      </c>
      <c r="F189" s="3425">
        <v>1</v>
      </c>
      <c r="G189" s="2271"/>
    </row>
    <row r="190" spans="1:7">
      <c r="A190" s="2271">
        <v>177</v>
      </c>
      <c r="B190" s="2271">
        <v>23</v>
      </c>
      <c r="C190" s="2271" t="s">
        <v>1228</v>
      </c>
      <c r="D190" s="2271" t="s">
        <v>453</v>
      </c>
      <c r="E190" s="2271" t="s">
        <v>167</v>
      </c>
      <c r="F190" s="3425">
        <v>1</v>
      </c>
      <c r="G190" s="2271"/>
    </row>
    <row r="191" spans="1:7">
      <c r="A191" s="2271">
        <v>178</v>
      </c>
      <c r="B191" s="2271">
        <v>24</v>
      </c>
      <c r="C191" s="2271" t="s">
        <v>1229</v>
      </c>
      <c r="D191" s="2271" t="s">
        <v>453</v>
      </c>
      <c r="E191" s="2271" t="s">
        <v>167</v>
      </c>
      <c r="F191" s="3425">
        <v>1</v>
      </c>
      <c r="G191" s="2271"/>
    </row>
    <row r="192" spans="1:7">
      <c r="A192" s="2271">
        <v>179</v>
      </c>
      <c r="B192" s="2271">
        <v>25</v>
      </c>
      <c r="C192" s="2271" t="s">
        <v>1518</v>
      </c>
      <c r="D192" s="2271" t="s">
        <v>453</v>
      </c>
      <c r="E192" s="2271" t="s">
        <v>167</v>
      </c>
      <c r="F192" s="3425">
        <v>1</v>
      </c>
      <c r="G192" s="2271"/>
    </row>
    <row r="193" spans="1:7">
      <c r="A193" s="2271">
        <v>180</v>
      </c>
      <c r="B193" s="2271">
        <v>26</v>
      </c>
      <c r="C193" s="2271" t="s">
        <v>1519</v>
      </c>
      <c r="D193" s="2271" t="s">
        <v>453</v>
      </c>
      <c r="E193" s="2271" t="s">
        <v>167</v>
      </c>
      <c r="F193" s="3425">
        <v>1</v>
      </c>
      <c r="G193" s="2271"/>
    </row>
    <row r="194" spans="1:7">
      <c r="A194" s="2271">
        <v>181</v>
      </c>
      <c r="B194" s="2271">
        <v>27</v>
      </c>
      <c r="C194" s="2271" t="s">
        <v>1520</v>
      </c>
      <c r="D194" s="2271" t="s">
        <v>453</v>
      </c>
      <c r="E194" s="2271" t="s">
        <v>167</v>
      </c>
      <c r="F194" s="3425">
        <v>1</v>
      </c>
      <c r="G194" s="2271"/>
    </row>
    <row r="195" spans="1:7">
      <c r="A195" s="2271">
        <v>182</v>
      </c>
      <c r="B195" s="2271">
        <v>28</v>
      </c>
      <c r="C195" s="2271" t="s">
        <v>1521</v>
      </c>
      <c r="D195" s="2271" t="s">
        <v>453</v>
      </c>
      <c r="E195" s="2271" t="s">
        <v>167</v>
      </c>
      <c r="F195" s="3425">
        <v>1</v>
      </c>
      <c r="G195" s="2271"/>
    </row>
    <row r="196" spans="1:7">
      <c r="A196" s="2271">
        <v>183</v>
      </c>
      <c r="B196" s="2271">
        <v>29</v>
      </c>
      <c r="C196" s="2271" t="s">
        <v>1522</v>
      </c>
      <c r="D196" s="2271" t="s">
        <v>453</v>
      </c>
      <c r="E196" s="2271" t="s">
        <v>167</v>
      </c>
      <c r="F196" s="3425">
        <v>1</v>
      </c>
      <c r="G196" s="2271"/>
    </row>
    <row r="197" spans="1:7">
      <c r="A197" s="2271">
        <v>184</v>
      </c>
      <c r="B197" s="2271">
        <v>30</v>
      </c>
      <c r="C197" s="2271" t="s">
        <v>1230</v>
      </c>
      <c r="D197" s="2271" t="s">
        <v>453</v>
      </c>
      <c r="E197" s="2271" t="s">
        <v>167</v>
      </c>
      <c r="F197" s="3425">
        <v>1</v>
      </c>
      <c r="G197" s="2271"/>
    </row>
    <row r="198" spans="1:7">
      <c r="A198" s="2271"/>
      <c r="B198" s="2272"/>
      <c r="C198" s="2272" t="s">
        <v>453</v>
      </c>
      <c r="D198" s="2272"/>
      <c r="E198" s="2272"/>
      <c r="F198" s="3508">
        <f>SUM(F168:F197)</f>
        <v>30</v>
      </c>
      <c r="G198" s="2271"/>
    </row>
    <row r="199" spans="1:7">
      <c r="A199" s="2271">
        <v>185</v>
      </c>
      <c r="B199" s="2271">
        <v>1</v>
      </c>
      <c r="C199" s="2271" t="s">
        <v>426</v>
      </c>
      <c r="D199" s="2271" t="s">
        <v>54</v>
      </c>
      <c r="E199" s="2271" t="s">
        <v>54</v>
      </c>
      <c r="F199" s="3425">
        <v>1</v>
      </c>
      <c r="G199" s="2271"/>
    </row>
    <row r="200" spans="1:7">
      <c r="A200" s="2271">
        <v>186</v>
      </c>
      <c r="B200" s="2271">
        <v>2</v>
      </c>
      <c r="C200" s="2271" t="s">
        <v>519</v>
      </c>
      <c r="D200" s="2271" t="s">
        <v>54</v>
      </c>
      <c r="E200" s="2271" t="s">
        <v>54</v>
      </c>
      <c r="F200" s="3425">
        <v>1</v>
      </c>
      <c r="G200" s="2271"/>
    </row>
    <row r="201" spans="1:7">
      <c r="A201" s="2271">
        <v>187</v>
      </c>
      <c r="B201" s="2271">
        <v>3</v>
      </c>
      <c r="C201" s="2271" t="s">
        <v>1483</v>
      </c>
      <c r="D201" s="2271" t="s">
        <v>54</v>
      </c>
      <c r="E201" s="2271" t="s">
        <v>54</v>
      </c>
      <c r="F201" s="3425">
        <v>1</v>
      </c>
      <c r="G201" s="2271"/>
    </row>
    <row r="202" spans="1:7">
      <c r="A202" s="2271">
        <v>188</v>
      </c>
      <c r="B202" s="2271">
        <v>4</v>
      </c>
      <c r="C202" s="2271" t="s">
        <v>1484</v>
      </c>
      <c r="D202" s="2271" t="s">
        <v>54</v>
      </c>
      <c r="E202" s="2271" t="s">
        <v>54</v>
      </c>
      <c r="F202" s="3425">
        <v>1</v>
      </c>
      <c r="G202" s="2271"/>
    </row>
    <row r="203" spans="1:7">
      <c r="A203" s="2271">
        <v>189</v>
      </c>
      <c r="B203" s="2271">
        <v>5</v>
      </c>
      <c r="C203" s="2271" t="s">
        <v>1434</v>
      </c>
      <c r="D203" s="2271" t="s">
        <v>54</v>
      </c>
      <c r="E203" s="2271" t="s">
        <v>54</v>
      </c>
      <c r="F203" s="3425">
        <v>1</v>
      </c>
      <c r="G203" s="2271"/>
    </row>
    <row r="204" spans="1:7">
      <c r="A204" s="2271">
        <v>190</v>
      </c>
      <c r="B204" s="2271">
        <v>6</v>
      </c>
      <c r="C204" s="2271" t="s">
        <v>169</v>
      </c>
      <c r="D204" s="2271" t="s">
        <v>54</v>
      </c>
      <c r="E204" s="2271" t="s">
        <v>54</v>
      </c>
      <c r="F204" s="3425">
        <v>1</v>
      </c>
      <c r="G204" s="2271"/>
    </row>
    <row r="205" spans="1:7">
      <c r="A205" s="2271">
        <v>191</v>
      </c>
      <c r="B205" s="2271">
        <v>7</v>
      </c>
      <c r="C205" s="2271" t="s">
        <v>1435</v>
      </c>
      <c r="D205" s="2271" t="s">
        <v>54</v>
      </c>
      <c r="E205" s="2271" t="s">
        <v>54</v>
      </c>
      <c r="F205" s="3425">
        <v>1</v>
      </c>
      <c r="G205" s="2271"/>
    </row>
    <row r="206" spans="1:7">
      <c r="A206" s="2271">
        <v>192</v>
      </c>
      <c r="B206" s="2271">
        <v>8</v>
      </c>
      <c r="C206" s="2271" t="s">
        <v>1485</v>
      </c>
      <c r="D206" s="2271" t="s">
        <v>54</v>
      </c>
      <c r="E206" s="2271" t="s">
        <v>54</v>
      </c>
      <c r="F206" s="3425">
        <v>1</v>
      </c>
      <c r="G206" s="2271"/>
    </row>
    <row r="207" spans="1:7">
      <c r="A207" s="2271">
        <v>193</v>
      </c>
      <c r="B207" s="2271">
        <v>9</v>
      </c>
      <c r="C207" s="2271" t="s">
        <v>1433</v>
      </c>
      <c r="D207" s="2271" t="s">
        <v>54</v>
      </c>
      <c r="E207" s="2271" t="s">
        <v>54</v>
      </c>
      <c r="F207" s="3425">
        <v>1</v>
      </c>
      <c r="G207" s="2271"/>
    </row>
    <row r="208" spans="1:7">
      <c r="A208" s="2271">
        <v>194</v>
      </c>
      <c r="B208" s="2271">
        <v>10</v>
      </c>
      <c r="C208" s="2271" t="s">
        <v>1486</v>
      </c>
      <c r="D208" s="2271" t="s">
        <v>54</v>
      </c>
      <c r="E208" s="2271" t="s">
        <v>54</v>
      </c>
      <c r="F208" s="3425">
        <v>1</v>
      </c>
      <c r="G208" s="2271"/>
    </row>
    <row r="209" spans="1:7">
      <c r="A209" s="2272"/>
      <c r="B209" s="2272"/>
      <c r="C209" s="2272" t="s">
        <v>54</v>
      </c>
      <c r="D209" s="2272"/>
      <c r="E209" s="2272"/>
      <c r="F209" s="3508">
        <f>SUM(F199:F208)</f>
        <v>10</v>
      </c>
      <c r="G209" s="2272"/>
    </row>
    <row r="210" spans="1:7">
      <c r="A210" s="2271">
        <v>195</v>
      </c>
      <c r="B210" s="2271">
        <v>1</v>
      </c>
      <c r="C210" s="2271" t="s">
        <v>327</v>
      </c>
      <c r="D210" s="2271" t="s">
        <v>832</v>
      </c>
      <c r="E210" s="2271"/>
      <c r="F210" s="3425">
        <v>1</v>
      </c>
      <c r="G210" s="2271"/>
    </row>
    <row r="211" spans="1:7">
      <c r="A211" s="2271">
        <v>196</v>
      </c>
      <c r="B211" s="2271">
        <v>2</v>
      </c>
      <c r="C211" s="2271" t="s">
        <v>437</v>
      </c>
      <c r="D211" s="2271" t="s">
        <v>832</v>
      </c>
      <c r="E211" s="2271"/>
      <c r="F211" s="3425">
        <v>1</v>
      </c>
      <c r="G211" s="2271"/>
    </row>
    <row r="212" spans="1:7">
      <c r="A212" s="2271">
        <v>197</v>
      </c>
      <c r="B212" s="2271">
        <v>3</v>
      </c>
      <c r="C212" s="2271" t="s">
        <v>1579</v>
      </c>
      <c r="D212" s="2440" t="s">
        <v>2067</v>
      </c>
      <c r="E212" s="2271" t="s">
        <v>1578</v>
      </c>
      <c r="F212" s="3425">
        <v>1</v>
      </c>
      <c r="G212" s="2271"/>
    </row>
    <row r="213" spans="1:7">
      <c r="A213" s="2271">
        <v>198</v>
      </c>
      <c r="B213" s="2271">
        <v>4</v>
      </c>
      <c r="C213" s="2440" t="s">
        <v>1075</v>
      </c>
      <c r="D213" s="2440" t="s">
        <v>2067</v>
      </c>
      <c r="E213" s="2440" t="s">
        <v>1104</v>
      </c>
      <c r="F213" s="3425">
        <v>1</v>
      </c>
      <c r="G213" s="2271"/>
    </row>
    <row r="214" spans="1:7">
      <c r="A214" s="2271">
        <v>199</v>
      </c>
      <c r="B214" s="2271">
        <v>5</v>
      </c>
      <c r="C214" s="2440" t="s">
        <v>1102</v>
      </c>
      <c r="D214" s="2440" t="s">
        <v>2067</v>
      </c>
      <c r="E214" s="2440" t="s">
        <v>1104</v>
      </c>
      <c r="F214" s="3425">
        <v>1</v>
      </c>
      <c r="G214" s="2271"/>
    </row>
    <row r="215" spans="1:7">
      <c r="A215" s="2271">
        <v>200</v>
      </c>
      <c r="B215" s="2271">
        <v>6</v>
      </c>
      <c r="C215" s="2440" t="s">
        <v>1280</v>
      </c>
      <c r="D215" s="2440" t="s">
        <v>2067</v>
      </c>
      <c r="E215" s="2440" t="s">
        <v>1104</v>
      </c>
      <c r="F215" s="3425">
        <v>1</v>
      </c>
      <c r="G215" s="2271"/>
    </row>
    <row r="216" spans="1:7">
      <c r="A216" s="2272"/>
      <c r="B216" s="2272"/>
      <c r="C216" s="4859" t="s">
        <v>1287</v>
      </c>
      <c r="D216" s="4860"/>
      <c r="E216" s="2272"/>
      <c r="F216" s="3425">
        <f>SUM(F210:F215)</f>
        <v>6</v>
      </c>
      <c r="G216" s="2272"/>
    </row>
    <row r="217" spans="1:7">
      <c r="A217" s="2272"/>
      <c r="B217" s="2272"/>
      <c r="C217" s="4109" t="s">
        <v>2070</v>
      </c>
      <c r="D217" s="4111"/>
      <c r="E217" s="2272"/>
      <c r="F217" s="3508">
        <f>+F216+F209+F198+F167+F143+F80+F43</f>
        <v>200</v>
      </c>
      <c r="G217" s="2272"/>
    </row>
    <row r="218" spans="1:7">
      <c r="D218" s="4702" t="s">
        <v>2071</v>
      </c>
      <c r="E218" s="4702"/>
      <c r="F218" s="4702"/>
      <c r="G218" s="4702"/>
    </row>
    <row r="219" spans="1:7">
      <c r="A219" s="4107" t="s">
        <v>920</v>
      </c>
      <c r="B219" s="4107"/>
      <c r="C219" s="4107"/>
      <c r="D219" s="4107" t="s">
        <v>21</v>
      </c>
      <c r="E219" s="4107"/>
      <c r="F219" s="4107"/>
      <c r="G219" s="4107"/>
    </row>
  </sheetData>
  <mergeCells count="13">
    <mergeCell ref="A219:C219"/>
    <mergeCell ref="D219:G219"/>
    <mergeCell ref="A1:G1"/>
    <mergeCell ref="A2:G2"/>
    <mergeCell ref="A3:G3"/>
    <mergeCell ref="A4:D4"/>
    <mergeCell ref="A5:D5"/>
    <mergeCell ref="A7:G7"/>
    <mergeCell ref="A9:B9"/>
    <mergeCell ref="B43:C43"/>
    <mergeCell ref="C216:D216"/>
    <mergeCell ref="C217:D217"/>
    <mergeCell ref="D218:G218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2" sqref="H22"/>
    </sheetView>
  </sheetViews>
  <sheetFormatPr defaultRowHeight="12.7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41"/>
  <sheetViews>
    <sheetView topLeftCell="A190" workbookViewId="0">
      <selection activeCell="S221" sqref="S221"/>
    </sheetView>
  </sheetViews>
  <sheetFormatPr defaultColWidth="9.140625" defaultRowHeight="16.5"/>
  <cols>
    <col min="1" max="1" width="4.140625" style="2846" customWidth="1"/>
    <col min="2" max="2" width="22.28515625" style="2846" customWidth="1"/>
    <col min="3" max="3" width="34" style="2846" hidden="1" customWidth="1"/>
    <col min="4" max="4" width="11.85546875" style="3363" customWidth="1"/>
    <col min="5" max="5" width="6.5703125" style="3363" hidden="1" customWidth="1"/>
    <col min="6" max="6" width="5.7109375" style="2846" customWidth="1"/>
    <col min="7" max="7" width="5.85546875" style="2846" customWidth="1"/>
    <col min="8" max="8" width="6.140625" style="2846" customWidth="1"/>
    <col min="9" max="10" width="6.5703125" style="2846" customWidth="1"/>
    <col min="11" max="11" width="6.28515625" style="2846" customWidth="1"/>
    <col min="12" max="12" width="6.42578125" style="2846" customWidth="1"/>
    <col min="13" max="13" width="6.7109375" style="2846" customWidth="1"/>
    <col min="14" max="15" width="6.140625" style="2846" customWidth="1"/>
    <col min="16" max="16" width="6.42578125" style="2846" customWidth="1"/>
    <col min="17" max="17" width="6.140625" style="2846" customWidth="1"/>
    <col min="18" max="18" width="6.5703125" style="2846" customWidth="1"/>
    <col min="19" max="19" width="5.85546875" style="2846" customWidth="1"/>
    <col min="20" max="27" width="5.7109375" style="2846" customWidth="1"/>
    <col min="28" max="28" width="5.85546875" style="2846" customWidth="1"/>
    <col min="29" max="29" width="7.42578125" style="3766" hidden="1" customWidth="1"/>
    <col min="30" max="30" width="7.5703125" style="3766" hidden="1" customWidth="1"/>
    <col min="31" max="31" width="8.42578125" style="3766" hidden="1" customWidth="1"/>
    <col min="32" max="32" width="8.42578125" style="3766" customWidth="1"/>
    <col min="33" max="33" width="9.140625" style="2846" hidden="1" customWidth="1"/>
    <col min="34" max="34" width="0.42578125" style="2846" hidden="1" customWidth="1"/>
    <col min="35" max="35" width="11.28515625" style="2846" customWidth="1"/>
    <col min="36" max="36" width="10.5703125" style="2846" bestFit="1" customWidth="1"/>
    <col min="37" max="37" width="19.140625" style="2846" bestFit="1" customWidth="1"/>
    <col min="38" max="16384" width="9.140625" style="2846"/>
  </cols>
  <sheetData>
    <row r="1" spans="1:37">
      <c r="A1" s="3899" t="s">
        <v>23</v>
      </c>
      <c r="B1" s="3899"/>
      <c r="C1" s="3899"/>
      <c r="D1" s="3899"/>
      <c r="E1" s="3899"/>
      <c r="F1" s="3899"/>
      <c r="G1" s="3899"/>
      <c r="H1" s="3899"/>
      <c r="I1" s="3899"/>
      <c r="J1" s="3899"/>
      <c r="K1" s="3899"/>
      <c r="L1" s="3899"/>
      <c r="M1" s="3899"/>
      <c r="N1" s="3899"/>
      <c r="O1" s="3899"/>
      <c r="P1" s="3899"/>
      <c r="Q1" s="3899"/>
      <c r="R1" s="3899"/>
      <c r="S1" s="3899"/>
      <c r="T1" s="3899"/>
      <c r="U1" s="3899"/>
      <c r="V1" s="3899"/>
      <c r="W1" s="3899"/>
      <c r="X1" s="3899"/>
      <c r="Y1" s="3899"/>
      <c r="Z1" s="3899"/>
      <c r="AA1" s="3899"/>
      <c r="AB1" s="3899"/>
      <c r="AC1" s="3899"/>
      <c r="AD1" s="3899"/>
      <c r="AE1" s="3899"/>
      <c r="AF1" s="3899"/>
      <c r="AG1" s="3899"/>
      <c r="AH1" s="3899"/>
      <c r="AI1" s="3899"/>
    </row>
    <row r="2" spans="1:37">
      <c r="A2" s="3899" t="s">
        <v>45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3899"/>
      <c r="O2" s="3899"/>
      <c r="P2" s="3899"/>
      <c r="Q2" s="3899"/>
      <c r="R2" s="3899"/>
      <c r="S2" s="3899"/>
      <c r="T2" s="3899"/>
      <c r="U2" s="3899"/>
      <c r="V2" s="3899"/>
      <c r="W2" s="3899"/>
      <c r="X2" s="3899"/>
      <c r="Y2" s="3899"/>
      <c r="Z2" s="3899"/>
      <c r="AA2" s="3899"/>
      <c r="AB2" s="3899"/>
      <c r="AC2" s="3899"/>
      <c r="AD2" s="3899"/>
      <c r="AE2" s="3899"/>
      <c r="AF2" s="3899"/>
      <c r="AG2" s="3899"/>
      <c r="AH2" s="3899"/>
      <c r="AI2" s="3899"/>
    </row>
    <row r="3" spans="1:37">
      <c r="A3" s="3900" t="s">
        <v>1580</v>
      </c>
      <c r="B3" s="3900"/>
      <c r="C3" s="3900"/>
      <c r="D3" s="3900"/>
      <c r="E3" s="3900"/>
      <c r="F3" s="3900"/>
      <c r="G3" s="3900"/>
      <c r="H3" s="3900"/>
      <c r="I3" s="3900"/>
      <c r="J3" s="3900"/>
      <c r="K3" s="3900"/>
      <c r="L3" s="3900"/>
      <c r="M3" s="3900"/>
      <c r="N3" s="3900"/>
      <c r="O3" s="3900"/>
      <c r="P3" s="3900"/>
      <c r="Q3" s="3900"/>
      <c r="R3" s="3900"/>
      <c r="S3" s="3900"/>
      <c r="T3" s="3900"/>
      <c r="U3" s="3900"/>
      <c r="V3" s="3900"/>
      <c r="W3" s="3900"/>
      <c r="X3" s="3900"/>
      <c r="Y3" s="3900"/>
      <c r="Z3" s="3900"/>
      <c r="AA3" s="3900"/>
      <c r="AB3" s="3900"/>
      <c r="AC3" s="3900"/>
      <c r="AD3" s="3900"/>
      <c r="AE3" s="3900"/>
      <c r="AF3" s="3900"/>
      <c r="AG3" s="3900"/>
      <c r="AH3" s="3900"/>
      <c r="AI3" s="3900"/>
    </row>
    <row r="4" spans="1:37">
      <c r="A4" s="3776" t="s">
        <v>1855</v>
      </c>
      <c r="B4" s="3776"/>
      <c r="C4" s="3776"/>
      <c r="D4" s="3776"/>
      <c r="E4" s="3762"/>
      <c r="F4" s="2847"/>
      <c r="G4" s="2847"/>
      <c r="H4" s="2847"/>
      <c r="I4" s="2847"/>
      <c r="J4" s="2847"/>
      <c r="K4" s="2847"/>
      <c r="L4" s="2847"/>
      <c r="M4" s="3762"/>
      <c r="N4" s="3762"/>
      <c r="O4" s="3762"/>
      <c r="P4" s="3762"/>
      <c r="Q4" s="3762"/>
      <c r="R4" s="3762"/>
      <c r="S4" s="3762"/>
      <c r="T4" s="3762"/>
      <c r="U4" s="3762"/>
      <c r="V4" s="3762"/>
      <c r="W4" s="3762"/>
      <c r="X4" s="3762"/>
      <c r="Y4" s="3762"/>
      <c r="Z4" s="3762"/>
      <c r="AA4" s="3762"/>
      <c r="AB4" s="3762"/>
      <c r="AC4" s="3762"/>
      <c r="AD4" s="3762"/>
      <c r="AE4" s="3762"/>
      <c r="AF4" s="3762"/>
    </row>
    <row r="5" spans="1:37">
      <c r="A5" s="3902" t="s">
        <v>90</v>
      </c>
      <c r="B5" s="3902"/>
      <c r="C5" s="3902"/>
      <c r="D5" s="3902"/>
      <c r="E5" s="3763"/>
      <c r="F5" s="2847"/>
      <c r="G5" s="2847"/>
      <c r="H5" s="2847"/>
      <c r="I5" s="2847"/>
      <c r="J5" s="2847"/>
      <c r="K5" s="2847"/>
      <c r="L5" s="2847"/>
      <c r="M5" s="3762"/>
      <c r="N5" s="3762"/>
      <c r="O5" s="3762"/>
      <c r="P5" s="3762"/>
      <c r="Q5" s="3762"/>
      <c r="R5" s="3762"/>
      <c r="S5" s="3762"/>
      <c r="T5" s="3762"/>
      <c r="U5" s="3762"/>
      <c r="V5" s="3762"/>
      <c r="W5" s="3762"/>
      <c r="X5" s="3762"/>
      <c r="Y5" s="3762"/>
      <c r="Z5" s="3762"/>
      <c r="AA5" s="3762"/>
      <c r="AB5" s="3762"/>
      <c r="AC5" s="3762"/>
      <c r="AD5" s="3762"/>
      <c r="AE5" s="3762"/>
      <c r="AF5" s="3762"/>
    </row>
    <row r="6" spans="1:37">
      <c r="A6" s="3763"/>
      <c r="B6" s="3763"/>
      <c r="C6" s="3763"/>
      <c r="D6" s="3761"/>
      <c r="E6" s="3761"/>
      <c r="F6" s="2847"/>
      <c r="G6" s="2847"/>
      <c r="H6" s="2847"/>
      <c r="I6" s="2847"/>
      <c r="J6" s="2847"/>
      <c r="K6" s="2847"/>
      <c r="L6" s="2847"/>
      <c r="M6" s="3762"/>
      <c r="N6" s="3762"/>
      <c r="O6" s="3762"/>
      <c r="P6" s="3762"/>
      <c r="Q6" s="3762"/>
      <c r="R6" s="3762"/>
      <c r="S6" s="3762"/>
      <c r="T6" s="3762"/>
      <c r="U6" s="3762"/>
      <c r="V6" s="3762"/>
      <c r="W6" s="3762"/>
      <c r="X6" s="3762"/>
      <c r="Y6" s="3762"/>
      <c r="Z6" s="3762"/>
      <c r="AA6" s="3762"/>
      <c r="AB6" s="3762"/>
      <c r="AC6" s="3762"/>
      <c r="AD6" s="3762"/>
      <c r="AE6" s="3762"/>
      <c r="AF6" s="3762"/>
    </row>
    <row r="7" spans="1:37">
      <c r="A7" s="3763"/>
      <c r="B7" s="2847"/>
      <c r="C7" s="2847"/>
      <c r="D7" s="3362"/>
      <c r="E7" s="3362"/>
      <c r="F7" s="2847"/>
      <c r="G7" s="2847"/>
      <c r="H7" s="2847"/>
      <c r="I7" s="2847"/>
      <c r="J7" s="2847"/>
      <c r="K7" s="2847"/>
      <c r="L7" s="2848"/>
      <c r="M7" s="2847"/>
      <c r="N7" s="2847"/>
      <c r="O7" s="2847"/>
      <c r="P7" s="2847"/>
      <c r="Q7" s="2847"/>
      <c r="R7" s="2847"/>
      <c r="S7" s="2848"/>
      <c r="T7" s="2847"/>
      <c r="U7" s="2847"/>
      <c r="V7" s="2847"/>
      <c r="W7" s="2847"/>
      <c r="X7" s="2847"/>
      <c r="Y7" s="2847"/>
      <c r="Z7" s="2847"/>
      <c r="AA7" s="2847"/>
      <c r="AB7" s="2847"/>
      <c r="AC7" s="3763"/>
      <c r="AD7" s="3763"/>
      <c r="AE7" s="3763"/>
      <c r="AF7" s="3763"/>
    </row>
    <row r="8" spans="1:37">
      <c r="A8" s="3902" t="s">
        <v>2420</v>
      </c>
      <c r="B8" s="3902"/>
      <c r="C8" s="3902"/>
      <c r="D8" s="3902"/>
      <c r="E8" s="3902"/>
      <c r="F8" s="3902"/>
      <c r="G8" s="3902"/>
      <c r="H8" s="3902"/>
      <c r="I8" s="3902"/>
      <c r="J8" s="3902"/>
      <c r="K8" s="3902"/>
      <c r="L8" s="3902"/>
      <c r="M8" s="3902"/>
      <c r="N8" s="3902"/>
      <c r="O8" s="3902"/>
      <c r="P8" s="3902"/>
      <c r="Q8" s="3902"/>
      <c r="R8" s="3902"/>
      <c r="S8" s="3902"/>
      <c r="T8" s="3902"/>
      <c r="U8" s="3902"/>
      <c r="V8" s="3902"/>
      <c r="W8" s="3902"/>
      <c r="X8" s="3902"/>
      <c r="Y8" s="3902"/>
      <c r="Z8" s="3902"/>
      <c r="AA8" s="3902"/>
      <c r="AB8" s="3902"/>
      <c r="AC8" s="3902"/>
      <c r="AD8" s="3902"/>
      <c r="AE8" s="3902"/>
      <c r="AF8" s="3902"/>
    </row>
    <row r="9" spans="1:37">
      <c r="A9" s="3526"/>
    </row>
    <row r="10" spans="1:37" ht="16.5" customHeight="1">
      <c r="A10" s="3906" t="s">
        <v>932</v>
      </c>
      <c r="B10" s="3906" t="s">
        <v>1</v>
      </c>
      <c r="C10" s="3906" t="s">
        <v>163</v>
      </c>
      <c r="D10" s="3908" t="s">
        <v>1880</v>
      </c>
      <c r="E10" s="4863" t="s">
        <v>2418</v>
      </c>
      <c r="F10" s="4864"/>
      <c r="G10" s="4864"/>
      <c r="H10" s="4864"/>
      <c r="I10" s="4864"/>
      <c r="J10" s="4864"/>
      <c r="K10" s="4864"/>
      <c r="L10" s="4864"/>
      <c r="M10" s="4864"/>
      <c r="N10" s="4864"/>
      <c r="O10" s="4864"/>
      <c r="P10" s="4864"/>
      <c r="Q10" s="4864"/>
      <c r="R10" s="4864"/>
      <c r="S10" s="4864"/>
      <c r="T10" s="4865"/>
      <c r="U10" s="3896" t="s">
        <v>2419</v>
      </c>
      <c r="V10" s="3897"/>
      <c r="W10" s="3897"/>
      <c r="X10" s="3897"/>
      <c r="Y10" s="3897"/>
      <c r="Z10" s="3897"/>
      <c r="AA10" s="3897"/>
      <c r="AB10" s="3897"/>
      <c r="AC10" s="4861" t="s">
        <v>2168</v>
      </c>
      <c r="AD10" s="3898" t="s">
        <v>2074</v>
      </c>
      <c r="AE10" s="3898" t="s">
        <v>1881</v>
      </c>
      <c r="AF10" s="3898" t="s">
        <v>26</v>
      </c>
      <c r="AG10" s="2849"/>
      <c r="AH10" s="2849"/>
      <c r="AI10" s="3903" t="s">
        <v>1938</v>
      </c>
    </row>
    <row r="11" spans="1:37" s="2850" customFormat="1">
      <c r="A11" s="3907"/>
      <c r="B11" s="3907"/>
      <c r="C11" s="3907"/>
      <c r="D11" s="3909"/>
      <c r="E11" s="3773">
        <v>13</v>
      </c>
      <c r="F11" s="3547">
        <v>14</v>
      </c>
      <c r="G11" s="3547">
        <v>15</v>
      </c>
      <c r="H11" s="3547">
        <v>16</v>
      </c>
      <c r="I11" s="3547">
        <v>17</v>
      </c>
      <c r="J11" s="3547">
        <v>18</v>
      </c>
      <c r="K11" s="3547">
        <v>19</v>
      </c>
      <c r="L11" s="3547">
        <v>20</v>
      </c>
      <c r="M11" s="3547">
        <v>21</v>
      </c>
      <c r="N11" s="3547">
        <v>22</v>
      </c>
      <c r="O11" s="3547">
        <v>23</v>
      </c>
      <c r="P11" s="3547">
        <v>24</v>
      </c>
      <c r="Q11" s="3547">
        <v>25</v>
      </c>
      <c r="R11" s="3547">
        <v>26</v>
      </c>
      <c r="S11" s="3547">
        <v>27</v>
      </c>
      <c r="T11" s="3547">
        <v>28</v>
      </c>
      <c r="U11" s="3547">
        <v>2</v>
      </c>
      <c r="V11" s="3547">
        <v>3</v>
      </c>
      <c r="W11" s="3547">
        <v>4</v>
      </c>
      <c r="X11" s="3547">
        <v>20</v>
      </c>
      <c r="Y11" s="3547">
        <v>21</v>
      </c>
      <c r="Z11" s="3547">
        <v>22</v>
      </c>
      <c r="AA11" s="3547">
        <v>23</v>
      </c>
      <c r="AB11" s="3547">
        <v>24</v>
      </c>
      <c r="AC11" s="4862"/>
      <c r="AD11" s="3898"/>
      <c r="AE11" s="3898"/>
      <c r="AF11" s="3898"/>
      <c r="AG11" s="3762"/>
      <c r="AH11" s="3762"/>
      <c r="AI11" s="3904"/>
    </row>
    <row r="12" spans="1:37" ht="27.75" customHeight="1">
      <c r="A12" s="2851">
        <v>1</v>
      </c>
      <c r="B12" s="2812" t="s">
        <v>1557</v>
      </c>
      <c r="C12" s="2852"/>
      <c r="D12" s="3364" t="s">
        <v>451</v>
      </c>
      <c r="E12" s="3364"/>
      <c r="F12" s="2851"/>
      <c r="G12" s="2851"/>
      <c r="H12" s="2851"/>
      <c r="I12" s="2851"/>
      <c r="J12" s="2851" t="s">
        <v>29</v>
      </c>
      <c r="K12" s="2851"/>
      <c r="L12" s="2851" t="s">
        <v>29</v>
      </c>
      <c r="M12" s="2851" t="s">
        <v>29</v>
      </c>
      <c r="N12" s="2851"/>
      <c r="O12" s="2851" t="s">
        <v>29</v>
      </c>
      <c r="P12" s="2851" t="s">
        <v>29</v>
      </c>
      <c r="Q12" s="2851" t="s">
        <v>29</v>
      </c>
      <c r="R12" s="2851" t="s">
        <v>29</v>
      </c>
      <c r="S12" s="2851" t="s">
        <v>29</v>
      </c>
      <c r="T12" s="2851"/>
      <c r="U12" s="2851"/>
      <c r="V12" s="2851"/>
      <c r="W12" s="2851"/>
      <c r="X12" s="2851"/>
      <c r="Y12" s="2851"/>
      <c r="Z12" s="2851"/>
      <c r="AA12" s="2851"/>
      <c r="AB12" s="2851"/>
      <c r="AC12" s="2853">
        <f t="shared" ref="AC12:AC45" si="0">+COUNTIF(F12:AB12,"X")</f>
        <v>8</v>
      </c>
      <c r="AD12" s="2853">
        <f t="shared" ref="AD12:AD40" si="1">+COUNTIF(F12:AB12,"D")</f>
        <v>0</v>
      </c>
      <c r="AE12" s="2853">
        <f t="shared" ref="AE12:AE40" si="2">+COUNTIF(F12:AB12,"DCN")</f>
        <v>0</v>
      </c>
      <c r="AF12" s="2853">
        <f t="shared" ref="AF12:AF45" si="3">+SUM(AC12:AE12)</f>
        <v>8</v>
      </c>
      <c r="AG12" s="2854" t="e">
        <f>+VLOOKUP(C12,[1]Sheet1!$D$9:$E$122,2,0)</f>
        <v>#N/A</v>
      </c>
      <c r="AH12" s="2854" t="e">
        <f t="shared" ref="AH12:AH24" si="4">+IF(AG12=B12,"0","1")</f>
        <v>#N/A</v>
      </c>
      <c r="AI12" s="2746"/>
      <c r="AK12" s="2846" t="e">
        <f>+VLOOKUP(B12,'Hổ trợ xăng CN'!C10:E40,3,0)</f>
        <v>#REF!</v>
      </c>
    </row>
    <row r="13" spans="1:37" ht="27.75" customHeight="1">
      <c r="A13" s="2851">
        <v>2</v>
      </c>
      <c r="B13" s="2812" t="s">
        <v>2169</v>
      </c>
      <c r="C13" s="2812"/>
      <c r="D13" s="3364" t="s">
        <v>451</v>
      </c>
      <c r="E13" s="3364"/>
      <c r="F13" s="2851"/>
      <c r="G13" s="2851"/>
      <c r="H13" s="2851"/>
      <c r="I13" s="2851"/>
      <c r="J13" s="2851" t="s">
        <v>29</v>
      </c>
      <c r="K13" s="2851" t="s">
        <v>29</v>
      </c>
      <c r="L13" s="2851" t="s">
        <v>29</v>
      </c>
      <c r="M13" s="2851"/>
      <c r="N13" s="2851" t="s">
        <v>29</v>
      </c>
      <c r="O13" s="2851"/>
      <c r="P13" s="2851" t="s">
        <v>29</v>
      </c>
      <c r="Q13" s="2851" t="s">
        <v>29</v>
      </c>
      <c r="R13" s="2851" t="s">
        <v>29</v>
      </c>
      <c r="S13" s="2851" t="s">
        <v>29</v>
      </c>
      <c r="T13" s="2851" t="s">
        <v>29</v>
      </c>
      <c r="U13" s="2851"/>
      <c r="V13" s="2851"/>
      <c r="W13" s="2851"/>
      <c r="X13" s="2851"/>
      <c r="Y13" s="2851"/>
      <c r="Z13" s="2851"/>
      <c r="AA13" s="2851"/>
      <c r="AB13" s="2851"/>
      <c r="AC13" s="2853">
        <f t="shared" si="0"/>
        <v>9</v>
      </c>
      <c r="AD13" s="2853">
        <f t="shared" si="1"/>
        <v>0</v>
      </c>
      <c r="AE13" s="2853">
        <f t="shared" si="2"/>
        <v>0</v>
      </c>
      <c r="AF13" s="2853">
        <f t="shared" si="3"/>
        <v>9</v>
      </c>
      <c r="AG13" s="2854" t="e">
        <f>+VLOOKUP(C13,[1]Sheet1!$D$9:$E$122,2,0)</f>
        <v>#N/A</v>
      </c>
      <c r="AH13" s="2854" t="e">
        <f t="shared" si="4"/>
        <v>#N/A</v>
      </c>
      <c r="AI13" s="2746"/>
      <c r="AK13" s="2846" t="e">
        <f>+VLOOKUP(B13,'Hổ trợ xăng CN'!C11:E41,3,0)</f>
        <v>#N/A</v>
      </c>
    </row>
    <row r="14" spans="1:37" ht="27.75" customHeight="1">
      <c r="A14" s="2851">
        <v>3</v>
      </c>
      <c r="B14" s="2812" t="s">
        <v>2170</v>
      </c>
      <c r="C14" s="2852"/>
      <c r="D14" s="3364" t="s">
        <v>451</v>
      </c>
      <c r="E14" s="3364"/>
      <c r="F14" s="2851"/>
      <c r="G14" s="2851"/>
      <c r="H14" s="2851"/>
      <c r="I14" s="2851"/>
      <c r="J14" s="2851" t="s">
        <v>29</v>
      </c>
      <c r="K14" s="2851"/>
      <c r="L14" s="2851" t="s">
        <v>29</v>
      </c>
      <c r="M14" s="2851" t="s">
        <v>29</v>
      </c>
      <c r="N14" s="2851"/>
      <c r="O14" s="2851" t="s">
        <v>29</v>
      </c>
      <c r="P14" s="2851" t="s">
        <v>29</v>
      </c>
      <c r="Q14" s="2851" t="s">
        <v>29</v>
      </c>
      <c r="R14" s="2851" t="s">
        <v>29</v>
      </c>
      <c r="S14" s="2851" t="s">
        <v>29</v>
      </c>
      <c r="T14" s="2851"/>
      <c r="U14" s="2851"/>
      <c r="V14" s="2851"/>
      <c r="W14" s="2851"/>
      <c r="X14" s="2851"/>
      <c r="Y14" s="2851"/>
      <c r="Z14" s="2851"/>
      <c r="AA14" s="2851"/>
      <c r="AB14" s="2851"/>
      <c r="AC14" s="2853">
        <f t="shared" si="0"/>
        <v>8</v>
      </c>
      <c r="AD14" s="2853">
        <f t="shared" si="1"/>
        <v>0</v>
      </c>
      <c r="AE14" s="2853">
        <f t="shared" si="2"/>
        <v>0</v>
      </c>
      <c r="AF14" s="2853">
        <f t="shared" si="3"/>
        <v>8</v>
      </c>
      <c r="AG14" s="2854" t="e">
        <f>+VLOOKUP(C14,[1]Sheet1!$D$9:$E$122,2,0)</f>
        <v>#N/A</v>
      </c>
      <c r="AH14" s="2854" t="e">
        <f t="shared" si="4"/>
        <v>#N/A</v>
      </c>
      <c r="AI14" s="2746"/>
      <c r="AK14" s="2846" t="e">
        <f>+VLOOKUP(B14,'Hổ trợ xăng CN'!C12:E42,3,0)</f>
        <v>#N/A</v>
      </c>
    </row>
    <row r="15" spans="1:37" ht="27.75" customHeight="1">
      <c r="A15" s="2851">
        <v>4</v>
      </c>
      <c r="B15" s="2812" t="s">
        <v>2171</v>
      </c>
      <c r="C15" s="2852"/>
      <c r="D15" s="3364" t="s">
        <v>451</v>
      </c>
      <c r="E15" s="3364"/>
      <c r="F15" s="2851"/>
      <c r="G15" s="2851"/>
      <c r="H15" s="2851"/>
      <c r="I15" s="2851"/>
      <c r="J15" s="2851" t="s">
        <v>29</v>
      </c>
      <c r="K15" s="2851" t="s">
        <v>29</v>
      </c>
      <c r="L15" s="2851"/>
      <c r="M15" s="2851" t="s">
        <v>29</v>
      </c>
      <c r="N15" s="2851"/>
      <c r="O15" s="2851" t="s">
        <v>29</v>
      </c>
      <c r="P15" s="2851" t="s">
        <v>29</v>
      </c>
      <c r="Q15" s="2851" t="s">
        <v>29</v>
      </c>
      <c r="R15" s="2851" t="s">
        <v>29</v>
      </c>
      <c r="S15" s="2851" t="s">
        <v>29</v>
      </c>
      <c r="T15" s="2851"/>
      <c r="U15" s="2851"/>
      <c r="V15" s="2851"/>
      <c r="W15" s="2851"/>
      <c r="X15" s="2851"/>
      <c r="Y15" s="2851"/>
      <c r="Z15" s="2851"/>
      <c r="AA15" s="2851"/>
      <c r="AB15" s="2851"/>
      <c r="AC15" s="2853">
        <f t="shared" si="0"/>
        <v>8</v>
      </c>
      <c r="AD15" s="2853">
        <f t="shared" si="1"/>
        <v>0</v>
      </c>
      <c r="AE15" s="2853">
        <f t="shared" si="2"/>
        <v>0</v>
      </c>
      <c r="AF15" s="2853">
        <f t="shared" si="3"/>
        <v>8</v>
      </c>
      <c r="AG15" s="2854" t="e">
        <f>+VLOOKUP(C15,[1]Sheet1!$D$9:$E$122,2,0)</f>
        <v>#N/A</v>
      </c>
      <c r="AH15" s="2854" t="e">
        <f t="shared" si="4"/>
        <v>#N/A</v>
      </c>
      <c r="AI15" s="2746"/>
    </row>
    <row r="16" spans="1:37" ht="27.75" customHeight="1">
      <c r="A16" s="2851">
        <v>5</v>
      </c>
      <c r="B16" s="2812" t="s">
        <v>2172</v>
      </c>
      <c r="C16" s="2852"/>
      <c r="D16" s="3364" t="s">
        <v>451</v>
      </c>
      <c r="E16" s="3364"/>
      <c r="F16" s="2851"/>
      <c r="G16" s="2851"/>
      <c r="H16" s="2851"/>
      <c r="I16" s="2851"/>
      <c r="J16" s="2851" t="s">
        <v>29</v>
      </c>
      <c r="K16" s="2851"/>
      <c r="L16" s="2851" t="s">
        <v>29</v>
      </c>
      <c r="M16" s="2851" t="s">
        <v>29</v>
      </c>
      <c r="N16" s="2851" t="s">
        <v>29</v>
      </c>
      <c r="O16" s="2851"/>
      <c r="P16" s="2851" t="s">
        <v>29</v>
      </c>
      <c r="Q16" s="2851" t="s">
        <v>29</v>
      </c>
      <c r="R16" s="2851" t="s">
        <v>29</v>
      </c>
      <c r="S16" s="2851"/>
      <c r="T16" s="2851" t="s">
        <v>29</v>
      </c>
      <c r="U16" s="2851"/>
      <c r="V16" s="2851"/>
      <c r="W16" s="2851"/>
      <c r="X16" s="2851"/>
      <c r="Y16" s="2851"/>
      <c r="Z16" s="2851"/>
      <c r="AA16" s="2851"/>
      <c r="AB16" s="2851"/>
      <c r="AC16" s="2853">
        <f t="shared" si="0"/>
        <v>8</v>
      </c>
      <c r="AD16" s="2853">
        <f t="shared" si="1"/>
        <v>0</v>
      </c>
      <c r="AE16" s="2853">
        <f t="shared" si="2"/>
        <v>0</v>
      </c>
      <c r="AF16" s="2853">
        <f t="shared" si="3"/>
        <v>8</v>
      </c>
      <c r="AG16" s="2854" t="e">
        <f>+VLOOKUP(C16,[1]Sheet1!$D$9:$E$122,2,0)</f>
        <v>#N/A</v>
      </c>
      <c r="AH16" s="2854" t="e">
        <f t="shared" si="4"/>
        <v>#N/A</v>
      </c>
      <c r="AI16" s="2746"/>
    </row>
    <row r="17" spans="1:35" ht="27.75" customHeight="1">
      <c r="A17" s="2851">
        <v>6</v>
      </c>
      <c r="B17" s="2812" t="s">
        <v>1528</v>
      </c>
      <c r="C17" s="2852"/>
      <c r="D17" s="3364" t="s">
        <v>451</v>
      </c>
      <c r="E17" s="3364"/>
      <c r="F17" s="2851"/>
      <c r="G17" s="2851"/>
      <c r="H17" s="2851"/>
      <c r="I17" s="2851"/>
      <c r="J17" s="2851" t="s">
        <v>29</v>
      </c>
      <c r="K17" s="2851" t="s">
        <v>29</v>
      </c>
      <c r="L17" s="2851" t="s">
        <v>29</v>
      </c>
      <c r="M17" s="2851" t="s">
        <v>29</v>
      </c>
      <c r="N17" s="2851" t="s">
        <v>29</v>
      </c>
      <c r="O17" s="2851" t="s">
        <v>29</v>
      </c>
      <c r="P17" s="2851"/>
      <c r="Q17" s="2851" t="s">
        <v>29</v>
      </c>
      <c r="R17" s="2851" t="s">
        <v>29</v>
      </c>
      <c r="S17" s="2851"/>
      <c r="T17" s="2851" t="s">
        <v>29</v>
      </c>
      <c r="U17" s="2851"/>
      <c r="V17" s="2851"/>
      <c r="W17" s="2851"/>
      <c r="X17" s="2851"/>
      <c r="Y17" s="2851"/>
      <c r="Z17" s="2851"/>
      <c r="AA17" s="2851"/>
      <c r="AB17" s="2851"/>
      <c r="AC17" s="2853">
        <f t="shared" si="0"/>
        <v>9</v>
      </c>
      <c r="AD17" s="2853">
        <f t="shared" si="1"/>
        <v>0</v>
      </c>
      <c r="AE17" s="2853">
        <f t="shared" si="2"/>
        <v>0</v>
      </c>
      <c r="AF17" s="2853">
        <f t="shared" si="3"/>
        <v>9</v>
      </c>
      <c r="AG17" s="2854" t="e">
        <f>+VLOOKUP(C17,[1]Sheet1!$D$9:$E$122,2,0)</f>
        <v>#N/A</v>
      </c>
      <c r="AH17" s="2854" t="e">
        <f t="shared" si="4"/>
        <v>#N/A</v>
      </c>
      <c r="AI17" s="2746"/>
    </row>
    <row r="18" spans="1:35" ht="27.75" customHeight="1">
      <c r="A18" s="2851">
        <v>7</v>
      </c>
      <c r="B18" s="2852" t="s">
        <v>2173</v>
      </c>
      <c r="C18" s="2852"/>
      <c r="D18" s="3364" t="s">
        <v>451</v>
      </c>
      <c r="E18" s="3364"/>
      <c r="F18" s="2851"/>
      <c r="G18" s="2851"/>
      <c r="H18" s="2851"/>
      <c r="I18" s="2851"/>
      <c r="J18" s="2851" t="s">
        <v>29</v>
      </c>
      <c r="K18" s="2851" t="s">
        <v>29</v>
      </c>
      <c r="L18" s="2851" t="s">
        <v>29</v>
      </c>
      <c r="M18" s="2851" t="s">
        <v>29</v>
      </c>
      <c r="N18" s="2851" t="s">
        <v>29</v>
      </c>
      <c r="O18" s="2851" t="s">
        <v>29</v>
      </c>
      <c r="P18" s="2851"/>
      <c r="Q18" s="2851" t="s">
        <v>29</v>
      </c>
      <c r="R18" s="2851" t="s">
        <v>29</v>
      </c>
      <c r="S18" s="2851"/>
      <c r="T18" s="2851" t="s">
        <v>29</v>
      </c>
      <c r="U18" s="2851"/>
      <c r="V18" s="2851"/>
      <c r="W18" s="2851"/>
      <c r="X18" s="2851"/>
      <c r="Y18" s="2851"/>
      <c r="Z18" s="2851"/>
      <c r="AA18" s="2851"/>
      <c r="AB18" s="2851"/>
      <c r="AC18" s="2853">
        <f t="shared" si="0"/>
        <v>9</v>
      </c>
      <c r="AD18" s="2853">
        <f t="shared" si="1"/>
        <v>0</v>
      </c>
      <c r="AE18" s="2853">
        <f t="shared" si="2"/>
        <v>0</v>
      </c>
      <c r="AF18" s="2853">
        <f t="shared" si="3"/>
        <v>9</v>
      </c>
      <c r="AG18" s="2854" t="e">
        <f>+VLOOKUP(C18,[1]Sheet1!$D$9:$E$122,2,0)</f>
        <v>#N/A</v>
      </c>
      <c r="AH18" s="2854" t="e">
        <f t="shared" si="4"/>
        <v>#N/A</v>
      </c>
      <c r="AI18" s="2746"/>
    </row>
    <row r="19" spans="1:35" ht="27.75" customHeight="1">
      <c r="A19" s="2851">
        <v>8</v>
      </c>
      <c r="B19" s="2812" t="s">
        <v>2174</v>
      </c>
      <c r="C19" s="2852"/>
      <c r="D19" s="3364" t="s">
        <v>451</v>
      </c>
      <c r="E19" s="3364"/>
      <c r="F19" s="2851"/>
      <c r="G19" s="2851"/>
      <c r="H19" s="2851"/>
      <c r="I19" s="2851"/>
      <c r="J19" s="2851" t="s">
        <v>29</v>
      </c>
      <c r="K19" s="2851" t="s">
        <v>29</v>
      </c>
      <c r="L19" s="2851" t="s">
        <v>29</v>
      </c>
      <c r="M19" s="2851" t="s">
        <v>29</v>
      </c>
      <c r="N19" s="2851" t="s">
        <v>29</v>
      </c>
      <c r="O19" s="2851" t="s">
        <v>29</v>
      </c>
      <c r="P19" s="2851" t="s">
        <v>29</v>
      </c>
      <c r="Q19" s="2851" t="s">
        <v>29</v>
      </c>
      <c r="R19" s="2851" t="s">
        <v>29</v>
      </c>
      <c r="S19" s="2851"/>
      <c r="T19" s="2851"/>
      <c r="U19" s="2851"/>
      <c r="V19" s="2851"/>
      <c r="W19" s="2851"/>
      <c r="X19" s="2851"/>
      <c r="Y19" s="2851"/>
      <c r="Z19" s="2851"/>
      <c r="AA19" s="2851"/>
      <c r="AB19" s="2851"/>
      <c r="AC19" s="2853">
        <f t="shared" si="0"/>
        <v>9</v>
      </c>
      <c r="AD19" s="2853">
        <f t="shared" si="1"/>
        <v>0</v>
      </c>
      <c r="AE19" s="2853">
        <f t="shared" si="2"/>
        <v>0</v>
      </c>
      <c r="AF19" s="2853">
        <f t="shared" si="3"/>
        <v>9</v>
      </c>
      <c r="AG19" s="2854" t="e">
        <f>+VLOOKUP(C19,[1]Sheet1!$D$9:$E$122,2,0)</f>
        <v>#N/A</v>
      </c>
      <c r="AH19" s="2854" t="e">
        <f t="shared" si="4"/>
        <v>#N/A</v>
      </c>
      <c r="AI19" s="2746"/>
    </row>
    <row r="20" spans="1:35" ht="27.75" customHeight="1">
      <c r="A20" s="2851">
        <v>9</v>
      </c>
      <c r="B20" s="2812" t="s">
        <v>2175</v>
      </c>
      <c r="C20" s="2852"/>
      <c r="D20" s="3364" t="s">
        <v>451</v>
      </c>
      <c r="E20" s="3364"/>
      <c r="F20" s="2851"/>
      <c r="G20" s="2851"/>
      <c r="H20" s="2851"/>
      <c r="I20" s="2851"/>
      <c r="J20" s="2851" t="s">
        <v>29</v>
      </c>
      <c r="K20" s="2851" t="s">
        <v>29</v>
      </c>
      <c r="L20" s="2851" t="s">
        <v>29</v>
      </c>
      <c r="M20" s="2851" t="s">
        <v>29</v>
      </c>
      <c r="N20" s="2851" t="s">
        <v>29</v>
      </c>
      <c r="O20" s="2851" t="s">
        <v>29</v>
      </c>
      <c r="P20" s="2851" t="s">
        <v>29</v>
      </c>
      <c r="Q20" s="2851" t="s">
        <v>29</v>
      </c>
      <c r="R20" s="2851" t="s">
        <v>29</v>
      </c>
      <c r="S20" s="2851"/>
      <c r="T20" s="2851"/>
      <c r="U20" s="2851"/>
      <c r="V20" s="2851"/>
      <c r="W20" s="2851"/>
      <c r="X20" s="2851"/>
      <c r="Y20" s="2851"/>
      <c r="Z20" s="2851"/>
      <c r="AA20" s="2851"/>
      <c r="AB20" s="2851"/>
      <c r="AC20" s="2853">
        <f t="shared" si="0"/>
        <v>9</v>
      </c>
      <c r="AD20" s="2853">
        <f t="shared" si="1"/>
        <v>0</v>
      </c>
      <c r="AE20" s="2853">
        <f t="shared" si="2"/>
        <v>0</v>
      </c>
      <c r="AF20" s="2853">
        <f t="shared" si="3"/>
        <v>9</v>
      </c>
      <c r="AG20" s="2854" t="e">
        <f>+VLOOKUP(C20,[1]Sheet1!$D$9:$E$122,2,0)</f>
        <v>#N/A</v>
      </c>
      <c r="AH20" s="2854" t="e">
        <f t="shared" si="4"/>
        <v>#N/A</v>
      </c>
      <c r="AI20" s="2746"/>
    </row>
    <row r="21" spans="1:35" ht="27.75" customHeight="1">
      <c r="A21" s="2851">
        <v>10</v>
      </c>
      <c r="B21" s="2812" t="s">
        <v>2176</v>
      </c>
      <c r="C21" s="2852"/>
      <c r="D21" s="3364" t="s">
        <v>451</v>
      </c>
      <c r="E21" s="3364"/>
      <c r="F21" s="2851"/>
      <c r="G21" s="2851"/>
      <c r="H21" s="2851"/>
      <c r="I21" s="2851"/>
      <c r="J21" s="2851" t="s">
        <v>29</v>
      </c>
      <c r="K21" s="2851" t="s">
        <v>29</v>
      </c>
      <c r="L21" s="2851" t="s">
        <v>29</v>
      </c>
      <c r="M21" s="2851" t="s">
        <v>29</v>
      </c>
      <c r="N21" s="2851" t="s">
        <v>29</v>
      </c>
      <c r="O21" s="2851" t="s">
        <v>29</v>
      </c>
      <c r="P21" s="2851" t="s">
        <v>29</v>
      </c>
      <c r="Q21" s="2851" t="s">
        <v>29</v>
      </c>
      <c r="R21" s="2851" t="s">
        <v>29</v>
      </c>
      <c r="S21" s="2851"/>
      <c r="T21" s="2851"/>
      <c r="U21" s="2851"/>
      <c r="V21" s="2851"/>
      <c r="W21" s="2851"/>
      <c r="X21" s="2851"/>
      <c r="Y21" s="2851"/>
      <c r="Z21" s="2851"/>
      <c r="AA21" s="2851"/>
      <c r="AB21" s="2851"/>
      <c r="AC21" s="2853">
        <f t="shared" si="0"/>
        <v>9</v>
      </c>
      <c r="AD21" s="2853">
        <f t="shared" si="1"/>
        <v>0</v>
      </c>
      <c r="AE21" s="2853">
        <f t="shared" si="2"/>
        <v>0</v>
      </c>
      <c r="AF21" s="2853">
        <f t="shared" si="3"/>
        <v>9</v>
      </c>
      <c r="AG21" s="2854" t="e">
        <f>+VLOOKUP(C21,[1]Sheet1!$D$9:$E$122,2,0)</f>
        <v>#N/A</v>
      </c>
      <c r="AH21" s="2854" t="e">
        <f t="shared" si="4"/>
        <v>#N/A</v>
      </c>
      <c r="AI21" s="2746"/>
    </row>
    <row r="22" spans="1:35" ht="27.75" customHeight="1">
      <c r="A22" s="2851">
        <v>11</v>
      </c>
      <c r="B22" s="2812" t="s">
        <v>2177</v>
      </c>
      <c r="C22" s="2852"/>
      <c r="D22" s="3364" t="s">
        <v>451</v>
      </c>
      <c r="E22" s="3364"/>
      <c r="F22" s="2851"/>
      <c r="G22" s="2851"/>
      <c r="H22" s="2851"/>
      <c r="I22" s="2851"/>
      <c r="J22" s="2851" t="s">
        <v>29</v>
      </c>
      <c r="K22" s="2851" t="s">
        <v>29</v>
      </c>
      <c r="L22" s="2851" t="s">
        <v>29</v>
      </c>
      <c r="M22" s="2851" t="s">
        <v>29</v>
      </c>
      <c r="N22" s="2851" t="s">
        <v>29</v>
      </c>
      <c r="O22" s="2851" t="s">
        <v>29</v>
      </c>
      <c r="P22" s="2851" t="s">
        <v>29</v>
      </c>
      <c r="Q22" s="2851" t="s">
        <v>29</v>
      </c>
      <c r="R22" s="2851" t="s">
        <v>29</v>
      </c>
      <c r="S22" s="2851"/>
      <c r="T22" s="2851"/>
      <c r="U22" s="2851"/>
      <c r="V22" s="2851"/>
      <c r="W22" s="2851"/>
      <c r="X22" s="2851"/>
      <c r="Y22" s="2851"/>
      <c r="Z22" s="2851"/>
      <c r="AA22" s="2851"/>
      <c r="AB22" s="2851"/>
      <c r="AC22" s="2853">
        <f t="shared" si="0"/>
        <v>9</v>
      </c>
      <c r="AD22" s="2853">
        <f t="shared" si="1"/>
        <v>0</v>
      </c>
      <c r="AE22" s="2853">
        <f t="shared" si="2"/>
        <v>0</v>
      </c>
      <c r="AF22" s="2853">
        <f t="shared" si="3"/>
        <v>9</v>
      </c>
      <c r="AG22" s="2854" t="e">
        <f>+VLOOKUP(C22,[1]Sheet1!$D$9:$E$122,2,0)</f>
        <v>#N/A</v>
      </c>
      <c r="AH22" s="2854" t="e">
        <f t="shared" si="4"/>
        <v>#N/A</v>
      </c>
      <c r="AI22" s="2746"/>
    </row>
    <row r="23" spans="1:35" ht="27.75" customHeight="1">
      <c r="A23" s="2851">
        <v>12</v>
      </c>
      <c r="B23" s="2812" t="s">
        <v>2178</v>
      </c>
      <c r="C23" s="2852"/>
      <c r="D23" s="3364" t="s">
        <v>451</v>
      </c>
      <c r="E23" s="3364"/>
      <c r="F23" s="2851"/>
      <c r="G23" s="2851"/>
      <c r="H23" s="2851"/>
      <c r="I23" s="2851"/>
      <c r="J23" s="2851" t="s">
        <v>29</v>
      </c>
      <c r="K23" s="2851" t="s">
        <v>29</v>
      </c>
      <c r="L23" s="2851" t="s">
        <v>29</v>
      </c>
      <c r="M23" s="2851" t="s">
        <v>29</v>
      </c>
      <c r="N23" s="2851" t="s">
        <v>29</v>
      </c>
      <c r="O23" s="2851" t="s">
        <v>29</v>
      </c>
      <c r="P23" s="2851" t="s">
        <v>29</v>
      </c>
      <c r="Q23" s="2851"/>
      <c r="R23" s="2851" t="s">
        <v>29</v>
      </c>
      <c r="S23" s="2851"/>
      <c r="T23" s="2851"/>
      <c r="U23" s="2851"/>
      <c r="V23" s="2851"/>
      <c r="W23" s="2851"/>
      <c r="X23" s="2851"/>
      <c r="Y23" s="2851"/>
      <c r="Z23" s="2851"/>
      <c r="AA23" s="2851"/>
      <c r="AB23" s="2851"/>
      <c r="AC23" s="2853">
        <f t="shared" si="0"/>
        <v>8</v>
      </c>
      <c r="AD23" s="2853">
        <f t="shared" si="1"/>
        <v>0</v>
      </c>
      <c r="AE23" s="2853">
        <f t="shared" si="2"/>
        <v>0</v>
      </c>
      <c r="AF23" s="2853">
        <f t="shared" si="3"/>
        <v>8</v>
      </c>
      <c r="AG23" s="2854" t="e">
        <f>+VLOOKUP(C23,[1]Sheet1!$D$9:$E$122,2,0)</f>
        <v>#N/A</v>
      </c>
      <c r="AH23" s="2854" t="e">
        <f t="shared" si="4"/>
        <v>#N/A</v>
      </c>
      <c r="AI23" s="2746"/>
    </row>
    <row r="24" spans="1:35" ht="27.75" customHeight="1">
      <c r="A24" s="2851">
        <v>13</v>
      </c>
      <c r="B24" s="2812" t="s">
        <v>2179</v>
      </c>
      <c r="C24" s="2852"/>
      <c r="D24" s="3364" t="s">
        <v>451</v>
      </c>
      <c r="E24" s="3364"/>
      <c r="F24" s="2851"/>
      <c r="G24" s="2851"/>
      <c r="H24" s="2851"/>
      <c r="I24" s="2851"/>
      <c r="J24" s="2851" t="s">
        <v>29</v>
      </c>
      <c r="K24" s="2851"/>
      <c r="L24" s="2851" t="s">
        <v>29</v>
      </c>
      <c r="M24" s="2851" t="s">
        <v>29</v>
      </c>
      <c r="N24" s="2851"/>
      <c r="O24" s="2851" t="s">
        <v>29</v>
      </c>
      <c r="P24" s="2851" t="s">
        <v>29</v>
      </c>
      <c r="Q24" s="2851"/>
      <c r="R24" s="2851" t="s">
        <v>29</v>
      </c>
      <c r="S24" s="2851" t="s">
        <v>29</v>
      </c>
      <c r="T24" s="2851" t="s">
        <v>29</v>
      </c>
      <c r="U24" s="2851"/>
      <c r="V24" s="2851"/>
      <c r="W24" s="2851"/>
      <c r="X24" s="2851"/>
      <c r="Y24" s="2851"/>
      <c r="Z24" s="2851"/>
      <c r="AA24" s="2851"/>
      <c r="AB24" s="2851"/>
      <c r="AC24" s="2853">
        <f t="shared" si="0"/>
        <v>8</v>
      </c>
      <c r="AD24" s="2853">
        <f t="shared" si="1"/>
        <v>0</v>
      </c>
      <c r="AE24" s="2853">
        <f t="shared" si="2"/>
        <v>0</v>
      </c>
      <c r="AF24" s="2853">
        <f t="shared" si="3"/>
        <v>8</v>
      </c>
      <c r="AG24" s="2854" t="e">
        <f>+VLOOKUP(C24,[1]Sheet1!$D$9:$E$122,2,0)</f>
        <v>#N/A</v>
      </c>
      <c r="AH24" s="2854" t="e">
        <f t="shared" si="4"/>
        <v>#N/A</v>
      </c>
      <c r="AI24" s="2746"/>
    </row>
    <row r="25" spans="1:35" ht="27.75" customHeight="1">
      <c r="A25" s="2851">
        <v>14</v>
      </c>
      <c r="B25" s="2812" t="s">
        <v>1301</v>
      </c>
      <c r="C25" s="2852"/>
      <c r="D25" s="3364" t="s">
        <v>451</v>
      </c>
      <c r="E25" s="3364"/>
      <c r="F25" s="2851"/>
      <c r="G25" s="2851"/>
      <c r="H25" s="2851"/>
      <c r="I25" s="2851"/>
      <c r="J25" s="2851" t="s">
        <v>29</v>
      </c>
      <c r="K25" s="2851" t="s">
        <v>29</v>
      </c>
      <c r="L25" s="2851" t="s">
        <v>29</v>
      </c>
      <c r="M25" s="2851" t="s">
        <v>29</v>
      </c>
      <c r="N25" s="2851" t="s">
        <v>29</v>
      </c>
      <c r="O25" s="2851" t="s">
        <v>29</v>
      </c>
      <c r="P25" s="2851" t="s">
        <v>29</v>
      </c>
      <c r="Q25" s="2851" t="s">
        <v>29</v>
      </c>
      <c r="R25" s="2851" t="s">
        <v>29</v>
      </c>
      <c r="S25" s="2851"/>
      <c r="T25" s="2851" t="s">
        <v>29</v>
      </c>
      <c r="U25" s="2851"/>
      <c r="V25" s="2851"/>
      <c r="W25" s="2851"/>
      <c r="X25" s="2851"/>
      <c r="Y25" s="2851"/>
      <c r="Z25" s="2851"/>
      <c r="AA25" s="2851"/>
      <c r="AB25" s="2851"/>
      <c r="AC25" s="2853">
        <f t="shared" si="0"/>
        <v>10</v>
      </c>
      <c r="AD25" s="2853">
        <f t="shared" si="1"/>
        <v>0</v>
      </c>
      <c r="AE25" s="2853">
        <f t="shared" si="2"/>
        <v>0</v>
      </c>
      <c r="AF25" s="2853">
        <f t="shared" si="3"/>
        <v>10</v>
      </c>
      <c r="AG25" s="2854"/>
      <c r="AH25" s="2854"/>
      <c r="AI25" s="2746"/>
    </row>
    <row r="26" spans="1:35" ht="27.75" customHeight="1">
      <c r="A26" s="2851">
        <v>15</v>
      </c>
      <c r="B26" s="2812" t="s">
        <v>2180</v>
      </c>
      <c r="C26" s="2852"/>
      <c r="D26" s="3364" t="s">
        <v>451</v>
      </c>
      <c r="E26" s="3364"/>
      <c r="F26" s="2851"/>
      <c r="G26" s="2851"/>
      <c r="H26" s="2851"/>
      <c r="I26" s="2851"/>
      <c r="J26" s="2851" t="s">
        <v>29</v>
      </c>
      <c r="K26" s="2851" t="s">
        <v>29</v>
      </c>
      <c r="L26" s="2851" t="s">
        <v>29</v>
      </c>
      <c r="M26" s="2851" t="s">
        <v>29</v>
      </c>
      <c r="N26" s="2851" t="s">
        <v>29</v>
      </c>
      <c r="O26" s="2851" t="s">
        <v>29</v>
      </c>
      <c r="P26" s="2851" t="s">
        <v>29</v>
      </c>
      <c r="Q26" s="2851" t="s">
        <v>29</v>
      </c>
      <c r="R26" s="2851" t="s">
        <v>29</v>
      </c>
      <c r="S26" s="2851" t="s">
        <v>29</v>
      </c>
      <c r="T26" s="2851" t="s">
        <v>29</v>
      </c>
      <c r="U26" s="2851"/>
      <c r="V26" s="2851"/>
      <c r="W26" s="2851"/>
      <c r="X26" s="2851"/>
      <c r="Y26" s="2851"/>
      <c r="Z26" s="2851"/>
      <c r="AA26" s="2851"/>
      <c r="AB26" s="2851"/>
      <c r="AC26" s="2853">
        <f t="shared" si="0"/>
        <v>11</v>
      </c>
      <c r="AD26" s="2853">
        <f t="shared" si="1"/>
        <v>0</v>
      </c>
      <c r="AE26" s="2853">
        <f t="shared" si="2"/>
        <v>0</v>
      </c>
      <c r="AF26" s="2853">
        <f t="shared" si="3"/>
        <v>11</v>
      </c>
      <c r="AG26" s="2854"/>
      <c r="AH26" s="2854"/>
      <c r="AI26" s="2746"/>
    </row>
    <row r="27" spans="1:35" ht="27.75" customHeight="1">
      <c r="A27" s="2851">
        <v>16</v>
      </c>
      <c r="B27" s="2812" t="s">
        <v>1677</v>
      </c>
      <c r="C27" s="2852"/>
      <c r="D27" s="3364" t="s">
        <v>451</v>
      </c>
      <c r="E27" s="3364"/>
      <c r="F27" s="2851"/>
      <c r="G27" s="2851"/>
      <c r="H27" s="2851"/>
      <c r="I27" s="2851"/>
      <c r="J27" s="2851" t="s">
        <v>29</v>
      </c>
      <c r="K27" s="2851" t="s">
        <v>29</v>
      </c>
      <c r="L27" s="2851" t="s">
        <v>29</v>
      </c>
      <c r="M27" s="2851" t="s">
        <v>29</v>
      </c>
      <c r="N27" s="2851" t="s">
        <v>29</v>
      </c>
      <c r="O27" s="2851" t="s">
        <v>29</v>
      </c>
      <c r="P27" s="2851" t="s">
        <v>29</v>
      </c>
      <c r="Q27" s="2851" t="s">
        <v>29</v>
      </c>
      <c r="R27" s="2851" t="s">
        <v>29</v>
      </c>
      <c r="S27" s="2851"/>
      <c r="T27" s="2851"/>
      <c r="U27" s="2851"/>
      <c r="V27" s="2851"/>
      <c r="W27" s="2851"/>
      <c r="X27" s="2851"/>
      <c r="Y27" s="2851"/>
      <c r="Z27" s="2851"/>
      <c r="AA27" s="2851"/>
      <c r="AB27" s="2851"/>
      <c r="AC27" s="2853">
        <f t="shared" si="0"/>
        <v>9</v>
      </c>
      <c r="AD27" s="2853">
        <f t="shared" si="1"/>
        <v>0</v>
      </c>
      <c r="AE27" s="2853">
        <f t="shared" si="2"/>
        <v>0</v>
      </c>
      <c r="AF27" s="2853">
        <f t="shared" si="3"/>
        <v>9</v>
      </c>
      <c r="AG27" s="2854"/>
      <c r="AH27" s="2854"/>
      <c r="AI27" s="2746"/>
    </row>
    <row r="28" spans="1:35" ht="27.75" customHeight="1">
      <c r="A28" s="2851">
        <v>17</v>
      </c>
      <c r="B28" s="2812" t="s">
        <v>289</v>
      </c>
      <c r="C28" s="2852"/>
      <c r="D28" s="3364" t="s">
        <v>451</v>
      </c>
      <c r="E28" s="3364"/>
      <c r="F28" s="2851"/>
      <c r="G28" s="2851"/>
      <c r="H28" s="2851"/>
      <c r="I28" s="2851"/>
      <c r="J28" s="2851" t="s">
        <v>29</v>
      </c>
      <c r="K28" s="2851" t="s">
        <v>29</v>
      </c>
      <c r="L28" s="2851" t="s">
        <v>29</v>
      </c>
      <c r="M28" s="2851" t="s">
        <v>29</v>
      </c>
      <c r="N28" s="2851"/>
      <c r="O28" s="2851" t="s">
        <v>29</v>
      </c>
      <c r="P28" s="2851" t="s">
        <v>29</v>
      </c>
      <c r="Q28" s="2851" t="s">
        <v>29</v>
      </c>
      <c r="R28" s="2851"/>
      <c r="S28" s="2851" t="s">
        <v>29</v>
      </c>
      <c r="T28" s="2851"/>
      <c r="U28" s="2851"/>
      <c r="V28" s="2851"/>
      <c r="W28" s="2851"/>
      <c r="X28" s="2851"/>
      <c r="Y28" s="2851"/>
      <c r="Z28" s="2851"/>
      <c r="AA28" s="2851"/>
      <c r="AB28" s="2851"/>
      <c r="AC28" s="2853">
        <f t="shared" si="0"/>
        <v>8</v>
      </c>
      <c r="AD28" s="2853">
        <f t="shared" si="1"/>
        <v>0</v>
      </c>
      <c r="AE28" s="2853">
        <f t="shared" si="2"/>
        <v>0</v>
      </c>
      <c r="AF28" s="2853">
        <f t="shared" si="3"/>
        <v>8</v>
      </c>
      <c r="AG28" s="2854"/>
      <c r="AH28" s="2854"/>
      <c r="AI28" s="2746"/>
    </row>
    <row r="29" spans="1:35" ht="27.75" customHeight="1">
      <c r="A29" s="2851">
        <v>18</v>
      </c>
      <c r="B29" s="2812" t="s">
        <v>2181</v>
      </c>
      <c r="C29" s="2852"/>
      <c r="D29" s="3364" t="s">
        <v>451</v>
      </c>
      <c r="E29" s="3364"/>
      <c r="F29" s="2851"/>
      <c r="G29" s="2851"/>
      <c r="H29" s="2851"/>
      <c r="I29" s="2851"/>
      <c r="J29" s="2851" t="s">
        <v>29</v>
      </c>
      <c r="K29" s="2851" t="s">
        <v>29</v>
      </c>
      <c r="L29" s="2851" t="s">
        <v>29</v>
      </c>
      <c r="M29" s="2851" t="s">
        <v>29</v>
      </c>
      <c r="N29" s="2851" t="s">
        <v>29</v>
      </c>
      <c r="O29" s="2851" t="s">
        <v>29</v>
      </c>
      <c r="P29" s="2851" t="s">
        <v>29</v>
      </c>
      <c r="Q29" s="2851" t="s">
        <v>29</v>
      </c>
      <c r="R29" s="2851" t="s">
        <v>29</v>
      </c>
      <c r="S29" s="2851"/>
      <c r="T29" s="2851"/>
      <c r="U29" s="2851"/>
      <c r="V29" s="2851"/>
      <c r="W29" s="2851"/>
      <c r="X29" s="2851"/>
      <c r="Y29" s="2851"/>
      <c r="Z29" s="2851"/>
      <c r="AA29" s="2851"/>
      <c r="AB29" s="2851"/>
      <c r="AC29" s="2853">
        <f t="shared" si="0"/>
        <v>9</v>
      </c>
      <c r="AD29" s="2853">
        <f t="shared" si="1"/>
        <v>0</v>
      </c>
      <c r="AE29" s="2853">
        <f t="shared" si="2"/>
        <v>0</v>
      </c>
      <c r="AF29" s="2853">
        <f t="shared" si="3"/>
        <v>9</v>
      </c>
      <c r="AG29" s="2854"/>
      <c r="AH29" s="2854"/>
      <c r="AI29" s="2746"/>
    </row>
    <row r="30" spans="1:35" ht="27.75" customHeight="1">
      <c r="A30" s="2851">
        <v>19</v>
      </c>
      <c r="B30" s="2812" t="s">
        <v>2182</v>
      </c>
      <c r="C30" s="2852"/>
      <c r="D30" s="3364" t="s">
        <v>451</v>
      </c>
      <c r="E30" s="3364"/>
      <c r="F30" s="2851"/>
      <c r="G30" s="2851"/>
      <c r="H30" s="2851"/>
      <c r="I30" s="2851"/>
      <c r="J30" s="2851" t="s">
        <v>29</v>
      </c>
      <c r="K30" s="2851" t="s">
        <v>29</v>
      </c>
      <c r="L30" s="2851" t="s">
        <v>29</v>
      </c>
      <c r="M30" s="2851" t="s">
        <v>29</v>
      </c>
      <c r="N30" s="2851" t="s">
        <v>29</v>
      </c>
      <c r="O30" s="2851" t="s">
        <v>29</v>
      </c>
      <c r="P30" s="2851" t="s">
        <v>29</v>
      </c>
      <c r="Q30" s="2851" t="s">
        <v>29</v>
      </c>
      <c r="R30" s="2851" t="s">
        <v>29</v>
      </c>
      <c r="S30" s="2851"/>
      <c r="T30" s="2851"/>
      <c r="U30" s="2851"/>
      <c r="V30" s="2851"/>
      <c r="W30" s="2851"/>
      <c r="X30" s="2851"/>
      <c r="Y30" s="2851"/>
      <c r="Z30" s="2851"/>
      <c r="AA30" s="2851"/>
      <c r="AB30" s="2851"/>
      <c r="AC30" s="2853">
        <f t="shared" si="0"/>
        <v>9</v>
      </c>
      <c r="AD30" s="2853">
        <f t="shared" si="1"/>
        <v>0</v>
      </c>
      <c r="AE30" s="2853">
        <f t="shared" si="2"/>
        <v>0</v>
      </c>
      <c r="AF30" s="2853">
        <f t="shared" si="3"/>
        <v>9</v>
      </c>
      <c r="AG30" s="2854"/>
      <c r="AH30" s="2854"/>
      <c r="AI30" s="2746"/>
    </row>
    <row r="31" spans="1:35" ht="27.75" customHeight="1">
      <c r="A31" s="2851">
        <v>20</v>
      </c>
      <c r="B31" s="2812" t="s">
        <v>2183</v>
      </c>
      <c r="C31" s="2852"/>
      <c r="D31" s="3364" t="s">
        <v>451</v>
      </c>
      <c r="E31" s="3364"/>
      <c r="F31" s="2851"/>
      <c r="G31" s="2851"/>
      <c r="H31" s="2851"/>
      <c r="I31" s="2851"/>
      <c r="J31" s="2851" t="s">
        <v>29</v>
      </c>
      <c r="K31" s="2851" t="s">
        <v>29</v>
      </c>
      <c r="L31" s="2851" t="s">
        <v>29</v>
      </c>
      <c r="M31" s="2851" t="s">
        <v>29</v>
      </c>
      <c r="N31" s="2851" t="s">
        <v>29</v>
      </c>
      <c r="O31" s="2851" t="s">
        <v>29</v>
      </c>
      <c r="P31" s="2851" t="s">
        <v>29</v>
      </c>
      <c r="Q31" s="2851" t="s">
        <v>29</v>
      </c>
      <c r="R31" s="2851" t="s">
        <v>29</v>
      </c>
      <c r="S31" s="2851"/>
      <c r="T31" s="2851"/>
      <c r="U31" s="2851"/>
      <c r="V31" s="2851"/>
      <c r="W31" s="2851"/>
      <c r="X31" s="2851"/>
      <c r="Y31" s="2851"/>
      <c r="Z31" s="2851"/>
      <c r="AA31" s="2851"/>
      <c r="AB31" s="2851"/>
      <c r="AC31" s="2853">
        <f t="shared" si="0"/>
        <v>9</v>
      </c>
      <c r="AD31" s="2853">
        <f t="shared" si="1"/>
        <v>0</v>
      </c>
      <c r="AE31" s="2853">
        <f t="shared" si="2"/>
        <v>0</v>
      </c>
      <c r="AF31" s="2853">
        <f t="shared" si="3"/>
        <v>9</v>
      </c>
      <c r="AG31" s="2854"/>
      <c r="AH31" s="2854"/>
      <c r="AI31" s="2746"/>
    </row>
    <row r="32" spans="1:35" ht="27.75" customHeight="1">
      <c r="A32" s="2851">
        <v>21</v>
      </c>
      <c r="B32" s="2812" t="s">
        <v>1236</v>
      </c>
      <c r="C32" s="2852"/>
      <c r="D32" s="3364" t="s">
        <v>451</v>
      </c>
      <c r="E32" s="3364"/>
      <c r="F32" s="2851"/>
      <c r="G32" s="2851"/>
      <c r="H32" s="2851"/>
      <c r="I32" s="2851"/>
      <c r="J32" s="2851" t="s">
        <v>29</v>
      </c>
      <c r="K32" s="2851" t="s">
        <v>29</v>
      </c>
      <c r="L32" s="2851" t="s">
        <v>29</v>
      </c>
      <c r="M32" s="2851" t="s">
        <v>29</v>
      </c>
      <c r="N32" s="2851"/>
      <c r="O32" s="2851" t="s">
        <v>29</v>
      </c>
      <c r="P32" s="2851" t="s">
        <v>29</v>
      </c>
      <c r="Q32" s="2851" t="s">
        <v>29</v>
      </c>
      <c r="R32" s="2851"/>
      <c r="S32" s="2851" t="s">
        <v>29</v>
      </c>
      <c r="T32" s="2851"/>
      <c r="U32" s="2851"/>
      <c r="V32" s="2851"/>
      <c r="W32" s="2851"/>
      <c r="X32" s="2851"/>
      <c r="Y32" s="2851"/>
      <c r="Z32" s="2851"/>
      <c r="AA32" s="2851"/>
      <c r="AB32" s="2851"/>
      <c r="AC32" s="2853">
        <f t="shared" si="0"/>
        <v>8</v>
      </c>
      <c r="AD32" s="2853">
        <f t="shared" si="1"/>
        <v>0</v>
      </c>
      <c r="AE32" s="2853">
        <f t="shared" si="2"/>
        <v>0</v>
      </c>
      <c r="AF32" s="2853">
        <f t="shared" si="3"/>
        <v>8</v>
      </c>
      <c r="AG32" s="2854"/>
      <c r="AH32" s="2854"/>
      <c r="AI32" s="2746"/>
    </row>
    <row r="33" spans="1:42" ht="27.75" customHeight="1">
      <c r="A33" s="2851">
        <v>22</v>
      </c>
      <c r="B33" s="2812" t="s">
        <v>2184</v>
      </c>
      <c r="C33" s="2852"/>
      <c r="D33" s="3364" t="s">
        <v>451</v>
      </c>
      <c r="E33" s="3364"/>
      <c r="F33" s="2851"/>
      <c r="G33" s="2851"/>
      <c r="H33" s="2851"/>
      <c r="I33" s="2851"/>
      <c r="J33" s="2851" t="s">
        <v>29</v>
      </c>
      <c r="K33" s="2851" t="s">
        <v>29</v>
      </c>
      <c r="L33" s="2851" t="s">
        <v>29</v>
      </c>
      <c r="M33" s="2851" t="s">
        <v>29</v>
      </c>
      <c r="N33" s="2851" t="s">
        <v>29</v>
      </c>
      <c r="O33" s="2851" t="s">
        <v>29</v>
      </c>
      <c r="P33" s="2851" t="s">
        <v>29</v>
      </c>
      <c r="Q33" s="2851" t="s">
        <v>29</v>
      </c>
      <c r="R33" s="2851" t="s">
        <v>29</v>
      </c>
      <c r="S33" s="2851"/>
      <c r="T33" s="2851"/>
      <c r="U33" s="2851"/>
      <c r="V33" s="2851"/>
      <c r="W33" s="2851"/>
      <c r="X33" s="2851"/>
      <c r="Y33" s="2851"/>
      <c r="Z33" s="2851"/>
      <c r="AA33" s="2851"/>
      <c r="AB33" s="2851"/>
      <c r="AC33" s="2853">
        <f t="shared" si="0"/>
        <v>9</v>
      </c>
      <c r="AD33" s="2853">
        <f t="shared" si="1"/>
        <v>0</v>
      </c>
      <c r="AE33" s="2853">
        <f t="shared" si="2"/>
        <v>0</v>
      </c>
      <c r="AF33" s="2853">
        <f t="shared" si="3"/>
        <v>9</v>
      </c>
      <c r="AG33" s="2854"/>
      <c r="AH33" s="2854"/>
      <c r="AI33" s="2746"/>
    </row>
    <row r="34" spans="1:42" ht="27.75" customHeight="1">
      <c r="A34" s="2851">
        <v>23</v>
      </c>
      <c r="B34" s="2812" t="s">
        <v>2185</v>
      </c>
      <c r="C34" s="2852"/>
      <c r="D34" s="3364" t="s">
        <v>451</v>
      </c>
      <c r="E34" s="3364"/>
      <c r="F34" s="2851"/>
      <c r="G34" s="2851"/>
      <c r="H34" s="2851"/>
      <c r="I34" s="2851"/>
      <c r="J34" s="2851" t="s">
        <v>29</v>
      </c>
      <c r="K34" s="2851"/>
      <c r="L34" s="2851" t="s">
        <v>29</v>
      </c>
      <c r="M34" s="2851" t="s">
        <v>29</v>
      </c>
      <c r="N34" s="2851"/>
      <c r="O34" s="2851"/>
      <c r="P34" s="2851" t="s">
        <v>29</v>
      </c>
      <c r="Q34" s="2851"/>
      <c r="R34" s="2851" t="s">
        <v>29</v>
      </c>
      <c r="S34" s="2851" t="s">
        <v>29</v>
      </c>
      <c r="T34" s="2851" t="s">
        <v>29</v>
      </c>
      <c r="U34" s="2851"/>
      <c r="V34" s="2851"/>
      <c r="W34" s="2851"/>
      <c r="X34" s="2851"/>
      <c r="Y34" s="2851"/>
      <c r="Z34" s="2851"/>
      <c r="AA34" s="2851"/>
      <c r="AB34" s="2851"/>
      <c r="AC34" s="2853">
        <f t="shared" si="0"/>
        <v>7</v>
      </c>
      <c r="AD34" s="2853">
        <f t="shared" si="1"/>
        <v>0</v>
      </c>
      <c r="AE34" s="2853">
        <f t="shared" si="2"/>
        <v>0</v>
      </c>
      <c r="AF34" s="2853">
        <f t="shared" si="3"/>
        <v>7</v>
      </c>
      <c r="AG34" s="2854"/>
      <c r="AH34" s="2854"/>
      <c r="AI34" s="2746"/>
    </row>
    <row r="35" spans="1:42" ht="27.75" customHeight="1">
      <c r="A35" s="2851">
        <v>24</v>
      </c>
      <c r="B35" s="2812" t="s">
        <v>2186</v>
      </c>
      <c r="C35" s="2852"/>
      <c r="D35" s="3364" t="s">
        <v>451</v>
      </c>
      <c r="E35" s="3364"/>
      <c r="F35" s="2851"/>
      <c r="G35" s="2851"/>
      <c r="H35" s="2851"/>
      <c r="I35" s="2851"/>
      <c r="J35" s="2851" t="s">
        <v>29</v>
      </c>
      <c r="K35" s="2851" t="s">
        <v>29</v>
      </c>
      <c r="L35" s="2851" t="s">
        <v>29</v>
      </c>
      <c r="M35" s="2851" t="s">
        <v>29</v>
      </c>
      <c r="N35" s="2851" t="s">
        <v>29</v>
      </c>
      <c r="O35" s="2851"/>
      <c r="P35" s="2851" t="s">
        <v>29</v>
      </c>
      <c r="Q35" s="2851" t="s">
        <v>29</v>
      </c>
      <c r="R35" s="2851" t="s">
        <v>29</v>
      </c>
      <c r="S35" s="2851"/>
      <c r="T35" s="2851"/>
      <c r="U35" s="2851"/>
      <c r="V35" s="2851"/>
      <c r="W35" s="2851"/>
      <c r="X35" s="2851"/>
      <c r="Y35" s="2851"/>
      <c r="Z35" s="2851"/>
      <c r="AA35" s="2851"/>
      <c r="AB35" s="2851"/>
      <c r="AC35" s="2853">
        <f t="shared" si="0"/>
        <v>8</v>
      </c>
      <c r="AD35" s="2853">
        <f t="shared" si="1"/>
        <v>0</v>
      </c>
      <c r="AE35" s="2853">
        <f t="shared" si="2"/>
        <v>0</v>
      </c>
      <c r="AF35" s="2853">
        <f t="shared" si="3"/>
        <v>8</v>
      </c>
      <c r="AG35" s="2854"/>
      <c r="AH35" s="2854"/>
      <c r="AI35" s="2746"/>
    </row>
    <row r="36" spans="1:42" ht="27.75" customHeight="1">
      <c r="A36" s="2851">
        <v>25</v>
      </c>
      <c r="B36" s="2812" t="s">
        <v>2187</v>
      </c>
      <c r="C36" s="2852"/>
      <c r="D36" s="3364" t="s">
        <v>451</v>
      </c>
      <c r="E36" s="3364"/>
      <c r="F36" s="2851"/>
      <c r="G36" s="2851"/>
      <c r="H36" s="2851"/>
      <c r="I36" s="2851"/>
      <c r="J36" s="2851" t="s">
        <v>29</v>
      </c>
      <c r="K36" s="2851" t="s">
        <v>29</v>
      </c>
      <c r="L36" s="2851" t="s">
        <v>29</v>
      </c>
      <c r="M36" s="2851" t="s">
        <v>29</v>
      </c>
      <c r="N36" s="2851" t="s">
        <v>29</v>
      </c>
      <c r="O36" s="2851"/>
      <c r="P36" s="2851" t="s">
        <v>29</v>
      </c>
      <c r="Q36" s="2851" t="s">
        <v>29</v>
      </c>
      <c r="R36" s="2851" t="s">
        <v>29</v>
      </c>
      <c r="S36" s="2851" t="s">
        <v>29</v>
      </c>
      <c r="T36" s="2851"/>
      <c r="U36" s="2851"/>
      <c r="V36" s="2851"/>
      <c r="W36" s="2851"/>
      <c r="X36" s="2851"/>
      <c r="Y36" s="2851"/>
      <c r="Z36" s="2851"/>
      <c r="AA36" s="2851"/>
      <c r="AB36" s="2851"/>
      <c r="AC36" s="2853">
        <f t="shared" si="0"/>
        <v>9</v>
      </c>
      <c r="AD36" s="2853">
        <f t="shared" si="1"/>
        <v>0</v>
      </c>
      <c r="AE36" s="2853">
        <f t="shared" si="2"/>
        <v>0</v>
      </c>
      <c r="AF36" s="2853">
        <f t="shared" si="3"/>
        <v>9</v>
      </c>
      <c r="AG36" s="2854" t="e">
        <f>+VLOOKUP(C36,[1]Sheet1!$D$9:$E$122,2,0)</f>
        <v>#N/A</v>
      </c>
      <c r="AH36" s="2854" t="e">
        <f>+IF(AG36=B36,"0","1")</f>
        <v>#N/A</v>
      </c>
      <c r="AI36" s="2746"/>
    </row>
    <row r="37" spans="1:42" ht="27.75" customHeight="1">
      <c r="A37" s="2851">
        <v>26</v>
      </c>
      <c r="B37" s="2812" t="s">
        <v>1525</v>
      </c>
      <c r="C37" s="2852"/>
      <c r="D37" s="3364" t="s">
        <v>451</v>
      </c>
      <c r="E37" s="3364"/>
      <c r="F37" s="2851"/>
      <c r="G37" s="2851"/>
      <c r="H37" s="2851"/>
      <c r="I37" s="2851"/>
      <c r="J37" s="2851" t="s">
        <v>29</v>
      </c>
      <c r="K37" s="2851" t="s">
        <v>29</v>
      </c>
      <c r="L37" s="2851" t="s">
        <v>29</v>
      </c>
      <c r="M37" s="2851"/>
      <c r="N37" s="2851" t="s">
        <v>29</v>
      </c>
      <c r="O37" s="2851" t="s">
        <v>29</v>
      </c>
      <c r="P37" s="2851" t="s">
        <v>29</v>
      </c>
      <c r="Q37" s="2851" t="s">
        <v>29</v>
      </c>
      <c r="R37" s="2851" t="s">
        <v>29</v>
      </c>
      <c r="S37" s="2851" t="s">
        <v>29</v>
      </c>
      <c r="T37" s="2851" t="s">
        <v>29</v>
      </c>
      <c r="U37" s="2851"/>
      <c r="V37" s="2851"/>
      <c r="W37" s="2851"/>
      <c r="X37" s="2851"/>
      <c r="Y37" s="2851"/>
      <c r="Z37" s="2851"/>
      <c r="AA37" s="2851"/>
      <c r="AB37" s="2851"/>
      <c r="AC37" s="2853">
        <f t="shared" si="0"/>
        <v>10</v>
      </c>
      <c r="AD37" s="2853">
        <f t="shared" si="1"/>
        <v>0</v>
      </c>
      <c r="AE37" s="2853">
        <f t="shared" si="2"/>
        <v>0</v>
      </c>
      <c r="AF37" s="2853">
        <f t="shared" si="3"/>
        <v>10</v>
      </c>
      <c r="AG37" s="2854"/>
      <c r="AH37" s="2854"/>
      <c r="AI37" s="2746"/>
    </row>
    <row r="38" spans="1:42" ht="27.75" customHeight="1">
      <c r="A38" s="2851">
        <v>27</v>
      </c>
      <c r="B38" s="2812" t="s">
        <v>2188</v>
      </c>
      <c r="C38" s="2852"/>
      <c r="D38" s="3364" t="s">
        <v>451</v>
      </c>
      <c r="E38" s="3364"/>
      <c r="F38" s="2851"/>
      <c r="G38" s="2851"/>
      <c r="H38" s="2851"/>
      <c r="I38" s="2851"/>
      <c r="J38" s="2851" t="s">
        <v>29</v>
      </c>
      <c r="K38" s="2851" t="s">
        <v>29</v>
      </c>
      <c r="L38" s="2851" t="s">
        <v>29</v>
      </c>
      <c r="M38" s="2851" t="s">
        <v>29</v>
      </c>
      <c r="N38" s="2851"/>
      <c r="O38" s="2851"/>
      <c r="P38" s="2851" t="s">
        <v>29</v>
      </c>
      <c r="Q38" s="2851" t="s">
        <v>29</v>
      </c>
      <c r="R38" s="2851"/>
      <c r="S38" s="2851" t="s">
        <v>29</v>
      </c>
      <c r="T38" s="2851" t="s">
        <v>29</v>
      </c>
      <c r="U38" s="2851"/>
      <c r="V38" s="2851"/>
      <c r="W38" s="2851"/>
      <c r="X38" s="2851"/>
      <c r="Y38" s="2851"/>
      <c r="Z38" s="2851"/>
      <c r="AA38" s="2851"/>
      <c r="AB38" s="2851"/>
      <c r="AC38" s="2853">
        <f t="shared" si="0"/>
        <v>8</v>
      </c>
      <c r="AD38" s="2853">
        <f t="shared" si="1"/>
        <v>0</v>
      </c>
      <c r="AE38" s="2853">
        <f t="shared" si="2"/>
        <v>0</v>
      </c>
      <c r="AF38" s="2853">
        <f t="shared" si="3"/>
        <v>8</v>
      </c>
      <c r="AG38" s="2854"/>
      <c r="AH38" s="2854"/>
      <c r="AI38" s="2746"/>
    </row>
    <row r="39" spans="1:42" ht="27.75" customHeight="1">
      <c r="A39" s="2851">
        <v>28</v>
      </c>
      <c r="B39" s="2812" t="s">
        <v>2189</v>
      </c>
      <c r="C39" s="2852"/>
      <c r="D39" s="3364" t="s">
        <v>451</v>
      </c>
      <c r="E39" s="3364"/>
      <c r="F39" s="2851"/>
      <c r="G39" s="2851"/>
      <c r="H39" s="2851"/>
      <c r="I39" s="2851"/>
      <c r="J39" s="2851" t="s">
        <v>29</v>
      </c>
      <c r="K39" s="2851" t="s">
        <v>29</v>
      </c>
      <c r="L39" s="2851" t="s">
        <v>29</v>
      </c>
      <c r="M39" s="2851" t="s">
        <v>29</v>
      </c>
      <c r="N39" s="2851" t="s">
        <v>29</v>
      </c>
      <c r="O39" s="2851"/>
      <c r="P39" s="2851" t="s">
        <v>29</v>
      </c>
      <c r="Q39" s="2851" t="s">
        <v>29</v>
      </c>
      <c r="R39" s="2851" t="s">
        <v>29</v>
      </c>
      <c r="S39" s="2851"/>
      <c r="T39" s="2851"/>
      <c r="U39" s="2851"/>
      <c r="V39" s="2851"/>
      <c r="W39" s="2851"/>
      <c r="X39" s="2851"/>
      <c r="Y39" s="2851"/>
      <c r="Z39" s="2851"/>
      <c r="AA39" s="2851"/>
      <c r="AB39" s="2851"/>
      <c r="AC39" s="2853">
        <f t="shared" si="0"/>
        <v>8</v>
      </c>
      <c r="AD39" s="2853">
        <f t="shared" si="1"/>
        <v>0</v>
      </c>
      <c r="AE39" s="2853">
        <f t="shared" si="2"/>
        <v>0</v>
      </c>
      <c r="AF39" s="2853">
        <f t="shared" si="3"/>
        <v>8</v>
      </c>
      <c r="AG39" s="2854"/>
      <c r="AH39" s="2854"/>
      <c r="AI39" s="2746"/>
    </row>
    <row r="40" spans="1:42" ht="27.75" customHeight="1">
      <c r="A40" s="2851">
        <v>29</v>
      </c>
      <c r="B40" s="2812" t="s">
        <v>1507</v>
      </c>
      <c r="C40" s="2852"/>
      <c r="D40" s="3364" t="s">
        <v>451</v>
      </c>
      <c r="E40" s="3364"/>
      <c r="F40" s="2851"/>
      <c r="G40" s="2851"/>
      <c r="H40" s="2851"/>
      <c r="I40" s="2851"/>
      <c r="J40" s="2851" t="s">
        <v>29</v>
      </c>
      <c r="K40" s="2851" t="s">
        <v>29</v>
      </c>
      <c r="L40" s="2851" t="s">
        <v>29</v>
      </c>
      <c r="M40" s="2851" t="s">
        <v>29</v>
      </c>
      <c r="N40" s="2851" t="s">
        <v>29</v>
      </c>
      <c r="O40" s="2851"/>
      <c r="P40" s="2851" t="s">
        <v>29</v>
      </c>
      <c r="Q40" s="2851" t="s">
        <v>29</v>
      </c>
      <c r="R40" s="2851" t="s">
        <v>29</v>
      </c>
      <c r="S40" s="2851"/>
      <c r="T40" s="2851" t="s">
        <v>29</v>
      </c>
      <c r="U40" s="2851"/>
      <c r="V40" s="2851"/>
      <c r="W40" s="2851"/>
      <c r="X40" s="2851"/>
      <c r="Y40" s="2851"/>
      <c r="Z40" s="2851"/>
      <c r="AA40" s="2851"/>
      <c r="AB40" s="2851"/>
      <c r="AC40" s="2853">
        <f t="shared" si="0"/>
        <v>9</v>
      </c>
      <c r="AD40" s="2853">
        <f t="shared" si="1"/>
        <v>0</v>
      </c>
      <c r="AE40" s="2853">
        <f t="shared" si="2"/>
        <v>0</v>
      </c>
      <c r="AF40" s="2853">
        <f t="shared" si="3"/>
        <v>9</v>
      </c>
      <c r="AG40" s="2854"/>
      <c r="AH40" s="2854"/>
      <c r="AI40" s="2746"/>
    </row>
    <row r="41" spans="1:42" ht="27.75" customHeight="1">
      <c r="A41" s="2851">
        <v>30</v>
      </c>
      <c r="B41" s="2812" t="s">
        <v>2190</v>
      </c>
      <c r="C41" s="2852"/>
      <c r="D41" s="3364" t="s">
        <v>451</v>
      </c>
      <c r="E41" s="3364"/>
      <c r="F41" s="2851"/>
      <c r="G41" s="2851"/>
      <c r="H41" s="2851"/>
      <c r="I41" s="2851"/>
      <c r="J41" s="2851" t="s">
        <v>29</v>
      </c>
      <c r="K41" s="2851" t="s">
        <v>29</v>
      </c>
      <c r="L41" s="2851" t="s">
        <v>29</v>
      </c>
      <c r="M41" s="2851" t="s">
        <v>29</v>
      </c>
      <c r="N41" s="2851" t="s">
        <v>29</v>
      </c>
      <c r="O41" s="2851" t="s">
        <v>29</v>
      </c>
      <c r="P41" s="2851" t="s">
        <v>29</v>
      </c>
      <c r="Q41" s="2851" t="s">
        <v>29</v>
      </c>
      <c r="R41" s="2851" t="s">
        <v>29</v>
      </c>
      <c r="S41" s="2851"/>
      <c r="T41" s="2851" t="s">
        <v>29</v>
      </c>
      <c r="U41" s="2851"/>
      <c r="V41" s="2851"/>
      <c r="W41" s="2851"/>
      <c r="X41" s="2851"/>
      <c r="Y41" s="2851"/>
      <c r="Z41" s="2851"/>
      <c r="AA41" s="2851"/>
      <c r="AB41" s="2851"/>
      <c r="AC41" s="2853">
        <f t="shared" si="0"/>
        <v>10</v>
      </c>
      <c r="AD41" s="2853"/>
      <c r="AE41" s="2853"/>
      <c r="AF41" s="2853">
        <f t="shared" si="3"/>
        <v>10</v>
      </c>
      <c r="AG41" s="2854"/>
      <c r="AH41" s="2854"/>
      <c r="AI41" s="2746"/>
    </row>
    <row r="42" spans="1:42" ht="27.75" customHeight="1">
      <c r="A42" s="2851">
        <v>31</v>
      </c>
      <c r="B42" s="2812" t="s">
        <v>2191</v>
      </c>
      <c r="C42" s="2852"/>
      <c r="D42" s="3364" t="s">
        <v>451</v>
      </c>
      <c r="E42" s="3364"/>
      <c r="F42" s="2851"/>
      <c r="G42" s="2851"/>
      <c r="H42" s="2851"/>
      <c r="I42" s="2851"/>
      <c r="J42" s="2851" t="s">
        <v>29</v>
      </c>
      <c r="K42" s="2851" t="s">
        <v>29</v>
      </c>
      <c r="L42" s="2851" t="s">
        <v>29</v>
      </c>
      <c r="M42" s="2851" t="s">
        <v>29</v>
      </c>
      <c r="N42" s="2851"/>
      <c r="O42" s="2851" t="s">
        <v>29</v>
      </c>
      <c r="P42" s="2851" t="s">
        <v>29</v>
      </c>
      <c r="Q42" s="2851" t="s">
        <v>29</v>
      </c>
      <c r="R42" s="2851" t="s">
        <v>29</v>
      </c>
      <c r="S42" s="2851" t="s">
        <v>29</v>
      </c>
      <c r="T42" s="2851" t="s">
        <v>29</v>
      </c>
      <c r="U42" s="2851"/>
      <c r="V42" s="2851"/>
      <c r="W42" s="2851"/>
      <c r="X42" s="2851"/>
      <c r="Y42" s="2851"/>
      <c r="Z42" s="2851"/>
      <c r="AA42" s="2851"/>
      <c r="AB42" s="2851"/>
      <c r="AC42" s="2853">
        <f t="shared" si="0"/>
        <v>10</v>
      </c>
      <c r="AD42" s="2853"/>
      <c r="AE42" s="2853"/>
      <c r="AF42" s="2853">
        <f t="shared" si="3"/>
        <v>10</v>
      </c>
      <c r="AG42" s="2854"/>
      <c r="AH42" s="2854"/>
      <c r="AI42" s="2746"/>
    </row>
    <row r="43" spans="1:42" ht="27.75" customHeight="1">
      <c r="A43" s="2851">
        <v>32</v>
      </c>
      <c r="B43" s="2812" t="s">
        <v>1923</v>
      </c>
      <c r="C43" s="2852"/>
      <c r="D43" s="3364" t="s">
        <v>451</v>
      </c>
      <c r="E43" s="3364"/>
      <c r="F43" s="2851"/>
      <c r="G43" s="2851"/>
      <c r="H43" s="2851"/>
      <c r="I43" s="2851"/>
      <c r="J43" s="2851" t="s">
        <v>29</v>
      </c>
      <c r="K43" s="2851"/>
      <c r="L43" s="2851" t="s">
        <v>29</v>
      </c>
      <c r="M43" s="2851"/>
      <c r="N43" s="2851"/>
      <c r="O43" s="2851" t="s">
        <v>29</v>
      </c>
      <c r="P43" s="2851" t="s">
        <v>29</v>
      </c>
      <c r="Q43" s="2851" t="s">
        <v>29</v>
      </c>
      <c r="R43" s="2851" t="s">
        <v>29</v>
      </c>
      <c r="S43" s="2851" t="s">
        <v>29</v>
      </c>
      <c r="T43" s="2851" t="s">
        <v>29</v>
      </c>
      <c r="U43" s="2851"/>
      <c r="V43" s="2851"/>
      <c r="W43" s="2851"/>
      <c r="X43" s="2851"/>
      <c r="Y43" s="2851"/>
      <c r="Z43" s="2851"/>
      <c r="AA43" s="2851"/>
      <c r="AB43" s="2851"/>
      <c r="AC43" s="2853">
        <f t="shared" si="0"/>
        <v>8</v>
      </c>
      <c r="AD43" s="2853"/>
      <c r="AE43" s="2853"/>
      <c r="AF43" s="2853">
        <f t="shared" si="3"/>
        <v>8</v>
      </c>
      <c r="AG43" s="2854"/>
      <c r="AH43" s="2854"/>
      <c r="AI43" s="2746"/>
    </row>
    <row r="44" spans="1:42" ht="27.75" customHeight="1">
      <c r="A44" s="2851">
        <v>33</v>
      </c>
      <c r="B44" s="2812" t="s">
        <v>2192</v>
      </c>
      <c r="C44" s="2852"/>
      <c r="D44" s="3364" t="s">
        <v>451</v>
      </c>
      <c r="E44" s="3364"/>
      <c r="F44" s="2851"/>
      <c r="G44" s="2851"/>
      <c r="H44" s="2851"/>
      <c r="I44" s="2851"/>
      <c r="J44" s="2851" t="s">
        <v>29</v>
      </c>
      <c r="K44" s="2851" t="s">
        <v>29</v>
      </c>
      <c r="L44" s="2851"/>
      <c r="M44" s="2851" t="s">
        <v>29</v>
      </c>
      <c r="N44" s="2851"/>
      <c r="O44" s="2851" t="s">
        <v>29</v>
      </c>
      <c r="P44" s="2851" t="s">
        <v>29</v>
      </c>
      <c r="Q44" s="2851" t="s">
        <v>29</v>
      </c>
      <c r="R44" s="2851" t="s">
        <v>29</v>
      </c>
      <c r="S44" s="2851" t="s">
        <v>29</v>
      </c>
      <c r="T44" s="2851"/>
      <c r="U44" s="2851"/>
      <c r="V44" s="2851"/>
      <c r="W44" s="2851"/>
      <c r="X44" s="2851"/>
      <c r="Y44" s="2851"/>
      <c r="Z44" s="2851"/>
      <c r="AA44" s="2851"/>
      <c r="AB44" s="2851"/>
      <c r="AC44" s="2853">
        <f t="shared" si="0"/>
        <v>8</v>
      </c>
      <c r="AD44" s="2853">
        <f>+COUNTIF(F44:AB44,"D")</f>
        <v>0</v>
      </c>
      <c r="AE44" s="2853">
        <f>+COUNTIF(F44:AB44,"DCN")</f>
        <v>0</v>
      </c>
      <c r="AF44" s="2853">
        <f t="shared" si="3"/>
        <v>8</v>
      </c>
      <c r="AG44" s="2854"/>
      <c r="AH44" s="2854"/>
      <c r="AI44" s="2746"/>
    </row>
    <row r="45" spans="1:42" ht="27.75" customHeight="1">
      <c r="A45" s="2851">
        <v>34</v>
      </c>
      <c r="B45" s="2812" t="s">
        <v>2193</v>
      </c>
      <c r="C45" s="2852"/>
      <c r="D45" s="3364" t="s">
        <v>451</v>
      </c>
      <c r="E45" s="3364"/>
      <c r="F45" s="2851"/>
      <c r="G45" s="2851"/>
      <c r="H45" s="2851"/>
      <c r="I45" s="2851"/>
      <c r="J45" s="2851" t="s">
        <v>29</v>
      </c>
      <c r="K45" s="2851" t="s">
        <v>29</v>
      </c>
      <c r="L45" s="2851" t="s">
        <v>29</v>
      </c>
      <c r="M45" s="2851" t="s">
        <v>29</v>
      </c>
      <c r="N45" s="2851" t="s">
        <v>29</v>
      </c>
      <c r="O45" s="2851"/>
      <c r="P45" s="2851" t="s">
        <v>29</v>
      </c>
      <c r="Q45" s="2851" t="s">
        <v>29</v>
      </c>
      <c r="R45" s="2851" t="s">
        <v>29</v>
      </c>
      <c r="S45" s="2851" t="s">
        <v>29</v>
      </c>
      <c r="T45" s="2851" t="s">
        <v>29</v>
      </c>
      <c r="U45" s="2851"/>
      <c r="V45" s="2851"/>
      <c r="W45" s="2851"/>
      <c r="X45" s="2851"/>
      <c r="Y45" s="2851"/>
      <c r="Z45" s="2851"/>
      <c r="AA45" s="2851"/>
      <c r="AB45" s="2851"/>
      <c r="AC45" s="2853">
        <f t="shared" si="0"/>
        <v>10</v>
      </c>
      <c r="AD45" s="2853">
        <f>+COUNTIF(F45:AB45,"D")</f>
        <v>0</v>
      </c>
      <c r="AE45" s="2853">
        <f>+COUNTIF(F45:AB45,"DCN")</f>
        <v>0</v>
      </c>
      <c r="AF45" s="2853">
        <f t="shared" si="3"/>
        <v>10</v>
      </c>
      <c r="AG45" s="2854"/>
      <c r="AH45" s="2854"/>
      <c r="AI45" s="2746"/>
    </row>
    <row r="46" spans="1:42" ht="27.75" customHeight="1">
      <c r="A46" s="3905" t="s">
        <v>1883</v>
      </c>
      <c r="B46" s="3905"/>
      <c r="C46" s="3905"/>
      <c r="D46" s="3905"/>
      <c r="E46" s="3764"/>
      <c r="F46" s="3182">
        <f t="shared" ref="F46:AB46" si="5">COUNTIF(F12:F45,"X")+COUNTIF(F12:F45,"cn")+COUNTIF(F12:F45,"D")+COUNTIF(F12:F45,"DCN")</f>
        <v>0</v>
      </c>
      <c r="G46" s="3182">
        <f t="shared" si="5"/>
        <v>0</v>
      </c>
      <c r="H46" s="3182">
        <f t="shared" si="5"/>
        <v>0</v>
      </c>
      <c r="I46" s="3182">
        <f t="shared" si="5"/>
        <v>0</v>
      </c>
      <c r="J46" s="3182">
        <f t="shared" si="5"/>
        <v>34</v>
      </c>
      <c r="K46" s="3182">
        <f t="shared" si="5"/>
        <v>28</v>
      </c>
      <c r="L46" s="3182">
        <f t="shared" si="5"/>
        <v>32</v>
      </c>
      <c r="M46" s="3182">
        <f t="shared" si="5"/>
        <v>31</v>
      </c>
      <c r="N46" s="3182">
        <f t="shared" si="5"/>
        <v>23</v>
      </c>
      <c r="O46" s="3182">
        <f t="shared" si="5"/>
        <v>25</v>
      </c>
      <c r="P46" s="3182">
        <f t="shared" si="5"/>
        <v>32</v>
      </c>
      <c r="Q46" s="3182">
        <f t="shared" si="5"/>
        <v>31</v>
      </c>
      <c r="R46" s="3182">
        <f t="shared" si="5"/>
        <v>31</v>
      </c>
      <c r="S46" s="3182">
        <f t="shared" si="5"/>
        <v>16</v>
      </c>
      <c r="T46" s="3182">
        <f t="shared" si="5"/>
        <v>15</v>
      </c>
      <c r="U46" s="3182"/>
      <c r="V46" s="3182"/>
      <c r="W46" s="3182"/>
      <c r="X46" s="3182"/>
      <c r="Y46" s="3182"/>
      <c r="Z46" s="3182"/>
      <c r="AA46" s="3182"/>
      <c r="AB46" s="3182">
        <f t="shared" si="5"/>
        <v>0</v>
      </c>
      <c r="AC46" s="3183">
        <f>SUM(AC12:AC45)</f>
        <v>298</v>
      </c>
      <c r="AD46" s="3183">
        <f>SUM(AD12:AD45)</f>
        <v>0</v>
      </c>
      <c r="AE46" s="3183">
        <f>SUM(AE12:AE45)</f>
        <v>0</v>
      </c>
      <c r="AF46" s="2855">
        <f>SUM(AF12:AF45)</f>
        <v>298</v>
      </c>
      <c r="AG46" s="2856"/>
      <c r="AH46" s="2856"/>
      <c r="AI46" s="2856"/>
      <c r="AJ46" s="2857">
        <f>+AF46+AF98</f>
        <v>595</v>
      </c>
      <c r="AK46" s="2870">
        <f>+AC46+AC98</f>
        <v>595</v>
      </c>
      <c r="AL46" s="2870" t="e">
        <f>+#REF!+#REF!</f>
        <v>#REF!</v>
      </c>
      <c r="AM46" s="2870">
        <f>+AD46+AD98</f>
        <v>0</v>
      </c>
      <c r="AN46" s="2870">
        <f>+AE46+AE98</f>
        <v>0</v>
      </c>
      <c r="AO46" s="2870"/>
      <c r="AP46" s="2870"/>
    </row>
    <row r="47" spans="1:42" ht="27.75" customHeight="1">
      <c r="A47" s="2858">
        <v>1</v>
      </c>
      <c r="B47" s="2859" t="s">
        <v>2195</v>
      </c>
      <c r="C47" s="2860"/>
      <c r="D47" s="3365" t="s">
        <v>451</v>
      </c>
      <c r="E47" s="3365"/>
      <c r="F47" s="2851"/>
      <c r="G47" s="2851"/>
      <c r="H47" s="2851"/>
      <c r="I47" s="2851" t="s">
        <v>29</v>
      </c>
      <c r="J47" s="2851" t="s">
        <v>29</v>
      </c>
      <c r="K47" s="2851" t="s">
        <v>29</v>
      </c>
      <c r="L47" s="2851" t="s">
        <v>29</v>
      </c>
      <c r="M47" s="2851" t="s">
        <v>29</v>
      </c>
      <c r="N47" s="2851" t="s">
        <v>29</v>
      </c>
      <c r="O47" s="2851" t="s">
        <v>29</v>
      </c>
      <c r="P47" s="2851"/>
      <c r="Q47" s="2851"/>
      <c r="R47" s="2851"/>
      <c r="S47" s="2883"/>
      <c r="T47" s="2883"/>
      <c r="U47" s="2883"/>
      <c r="V47" s="2883"/>
      <c r="W47" s="2883"/>
      <c r="X47" s="2883"/>
      <c r="Y47" s="2883"/>
      <c r="Z47" s="2883"/>
      <c r="AA47" s="2883"/>
      <c r="AB47" s="2883"/>
      <c r="AC47" s="2862">
        <f t="shared" ref="AC47:AC85" si="6">+COUNTIF(F47:AB47,"X")</f>
        <v>7</v>
      </c>
      <c r="AD47" s="3501">
        <f t="shared" ref="AD47:AD82" si="7">+COUNTIF(F47:AB47,"D")</f>
        <v>0</v>
      </c>
      <c r="AE47" s="2862">
        <f t="shared" ref="AE47:AE82" si="8">+COUNTIF(F47:AB47,"DCN")</f>
        <v>0</v>
      </c>
      <c r="AF47" s="2862">
        <f t="shared" ref="AF47:AF85" si="9">+SUM(AC47:AE47)</f>
        <v>7</v>
      </c>
      <c r="AG47" s="2863"/>
      <c r="AH47" s="2863"/>
      <c r="AI47" s="2864"/>
    </row>
    <row r="48" spans="1:42" ht="27.75" customHeight="1">
      <c r="A48" s="2851">
        <v>2</v>
      </c>
      <c r="B48" s="2865" t="s">
        <v>2196</v>
      </c>
      <c r="C48" s="2852"/>
      <c r="D48" s="3364" t="s">
        <v>451</v>
      </c>
      <c r="E48" s="3364"/>
      <c r="F48" s="2851"/>
      <c r="G48" s="2851"/>
      <c r="H48" s="2851"/>
      <c r="I48" s="2851" t="s">
        <v>29</v>
      </c>
      <c r="J48" s="2851" t="s">
        <v>29</v>
      </c>
      <c r="K48" s="2851" t="s">
        <v>29</v>
      </c>
      <c r="L48" s="2851" t="s">
        <v>29</v>
      </c>
      <c r="M48" s="2851" t="s">
        <v>29</v>
      </c>
      <c r="N48" s="2851" t="s">
        <v>29</v>
      </c>
      <c r="O48" s="2851" t="s">
        <v>29</v>
      </c>
      <c r="P48" s="2851"/>
      <c r="Q48" s="2851"/>
      <c r="R48" s="2851"/>
      <c r="S48" s="2883"/>
      <c r="T48" s="2883"/>
      <c r="U48" s="2883"/>
      <c r="V48" s="2883"/>
      <c r="W48" s="2883"/>
      <c r="X48" s="2883"/>
      <c r="Y48" s="2883"/>
      <c r="Z48" s="2883"/>
      <c r="AA48" s="2883"/>
      <c r="AB48" s="2883"/>
      <c r="AC48" s="2853">
        <f t="shared" si="6"/>
        <v>7</v>
      </c>
      <c r="AD48" s="3060">
        <f t="shared" si="7"/>
        <v>0</v>
      </c>
      <c r="AE48" s="2853">
        <f t="shared" si="8"/>
        <v>0</v>
      </c>
      <c r="AF48" s="2853">
        <f t="shared" si="9"/>
        <v>7</v>
      </c>
      <c r="AG48" s="2854"/>
      <c r="AH48" s="2854"/>
      <c r="AI48" s="2746"/>
    </row>
    <row r="49" spans="1:35" ht="27.75" customHeight="1">
      <c r="A49" s="2858">
        <v>3</v>
      </c>
      <c r="B49" s="2865" t="s">
        <v>2197</v>
      </c>
      <c r="C49" s="2852"/>
      <c r="D49" s="3365" t="s">
        <v>451</v>
      </c>
      <c r="E49" s="3365"/>
      <c r="F49" s="2851"/>
      <c r="G49" s="2851"/>
      <c r="H49" s="2851"/>
      <c r="I49" s="2851" t="s">
        <v>29</v>
      </c>
      <c r="J49" s="2851" t="s">
        <v>29</v>
      </c>
      <c r="K49" s="2851" t="s">
        <v>29</v>
      </c>
      <c r="L49" s="2851" t="s">
        <v>29</v>
      </c>
      <c r="M49" s="2851" t="s">
        <v>29</v>
      </c>
      <c r="N49" s="2851" t="s">
        <v>29</v>
      </c>
      <c r="O49" s="2851" t="s">
        <v>29</v>
      </c>
      <c r="P49" s="2851"/>
      <c r="Q49" s="2851"/>
      <c r="R49" s="2851"/>
      <c r="S49" s="2883"/>
      <c r="T49" s="2883"/>
      <c r="U49" s="2883"/>
      <c r="V49" s="2883"/>
      <c r="W49" s="2883"/>
      <c r="X49" s="2883"/>
      <c r="Y49" s="2883"/>
      <c r="Z49" s="2883"/>
      <c r="AA49" s="2883"/>
      <c r="AB49" s="2883"/>
      <c r="AC49" s="2853">
        <f t="shared" si="6"/>
        <v>7</v>
      </c>
      <c r="AD49" s="3060">
        <f t="shared" si="7"/>
        <v>0</v>
      </c>
      <c r="AE49" s="2853">
        <f t="shared" si="8"/>
        <v>0</v>
      </c>
      <c r="AF49" s="2853">
        <f t="shared" si="9"/>
        <v>7</v>
      </c>
      <c r="AG49" s="2854"/>
      <c r="AH49" s="2854"/>
      <c r="AI49" s="2746"/>
    </row>
    <row r="50" spans="1:35" ht="27.75" customHeight="1">
      <c r="A50" s="2851">
        <v>4</v>
      </c>
      <c r="B50" s="2865" t="s">
        <v>2421</v>
      </c>
      <c r="C50" s="2852"/>
      <c r="D50" s="3364" t="s">
        <v>451</v>
      </c>
      <c r="E50" s="3364"/>
      <c r="F50" s="2851"/>
      <c r="G50" s="2851"/>
      <c r="H50" s="2851"/>
      <c r="I50" s="2851" t="s">
        <v>29</v>
      </c>
      <c r="J50" s="2851" t="s">
        <v>29</v>
      </c>
      <c r="K50" s="2851" t="s">
        <v>29</v>
      </c>
      <c r="L50" s="2851" t="s">
        <v>29</v>
      </c>
      <c r="M50" s="2851" t="s">
        <v>29</v>
      </c>
      <c r="N50" s="2851" t="s">
        <v>29</v>
      </c>
      <c r="O50" s="2851" t="s">
        <v>29</v>
      </c>
      <c r="P50" s="2851"/>
      <c r="Q50" s="2851"/>
      <c r="R50" s="2851"/>
      <c r="S50" s="2883"/>
      <c r="T50" s="2883"/>
      <c r="U50" s="2883"/>
      <c r="V50" s="2883"/>
      <c r="W50" s="2883"/>
      <c r="X50" s="2883"/>
      <c r="Y50" s="2883"/>
      <c r="Z50" s="2883"/>
      <c r="AA50" s="2883"/>
      <c r="AB50" s="2883"/>
      <c r="AC50" s="2853">
        <f t="shared" si="6"/>
        <v>7</v>
      </c>
      <c r="AD50" s="3060">
        <f t="shared" si="7"/>
        <v>0</v>
      </c>
      <c r="AE50" s="2853">
        <f t="shared" si="8"/>
        <v>0</v>
      </c>
      <c r="AF50" s="2853">
        <f t="shared" si="9"/>
        <v>7</v>
      </c>
      <c r="AG50" s="2854"/>
      <c r="AH50" s="2854"/>
      <c r="AI50" s="2746"/>
    </row>
    <row r="51" spans="1:35" ht="27.75" customHeight="1">
      <c r="A51" s="2858">
        <v>5</v>
      </c>
      <c r="B51" s="2865" t="s">
        <v>2208</v>
      </c>
      <c r="C51" s="2852"/>
      <c r="D51" s="3365" t="s">
        <v>451</v>
      </c>
      <c r="E51" s="3365"/>
      <c r="F51" s="2851"/>
      <c r="G51" s="2851"/>
      <c r="H51" s="2851"/>
      <c r="I51" s="2851" t="s">
        <v>29</v>
      </c>
      <c r="J51" s="2851" t="s">
        <v>29</v>
      </c>
      <c r="K51" s="2851" t="s">
        <v>29</v>
      </c>
      <c r="L51" s="2851" t="s">
        <v>29</v>
      </c>
      <c r="M51" s="2851" t="s">
        <v>29</v>
      </c>
      <c r="N51" s="2851" t="s">
        <v>29</v>
      </c>
      <c r="O51" s="2851" t="s">
        <v>29</v>
      </c>
      <c r="P51" s="2851"/>
      <c r="Q51" s="2851"/>
      <c r="R51" s="2851"/>
      <c r="S51" s="2883"/>
      <c r="T51" s="2883"/>
      <c r="U51" s="2883"/>
      <c r="V51" s="2883"/>
      <c r="W51" s="2883"/>
      <c r="X51" s="2883"/>
      <c r="Y51" s="2883"/>
      <c r="Z51" s="2883"/>
      <c r="AA51" s="2883"/>
      <c r="AB51" s="2883"/>
      <c r="AC51" s="2853">
        <f t="shared" si="6"/>
        <v>7</v>
      </c>
      <c r="AD51" s="3060">
        <f t="shared" si="7"/>
        <v>0</v>
      </c>
      <c r="AE51" s="2853">
        <f t="shared" si="8"/>
        <v>0</v>
      </c>
      <c r="AF51" s="2853">
        <f t="shared" si="9"/>
        <v>7</v>
      </c>
      <c r="AG51" s="2854"/>
      <c r="AH51" s="2854"/>
      <c r="AI51" s="2746"/>
    </row>
    <row r="52" spans="1:35" ht="27.75" customHeight="1">
      <c r="A52" s="2851">
        <v>6</v>
      </c>
      <c r="B52" s="2865" t="s">
        <v>2422</v>
      </c>
      <c r="C52" s="2852"/>
      <c r="D52" s="3364" t="s">
        <v>451</v>
      </c>
      <c r="E52" s="3364"/>
      <c r="F52" s="2851"/>
      <c r="G52" s="2851"/>
      <c r="H52" s="2851"/>
      <c r="I52" s="2851" t="s">
        <v>29</v>
      </c>
      <c r="J52" s="2851" t="s">
        <v>29</v>
      </c>
      <c r="K52" s="2851" t="s">
        <v>29</v>
      </c>
      <c r="L52" s="2851" t="s">
        <v>29</v>
      </c>
      <c r="M52" s="2851" t="s">
        <v>29</v>
      </c>
      <c r="N52" s="2851" t="s">
        <v>29</v>
      </c>
      <c r="O52" s="2851" t="s">
        <v>29</v>
      </c>
      <c r="P52" s="2851"/>
      <c r="Q52" s="2851"/>
      <c r="R52" s="2851"/>
      <c r="S52" s="2883"/>
      <c r="T52" s="2883"/>
      <c r="U52" s="2883"/>
      <c r="V52" s="2883"/>
      <c r="W52" s="2883"/>
      <c r="X52" s="2883"/>
      <c r="Y52" s="2883"/>
      <c r="Z52" s="2883"/>
      <c r="AA52" s="2883"/>
      <c r="AB52" s="2883"/>
      <c r="AC52" s="2853">
        <f t="shared" si="6"/>
        <v>7</v>
      </c>
      <c r="AD52" s="3060">
        <f t="shared" si="7"/>
        <v>0</v>
      </c>
      <c r="AE52" s="2853">
        <f t="shared" si="8"/>
        <v>0</v>
      </c>
      <c r="AF52" s="2853">
        <f t="shared" si="9"/>
        <v>7</v>
      </c>
      <c r="AG52" s="2854"/>
      <c r="AH52" s="2854"/>
      <c r="AI52" s="2746"/>
    </row>
    <row r="53" spans="1:35" ht="27.75" customHeight="1">
      <c r="A53" s="2858">
        <v>7</v>
      </c>
      <c r="B53" s="2865" t="s">
        <v>2423</v>
      </c>
      <c r="C53" s="2852"/>
      <c r="D53" s="3365" t="s">
        <v>451</v>
      </c>
      <c r="E53" s="3365"/>
      <c r="F53" s="2851"/>
      <c r="G53" s="2851"/>
      <c r="H53" s="2851"/>
      <c r="I53" s="2851" t="s">
        <v>29</v>
      </c>
      <c r="J53" s="2851" t="s">
        <v>29</v>
      </c>
      <c r="K53" s="2851" t="s">
        <v>29</v>
      </c>
      <c r="L53" s="2851" t="s">
        <v>29</v>
      </c>
      <c r="M53" s="2851" t="s">
        <v>29</v>
      </c>
      <c r="N53" s="2851" t="s">
        <v>29</v>
      </c>
      <c r="O53" s="2851" t="s">
        <v>29</v>
      </c>
      <c r="P53" s="2851"/>
      <c r="Q53" s="2851"/>
      <c r="R53" s="2851"/>
      <c r="S53" s="2883"/>
      <c r="T53" s="2883"/>
      <c r="U53" s="2883"/>
      <c r="V53" s="2883"/>
      <c r="W53" s="2883"/>
      <c r="X53" s="2883"/>
      <c r="Y53" s="2883"/>
      <c r="Z53" s="2883"/>
      <c r="AA53" s="2883"/>
      <c r="AB53" s="2883"/>
      <c r="AC53" s="2853">
        <f t="shared" si="6"/>
        <v>7</v>
      </c>
      <c r="AD53" s="3060">
        <f t="shared" si="7"/>
        <v>0</v>
      </c>
      <c r="AE53" s="2853">
        <f t="shared" si="8"/>
        <v>0</v>
      </c>
      <c r="AF53" s="2853">
        <f t="shared" si="9"/>
        <v>7</v>
      </c>
      <c r="AG53" s="2854"/>
      <c r="AH53" s="2854"/>
      <c r="AI53" s="2746"/>
    </row>
    <row r="54" spans="1:35" ht="27.75" customHeight="1">
      <c r="A54" s="2851">
        <v>8</v>
      </c>
      <c r="B54" s="2865" t="s">
        <v>1189</v>
      </c>
      <c r="C54" s="2852"/>
      <c r="D54" s="3364" t="s">
        <v>451</v>
      </c>
      <c r="E54" s="3364"/>
      <c r="F54" s="2851"/>
      <c r="G54" s="2851"/>
      <c r="H54" s="2851"/>
      <c r="I54" s="2851"/>
      <c r="J54" s="2851"/>
      <c r="K54" s="2851"/>
      <c r="L54" s="2851"/>
      <c r="M54" s="2851" t="s">
        <v>29</v>
      </c>
      <c r="N54" s="2851" t="s">
        <v>29</v>
      </c>
      <c r="O54" s="2851" t="s">
        <v>29</v>
      </c>
      <c r="P54" s="2851"/>
      <c r="Q54" s="2851"/>
      <c r="R54" s="2851"/>
      <c r="S54" s="2883"/>
      <c r="T54" s="2883"/>
      <c r="U54" s="2883"/>
      <c r="V54" s="2883"/>
      <c r="W54" s="2883"/>
      <c r="X54" s="2883"/>
      <c r="Y54" s="2883"/>
      <c r="Z54" s="2883"/>
      <c r="AA54" s="2883"/>
      <c r="AB54" s="2883"/>
      <c r="AC54" s="2853">
        <f t="shared" si="6"/>
        <v>3</v>
      </c>
      <c r="AD54" s="3060">
        <f t="shared" si="7"/>
        <v>0</v>
      </c>
      <c r="AE54" s="2853">
        <f t="shared" si="8"/>
        <v>0</v>
      </c>
      <c r="AF54" s="2853">
        <f t="shared" si="9"/>
        <v>3</v>
      </c>
      <c r="AG54" s="2854"/>
      <c r="AH54" s="2854"/>
      <c r="AI54" s="2746"/>
    </row>
    <row r="55" spans="1:35" ht="27.75" customHeight="1">
      <c r="A55" s="2858">
        <v>9</v>
      </c>
      <c r="B55" s="2865" t="s">
        <v>1908</v>
      </c>
      <c r="C55" s="2852"/>
      <c r="D55" s="3365" t="s">
        <v>451</v>
      </c>
      <c r="E55" s="3365"/>
      <c r="F55" s="2851"/>
      <c r="G55" s="2851"/>
      <c r="H55" s="2851"/>
      <c r="I55" s="2851"/>
      <c r="J55" s="2851"/>
      <c r="K55" s="2851"/>
      <c r="L55" s="2851"/>
      <c r="M55" s="2851" t="s">
        <v>29</v>
      </c>
      <c r="N55" s="2851" t="s">
        <v>29</v>
      </c>
      <c r="O55" s="2851" t="s">
        <v>29</v>
      </c>
      <c r="P55" s="2851"/>
      <c r="Q55" s="2851" t="s">
        <v>29</v>
      </c>
      <c r="R55" s="2851"/>
      <c r="S55" s="2883"/>
      <c r="T55" s="2883"/>
      <c r="U55" s="2883"/>
      <c r="V55" s="2883"/>
      <c r="W55" s="2883"/>
      <c r="X55" s="2883"/>
      <c r="Y55" s="2883"/>
      <c r="Z55" s="2883"/>
      <c r="AA55" s="2883"/>
      <c r="AB55" s="2883"/>
      <c r="AC55" s="2853">
        <f t="shared" si="6"/>
        <v>4</v>
      </c>
      <c r="AD55" s="3060">
        <f t="shared" si="7"/>
        <v>0</v>
      </c>
      <c r="AE55" s="2853">
        <f t="shared" si="8"/>
        <v>0</v>
      </c>
      <c r="AF55" s="2853">
        <f t="shared" si="9"/>
        <v>4</v>
      </c>
      <c r="AG55" s="2854"/>
      <c r="AH55" s="2854"/>
      <c r="AI55" s="2746"/>
    </row>
    <row r="56" spans="1:35" ht="27.75" customHeight="1">
      <c r="A56" s="2851">
        <v>10</v>
      </c>
      <c r="B56" s="2865" t="s">
        <v>1914</v>
      </c>
      <c r="C56" s="2852"/>
      <c r="D56" s="3364" t="s">
        <v>451</v>
      </c>
      <c r="E56" s="3364"/>
      <c r="F56" s="2851"/>
      <c r="G56" s="2851"/>
      <c r="H56" s="2851"/>
      <c r="I56" s="2851"/>
      <c r="J56" s="2851"/>
      <c r="K56" s="2851"/>
      <c r="L56" s="2851"/>
      <c r="M56" s="2851" t="s">
        <v>29</v>
      </c>
      <c r="N56" s="2851" t="s">
        <v>29</v>
      </c>
      <c r="O56" s="2851" t="s">
        <v>29</v>
      </c>
      <c r="P56" s="2851" t="s">
        <v>29</v>
      </c>
      <c r="Q56" s="2851" t="s">
        <v>29</v>
      </c>
      <c r="R56" s="2851"/>
      <c r="S56" s="2883"/>
      <c r="T56" s="2883"/>
      <c r="U56" s="2883"/>
      <c r="V56" s="2883"/>
      <c r="W56" s="2883"/>
      <c r="X56" s="2883"/>
      <c r="Y56" s="2883"/>
      <c r="Z56" s="2883"/>
      <c r="AA56" s="2883"/>
      <c r="AB56" s="2883"/>
      <c r="AC56" s="2853">
        <f t="shared" si="6"/>
        <v>5</v>
      </c>
      <c r="AD56" s="3060">
        <f t="shared" si="7"/>
        <v>0</v>
      </c>
      <c r="AE56" s="2853">
        <f t="shared" si="8"/>
        <v>0</v>
      </c>
      <c r="AF56" s="2853">
        <f t="shared" si="9"/>
        <v>5</v>
      </c>
      <c r="AG56" s="2854"/>
      <c r="AH56" s="2854"/>
      <c r="AI56" s="2746"/>
    </row>
    <row r="57" spans="1:35" ht="27.75" customHeight="1">
      <c r="A57" s="2858">
        <v>11</v>
      </c>
      <c r="B57" s="2865" t="s">
        <v>2424</v>
      </c>
      <c r="C57" s="2852"/>
      <c r="D57" s="3365" t="s">
        <v>451</v>
      </c>
      <c r="E57" s="3365"/>
      <c r="F57" s="2851"/>
      <c r="G57" s="2851"/>
      <c r="H57" s="2851"/>
      <c r="I57" s="2851"/>
      <c r="J57" s="2851"/>
      <c r="K57" s="2851" t="s">
        <v>29</v>
      </c>
      <c r="L57" s="2851" t="s">
        <v>29</v>
      </c>
      <c r="M57" s="2851" t="s">
        <v>29</v>
      </c>
      <c r="N57" s="2851" t="s">
        <v>29</v>
      </c>
      <c r="O57" s="2851" t="s">
        <v>29</v>
      </c>
      <c r="P57" s="2851"/>
      <c r="Q57" s="2851"/>
      <c r="R57" s="2851"/>
      <c r="S57" s="2883"/>
      <c r="T57" s="2883"/>
      <c r="U57" s="2883"/>
      <c r="V57" s="2883"/>
      <c r="W57" s="2883"/>
      <c r="X57" s="2883"/>
      <c r="Y57" s="2883"/>
      <c r="Z57" s="2883"/>
      <c r="AA57" s="2883"/>
      <c r="AB57" s="2883"/>
      <c r="AC57" s="2853">
        <f t="shared" si="6"/>
        <v>5</v>
      </c>
      <c r="AD57" s="3060">
        <f t="shared" si="7"/>
        <v>0</v>
      </c>
      <c r="AE57" s="2853">
        <f t="shared" si="8"/>
        <v>0</v>
      </c>
      <c r="AF57" s="2853">
        <f t="shared" si="9"/>
        <v>5</v>
      </c>
      <c r="AG57" s="2854"/>
      <c r="AH57" s="2854"/>
      <c r="AI57" s="2746"/>
    </row>
    <row r="58" spans="1:35" ht="27.75" customHeight="1">
      <c r="A58" s="2851">
        <v>12</v>
      </c>
      <c r="B58" s="2865" t="s">
        <v>1903</v>
      </c>
      <c r="C58" s="2852"/>
      <c r="D58" s="3364" t="s">
        <v>451</v>
      </c>
      <c r="E58" s="3364"/>
      <c r="F58" s="2851"/>
      <c r="G58" s="2851"/>
      <c r="H58" s="2851"/>
      <c r="I58" s="2851"/>
      <c r="J58" s="2851"/>
      <c r="K58" s="2851"/>
      <c r="L58" s="2851"/>
      <c r="M58" s="2851" t="s">
        <v>29</v>
      </c>
      <c r="N58" s="2851" t="s">
        <v>29</v>
      </c>
      <c r="O58" s="2851" t="s">
        <v>29</v>
      </c>
      <c r="P58" s="2851" t="s">
        <v>29</v>
      </c>
      <c r="Q58" s="2851" t="s">
        <v>29</v>
      </c>
      <c r="R58" s="2851"/>
      <c r="S58" s="2883"/>
      <c r="T58" s="2883"/>
      <c r="U58" s="2883"/>
      <c r="V58" s="2883"/>
      <c r="W58" s="2883"/>
      <c r="X58" s="2883"/>
      <c r="Y58" s="2883"/>
      <c r="Z58" s="2883"/>
      <c r="AA58" s="2883"/>
      <c r="AB58" s="2883"/>
      <c r="AC58" s="2853">
        <f t="shared" si="6"/>
        <v>5</v>
      </c>
      <c r="AD58" s="3060">
        <f t="shared" si="7"/>
        <v>0</v>
      </c>
      <c r="AE58" s="2853">
        <f t="shared" si="8"/>
        <v>0</v>
      </c>
      <c r="AF58" s="2853">
        <f t="shared" si="9"/>
        <v>5</v>
      </c>
      <c r="AG58" s="2854"/>
      <c r="AH58" s="2854"/>
      <c r="AI58" s="2746"/>
    </row>
    <row r="59" spans="1:35" ht="27.75" customHeight="1">
      <c r="A59" s="2858">
        <v>13</v>
      </c>
      <c r="B59" s="2865" t="s">
        <v>2222</v>
      </c>
      <c r="C59" s="2852"/>
      <c r="D59" s="3365" t="s">
        <v>451</v>
      </c>
      <c r="E59" s="3365"/>
      <c r="F59" s="2851"/>
      <c r="G59" s="2851"/>
      <c r="H59" s="2851"/>
      <c r="I59" s="2851"/>
      <c r="J59" s="2851"/>
      <c r="K59" s="2851"/>
      <c r="L59" s="2851"/>
      <c r="M59" s="2851" t="s">
        <v>29</v>
      </c>
      <c r="N59" s="2851" t="s">
        <v>29</v>
      </c>
      <c r="O59" s="2851" t="s">
        <v>29</v>
      </c>
      <c r="P59" s="2851" t="s">
        <v>29</v>
      </c>
      <c r="Q59" s="2851" t="s">
        <v>29</v>
      </c>
      <c r="R59" s="2851"/>
      <c r="S59" s="2883"/>
      <c r="T59" s="2883"/>
      <c r="U59" s="2883"/>
      <c r="V59" s="2883"/>
      <c r="W59" s="2883"/>
      <c r="X59" s="2883"/>
      <c r="Y59" s="2883"/>
      <c r="Z59" s="2883"/>
      <c r="AA59" s="2883"/>
      <c r="AB59" s="2883"/>
      <c r="AC59" s="2853">
        <f t="shared" si="6"/>
        <v>5</v>
      </c>
      <c r="AD59" s="3060">
        <f t="shared" si="7"/>
        <v>0</v>
      </c>
      <c r="AE59" s="2853">
        <f t="shared" si="8"/>
        <v>0</v>
      </c>
      <c r="AF59" s="2853">
        <f t="shared" si="9"/>
        <v>5</v>
      </c>
      <c r="AG59" s="2854"/>
      <c r="AH59" s="2854"/>
      <c r="AI59" s="2746"/>
    </row>
    <row r="60" spans="1:35" ht="27.75" customHeight="1">
      <c r="A60" s="2851">
        <v>14</v>
      </c>
      <c r="B60" s="2865" t="s">
        <v>1910</v>
      </c>
      <c r="C60" s="2852"/>
      <c r="D60" s="3364" t="s">
        <v>451</v>
      </c>
      <c r="E60" s="3364"/>
      <c r="F60" s="2851"/>
      <c r="G60" s="2851"/>
      <c r="H60" s="2851"/>
      <c r="I60" s="2851"/>
      <c r="J60" s="2851"/>
      <c r="K60" s="2851" t="s">
        <v>29</v>
      </c>
      <c r="L60" s="2851" t="s">
        <v>29</v>
      </c>
      <c r="M60" s="2851" t="s">
        <v>29</v>
      </c>
      <c r="N60" s="2851" t="s">
        <v>29</v>
      </c>
      <c r="O60" s="2851" t="s">
        <v>29</v>
      </c>
      <c r="P60" s="2851"/>
      <c r="Q60" s="2851"/>
      <c r="R60" s="2851"/>
      <c r="S60" s="2883"/>
      <c r="T60" s="2883"/>
      <c r="U60" s="2883"/>
      <c r="V60" s="2883"/>
      <c r="W60" s="2883"/>
      <c r="X60" s="2883"/>
      <c r="Y60" s="2883"/>
      <c r="Z60" s="2883"/>
      <c r="AA60" s="2883"/>
      <c r="AB60" s="2883"/>
      <c r="AC60" s="2853">
        <f t="shared" si="6"/>
        <v>5</v>
      </c>
      <c r="AD60" s="3060">
        <f t="shared" si="7"/>
        <v>0</v>
      </c>
      <c r="AE60" s="2853">
        <f t="shared" si="8"/>
        <v>0</v>
      </c>
      <c r="AF60" s="2853">
        <f t="shared" si="9"/>
        <v>5</v>
      </c>
      <c r="AG60" s="2854"/>
      <c r="AH60" s="2854"/>
      <c r="AI60" s="2746"/>
    </row>
    <row r="61" spans="1:35" ht="27.75" customHeight="1">
      <c r="A61" s="2858">
        <v>15</v>
      </c>
      <c r="B61" s="2865" t="s">
        <v>1909</v>
      </c>
      <c r="C61" s="2852"/>
      <c r="D61" s="3365" t="s">
        <v>451</v>
      </c>
      <c r="E61" s="3365"/>
      <c r="F61" s="2851"/>
      <c r="G61" s="2851"/>
      <c r="H61" s="2851"/>
      <c r="I61" s="2851"/>
      <c r="J61" s="2851"/>
      <c r="K61" s="2851" t="s">
        <v>29</v>
      </c>
      <c r="L61" s="2851" t="s">
        <v>29</v>
      </c>
      <c r="M61" s="2851" t="s">
        <v>29</v>
      </c>
      <c r="N61" s="2851" t="s">
        <v>29</v>
      </c>
      <c r="O61" s="2851"/>
      <c r="P61" s="2851"/>
      <c r="Q61" s="2851"/>
      <c r="R61" s="2851"/>
      <c r="S61" s="2883"/>
      <c r="T61" s="2883"/>
      <c r="U61" s="2883"/>
      <c r="V61" s="2883"/>
      <c r="W61" s="2883"/>
      <c r="X61" s="2883"/>
      <c r="Y61" s="2883"/>
      <c r="Z61" s="2883"/>
      <c r="AA61" s="2883"/>
      <c r="AB61" s="2883"/>
      <c r="AC61" s="2853">
        <f t="shared" si="6"/>
        <v>4</v>
      </c>
      <c r="AD61" s="3060">
        <f t="shared" si="7"/>
        <v>0</v>
      </c>
      <c r="AE61" s="2853">
        <f t="shared" si="8"/>
        <v>0</v>
      </c>
      <c r="AF61" s="2853">
        <f t="shared" si="9"/>
        <v>4</v>
      </c>
      <c r="AG61" s="2854"/>
      <c r="AH61" s="2854"/>
      <c r="AI61" s="2746"/>
    </row>
    <row r="62" spans="1:35" ht="27.75" customHeight="1">
      <c r="A62" s="2851">
        <v>16</v>
      </c>
      <c r="B62" s="2865" t="s">
        <v>2425</v>
      </c>
      <c r="C62" s="2852"/>
      <c r="D62" s="3364" t="s">
        <v>451</v>
      </c>
      <c r="E62" s="3364"/>
      <c r="F62" s="2851"/>
      <c r="G62" s="2851"/>
      <c r="H62" s="2851" t="s">
        <v>29</v>
      </c>
      <c r="I62" s="2851" t="s">
        <v>29</v>
      </c>
      <c r="J62" s="2851" t="s">
        <v>29</v>
      </c>
      <c r="K62" s="2851" t="s">
        <v>29</v>
      </c>
      <c r="L62" s="2851" t="s">
        <v>29</v>
      </c>
      <c r="M62" s="2851" t="s">
        <v>29</v>
      </c>
      <c r="N62" s="2851" t="s">
        <v>29</v>
      </c>
      <c r="O62" s="2851" t="s">
        <v>29</v>
      </c>
      <c r="P62" s="2851"/>
      <c r="Q62" s="2851"/>
      <c r="R62" s="2851"/>
      <c r="S62" s="2883"/>
      <c r="T62" s="2883"/>
      <c r="U62" s="2883"/>
      <c r="V62" s="2883"/>
      <c r="W62" s="2883"/>
      <c r="X62" s="2883"/>
      <c r="Y62" s="2883"/>
      <c r="Z62" s="2883"/>
      <c r="AA62" s="2883"/>
      <c r="AB62" s="2883"/>
      <c r="AC62" s="2853">
        <f t="shared" si="6"/>
        <v>8</v>
      </c>
      <c r="AD62" s="3060">
        <f t="shared" si="7"/>
        <v>0</v>
      </c>
      <c r="AE62" s="2853">
        <f t="shared" si="8"/>
        <v>0</v>
      </c>
      <c r="AF62" s="2853">
        <f t="shared" si="9"/>
        <v>8</v>
      </c>
      <c r="AG62" s="2854"/>
      <c r="AH62" s="2854"/>
      <c r="AI62" s="2746"/>
    </row>
    <row r="63" spans="1:35" ht="27.75" customHeight="1">
      <c r="A63" s="2858">
        <v>17</v>
      </c>
      <c r="B63" s="2865" t="s">
        <v>2426</v>
      </c>
      <c r="C63" s="2852"/>
      <c r="D63" s="3365" t="s">
        <v>451</v>
      </c>
      <c r="E63" s="3365"/>
      <c r="F63" s="2851"/>
      <c r="G63" s="2851"/>
      <c r="H63" s="2851" t="s">
        <v>29</v>
      </c>
      <c r="I63" s="2851" t="s">
        <v>29</v>
      </c>
      <c r="J63" s="2851" t="s">
        <v>29</v>
      </c>
      <c r="K63" s="2851" t="s">
        <v>29</v>
      </c>
      <c r="L63" s="2851" t="s">
        <v>29</v>
      </c>
      <c r="M63" s="2851" t="s">
        <v>29</v>
      </c>
      <c r="N63" s="2851" t="s">
        <v>29</v>
      </c>
      <c r="O63" s="2851" t="s">
        <v>29</v>
      </c>
      <c r="P63" s="2851"/>
      <c r="Q63" s="2851"/>
      <c r="R63" s="2851"/>
      <c r="S63" s="2883"/>
      <c r="T63" s="2883"/>
      <c r="U63" s="2883"/>
      <c r="V63" s="2883"/>
      <c r="W63" s="2883"/>
      <c r="X63" s="2883"/>
      <c r="Y63" s="2883"/>
      <c r="Z63" s="2883"/>
      <c r="AA63" s="2883"/>
      <c r="AB63" s="2883"/>
      <c r="AC63" s="2853">
        <f t="shared" si="6"/>
        <v>8</v>
      </c>
      <c r="AD63" s="3060">
        <f t="shared" si="7"/>
        <v>0</v>
      </c>
      <c r="AE63" s="2853">
        <f t="shared" si="8"/>
        <v>0</v>
      </c>
      <c r="AF63" s="2853">
        <f t="shared" si="9"/>
        <v>8</v>
      </c>
      <c r="AG63" s="2854"/>
      <c r="AH63" s="2854"/>
      <c r="AI63" s="2746"/>
    </row>
    <row r="64" spans="1:35" ht="27.75" customHeight="1">
      <c r="A64" s="2851">
        <v>18</v>
      </c>
      <c r="B64" s="2865" t="s">
        <v>2226</v>
      </c>
      <c r="C64" s="2852"/>
      <c r="D64" s="3364" t="s">
        <v>451</v>
      </c>
      <c r="E64" s="3364"/>
      <c r="F64" s="2851"/>
      <c r="G64" s="2851"/>
      <c r="H64" s="2851"/>
      <c r="I64" s="2851" t="s">
        <v>29</v>
      </c>
      <c r="J64" s="2851" t="s">
        <v>29</v>
      </c>
      <c r="K64" s="2851" t="s">
        <v>29</v>
      </c>
      <c r="L64" s="2851" t="s">
        <v>29</v>
      </c>
      <c r="M64" s="2851" t="s">
        <v>29</v>
      </c>
      <c r="N64" s="2851" t="s">
        <v>29</v>
      </c>
      <c r="O64" s="2851" t="s">
        <v>29</v>
      </c>
      <c r="P64" s="2851"/>
      <c r="Q64" s="2851"/>
      <c r="R64" s="2851"/>
      <c r="S64" s="2883"/>
      <c r="T64" s="2883"/>
      <c r="U64" s="2883"/>
      <c r="V64" s="2883"/>
      <c r="W64" s="2883"/>
      <c r="X64" s="2883"/>
      <c r="Y64" s="2883"/>
      <c r="Z64" s="2883"/>
      <c r="AA64" s="2883"/>
      <c r="AB64" s="2883"/>
      <c r="AC64" s="2853">
        <f t="shared" si="6"/>
        <v>7</v>
      </c>
      <c r="AD64" s="3060">
        <f t="shared" si="7"/>
        <v>0</v>
      </c>
      <c r="AE64" s="2853">
        <f t="shared" si="8"/>
        <v>0</v>
      </c>
      <c r="AF64" s="2853">
        <f t="shared" si="9"/>
        <v>7</v>
      </c>
      <c r="AG64" s="2854"/>
      <c r="AH64" s="2854"/>
      <c r="AI64" s="2746"/>
    </row>
    <row r="65" spans="1:35" ht="27.75" customHeight="1">
      <c r="A65" s="2858">
        <v>19</v>
      </c>
      <c r="B65" s="2865" t="s">
        <v>2227</v>
      </c>
      <c r="C65" s="2852"/>
      <c r="D65" s="3365" t="s">
        <v>451</v>
      </c>
      <c r="E65" s="3365"/>
      <c r="F65" s="2851"/>
      <c r="G65" s="2851"/>
      <c r="H65" s="2851"/>
      <c r="I65" s="2851" t="s">
        <v>29</v>
      </c>
      <c r="J65" s="2851" t="s">
        <v>29</v>
      </c>
      <c r="K65" s="2851" t="s">
        <v>29</v>
      </c>
      <c r="L65" s="2851" t="s">
        <v>29</v>
      </c>
      <c r="M65" s="2851" t="s">
        <v>29</v>
      </c>
      <c r="N65" s="2851" t="s">
        <v>29</v>
      </c>
      <c r="O65" s="2851" t="s">
        <v>29</v>
      </c>
      <c r="P65" s="2851"/>
      <c r="Q65" s="2851"/>
      <c r="R65" s="2851"/>
      <c r="S65" s="2883"/>
      <c r="T65" s="2883"/>
      <c r="U65" s="2883"/>
      <c r="V65" s="2883"/>
      <c r="W65" s="2883"/>
      <c r="X65" s="2883"/>
      <c r="Y65" s="2883"/>
      <c r="Z65" s="2883"/>
      <c r="AA65" s="2883"/>
      <c r="AB65" s="2883"/>
      <c r="AC65" s="2853">
        <f t="shared" si="6"/>
        <v>7</v>
      </c>
      <c r="AD65" s="3060">
        <f t="shared" si="7"/>
        <v>0</v>
      </c>
      <c r="AE65" s="2853">
        <f t="shared" si="8"/>
        <v>0</v>
      </c>
      <c r="AF65" s="2853">
        <f t="shared" si="9"/>
        <v>7</v>
      </c>
      <c r="AG65" s="2854"/>
      <c r="AH65" s="2854"/>
      <c r="AI65" s="2746"/>
    </row>
    <row r="66" spans="1:35" ht="27.75" customHeight="1">
      <c r="A66" s="2851">
        <v>20</v>
      </c>
      <c r="B66" s="2865" t="s">
        <v>2427</v>
      </c>
      <c r="C66" s="2852"/>
      <c r="D66" s="3364" t="s">
        <v>451</v>
      </c>
      <c r="E66" s="3364"/>
      <c r="F66" s="2851"/>
      <c r="G66" s="2851"/>
      <c r="H66" s="2851"/>
      <c r="I66" s="2851" t="s">
        <v>29</v>
      </c>
      <c r="J66" s="2851" t="s">
        <v>29</v>
      </c>
      <c r="K66" s="2851" t="s">
        <v>29</v>
      </c>
      <c r="L66" s="2851" t="s">
        <v>29</v>
      </c>
      <c r="M66" s="2851" t="s">
        <v>29</v>
      </c>
      <c r="N66" s="2851" t="s">
        <v>29</v>
      </c>
      <c r="O66" s="2851" t="s">
        <v>29</v>
      </c>
      <c r="P66" s="2851"/>
      <c r="Q66" s="2851"/>
      <c r="R66" s="2851"/>
      <c r="S66" s="2883"/>
      <c r="T66" s="2883"/>
      <c r="U66" s="2883"/>
      <c r="V66" s="2883"/>
      <c r="W66" s="2883"/>
      <c r="X66" s="2883"/>
      <c r="Y66" s="2883"/>
      <c r="Z66" s="2883"/>
      <c r="AA66" s="2883"/>
      <c r="AB66" s="2883"/>
      <c r="AC66" s="2853">
        <f t="shared" si="6"/>
        <v>7</v>
      </c>
      <c r="AD66" s="3060">
        <f t="shared" si="7"/>
        <v>0</v>
      </c>
      <c r="AE66" s="2853">
        <f t="shared" si="8"/>
        <v>0</v>
      </c>
      <c r="AF66" s="2853">
        <f t="shared" si="9"/>
        <v>7</v>
      </c>
      <c r="AG66" s="2854"/>
      <c r="AH66" s="2854"/>
      <c r="AI66" s="2746"/>
    </row>
    <row r="67" spans="1:35" ht="27.75" customHeight="1">
      <c r="A67" s="2858">
        <v>21</v>
      </c>
      <c r="B67" s="2865" t="s">
        <v>2229</v>
      </c>
      <c r="C67" s="2852"/>
      <c r="D67" s="3365" t="s">
        <v>451</v>
      </c>
      <c r="E67" s="3365"/>
      <c r="F67" s="2851"/>
      <c r="G67" s="2851"/>
      <c r="H67" s="2851"/>
      <c r="I67" s="2851" t="s">
        <v>29</v>
      </c>
      <c r="J67" s="2851" t="s">
        <v>29</v>
      </c>
      <c r="K67" s="2851" t="s">
        <v>29</v>
      </c>
      <c r="L67" s="2851" t="s">
        <v>29</v>
      </c>
      <c r="M67" s="2851" t="s">
        <v>29</v>
      </c>
      <c r="N67" s="2851" t="s">
        <v>29</v>
      </c>
      <c r="O67" s="2851" t="s">
        <v>29</v>
      </c>
      <c r="P67" s="2851"/>
      <c r="Q67" s="2851"/>
      <c r="R67" s="2851"/>
      <c r="S67" s="2883"/>
      <c r="T67" s="2883"/>
      <c r="U67" s="2883"/>
      <c r="V67" s="2883"/>
      <c r="W67" s="2883"/>
      <c r="X67" s="2883"/>
      <c r="Y67" s="2883"/>
      <c r="Z67" s="2883"/>
      <c r="AA67" s="2883"/>
      <c r="AB67" s="2883"/>
      <c r="AC67" s="2853">
        <f t="shared" si="6"/>
        <v>7</v>
      </c>
      <c r="AD67" s="3060">
        <f t="shared" si="7"/>
        <v>0</v>
      </c>
      <c r="AE67" s="2853">
        <f t="shared" si="8"/>
        <v>0</v>
      </c>
      <c r="AF67" s="2853">
        <f t="shared" si="9"/>
        <v>7</v>
      </c>
      <c r="AG67" s="2854"/>
      <c r="AH67" s="2854"/>
      <c r="AI67" s="2746"/>
    </row>
    <row r="68" spans="1:35" ht="27.75" customHeight="1">
      <c r="A68" s="2851">
        <v>22</v>
      </c>
      <c r="B68" s="2865" t="s">
        <v>2198</v>
      </c>
      <c r="C68" s="2852"/>
      <c r="D68" s="3364" t="s">
        <v>451</v>
      </c>
      <c r="E68" s="3364"/>
      <c r="F68" s="2851"/>
      <c r="G68" s="2851"/>
      <c r="H68" s="2851"/>
      <c r="I68" s="2851" t="s">
        <v>29</v>
      </c>
      <c r="J68" s="2851" t="s">
        <v>29</v>
      </c>
      <c r="K68" s="2851" t="s">
        <v>29</v>
      </c>
      <c r="L68" s="2851" t="s">
        <v>29</v>
      </c>
      <c r="M68" s="2851" t="s">
        <v>29</v>
      </c>
      <c r="N68" s="2851" t="s">
        <v>29</v>
      </c>
      <c r="O68" s="2851" t="s">
        <v>29</v>
      </c>
      <c r="P68" s="2851"/>
      <c r="Q68" s="2851"/>
      <c r="R68" s="2851"/>
      <c r="S68" s="2883"/>
      <c r="T68" s="2883"/>
      <c r="U68" s="2883"/>
      <c r="V68" s="2883"/>
      <c r="W68" s="2883"/>
      <c r="X68" s="2883"/>
      <c r="Y68" s="2883"/>
      <c r="Z68" s="2883"/>
      <c r="AA68" s="2883"/>
      <c r="AB68" s="2883"/>
      <c r="AC68" s="2853">
        <f t="shared" si="6"/>
        <v>7</v>
      </c>
      <c r="AD68" s="3060">
        <f t="shared" si="7"/>
        <v>0</v>
      </c>
      <c r="AE68" s="2853">
        <f t="shared" si="8"/>
        <v>0</v>
      </c>
      <c r="AF68" s="2853">
        <f t="shared" si="9"/>
        <v>7</v>
      </c>
      <c r="AG68" s="2854"/>
      <c r="AH68" s="2854"/>
      <c r="AI68" s="2746"/>
    </row>
    <row r="69" spans="1:35" ht="27.75" customHeight="1">
      <c r="A69" s="2858">
        <v>23</v>
      </c>
      <c r="B69" s="2865" t="s">
        <v>2428</v>
      </c>
      <c r="C69" s="2852"/>
      <c r="D69" s="3365" t="s">
        <v>451</v>
      </c>
      <c r="E69" s="3365" t="s">
        <v>29</v>
      </c>
      <c r="F69" s="3365" t="s">
        <v>29</v>
      </c>
      <c r="G69" s="3365" t="s">
        <v>29</v>
      </c>
      <c r="H69" s="3365" t="s">
        <v>29</v>
      </c>
      <c r="I69" s="3365" t="s">
        <v>29</v>
      </c>
      <c r="J69" s="3365" t="s">
        <v>29</v>
      </c>
      <c r="K69" s="3365" t="s">
        <v>29</v>
      </c>
      <c r="L69" s="3365" t="s">
        <v>29</v>
      </c>
      <c r="M69" s="2851"/>
      <c r="N69" s="2851"/>
      <c r="O69" s="2851"/>
      <c r="P69" s="2851"/>
      <c r="Q69" s="2851"/>
      <c r="R69" s="2851"/>
      <c r="S69" s="2883"/>
      <c r="T69" s="2883"/>
      <c r="U69" s="2883"/>
      <c r="V69" s="2883"/>
      <c r="W69" s="2883"/>
      <c r="X69" s="2883"/>
      <c r="Y69" s="2883"/>
      <c r="Z69" s="2883"/>
      <c r="AA69" s="2883"/>
      <c r="AB69" s="2883"/>
      <c r="AC69" s="2853">
        <f t="shared" si="6"/>
        <v>7</v>
      </c>
      <c r="AD69" s="3060">
        <f t="shared" si="7"/>
        <v>0</v>
      </c>
      <c r="AE69" s="2853">
        <f t="shared" si="8"/>
        <v>0</v>
      </c>
      <c r="AF69" s="2853">
        <f t="shared" si="9"/>
        <v>7</v>
      </c>
      <c r="AG69" s="2854"/>
      <c r="AH69" s="2854"/>
      <c r="AI69" s="2746"/>
    </row>
    <row r="70" spans="1:35" ht="27.75" customHeight="1">
      <c r="A70" s="2851">
        <v>24</v>
      </c>
      <c r="B70" s="2865" t="s">
        <v>2201</v>
      </c>
      <c r="C70" s="2852"/>
      <c r="D70" s="3364" t="s">
        <v>451</v>
      </c>
      <c r="E70" s="3365" t="s">
        <v>29</v>
      </c>
      <c r="F70" s="3365" t="s">
        <v>29</v>
      </c>
      <c r="G70" s="3365" t="s">
        <v>29</v>
      </c>
      <c r="H70" s="3365" t="s">
        <v>29</v>
      </c>
      <c r="I70" s="3365" t="s">
        <v>29</v>
      </c>
      <c r="J70" s="3365" t="s">
        <v>29</v>
      </c>
      <c r="K70" s="3365" t="s">
        <v>29</v>
      </c>
      <c r="L70" s="3365" t="s">
        <v>29</v>
      </c>
      <c r="M70" s="2851"/>
      <c r="N70" s="2851"/>
      <c r="O70" s="2851"/>
      <c r="P70" s="2851"/>
      <c r="Q70" s="2851"/>
      <c r="R70" s="2851"/>
      <c r="S70" s="2883"/>
      <c r="T70" s="2883"/>
      <c r="U70" s="2883"/>
      <c r="V70" s="2883"/>
      <c r="W70" s="2883"/>
      <c r="X70" s="2883"/>
      <c r="Y70" s="2883"/>
      <c r="Z70" s="2883"/>
      <c r="AA70" s="2883"/>
      <c r="AB70" s="2883"/>
      <c r="AC70" s="2853">
        <f t="shared" si="6"/>
        <v>7</v>
      </c>
      <c r="AD70" s="3060">
        <f t="shared" si="7"/>
        <v>0</v>
      </c>
      <c r="AE70" s="2853">
        <f t="shared" si="8"/>
        <v>0</v>
      </c>
      <c r="AF70" s="2853">
        <f t="shared" si="9"/>
        <v>7</v>
      </c>
      <c r="AG70" s="2854"/>
      <c r="AH70" s="2854"/>
      <c r="AI70" s="2746"/>
    </row>
    <row r="71" spans="1:35" ht="27.75" customHeight="1">
      <c r="A71" s="2858">
        <v>25</v>
      </c>
      <c r="B71" s="2865" t="s">
        <v>2202</v>
      </c>
      <c r="C71" s="2852"/>
      <c r="D71" s="3365" t="s">
        <v>451</v>
      </c>
      <c r="E71" s="3365" t="s">
        <v>29</v>
      </c>
      <c r="F71" s="3365" t="s">
        <v>29</v>
      </c>
      <c r="G71" s="3365" t="s">
        <v>29</v>
      </c>
      <c r="H71" s="3365" t="s">
        <v>29</v>
      </c>
      <c r="I71" s="3365" t="s">
        <v>29</v>
      </c>
      <c r="J71" s="3365" t="s">
        <v>29</v>
      </c>
      <c r="K71" s="3365" t="s">
        <v>29</v>
      </c>
      <c r="L71" s="3365" t="s">
        <v>29</v>
      </c>
      <c r="M71" s="2851"/>
      <c r="N71" s="2851"/>
      <c r="O71" s="2851"/>
      <c r="P71" s="2851"/>
      <c r="Q71" s="2851"/>
      <c r="R71" s="2851"/>
      <c r="S71" s="2883"/>
      <c r="T71" s="2883"/>
      <c r="U71" s="2883"/>
      <c r="V71" s="2883"/>
      <c r="W71" s="2883"/>
      <c r="X71" s="2883"/>
      <c r="Y71" s="2883"/>
      <c r="Z71" s="2883"/>
      <c r="AA71" s="2883"/>
      <c r="AB71" s="2883"/>
      <c r="AC71" s="2853">
        <f t="shared" si="6"/>
        <v>7</v>
      </c>
      <c r="AD71" s="3060">
        <f t="shared" si="7"/>
        <v>0</v>
      </c>
      <c r="AE71" s="2853">
        <f t="shared" si="8"/>
        <v>0</v>
      </c>
      <c r="AF71" s="2853">
        <f t="shared" si="9"/>
        <v>7</v>
      </c>
      <c r="AG71" s="2854"/>
      <c r="AH71" s="2854"/>
      <c r="AI71" s="2746"/>
    </row>
    <row r="72" spans="1:35" ht="27.75" customHeight="1">
      <c r="A72" s="2851">
        <v>26</v>
      </c>
      <c r="B72" s="2865" t="s">
        <v>2203</v>
      </c>
      <c r="C72" s="2852"/>
      <c r="D72" s="3364" t="s">
        <v>451</v>
      </c>
      <c r="E72" s="3365" t="s">
        <v>29</v>
      </c>
      <c r="F72" s="3365" t="s">
        <v>29</v>
      </c>
      <c r="G72" s="3365" t="s">
        <v>29</v>
      </c>
      <c r="H72" s="3365" t="s">
        <v>29</v>
      </c>
      <c r="I72" s="3365" t="s">
        <v>29</v>
      </c>
      <c r="J72" s="3365" t="s">
        <v>29</v>
      </c>
      <c r="K72" s="3365" t="s">
        <v>29</v>
      </c>
      <c r="L72" s="3365" t="s">
        <v>29</v>
      </c>
      <c r="M72" s="2851"/>
      <c r="N72" s="2851"/>
      <c r="O72" s="2851"/>
      <c r="P72" s="2851"/>
      <c r="Q72" s="2851"/>
      <c r="R72" s="2851"/>
      <c r="S72" s="2883"/>
      <c r="T72" s="2883"/>
      <c r="U72" s="2883"/>
      <c r="V72" s="2883"/>
      <c r="W72" s="2883"/>
      <c r="X72" s="2883"/>
      <c r="Y72" s="2883"/>
      <c r="Z72" s="2883"/>
      <c r="AA72" s="2883"/>
      <c r="AB72" s="2883"/>
      <c r="AC72" s="2853">
        <f t="shared" si="6"/>
        <v>7</v>
      </c>
      <c r="AD72" s="3060">
        <f t="shared" si="7"/>
        <v>0</v>
      </c>
      <c r="AE72" s="2853">
        <f t="shared" si="8"/>
        <v>0</v>
      </c>
      <c r="AF72" s="2853">
        <f t="shared" si="9"/>
        <v>7</v>
      </c>
      <c r="AG72" s="2854"/>
      <c r="AH72" s="2854"/>
      <c r="AI72" s="2746"/>
    </row>
    <row r="73" spans="1:35" ht="27.75" customHeight="1">
      <c r="A73" s="2858">
        <v>27</v>
      </c>
      <c r="B73" s="2865" t="s">
        <v>2204</v>
      </c>
      <c r="C73" s="2852"/>
      <c r="D73" s="3365" t="s">
        <v>451</v>
      </c>
      <c r="E73" s="3365" t="s">
        <v>29</v>
      </c>
      <c r="F73" s="3365" t="s">
        <v>29</v>
      </c>
      <c r="G73" s="3365" t="s">
        <v>29</v>
      </c>
      <c r="H73" s="3365" t="s">
        <v>29</v>
      </c>
      <c r="I73" s="3365" t="s">
        <v>29</v>
      </c>
      <c r="J73" s="3365" t="s">
        <v>29</v>
      </c>
      <c r="K73" s="3365" t="s">
        <v>29</v>
      </c>
      <c r="L73" s="3365" t="s">
        <v>29</v>
      </c>
      <c r="M73" s="2851"/>
      <c r="N73" s="2851"/>
      <c r="O73" s="2851"/>
      <c r="P73" s="2851"/>
      <c r="Q73" s="2851"/>
      <c r="R73" s="2851"/>
      <c r="S73" s="2883"/>
      <c r="T73" s="2883"/>
      <c r="U73" s="2883"/>
      <c r="V73" s="2883"/>
      <c r="W73" s="2883"/>
      <c r="X73" s="2883"/>
      <c r="Y73" s="2883"/>
      <c r="Z73" s="2883"/>
      <c r="AA73" s="2883"/>
      <c r="AB73" s="2883"/>
      <c r="AC73" s="2853">
        <f t="shared" si="6"/>
        <v>7</v>
      </c>
      <c r="AD73" s="3060">
        <f t="shared" si="7"/>
        <v>0</v>
      </c>
      <c r="AE73" s="2853">
        <f t="shared" si="8"/>
        <v>0</v>
      </c>
      <c r="AF73" s="2853">
        <f t="shared" si="9"/>
        <v>7</v>
      </c>
      <c r="AG73" s="2854"/>
      <c r="AH73" s="2854"/>
      <c r="AI73" s="2746"/>
    </row>
    <row r="74" spans="1:35" ht="27.75" customHeight="1">
      <c r="A74" s="2851">
        <v>28</v>
      </c>
      <c r="B74" s="2865" t="s">
        <v>2429</v>
      </c>
      <c r="C74" s="2852"/>
      <c r="D74" s="3364" t="s">
        <v>451</v>
      </c>
      <c r="E74" s="3365" t="s">
        <v>29</v>
      </c>
      <c r="F74" s="3365" t="s">
        <v>29</v>
      </c>
      <c r="G74" s="3365" t="s">
        <v>29</v>
      </c>
      <c r="H74" s="3365" t="s">
        <v>29</v>
      </c>
      <c r="I74" s="3365" t="s">
        <v>29</v>
      </c>
      <c r="J74" s="3365" t="s">
        <v>29</v>
      </c>
      <c r="K74" s="3365" t="s">
        <v>29</v>
      </c>
      <c r="L74" s="3365" t="s">
        <v>29</v>
      </c>
      <c r="M74" s="2851"/>
      <c r="N74" s="2851"/>
      <c r="O74" s="2851"/>
      <c r="P74" s="2851"/>
      <c r="Q74" s="2851"/>
      <c r="R74" s="2851"/>
      <c r="S74" s="2883"/>
      <c r="T74" s="2883"/>
      <c r="U74" s="2883"/>
      <c r="V74" s="2883"/>
      <c r="W74" s="2883"/>
      <c r="X74" s="2883"/>
      <c r="Y74" s="2883"/>
      <c r="Z74" s="2883"/>
      <c r="AA74" s="2883"/>
      <c r="AB74" s="2883"/>
      <c r="AC74" s="2853">
        <f t="shared" si="6"/>
        <v>7</v>
      </c>
      <c r="AD74" s="3060">
        <f t="shared" si="7"/>
        <v>0</v>
      </c>
      <c r="AE74" s="2853">
        <f t="shared" si="8"/>
        <v>0</v>
      </c>
      <c r="AF74" s="2853">
        <f t="shared" si="9"/>
        <v>7</v>
      </c>
      <c r="AG74" s="2854"/>
      <c r="AH74" s="2854"/>
      <c r="AI74" s="2746"/>
    </row>
    <row r="75" spans="1:35" ht="27.75" customHeight="1">
      <c r="A75" s="2858">
        <v>29</v>
      </c>
      <c r="B75" s="2865" t="s">
        <v>2206</v>
      </c>
      <c r="C75" s="2852"/>
      <c r="D75" s="3365" t="s">
        <v>451</v>
      </c>
      <c r="E75" s="3365" t="s">
        <v>29</v>
      </c>
      <c r="F75" s="3365" t="s">
        <v>29</v>
      </c>
      <c r="G75" s="3365" t="s">
        <v>29</v>
      </c>
      <c r="H75" s="3365" t="s">
        <v>29</v>
      </c>
      <c r="I75" s="3365" t="s">
        <v>29</v>
      </c>
      <c r="J75" s="3365" t="s">
        <v>29</v>
      </c>
      <c r="K75" s="3365" t="s">
        <v>29</v>
      </c>
      <c r="L75" s="3365" t="s">
        <v>29</v>
      </c>
      <c r="M75" s="2851"/>
      <c r="N75" s="2851"/>
      <c r="O75" s="2851"/>
      <c r="P75" s="2851"/>
      <c r="Q75" s="2851"/>
      <c r="R75" s="2851"/>
      <c r="S75" s="2883"/>
      <c r="T75" s="2883"/>
      <c r="U75" s="2883"/>
      <c r="V75" s="2883"/>
      <c r="W75" s="2883"/>
      <c r="X75" s="2883"/>
      <c r="Y75" s="2883"/>
      <c r="Z75" s="2883"/>
      <c r="AA75" s="2883"/>
      <c r="AB75" s="2883"/>
      <c r="AC75" s="2853">
        <f t="shared" si="6"/>
        <v>7</v>
      </c>
      <c r="AD75" s="3060">
        <f t="shared" si="7"/>
        <v>0</v>
      </c>
      <c r="AE75" s="2853">
        <f t="shared" si="8"/>
        <v>0</v>
      </c>
      <c r="AF75" s="2853">
        <f t="shared" si="9"/>
        <v>7</v>
      </c>
      <c r="AG75" s="2854"/>
      <c r="AH75" s="2854"/>
      <c r="AI75" s="2746"/>
    </row>
    <row r="76" spans="1:35" ht="27.75" customHeight="1">
      <c r="A76" s="2851">
        <v>30</v>
      </c>
      <c r="B76" s="2865" t="s">
        <v>1506</v>
      </c>
      <c r="C76" s="2852"/>
      <c r="D76" s="3364" t="s">
        <v>451</v>
      </c>
      <c r="E76" s="3365" t="s">
        <v>29</v>
      </c>
      <c r="F76" s="3365" t="s">
        <v>29</v>
      </c>
      <c r="G76" s="3365" t="s">
        <v>29</v>
      </c>
      <c r="H76" s="3365" t="s">
        <v>29</v>
      </c>
      <c r="I76" s="3365" t="s">
        <v>29</v>
      </c>
      <c r="J76" s="3365" t="s">
        <v>29</v>
      </c>
      <c r="K76" s="3365" t="s">
        <v>29</v>
      </c>
      <c r="L76" s="3365" t="s">
        <v>29</v>
      </c>
      <c r="M76" s="2851"/>
      <c r="N76" s="2851"/>
      <c r="O76" s="2851"/>
      <c r="P76" s="2851"/>
      <c r="Q76" s="2851"/>
      <c r="R76" s="2851"/>
      <c r="S76" s="2883"/>
      <c r="T76" s="2883"/>
      <c r="U76" s="2883"/>
      <c r="V76" s="2883"/>
      <c r="W76" s="2883"/>
      <c r="X76" s="2883"/>
      <c r="Y76" s="2883"/>
      <c r="Z76" s="2883"/>
      <c r="AA76" s="2883"/>
      <c r="AB76" s="2883"/>
      <c r="AC76" s="2853">
        <f t="shared" si="6"/>
        <v>7</v>
      </c>
      <c r="AD76" s="3060">
        <f t="shared" si="7"/>
        <v>0</v>
      </c>
      <c r="AE76" s="2853">
        <f t="shared" si="8"/>
        <v>0</v>
      </c>
      <c r="AF76" s="2853">
        <f t="shared" si="9"/>
        <v>7</v>
      </c>
      <c r="AG76" s="2854"/>
      <c r="AH76" s="2854"/>
      <c r="AI76" s="2746"/>
    </row>
    <row r="77" spans="1:35" ht="27.75" customHeight="1">
      <c r="A77" s="2858">
        <v>31</v>
      </c>
      <c r="B77" s="2865" t="s">
        <v>2431</v>
      </c>
      <c r="C77" s="2852"/>
      <c r="D77" s="3365" t="s">
        <v>451</v>
      </c>
      <c r="E77" s="3365" t="s">
        <v>29</v>
      </c>
      <c r="F77" s="3365" t="s">
        <v>29</v>
      </c>
      <c r="G77" s="3365" t="s">
        <v>29</v>
      </c>
      <c r="H77" s="3365" t="s">
        <v>29</v>
      </c>
      <c r="I77" s="3365" t="s">
        <v>29</v>
      </c>
      <c r="J77" s="3365" t="s">
        <v>29</v>
      </c>
      <c r="K77" s="3365" t="s">
        <v>29</v>
      </c>
      <c r="L77" s="3365" t="s">
        <v>29</v>
      </c>
      <c r="M77" s="2851"/>
      <c r="N77" s="2851"/>
      <c r="O77" s="2851"/>
      <c r="P77" s="2851"/>
      <c r="Q77" s="2851"/>
      <c r="R77" s="2851"/>
      <c r="S77" s="2883"/>
      <c r="T77" s="2883"/>
      <c r="U77" s="2883"/>
      <c r="V77" s="2883"/>
      <c r="W77" s="2883"/>
      <c r="X77" s="2883"/>
      <c r="Y77" s="2883"/>
      <c r="Z77" s="2883"/>
      <c r="AA77" s="2883"/>
      <c r="AB77" s="2883"/>
      <c r="AC77" s="2853">
        <f t="shared" si="6"/>
        <v>7</v>
      </c>
      <c r="AD77" s="3060">
        <f t="shared" si="7"/>
        <v>0</v>
      </c>
      <c r="AE77" s="2853">
        <f t="shared" si="8"/>
        <v>0</v>
      </c>
      <c r="AF77" s="2853">
        <f t="shared" si="9"/>
        <v>7</v>
      </c>
      <c r="AG77" s="2854"/>
      <c r="AH77" s="2854"/>
      <c r="AI77" s="2746"/>
    </row>
    <row r="78" spans="1:35" ht="27.75" customHeight="1">
      <c r="A78" s="2851">
        <v>32</v>
      </c>
      <c r="B78" s="2865" t="s">
        <v>2211</v>
      </c>
      <c r="C78" s="2852"/>
      <c r="D78" s="3364" t="s">
        <v>451</v>
      </c>
      <c r="E78" s="3365" t="s">
        <v>29</v>
      </c>
      <c r="F78" s="3365" t="s">
        <v>29</v>
      </c>
      <c r="G78" s="3365" t="s">
        <v>29</v>
      </c>
      <c r="H78" s="3365" t="s">
        <v>29</v>
      </c>
      <c r="I78" s="3365" t="s">
        <v>29</v>
      </c>
      <c r="J78" s="3365" t="s">
        <v>29</v>
      </c>
      <c r="K78" s="3365" t="s">
        <v>29</v>
      </c>
      <c r="L78" s="3365" t="s">
        <v>29</v>
      </c>
      <c r="M78" s="2851"/>
      <c r="N78" s="2851"/>
      <c r="O78" s="2851"/>
      <c r="P78" s="2851"/>
      <c r="Q78" s="2851"/>
      <c r="R78" s="2851"/>
      <c r="S78" s="2883"/>
      <c r="T78" s="2883"/>
      <c r="U78" s="2883"/>
      <c r="V78" s="2883"/>
      <c r="W78" s="2883"/>
      <c r="X78" s="2883"/>
      <c r="Y78" s="2883"/>
      <c r="Z78" s="2883"/>
      <c r="AA78" s="2883"/>
      <c r="AB78" s="2883"/>
      <c r="AC78" s="2853">
        <f t="shared" si="6"/>
        <v>7</v>
      </c>
      <c r="AD78" s="3060">
        <f t="shared" si="7"/>
        <v>0</v>
      </c>
      <c r="AE78" s="2853">
        <f t="shared" si="8"/>
        <v>0</v>
      </c>
      <c r="AF78" s="2853">
        <f t="shared" si="9"/>
        <v>7</v>
      </c>
      <c r="AG78" s="2854"/>
      <c r="AH78" s="2854"/>
      <c r="AI78" s="2746"/>
    </row>
    <row r="79" spans="1:35" ht="27.75" customHeight="1">
      <c r="A79" s="2858">
        <v>33</v>
      </c>
      <c r="B79" s="2865" t="s">
        <v>2432</v>
      </c>
      <c r="C79" s="2852"/>
      <c r="D79" s="3365" t="s">
        <v>451</v>
      </c>
      <c r="E79" s="3365"/>
      <c r="F79" s="2851"/>
      <c r="G79" s="2851"/>
      <c r="H79" s="2865" t="s">
        <v>29</v>
      </c>
      <c r="I79" s="2865" t="s">
        <v>29</v>
      </c>
      <c r="J79" s="2865" t="s">
        <v>29</v>
      </c>
      <c r="K79" s="2865" t="s">
        <v>29</v>
      </c>
      <c r="L79" s="2865" t="s">
        <v>29</v>
      </c>
      <c r="M79" s="2851"/>
      <c r="N79" s="2851"/>
      <c r="O79" s="2851"/>
      <c r="P79" s="2851"/>
      <c r="Q79" s="2851"/>
      <c r="R79" s="2851"/>
      <c r="S79" s="2883"/>
      <c r="T79" s="2883"/>
      <c r="U79" s="2883"/>
      <c r="V79" s="2883"/>
      <c r="W79" s="2883"/>
      <c r="X79" s="2883"/>
      <c r="Y79" s="2883"/>
      <c r="Z79" s="2883"/>
      <c r="AA79" s="2883"/>
      <c r="AB79" s="2883"/>
      <c r="AC79" s="2853">
        <f t="shared" si="6"/>
        <v>5</v>
      </c>
      <c r="AD79" s="3060">
        <f t="shared" si="7"/>
        <v>0</v>
      </c>
      <c r="AE79" s="2853">
        <f t="shared" si="8"/>
        <v>0</v>
      </c>
      <c r="AF79" s="2853">
        <f t="shared" si="9"/>
        <v>5</v>
      </c>
      <c r="AG79" s="2854"/>
      <c r="AH79" s="2854"/>
      <c r="AI79" s="2746"/>
    </row>
    <row r="80" spans="1:35" ht="27.75" customHeight="1">
      <c r="A80" s="2851">
        <v>34</v>
      </c>
      <c r="B80" s="2865" t="s">
        <v>2433</v>
      </c>
      <c r="C80" s="2852"/>
      <c r="D80" s="3364" t="s">
        <v>451</v>
      </c>
      <c r="E80" s="3364"/>
      <c r="F80" s="2851"/>
      <c r="G80" s="2851"/>
      <c r="H80" s="2865" t="s">
        <v>29</v>
      </c>
      <c r="I80" s="2865" t="s">
        <v>29</v>
      </c>
      <c r="J80" s="2865" t="s">
        <v>29</v>
      </c>
      <c r="K80" s="2865" t="s">
        <v>29</v>
      </c>
      <c r="L80" s="2865" t="s">
        <v>29</v>
      </c>
      <c r="M80" s="2851"/>
      <c r="N80" s="2851"/>
      <c r="O80" s="2851"/>
      <c r="P80" s="2851"/>
      <c r="Q80" s="2851"/>
      <c r="R80" s="2851"/>
      <c r="S80" s="2883"/>
      <c r="T80" s="2883"/>
      <c r="U80" s="2883"/>
      <c r="V80" s="2883"/>
      <c r="W80" s="2883"/>
      <c r="X80" s="2883"/>
      <c r="Y80" s="2883"/>
      <c r="Z80" s="2883"/>
      <c r="AA80" s="2883"/>
      <c r="AB80" s="2883"/>
      <c r="AC80" s="2853">
        <f t="shared" si="6"/>
        <v>5</v>
      </c>
      <c r="AD80" s="3060">
        <f t="shared" si="7"/>
        <v>0</v>
      </c>
      <c r="AE80" s="2853">
        <f t="shared" si="8"/>
        <v>0</v>
      </c>
      <c r="AF80" s="2853">
        <f t="shared" si="9"/>
        <v>5</v>
      </c>
      <c r="AG80" s="2854"/>
      <c r="AH80" s="2854"/>
      <c r="AI80" s="2746"/>
    </row>
    <row r="81" spans="1:35" ht="27.75" customHeight="1">
      <c r="A81" s="2858">
        <v>35</v>
      </c>
      <c r="B81" s="2865" t="s">
        <v>2190</v>
      </c>
      <c r="C81" s="2852"/>
      <c r="D81" s="3365" t="s">
        <v>451</v>
      </c>
      <c r="E81" s="3364"/>
      <c r="F81" s="2851"/>
      <c r="G81" s="2851"/>
      <c r="H81" s="2865" t="s">
        <v>29</v>
      </c>
      <c r="I81" s="2865" t="s">
        <v>29</v>
      </c>
      <c r="J81" s="2865" t="s">
        <v>29</v>
      </c>
      <c r="K81" s="2865" t="s">
        <v>29</v>
      </c>
      <c r="L81" s="2865" t="s">
        <v>29</v>
      </c>
      <c r="M81" s="2883"/>
      <c r="N81" s="2883"/>
      <c r="O81" s="2883"/>
      <c r="P81" s="2851"/>
      <c r="Q81" s="2883"/>
      <c r="R81" s="2883"/>
      <c r="S81" s="2883"/>
      <c r="T81" s="2883"/>
      <c r="U81" s="2883"/>
      <c r="V81" s="2883"/>
      <c r="W81" s="2883"/>
      <c r="X81" s="2883"/>
      <c r="Y81" s="2883"/>
      <c r="Z81" s="2883"/>
      <c r="AA81" s="2883"/>
      <c r="AB81" s="2883"/>
      <c r="AC81" s="2853">
        <f t="shared" si="6"/>
        <v>5</v>
      </c>
      <c r="AD81" s="3060">
        <f t="shared" si="7"/>
        <v>0</v>
      </c>
      <c r="AE81" s="2853">
        <f t="shared" si="8"/>
        <v>0</v>
      </c>
      <c r="AF81" s="2853">
        <f t="shared" si="9"/>
        <v>5</v>
      </c>
      <c r="AG81" s="2854"/>
      <c r="AH81" s="2854"/>
      <c r="AI81" s="2746"/>
    </row>
    <row r="82" spans="1:35" ht="27.75" customHeight="1">
      <c r="A82" s="2851">
        <v>36</v>
      </c>
      <c r="B82" s="2865" t="s">
        <v>2434</v>
      </c>
      <c r="C82" s="2852"/>
      <c r="D82" s="3364" t="s">
        <v>451</v>
      </c>
      <c r="E82" s="3364"/>
      <c r="F82" s="2851"/>
      <c r="G82" s="2851"/>
      <c r="H82" s="2865" t="s">
        <v>29</v>
      </c>
      <c r="I82" s="2865" t="s">
        <v>29</v>
      </c>
      <c r="J82" s="2865" t="s">
        <v>29</v>
      </c>
      <c r="K82" s="2865" t="s">
        <v>29</v>
      </c>
      <c r="L82" s="2865" t="s">
        <v>29</v>
      </c>
      <c r="M82" s="2883"/>
      <c r="N82" s="2883"/>
      <c r="O82" s="2883"/>
      <c r="P82" s="2851"/>
      <c r="Q82" s="2883"/>
      <c r="R82" s="2883"/>
      <c r="S82" s="2883"/>
      <c r="T82" s="2883"/>
      <c r="U82" s="2883"/>
      <c r="V82" s="2883"/>
      <c r="W82" s="2883"/>
      <c r="X82" s="2883"/>
      <c r="Y82" s="2883"/>
      <c r="Z82" s="2883"/>
      <c r="AA82" s="2883"/>
      <c r="AB82" s="2883"/>
      <c r="AC82" s="2853">
        <f t="shared" si="6"/>
        <v>5</v>
      </c>
      <c r="AD82" s="3060">
        <f t="shared" si="7"/>
        <v>0</v>
      </c>
      <c r="AE82" s="2853">
        <f t="shared" si="8"/>
        <v>0</v>
      </c>
      <c r="AF82" s="2853">
        <f t="shared" si="9"/>
        <v>5</v>
      </c>
      <c r="AG82" s="2854"/>
      <c r="AH82" s="2854"/>
      <c r="AI82" s="2746"/>
    </row>
    <row r="83" spans="1:35" ht="27.75" customHeight="1">
      <c r="A83" s="2858">
        <v>37</v>
      </c>
      <c r="B83" s="2865" t="s">
        <v>2435</v>
      </c>
      <c r="C83" s="2852"/>
      <c r="D83" s="3365" t="s">
        <v>451</v>
      </c>
      <c r="E83" s="3364"/>
      <c r="F83" s="2851"/>
      <c r="G83" s="2851"/>
      <c r="H83" s="2865" t="s">
        <v>29</v>
      </c>
      <c r="I83" s="2865" t="s">
        <v>29</v>
      </c>
      <c r="J83" s="2865" t="s">
        <v>29</v>
      </c>
      <c r="K83" s="2865" t="s">
        <v>29</v>
      </c>
      <c r="L83" s="2865" t="s">
        <v>29</v>
      </c>
      <c r="M83" s="2883"/>
      <c r="N83" s="2883"/>
      <c r="O83" s="2883"/>
      <c r="P83" s="2851"/>
      <c r="Q83" s="2883"/>
      <c r="R83" s="2883"/>
      <c r="S83" s="2883"/>
      <c r="T83" s="2883"/>
      <c r="U83" s="2883"/>
      <c r="V83" s="2883"/>
      <c r="W83" s="2883"/>
      <c r="X83" s="2883"/>
      <c r="Y83" s="2883"/>
      <c r="Z83" s="2883"/>
      <c r="AA83" s="2883"/>
      <c r="AB83" s="2883"/>
      <c r="AC83" s="2853">
        <f t="shared" si="6"/>
        <v>5</v>
      </c>
      <c r="AD83" s="3060"/>
      <c r="AE83" s="2853"/>
      <c r="AF83" s="2853">
        <f t="shared" si="9"/>
        <v>5</v>
      </c>
      <c r="AG83" s="2854"/>
      <c r="AH83" s="2854"/>
      <c r="AI83" s="2746"/>
    </row>
    <row r="84" spans="1:35" ht="27.75" customHeight="1">
      <c r="A84" s="2851">
        <v>38</v>
      </c>
      <c r="B84" s="2865" t="s">
        <v>2436</v>
      </c>
      <c r="C84" s="2852"/>
      <c r="D84" s="3364" t="s">
        <v>451</v>
      </c>
      <c r="E84" s="3364"/>
      <c r="F84" s="2851"/>
      <c r="G84" s="2851"/>
      <c r="H84" s="2865" t="s">
        <v>29</v>
      </c>
      <c r="I84" s="2865" t="s">
        <v>29</v>
      </c>
      <c r="J84" s="2865" t="s">
        <v>29</v>
      </c>
      <c r="K84" s="2865" t="s">
        <v>29</v>
      </c>
      <c r="L84" s="2865" t="s">
        <v>29</v>
      </c>
      <c r="M84" s="2883"/>
      <c r="N84" s="2883"/>
      <c r="O84" s="2883"/>
      <c r="P84" s="2851"/>
      <c r="Q84" s="2883"/>
      <c r="R84" s="2883"/>
      <c r="S84" s="2883"/>
      <c r="T84" s="2883"/>
      <c r="U84" s="2883"/>
      <c r="V84" s="2883"/>
      <c r="W84" s="2883"/>
      <c r="X84" s="2883"/>
      <c r="Y84" s="2883"/>
      <c r="Z84" s="2883"/>
      <c r="AA84" s="2883"/>
      <c r="AB84" s="2883"/>
      <c r="AC84" s="2853">
        <f t="shared" si="6"/>
        <v>5</v>
      </c>
      <c r="AD84" s="3060"/>
      <c r="AE84" s="2853"/>
      <c r="AF84" s="2853">
        <f t="shared" si="9"/>
        <v>5</v>
      </c>
      <c r="AG84" s="2854"/>
      <c r="AH84" s="2854"/>
      <c r="AI84" s="2746"/>
    </row>
    <row r="85" spans="1:35" ht="27.75" customHeight="1">
      <c r="A85" s="2858">
        <v>39</v>
      </c>
      <c r="B85" s="2865" t="s">
        <v>2193</v>
      </c>
      <c r="C85" s="2852"/>
      <c r="D85" s="3365" t="s">
        <v>451</v>
      </c>
      <c r="E85" s="3364"/>
      <c r="F85" s="2851"/>
      <c r="G85" s="2851"/>
      <c r="H85" s="2865" t="s">
        <v>29</v>
      </c>
      <c r="I85" s="2865" t="s">
        <v>29</v>
      </c>
      <c r="J85" s="2865" t="s">
        <v>29</v>
      </c>
      <c r="K85" s="2865" t="s">
        <v>29</v>
      </c>
      <c r="L85" s="2865" t="s">
        <v>29</v>
      </c>
      <c r="M85" s="2883"/>
      <c r="N85" s="2883"/>
      <c r="O85" s="2883"/>
      <c r="P85" s="2851"/>
      <c r="Q85" s="2883"/>
      <c r="R85" s="2883"/>
      <c r="S85" s="2883"/>
      <c r="T85" s="2883"/>
      <c r="U85" s="2883"/>
      <c r="V85" s="2883"/>
      <c r="W85" s="2883"/>
      <c r="X85" s="2883"/>
      <c r="Y85" s="2883"/>
      <c r="Z85" s="2883"/>
      <c r="AA85" s="2883"/>
      <c r="AB85" s="2883"/>
      <c r="AC85" s="2853">
        <f t="shared" si="6"/>
        <v>5</v>
      </c>
      <c r="AD85" s="3060"/>
      <c r="AE85" s="2853"/>
      <c r="AF85" s="2853">
        <f t="shared" si="9"/>
        <v>5</v>
      </c>
      <c r="AG85" s="2854"/>
      <c r="AH85" s="2854"/>
      <c r="AI85" s="2746"/>
    </row>
    <row r="86" spans="1:35" ht="27.75" customHeight="1">
      <c r="A86" s="2851">
        <v>40</v>
      </c>
      <c r="B86" s="2865" t="s">
        <v>2437</v>
      </c>
      <c r="C86" s="2852"/>
      <c r="D86" s="3364" t="s">
        <v>451</v>
      </c>
      <c r="E86" s="3364"/>
      <c r="F86" s="2851"/>
      <c r="G86" s="2851"/>
      <c r="H86" s="2865"/>
      <c r="I86" s="2865"/>
      <c r="J86" s="2865"/>
      <c r="K86" s="2865"/>
      <c r="L86" s="2865"/>
      <c r="M86" s="2883"/>
      <c r="N86" s="2883"/>
      <c r="O86" s="2883"/>
      <c r="P86" s="2851" t="s">
        <v>29</v>
      </c>
      <c r="Q86" s="2883" t="s">
        <v>29</v>
      </c>
      <c r="R86" s="2883"/>
      <c r="S86" s="2883"/>
      <c r="T86" s="2883"/>
      <c r="U86" s="2883" t="s">
        <v>29</v>
      </c>
      <c r="V86" s="2883" t="s">
        <v>29</v>
      </c>
      <c r="W86" s="2883" t="s">
        <v>29</v>
      </c>
      <c r="X86" s="2883"/>
      <c r="Y86" s="2883"/>
      <c r="Z86" s="2883"/>
      <c r="AA86" s="2883"/>
      <c r="AB86" s="2883"/>
      <c r="AC86" s="2853">
        <f t="shared" ref="AC86:AC97" si="10">+COUNTIF(F86:AB86,"X")</f>
        <v>5</v>
      </c>
      <c r="AD86" s="3060"/>
      <c r="AE86" s="2853"/>
      <c r="AF86" s="2853">
        <f t="shared" ref="AF86:AF97" si="11">+SUM(AC86:AE86)</f>
        <v>5</v>
      </c>
      <c r="AG86" s="2854"/>
      <c r="AH86" s="2854"/>
      <c r="AI86" s="2746"/>
    </row>
    <row r="87" spans="1:35" ht="27.75" customHeight="1">
      <c r="A87" s="2858">
        <v>41</v>
      </c>
      <c r="B87" s="2865" t="s">
        <v>2213</v>
      </c>
      <c r="C87" s="2852"/>
      <c r="D87" s="3365" t="s">
        <v>451</v>
      </c>
      <c r="E87" s="3364"/>
      <c r="F87" s="2851"/>
      <c r="G87" s="2851"/>
      <c r="H87" s="2865"/>
      <c r="I87" s="2865"/>
      <c r="J87" s="2865"/>
      <c r="K87" s="2865"/>
      <c r="L87" s="2865"/>
      <c r="M87" s="2883"/>
      <c r="N87" s="2883"/>
      <c r="O87" s="2883"/>
      <c r="P87" s="2851" t="s">
        <v>29</v>
      </c>
      <c r="Q87" s="2883" t="s">
        <v>29</v>
      </c>
      <c r="R87" s="2883"/>
      <c r="S87" s="2883"/>
      <c r="T87" s="2883"/>
      <c r="U87" s="2883" t="s">
        <v>29</v>
      </c>
      <c r="V87" s="2883" t="s">
        <v>29</v>
      </c>
      <c r="W87" s="2883" t="s">
        <v>29</v>
      </c>
      <c r="X87" s="2883"/>
      <c r="Y87" s="2883"/>
      <c r="Z87" s="2883"/>
      <c r="AA87" s="2883"/>
      <c r="AB87" s="2883"/>
      <c r="AC87" s="2853">
        <f t="shared" si="10"/>
        <v>5</v>
      </c>
      <c r="AD87" s="3060"/>
      <c r="AE87" s="2853"/>
      <c r="AF87" s="2853">
        <f t="shared" si="11"/>
        <v>5</v>
      </c>
      <c r="AG87" s="2854"/>
      <c r="AH87" s="2854"/>
      <c r="AI87" s="2746"/>
    </row>
    <row r="88" spans="1:35" ht="27.75" customHeight="1">
      <c r="A88" s="2851">
        <v>42</v>
      </c>
      <c r="B88" s="2865" t="s">
        <v>2438</v>
      </c>
      <c r="C88" s="2852"/>
      <c r="D88" s="3364" t="s">
        <v>451</v>
      </c>
      <c r="E88" s="3364"/>
      <c r="F88" s="2851"/>
      <c r="G88" s="2851"/>
      <c r="H88" s="2865"/>
      <c r="I88" s="2865"/>
      <c r="J88" s="2865"/>
      <c r="K88" s="2865"/>
      <c r="L88" s="2865"/>
      <c r="M88" s="2883"/>
      <c r="N88" s="2883"/>
      <c r="O88" s="2883"/>
      <c r="P88" s="2851" t="s">
        <v>29</v>
      </c>
      <c r="Q88" s="2883" t="s">
        <v>29</v>
      </c>
      <c r="R88" s="2883"/>
      <c r="S88" s="2883"/>
      <c r="T88" s="2883"/>
      <c r="U88" s="2883" t="s">
        <v>29</v>
      </c>
      <c r="V88" s="2883" t="s">
        <v>29</v>
      </c>
      <c r="W88" s="2883" t="s">
        <v>29</v>
      </c>
      <c r="X88" s="2883"/>
      <c r="Y88" s="2883"/>
      <c r="Z88" s="2883"/>
      <c r="AA88" s="2883"/>
      <c r="AB88" s="2883"/>
      <c r="AC88" s="2853">
        <f t="shared" si="10"/>
        <v>5</v>
      </c>
      <c r="AD88" s="3060"/>
      <c r="AE88" s="2853"/>
      <c r="AF88" s="2853">
        <f t="shared" si="11"/>
        <v>5</v>
      </c>
      <c r="AG88" s="2854"/>
      <c r="AH88" s="2854"/>
      <c r="AI88" s="2746"/>
    </row>
    <row r="89" spans="1:35" ht="27.75" customHeight="1">
      <c r="A89" s="2858">
        <v>43</v>
      </c>
      <c r="B89" s="2865" t="s">
        <v>2439</v>
      </c>
      <c r="C89" s="2852"/>
      <c r="D89" s="3365" t="s">
        <v>451</v>
      </c>
      <c r="E89" s="3364"/>
      <c r="F89" s="2851"/>
      <c r="G89" s="2851"/>
      <c r="H89" s="2865"/>
      <c r="I89" s="2865"/>
      <c r="J89" s="2865"/>
      <c r="K89" s="2865"/>
      <c r="L89" s="2865"/>
      <c r="M89" s="2883"/>
      <c r="N89" s="2883"/>
      <c r="O89" s="2883"/>
      <c r="P89" s="2851" t="s">
        <v>29</v>
      </c>
      <c r="Q89" s="2883" t="s">
        <v>29</v>
      </c>
      <c r="R89" s="2883"/>
      <c r="S89" s="2883"/>
      <c r="T89" s="2883"/>
      <c r="U89" s="2883" t="s">
        <v>29</v>
      </c>
      <c r="V89" s="2883" t="s">
        <v>29</v>
      </c>
      <c r="W89" s="2883" t="s">
        <v>29</v>
      </c>
      <c r="X89" s="2883"/>
      <c r="Y89" s="2883"/>
      <c r="Z89" s="2883"/>
      <c r="AA89" s="2883"/>
      <c r="AB89" s="2883"/>
      <c r="AC89" s="2853">
        <f t="shared" si="10"/>
        <v>5</v>
      </c>
      <c r="AD89" s="3060"/>
      <c r="AE89" s="2853"/>
      <c r="AF89" s="2853">
        <f t="shared" si="11"/>
        <v>5</v>
      </c>
      <c r="AG89" s="2854"/>
      <c r="AH89" s="2854"/>
      <c r="AI89" s="2746"/>
    </row>
    <row r="90" spans="1:35" ht="27.75" customHeight="1">
      <c r="A90" s="2851">
        <v>44</v>
      </c>
      <c r="B90" s="2865" t="s">
        <v>307</v>
      </c>
      <c r="C90" s="2852"/>
      <c r="D90" s="3364" t="s">
        <v>451</v>
      </c>
      <c r="E90" s="3364"/>
      <c r="F90" s="2851"/>
      <c r="G90" s="2851"/>
      <c r="H90" s="2865"/>
      <c r="I90" s="2865"/>
      <c r="J90" s="2865"/>
      <c r="K90" s="2865"/>
      <c r="L90" s="2865"/>
      <c r="M90" s="2883"/>
      <c r="N90" s="2883"/>
      <c r="O90" s="2883"/>
      <c r="P90" s="2851" t="s">
        <v>29</v>
      </c>
      <c r="Q90" s="2883" t="s">
        <v>29</v>
      </c>
      <c r="R90" s="2883"/>
      <c r="S90" s="2883"/>
      <c r="T90" s="2883"/>
      <c r="U90" s="2883" t="s">
        <v>29</v>
      </c>
      <c r="V90" s="2883" t="s">
        <v>29</v>
      </c>
      <c r="W90" s="2883" t="s">
        <v>29</v>
      </c>
      <c r="X90" s="2883"/>
      <c r="Y90" s="2883"/>
      <c r="Z90" s="2883"/>
      <c r="AA90" s="2883"/>
      <c r="AB90" s="2883"/>
      <c r="AC90" s="2853">
        <f t="shared" si="10"/>
        <v>5</v>
      </c>
      <c r="AD90" s="3060"/>
      <c r="AE90" s="2853"/>
      <c r="AF90" s="2853">
        <f t="shared" si="11"/>
        <v>5</v>
      </c>
      <c r="AG90" s="2854"/>
      <c r="AH90" s="2854"/>
      <c r="AI90" s="2746"/>
    </row>
    <row r="91" spans="1:35" ht="27.75" customHeight="1">
      <c r="A91" s="2858">
        <v>45</v>
      </c>
      <c r="B91" s="2865" t="s">
        <v>2440</v>
      </c>
      <c r="C91" s="2852"/>
      <c r="D91" s="3365" t="s">
        <v>451</v>
      </c>
      <c r="E91" s="3364"/>
      <c r="F91" s="2851"/>
      <c r="G91" s="2851"/>
      <c r="H91" s="2865"/>
      <c r="I91" s="2865"/>
      <c r="J91" s="2865"/>
      <c r="K91" s="2865"/>
      <c r="L91" s="2865"/>
      <c r="M91" s="2883"/>
      <c r="N91" s="2883"/>
      <c r="O91" s="2883"/>
      <c r="P91" s="2851" t="s">
        <v>29</v>
      </c>
      <c r="Q91" s="2883" t="s">
        <v>29</v>
      </c>
      <c r="R91" s="2883"/>
      <c r="S91" s="2883"/>
      <c r="T91" s="2883"/>
      <c r="U91" s="2883" t="s">
        <v>29</v>
      </c>
      <c r="V91" s="2883" t="s">
        <v>29</v>
      </c>
      <c r="W91" s="2883" t="s">
        <v>29</v>
      </c>
      <c r="X91" s="2883"/>
      <c r="Y91" s="2883"/>
      <c r="Z91" s="2883"/>
      <c r="AA91" s="2883"/>
      <c r="AB91" s="2883"/>
      <c r="AC91" s="2853">
        <f t="shared" si="10"/>
        <v>5</v>
      </c>
      <c r="AD91" s="3060"/>
      <c r="AE91" s="2853"/>
      <c r="AF91" s="2853">
        <f t="shared" si="11"/>
        <v>5</v>
      </c>
      <c r="AG91" s="2854"/>
      <c r="AH91" s="2854"/>
      <c r="AI91" s="2746"/>
    </row>
    <row r="92" spans="1:35" ht="27.75" customHeight="1">
      <c r="A92" s="2851">
        <v>46</v>
      </c>
      <c r="B92" s="2865" t="s">
        <v>2217</v>
      </c>
      <c r="C92" s="2852"/>
      <c r="D92" s="3364" t="s">
        <v>451</v>
      </c>
      <c r="E92" s="3364"/>
      <c r="F92" s="2851"/>
      <c r="G92" s="2851"/>
      <c r="H92" s="2865"/>
      <c r="I92" s="2865"/>
      <c r="J92" s="2865"/>
      <c r="K92" s="2865"/>
      <c r="L92" s="2865"/>
      <c r="M92" s="2883" t="s">
        <v>29</v>
      </c>
      <c r="N92" s="2883" t="s">
        <v>29</v>
      </c>
      <c r="O92" s="2883" t="s">
        <v>29</v>
      </c>
      <c r="P92" s="2851"/>
      <c r="Q92" s="2883"/>
      <c r="R92" s="2883"/>
      <c r="S92" s="2883"/>
      <c r="T92" s="2883"/>
      <c r="U92" s="2883" t="s">
        <v>29</v>
      </c>
      <c r="V92" s="2883"/>
      <c r="W92" s="2883"/>
      <c r="X92" s="2883"/>
      <c r="Y92" s="2883"/>
      <c r="Z92" s="2883"/>
      <c r="AA92" s="2883"/>
      <c r="AB92" s="2883"/>
      <c r="AC92" s="2853">
        <f t="shared" si="10"/>
        <v>4</v>
      </c>
      <c r="AD92" s="3060"/>
      <c r="AE92" s="2853"/>
      <c r="AF92" s="2853">
        <f t="shared" si="11"/>
        <v>4</v>
      </c>
      <c r="AG92" s="2854"/>
      <c r="AH92" s="2854"/>
      <c r="AI92" s="2746"/>
    </row>
    <row r="93" spans="1:35" ht="27.75" customHeight="1">
      <c r="A93" s="2858">
        <v>47</v>
      </c>
      <c r="B93" s="2865" t="s">
        <v>2441</v>
      </c>
      <c r="C93" s="2852"/>
      <c r="D93" s="3365" t="s">
        <v>451</v>
      </c>
      <c r="E93" s="3364"/>
      <c r="F93" s="2851"/>
      <c r="G93" s="2851"/>
      <c r="H93" s="2865"/>
      <c r="I93" s="2865"/>
      <c r="J93" s="2865"/>
      <c r="K93" s="2865"/>
      <c r="L93" s="2865"/>
      <c r="M93" s="2883" t="s">
        <v>29</v>
      </c>
      <c r="N93" s="2883" t="s">
        <v>29</v>
      </c>
      <c r="O93" s="2883" t="s">
        <v>29</v>
      </c>
      <c r="P93" s="2851"/>
      <c r="Q93" s="2883"/>
      <c r="R93" s="2883"/>
      <c r="S93" s="2883"/>
      <c r="T93" s="2883"/>
      <c r="U93" s="2883" t="s">
        <v>29</v>
      </c>
      <c r="V93" s="2883"/>
      <c r="W93" s="2883"/>
      <c r="X93" s="2883"/>
      <c r="Y93" s="2883"/>
      <c r="Z93" s="2883"/>
      <c r="AA93" s="2883"/>
      <c r="AB93" s="2883"/>
      <c r="AC93" s="2853">
        <f t="shared" si="10"/>
        <v>4</v>
      </c>
      <c r="AD93" s="3060"/>
      <c r="AE93" s="2853"/>
      <c r="AF93" s="2853">
        <f t="shared" si="11"/>
        <v>4</v>
      </c>
      <c r="AG93" s="2854"/>
      <c r="AH93" s="2854"/>
      <c r="AI93" s="2746"/>
    </row>
    <row r="94" spans="1:35" ht="27.75" customHeight="1">
      <c r="A94" s="2851">
        <v>48</v>
      </c>
      <c r="B94" s="2865" t="s">
        <v>2219</v>
      </c>
      <c r="C94" s="2852"/>
      <c r="D94" s="3364" t="s">
        <v>451</v>
      </c>
      <c r="E94" s="3364"/>
      <c r="F94" s="2851"/>
      <c r="G94" s="2851"/>
      <c r="H94" s="2865"/>
      <c r="I94" s="2865"/>
      <c r="J94" s="2865"/>
      <c r="K94" s="2865"/>
      <c r="L94" s="2865"/>
      <c r="M94" s="2883" t="s">
        <v>29</v>
      </c>
      <c r="N94" s="2883" t="s">
        <v>29</v>
      </c>
      <c r="O94" s="2883" t="s">
        <v>29</v>
      </c>
      <c r="P94" s="2851"/>
      <c r="Q94" s="2883"/>
      <c r="R94" s="2883"/>
      <c r="S94" s="2883"/>
      <c r="T94" s="2883"/>
      <c r="U94" s="2883" t="s">
        <v>29</v>
      </c>
      <c r="V94" s="2883"/>
      <c r="W94" s="2883"/>
      <c r="X94" s="2883"/>
      <c r="Y94" s="2883"/>
      <c r="Z94" s="2883"/>
      <c r="AA94" s="2883"/>
      <c r="AB94" s="2883"/>
      <c r="AC94" s="2853">
        <f t="shared" si="10"/>
        <v>4</v>
      </c>
      <c r="AD94" s="3060"/>
      <c r="AE94" s="2853"/>
      <c r="AF94" s="2853">
        <f t="shared" si="11"/>
        <v>4</v>
      </c>
      <c r="AG94" s="2854"/>
      <c r="AH94" s="2854"/>
      <c r="AI94" s="2746"/>
    </row>
    <row r="95" spans="1:35" ht="27.75" customHeight="1">
      <c r="A95" s="2858">
        <v>49</v>
      </c>
      <c r="B95" s="2865" t="s">
        <v>2220</v>
      </c>
      <c r="C95" s="2852"/>
      <c r="D95" s="3365" t="s">
        <v>451</v>
      </c>
      <c r="E95" s="3364"/>
      <c r="F95" s="2851"/>
      <c r="G95" s="2851"/>
      <c r="H95" s="2865"/>
      <c r="I95" s="2865"/>
      <c r="J95" s="2865"/>
      <c r="K95" s="2865"/>
      <c r="L95" s="2865"/>
      <c r="M95" s="2883" t="s">
        <v>29</v>
      </c>
      <c r="N95" s="2883" t="s">
        <v>29</v>
      </c>
      <c r="O95" s="2883" t="s">
        <v>29</v>
      </c>
      <c r="P95" s="2851"/>
      <c r="Q95" s="2883"/>
      <c r="R95" s="2883"/>
      <c r="S95" s="2883"/>
      <c r="T95" s="2883"/>
      <c r="U95" s="2883" t="s">
        <v>29</v>
      </c>
      <c r="V95" s="2883"/>
      <c r="W95" s="2883"/>
      <c r="X95" s="2883"/>
      <c r="Y95" s="2883"/>
      <c r="Z95" s="2883"/>
      <c r="AA95" s="2883"/>
      <c r="AB95" s="2883"/>
      <c r="AC95" s="2853">
        <f t="shared" si="10"/>
        <v>4</v>
      </c>
      <c r="AD95" s="3060"/>
      <c r="AE95" s="2853"/>
      <c r="AF95" s="2853">
        <f t="shared" si="11"/>
        <v>4</v>
      </c>
      <c r="AG95" s="2854"/>
      <c r="AH95" s="2854"/>
      <c r="AI95" s="2746"/>
    </row>
    <row r="96" spans="1:35" ht="27.75" customHeight="1">
      <c r="A96" s="2851">
        <v>52</v>
      </c>
      <c r="B96" s="2865" t="s">
        <v>2230</v>
      </c>
      <c r="C96" s="2852"/>
      <c r="D96" s="3364" t="s">
        <v>451</v>
      </c>
      <c r="E96" s="3364"/>
      <c r="F96" s="2851"/>
      <c r="G96" s="2851"/>
      <c r="H96" s="2851"/>
      <c r="I96" s="2851"/>
      <c r="J96" s="2851"/>
      <c r="K96" s="2851"/>
      <c r="L96" s="2851"/>
      <c r="M96" s="2883"/>
      <c r="N96" s="2883"/>
      <c r="O96" s="2883"/>
      <c r="P96" s="2851"/>
      <c r="Q96" s="2883"/>
      <c r="R96" s="2883"/>
      <c r="S96" s="2883"/>
      <c r="T96" s="2883"/>
      <c r="U96" s="2883"/>
      <c r="V96" s="2883"/>
      <c r="W96" s="2883"/>
      <c r="X96" s="2851" t="s">
        <v>29</v>
      </c>
      <c r="Y96" s="2851" t="s">
        <v>29</v>
      </c>
      <c r="Z96" s="2851" t="s">
        <v>29</v>
      </c>
      <c r="AA96" s="2851" t="s">
        <v>29</v>
      </c>
      <c r="AB96" s="2851" t="s">
        <v>29</v>
      </c>
      <c r="AC96" s="2853">
        <f t="shared" si="10"/>
        <v>5</v>
      </c>
      <c r="AD96" s="3060"/>
      <c r="AE96" s="2853"/>
      <c r="AF96" s="2853">
        <f t="shared" si="11"/>
        <v>5</v>
      </c>
      <c r="AG96" s="2854"/>
      <c r="AH96" s="2854"/>
      <c r="AI96" s="2746"/>
    </row>
    <row r="97" spans="1:36" ht="27.75" customHeight="1">
      <c r="A97" s="2858">
        <v>53</v>
      </c>
      <c r="B97" s="2865" t="s">
        <v>2231</v>
      </c>
      <c r="C97" s="2852"/>
      <c r="D97" s="3365" t="s">
        <v>451</v>
      </c>
      <c r="E97" s="3774"/>
      <c r="F97" s="3775"/>
      <c r="G97" s="3775"/>
      <c r="H97" s="3775"/>
      <c r="I97" s="3775"/>
      <c r="J97" s="3775"/>
      <c r="K97" s="3775"/>
      <c r="L97" s="3775"/>
      <c r="M97" s="2883"/>
      <c r="N97" s="2883"/>
      <c r="O97" s="2883"/>
      <c r="P97" s="2851"/>
      <c r="Q97" s="2883"/>
      <c r="R97" s="2883"/>
      <c r="S97" s="2883"/>
      <c r="T97" s="2883"/>
      <c r="U97" s="2883"/>
      <c r="V97" s="2883"/>
      <c r="W97" s="2883"/>
      <c r="X97" s="2851" t="s">
        <v>29</v>
      </c>
      <c r="Y97" s="2851" t="s">
        <v>29</v>
      </c>
      <c r="Z97" s="2851" t="s">
        <v>29</v>
      </c>
      <c r="AA97" s="2851" t="s">
        <v>29</v>
      </c>
      <c r="AB97" s="2851" t="s">
        <v>29</v>
      </c>
      <c r="AC97" s="2853">
        <f t="shared" si="10"/>
        <v>5</v>
      </c>
      <c r="AD97" s="3060">
        <f>+COUNTIF(F97:AB97,"D")</f>
        <v>0</v>
      </c>
      <c r="AE97" s="2853">
        <f>+COUNTIF(F97:AB97,"DCN")</f>
        <v>0</v>
      </c>
      <c r="AF97" s="2853">
        <f t="shared" si="11"/>
        <v>5</v>
      </c>
      <c r="AG97" s="2854"/>
      <c r="AH97" s="2854"/>
      <c r="AI97" s="2746"/>
    </row>
    <row r="98" spans="1:36" ht="27.75" customHeight="1">
      <c r="A98" s="3910" t="s">
        <v>1863</v>
      </c>
      <c r="B98" s="3911"/>
      <c r="C98" s="2866"/>
      <c r="D98" s="3180"/>
      <c r="E98" s="3180"/>
      <c r="F98" s="3182">
        <f t="shared" ref="F98:Q98" si="12">COUNTIF(F47:F97,"X")+COUNTIF(F47:F97,"cn")+COUNTIF(F47:F97,"D")+COUNTIF(F47:F97,"DCN")</f>
        <v>10</v>
      </c>
      <c r="G98" s="3182">
        <f t="shared" si="12"/>
        <v>10</v>
      </c>
      <c r="H98" s="3182">
        <f t="shared" si="12"/>
        <v>19</v>
      </c>
      <c r="I98" s="3182">
        <f t="shared" si="12"/>
        <v>31</v>
      </c>
      <c r="J98" s="3182">
        <f t="shared" si="12"/>
        <v>31</v>
      </c>
      <c r="K98" s="3182">
        <f t="shared" si="12"/>
        <v>34</v>
      </c>
      <c r="L98" s="3182">
        <f t="shared" si="12"/>
        <v>34</v>
      </c>
      <c r="M98" s="3182">
        <f t="shared" si="12"/>
        <v>26</v>
      </c>
      <c r="N98" s="3182">
        <f t="shared" si="12"/>
        <v>26</v>
      </c>
      <c r="O98" s="3182">
        <f t="shared" si="12"/>
        <v>25</v>
      </c>
      <c r="P98" s="3182">
        <f t="shared" si="12"/>
        <v>9</v>
      </c>
      <c r="Q98" s="3182">
        <f t="shared" si="12"/>
        <v>10</v>
      </c>
      <c r="R98" s="3182">
        <f t="shared" ref="R98:AB98" si="13">COUNTIF(R47:R97,"X")+COUNTIF(R47:R97,"cn")+COUNTIF(R47:R97,"D")+COUNTIF(R47:R97,"DCN")</f>
        <v>0</v>
      </c>
      <c r="S98" s="3182">
        <f t="shared" si="13"/>
        <v>0</v>
      </c>
      <c r="T98" s="3182">
        <f t="shared" si="13"/>
        <v>0</v>
      </c>
      <c r="U98" s="3182">
        <f t="shared" si="13"/>
        <v>10</v>
      </c>
      <c r="V98" s="3182">
        <f t="shared" si="13"/>
        <v>6</v>
      </c>
      <c r="W98" s="3182">
        <f t="shared" si="13"/>
        <v>6</v>
      </c>
      <c r="X98" s="3182">
        <f t="shared" si="13"/>
        <v>2</v>
      </c>
      <c r="Y98" s="3182">
        <f t="shared" si="13"/>
        <v>2</v>
      </c>
      <c r="Z98" s="3182">
        <f t="shared" si="13"/>
        <v>2</v>
      </c>
      <c r="AA98" s="3182">
        <f t="shared" si="13"/>
        <v>2</v>
      </c>
      <c r="AB98" s="3182">
        <f t="shared" si="13"/>
        <v>2</v>
      </c>
      <c r="AC98" s="3182">
        <f>+SUBTOTAL(9,AC47:AC97)</f>
        <v>297</v>
      </c>
      <c r="AD98" s="3182">
        <f>+SUBTOTAL(9,AD47:AD97)</f>
        <v>0</v>
      </c>
      <c r="AE98" s="3182">
        <f>+SUBTOTAL(9,AE47:AE97)</f>
        <v>0</v>
      </c>
      <c r="AF98" s="3182">
        <f>+SUBTOTAL(9,AF47:AF97)</f>
        <v>297</v>
      </c>
      <c r="AG98" s="2868" t="e">
        <f>+SUBTOTAL(9,AG12:AG81)</f>
        <v>#N/A</v>
      </c>
      <c r="AH98" s="2869" t="e">
        <f>+SUBTOTAL(9,AH12:AH81)</f>
        <v>#N/A</v>
      </c>
      <c r="AI98" s="2856"/>
      <c r="AJ98" s="2857">
        <f>+AF98+AF46</f>
        <v>595</v>
      </c>
    </row>
    <row r="99" spans="1:36" ht="27.75" customHeight="1">
      <c r="A99" s="2871">
        <v>1</v>
      </c>
      <c r="B99" s="2808" t="s">
        <v>2443</v>
      </c>
      <c r="C99" s="2872"/>
      <c r="D99" s="3486" t="s">
        <v>452</v>
      </c>
      <c r="E99" s="3486"/>
      <c r="F99" s="2871"/>
      <c r="G99" s="2871"/>
      <c r="H99" s="2871"/>
      <c r="I99" s="2871"/>
      <c r="J99" s="2871" t="s">
        <v>29</v>
      </c>
      <c r="K99" s="2871" t="s">
        <v>29</v>
      </c>
      <c r="L99" s="2871" t="s">
        <v>29</v>
      </c>
      <c r="M99" s="2871" t="s">
        <v>29</v>
      </c>
      <c r="N99" s="2871" t="s">
        <v>29</v>
      </c>
      <c r="O99" s="2871" t="s">
        <v>29</v>
      </c>
      <c r="P99" s="2871" t="s">
        <v>29</v>
      </c>
      <c r="Q99" s="2871" t="s">
        <v>29</v>
      </c>
      <c r="R99" s="2871"/>
      <c r="S99" s="2871"/>
      <c r="T99" s="2871"/>
      <c r="U99" s="2871"/>
      <c r="V99" s="2871"/>
      <c r="W99" s="2871"/>
      <c r="X99" s="2871"/>
      <c r="Y99" s="2871"/>
      <c r="Z99" s="2871"/>
      <c r="AA99" s="2871"/>
      <c r="AB99" s="2871"/>
      <c r="AC99" s="2873">
        <f t="shared" ref="AC99:AC146" si="14">+COUNTIF(F99:AB99,"X")</f>
        <v>8</v>
      </c>
      <c r="AD99" s="3059">
        <f t="shared" ref="AD99:AD146" si="15">+COUNTIF(F99:AB99,"D")</f>
        <v>0</v>
      </c>
      <c r="AE99" s="2874">
        <f t="shared" ref="AE99:AE146" si="16">+COUNTIF(F99:AB99,"DCN")</f>
        <v>0</v>
      </c>
      <c r="AF99" s="2873">
        <f t="shared" ref="AF99:AF146" si="17">SUM(AC99:AE99)</f>
        <v>8</v>
      </c>
      <c r="AG99" s="3487" t="e">
        <f>+VLOOKUP(C99,[1]Sheet1!$D$9:$E$122,2,0)</f>
        <v>#N/A</v>
      </c>
      <c r="AH99" s="3487" t="e">
        <f t="shared" ref="AH99:AH127" si="18">+IF(AG99=B99,"0","1")</f>
        <v>#N/A</v>
      </c>
      <c r="AI99" s="2875"/>
    </row>
    <row r="100" spans="1:36" ht="27.75" customHeight="1">
      <c r="A100" s="2851">
        <v>2</v>
      </c>
      <c r="B100" s="2812" t="s">
        <v>2442</v>
      </c>
      <c r="C100" s="2852"/>
      <c r="D100" s="3364" t="s">
        <v>452</v>
      </c>
      <c r="E100" s="3364"/>
      <c r="F100" s="2851"/>
      <c r="G100" s="2851"/>
      <c r="H100" s="2851"/>
      <c r="I100" s="2851"/>
      <c r="J100" s="2851" t="s">
        <v>29</v>
      </c>
      <c r="K100" s="2851" t="s">
        <v>29</v>
      </c>
      <c r="L100" s="2851" t="s">
        <v>29</v>
      </c>
      <c r="M100" s="2851" t="s">
        <v>29</v>
      </c>
      <c r="N100" s="2851" t="s">
        <v>29</v>
      </c>
      <c r="O100" s="2851" t="s">
        <v>29</v>
      </c>
      <c r="P100" s="2851" t="s">
        <v>29</v>
      </c>
      <c r="Q100" s="2851" t="s">
        <v>29</v>
      </c>
      <c r="R100" s="2851"/>
      <c r="S100" s="2851"/>
      <c r="T100" s="2851"/>
      <c r="U100" s="2851"/>
      <c r="V100" s="2851"/>
      <c r="W100" s="2851"/>
      <c r="X100" s="2851"/>
      <c r="Y100" s="2851"/>
      <c r="Z100" s="2851"/>
      <c r="AA100" s="2851"/>
      <c r="AB100" s="2851"/>
      <c r="AC100" s="2745">
        <f t="shared" si="14"/>
        <v>8</v>
      </c>
      <c r="AD100" s="3060">
        <f t="shared" si="15"/>
        <v>0</v>
      </c>
      <c r="AE100" s="2853">
        <f t="shared" si="16"/>
        <v>0</v>
      </c>
      <c r="AF100" s="2745">
        <f t="shared" si="17"/>
        <v>8</v>
      </c>
      <c r="AG100" s="2854" t="e">
        <f>+VLOOKUP(C100,[1]Sheet1!$D$9:$E$122,2,0)</f>
        <v>#N/A</v>
      </c>
      <c r="AH100" s="2854" t="e">
        <f t="shared" si="18"/>
        <v>#N/A</v>
      </c>
      <c r="AI100" s="2746"/>
    </row>
    <row r="101" spans="1:36" ht="27.75" customHeight="1">
      <c r="A101" s="2851">
        <v>3</v>
      </c>
      <c r="B101" s="2812" t="s">
        <v>1491</v>
      </c>
      <c r="C101" s="2852"/>
      <c r="D101" s="3364" t="s">
        <v>452</v>
      </c>
      <c r="E101" s="3364"/>
      <c r="F101" s="2851"/>
      <c r="G101" s="2851"/>
      <c r="H101" s="2851"/>
      <c r="I101" s="2851"/>
      <c r="J101" s="2851" t="s">
        <v>29</v>
      </c>
      <c r="K101" s="2851" t="s">
        <v>29</v>
      </c>
      <c r="L101" s="2851" t="s">
        <v>29</v>
      </c>
      <c r="M101" s="2851" t="s">
        <v>29</v>
      </c>
      <c r="N101" s="2851" t="s">
        <v>29</v>
      </c>
      <c r="O101" s="2851" t="s">
        <v>29</v>
      </c>
      <c r="P101" s="2851" t="s">
        <v>29</v>
      </c>
      <c r="Q101" s="2851" t="s">
        <v>29</v>
      </c>
      <c r="R101" s="2851"/>
      <c r="S101" s="2851"/>
      <c r="T101" s="2851"/>
      <c r="U101" s="2851"/>
      <c r="V101" s="2851"/>
      <c r="W101" s="2851"/>
      <c r="X101" s="2851"/>
      <c r="Y101" s="2851"/>
      <c r="Z101" s="2851"/>
      <c r="AA101" s="2851"/>
      <c r="AB101" s="2851"/>
      <c r="AC101" s="2745">
        <f t="shared" si="14"/>
        <v>8</v>
      </c>
      <c r="AD101" s="3060">
        <f t="shared" si="15"/>
        <v>0</v>
      </c>
      <c r="AE101" s="2853">
        <f t="shared" si="16"/>
        <v>0</v>
      </c>
      <c r="AF101" s="2745">
        <f t="shared" si="17"/>
        <v>8</v>
      </c>
      <c r="AG101" s="2854" t="e">
        <f>+VLOOKUP(C101,[1]Sheet1!$D$9:$E$122,2,0)</f>
        <v>#N/A</v>
      </c>
      <c r="AH101" s="2854" t="e">
        <f t="shared" si="18"/>
        <v>#N/A</v>
      </c>
      <c r="AI101" s="2746"/>
    </row>
    <row r="102" spans="1:36" ht="27.75" customHeight="1">
      <c r="A102" s="2851">
        <v>4</v>
      </c>
      <c r="B102" s="2812" t="s">
        <v>1492</v>
      </c>
      <c r="C102" s="2852"/>
      <c r="D102" s="3364" t="s">
        <v>452</v>
      </c>
      <c r="E102" s="3364"/>
      <c r="F102" s="2851"/>
      <c r="G102" s="2851"/>
      <c r="H102" s="2851"/>
      <c r="I102" s="2851"/>
      <c r="J102" s="2851" t="s">
        <v>29</v>
      </c>
      <c r="K102" s="2851" t="s">
        <v>29</v>
      </c>
      <c r="L102" s="2851" t="s">
        <v>29</v>
      </c>
      <c r="M102" s="2851" t="s">
        <v>29</v>
      </c>
      <c r="N102" s="2851" t="s">
        <v>29</v>
      </c>
      <c r="O102" s="2851" t="s">
        <v>29</v>
      </c>
      <c r="P102" s="2851" t="s">
        <v>29</v>
      </c>
      <c r="Q102" s="2851" t="s">
        <v>29</v>
      </c>
      <c r="R102" s="2851"/>
      <c r="S102" s="2851"/>
      <c r="T102" s="2851"/>
      <c r="U102" s="2851"/>
      <c r="V102" s="2851"/>
      <c r="W102" s="2851"/>
      <c r="X102" s="2851"/>
      <c r="Y102" s="2851"/>
      <c r="Z102" s="2851"/>
      <c r="AA102" s="2851"/>
      <c r="AB102" s="2851"/>
      <c r="AC102" s="2745">
        <f t="shared" si="14"/>
        <v>8</v>
      </c>
      <c r="AD102" s="3060">
        <f t="shared" si="15"/>
        <v>0</v>
      </c>
      <c r="AE102" s="2853">
        <f t="shared" si="16"/>
        <v>0</v>
      </c>
      <c r="AF102" s="2745">
        <f t="shared" si="17"/>
        <v>8</v>
      </c>
      <c r="AG102" s="2854" t="e">
        <f>+VLOOKUP(C102,[1]Sheet1!$D$9:$E$122,2,0)</f>
        <v>#N/A</v>
      </c>
      <c r="AH102" s="2854" t="e">
        <f t="shared" si="18"/>
        <v>#N/A</v>
      </c>
      <c r="AI102" s="2746"/>
    </row>
    <row r="103" spans="1:36" ht="27.75" customHeight="1">
      <c r="A103" s="2851">
        <v>5</v>
      </c>
      <c r="B103" s="2812" t="s">
        <v>2444</v>
      </c>
      <c r="C103" s="2852"/>
      <c r="D103" s="3364" t="s">
        <v>452</v>
      </c>
      <c r="E103" s="3364"/>
      <c r="F103" s="2851"/>
      <c r="G103" s="2851"/>
      <c r="H103" s="2851"/>
      <c r="I103" s="2851"/>
      <c r="J103" s="2851" t="s">
        <v>29</v>
      </c>
      <c r="K103" s="2851" t="s">
        <v>29</v>
      </c>
      <c r="L103" s="2851" t="s">
        <v>29</v>
      </c>
      <c r="M103" s="2851"/>
      <c r="N103" s="2851" t="s">
        <v>29</v>
      </c>
      <c r="O103" s="2851"/>
      <c r="P103" s="2851" t="s">
        <v>29</v>
      </c>
      <c r="Q103" s="2851" t="s">
        <v>29</v>
      </c>
      <c r="R103" s="2851"/>
      <c r="S103" s="2851"/>
      <c r="T103" s="2851"/>
      <c r="U103" s="2851"/>
      <c r="V103" s="2851"/>
      <c r="W103" s="2851"/>
      <c r="X103" s="2851"/>
      <c r="Y103" s="2851"/>
      <c r="Z103" s="2851"/>
      <c r="AA103" s="2851"/>
      <c r="AB103" s="2851"/>
      <c r="AC103" s="2745">
        <f t="shared" si="14"/>
        <v>6</v>
      </c>
      <c r="AD103" s="3060">
        <f t="shared" si="15"/>
        <v>0</v>
      </c>
      <c r="AE103" s="2853">
        <f t="shared" si="16"/>
        <v>0</v>
      </c>
      <c r="AF103" s="2745">
        <f t="shared" si="17"/>
        <v>6</v>
      </c>
      <c r="AG103" s="2854" t="e">
        <f>+VLOOKUP(C103,[1]Sheet1!$D$9:$E$122,2,0)</f>
        <v>#N/A</v>
      </c>
      <c r="AH103" s="2854" t="e">
        <f t="shared" si="18"/>
        <v>#N/A</v>
      </c>
      <c r="AI103" s="2746"/>
    </row>
    <row r="104" spans="1:36" ht="27.75" customHeight="1">
      <c r="A104" s="2851">
        <v>6</v>
      </c>
      <c r="B104" s="2812" t="s">
        <v>1229</v>
      </c>
      <c r="C104" s="2852"/>
      <c r="D104" s="3364" t="s">
        <v>452</v>
      </c>
      <c r="E104" s="3364"/>
      <c r="F104" s="2851"/>
      <c r="G104" s="2851"/>
      <c r="H104" s="2851"/>
      <c r="I104" s="2851"/>
      <c r="J104" s="2851" t="s">
        <v>29</v>
      </c>
      <c r="K104" s="2851" t="s">
        <v>29</v>
      </c>
      <c r="L104" s="2851" t="s">
        <v>29</v>
      </c>
      <c r="M104" s="2851" t="s">
        <v>29</v>
      </c>
      <c r="N104" s="2851" t="s">
        <v>29</v>
      </c>
      <c r="O104" s="2851" t="s">
        <v>29</v>
      </c>
      <c r="P104" s="2851" t="s">
        <v>29</v>
      </c>
      <c r="Q104" s="2851" t="s">
        <v>29</v>
      </c>
      <c r="R104" s="2851"/>
      <c r="S104" s="2851"/>
      <c r="T104" s="2851"/>
      <c r="U104" s="2851"/>
      <c r="V104" s="2851"/>
      <c r="W104" s="2851"/>
      <c r="X104" s="2851"/>
      <c r="Y104" s="2851"/>
      <c r="Z104" s="2851"/>
      <c r="AA104" s="2851"/>
      <c r="AB104" s="2851"/>
      <c r="AC104" s="2745">
        <f t="shared" si="14"/>
        <v>8</v>
      </c>
      <c r="AD104" s="3060">
        <f t="shared" si="15"/>
        <v>0</v>
      </c>
      <c r="AE104" s="2853">
        <f t="shared" si="16"/>
        <v>0</v>
      </c>
      <c r="AF104" s="2745">
        <f t="shared" si="17"/>
        <v>8</v>
      </c>
      <c r="AG104" s="2854" t="e">
        <f>+VLOOKUP(C104,[1]Sheet1!$D$9:$E$122,2,0)</f>
        <v>#N/A</v>
      </c>
      <c r="AH104" s="2854" t="e">
        <f t="shared" si="18"/>
        <v>#N/A</v>
      </c>
      <c r="AI104" s="2746"/>
    </row>
    <row r="105" spans="1:36" ht="27.75" customHeight="1">
      <c r="A105" s="2851">
        <v>7</v>
      </c>
      <c r="B105" s="2812" t="s">
        <v>327</v>
      </c>
      <c r="C105" s="2852"/>
      <c r="D105" s="3364" t="s">
        <v>452</v>
      </c>
      <c r="E105" s="3364"/>
      <c r="F105" s="2851"/>
      <c r="G105" s="2851"/>
      <c r="H105" s="2851"/>
      <c r="I105" s="2851"/>
      <c r="J105" s="2851" t="s">
        <v>29</v>
      </c>
      <c r="K105" s="2851" t="s">
        <v>29</v>
      </c>
      <c r="L105" s="2851" t="s">
        <v>29</v>
      </c>
      <c r="M105" s="2851" t="s">
        <v>29</v>
      </c>
      <c r="N105" s="2851" t="s">
        <v>29</v>
      </c>
      <c r="O105" s="2851" t="s">
        <v>29</v>
      </c>
      <c r="P105" s="2851" t="s">
        <v>29</v>
      </c>
      <c r="Q105" s="2851" t="s">
        <v>29</v>
      </c>
      <c r="R105" s="2851"/>
      <c r="S105" s="2851"/>
      <c r="T105" s="2851"/>
      <c r="U105" s="2851"/>
      <c r="V105" s="2851"/>
      <c r="W105" s="2851"/>
      <c r="X105" s="2851"/>
      <c r="Y105" s="2851"/>
      <c r="Z105" s="2851"/>
      <c r="AA105" s="2851"/>
      <c r="AB105" s="2851"/>
      <c r="AC105" s="2745">
        <f t="shared" si="14"/>
        <v>8</v>
      </c>
      <c r="AD105" s="3060">
        <f t="shared" si="15"/>
        <v>0</v>
      </c>
      <c r="AE105" s="2853">
        <f t="shared" si="16"/>
        <v>0</v>
      </c>
      <c r="AF105" s="2745">
        <f t="shared" si="17"/>
        <v>8</v>
      </c>
      <c r="AG105" s="2854" t="e">
        <f>+VLOOKUP(C105,[1]Sheet1!$D$9:$E$122,2,0)</f>
        <v>#N/A</v>
      </c>
      <c r="AH105" s="2854" t="e">
        <f t="shared" si="18"/>
        <v>#N/A</v>
      </c>
      <c r="AI105" s="2746"/>
    </row>
    <row r="106" spans="1:36" ht="27.75" customHeight="1">
      <c r="A106" s="2851">
        <v>8</v>
      </c>
      <c r="B106" s="2812" t="s">
        <v>1697</v>
      </c>
      <c r="C106" s="2852"/>
      <c r="D106" s="3364" t="s">
        <v>452</v>
      </c>
      <c r="E106" s="3364"/>
      <c r="F106" s="2851"/>
      <c r="G106" s="2851"/>
      <c r="H106" s="2851"/>
      <c r="I106" s="2851"/>
      <c r="J106" s="2851" t="s">
        <v>29</v>
      </c>
      <c r="K106" s="2851" t="s">
        <v>29</v>
      </c>
      <c r="L106" s="2851" t="s">
        <v>29</v>
      </c>
      <c r="M106" s="2851" t="s">
        <v>29</v>
      </c>
      <c r="N106" s="2851" t="s">
        <v>29</v>
      </c>
      <c r="O106" s="2851" t="s">
        <v>29</v>
      </c>
      <c r="P106" s="2851" t="s">
        <v>29</v>
      </c>
      <c r="Q106" s="2851" t="s">
        <v>29</v>
      </c>
      <c r="R106" s="2851" t="s">
        <v>29</v>
      </c>
      <c r="S106" s="2851"/>
      <c r="T106" s="2851"/>
      <c r="U106" s="2851"/>
      <c r="V106" s="2851"/>
      <c r="W106" s="2851"/>
      <c r="X106" s="2851"/>
      <c r="Y106" s="2851"/>
      <c r="Z106" s="2851"/>
      <c r="AA106" s="2851"/>
      <c r="AB106" s="2851"/>
      <c r="AC106" s="2745">
        <f t="shared" si="14"/>
        <v>9</v>
      </c>
      <c r="AD106" s="3060">
        <f t="shared" si="15"/>
        <v>0</v>
      </c>
      <c r="AE106" s="2853">
        <f t="shared" si="16"/>
        <v>0</v>
      </c>
      <c r="AF106" s="2745">
        <f t="shared" si="17"/>
        <v>9</v>
      </c>
      <c r="AG106" s="2854" t="e">
        <f>+VLOOKUP(C106,[1]Sheet1!$D$9:$E$122,2,0)</f>
        <v>#N/A</v>
      </c>
      <c r="AH106" s="2854" t="e">
        <f t="shared" si="18"/>
        <v>#N/A</v>
      </c>
      <c r="AI106" s="2746"/>
    </row>
    <row r="107" spans="1:36" ht="27.75" customHeight="1">
      <c r="A107" s="2851">
        <v>9</v>
      </c>
      <c r="B107" s="2812" t="s">
        <v>2445</v>
      </c>
      <c r="C107" s="2852"/>
      <c r="D107" s="3364" t="s">
        <v>452</v>
      </c>
      <c r="E107" s="3364"/>
      <c r="F107" s="2851"/>
      <c r="G107" s="2851"/>
      <c r="H107" s="2851"/>
      <c r="I107" s="2851"/>
      <c r="J107" s="2851" t="s">
        <v>29</v>
      </c>
      <c r="K107" s="2851" t="s">
        <v>29</v>
      </c>
      <c r="L107" s="2851" t="s">
        <v>29</v>
      </c>
      <c r="M107" s="2851" t="s">
        <v>29</v>
      </c>
      <c r="N107" s="2851" t="s">
        <v>29</v>
      </c>
      <c r="O107" s="2851" t="s">
        <v>29</v>
      </c>
      <c r="P107" s="2851" t="s">
        <v>29</v>
      </c>
      <c r="Q107" s="2851" t="s">
        <v>29</v>
      </c>
      <c r="R107" s="2851"/>
      <c r="S107" s="2851"/>
      <c r="T107" s="2851"/>
      <c r="U107" s="2851"/>
      <c r="V107" s="2851"/>
      <c r="W107" s="2851"/>
      <c r="X107" s="2851"/>
      <c r="Y107" s="2851"/>
      <c r="Z107" s="2851"/>
      <c r="AA107" s="2851"/>
      <c r="AB107" s="2851"/>
      <c r="AC107" s="2745">
        <f t="shared" si="14"/>
        <v>8</v>
      </c>
      <c r="AD107" s="3060">
        <f t="shared" si="15"/>
        <v>0</v>
      </c>
      <c r="AE107" s="2853">
        <f t="shared" si="16"/>
        <v>0</v>
      </c>
      <c r="AF107" s="2745">
        <f t="shared" si="17"/>
        <v>8</v>
      </c>
      <c r="AG107" s="2854" t="e">
        <f>+VLOOKUP(C107,[1]Sheet1!$D$9:$E$122,2,0)</f>
        <v>#N/A</v>
      </c>
      <c r="AH107" s="2854" t="e">
        <f t="shared" si="18"/>
        <v>#N/A</v>
      </c>
      <c r="AI107" s="2746"/>
    </row>
    <row r="108" spans="1:36" ht="27.75" customHeight="1">
      <c r="A108" s="2851">
        <v>10</v>
      </c>
      <c r="B108" s="2812" t="s">
        <v>1700</v>
      </c>
      <c r="C108" s="2852"/>
      <c r="D108" s="3364" t="s">
        <v>452</v>
      </c>
      <c r="E108" s="3364"/>
      <c r="F108" s="2851"/>
      <c r="G108" s="2851"/>
      <c r="H108" s="2851"/>
      <c r="I108" s="2851"/>
      <c r="J108" s="2851" t="s">
        <v>29</v>
      </c>
      <c r="K108" s="2851" t="s">
        <v>29</v>
      </c>
      <c r="L108" s="2851" t="s">
        <v>29</v>
      </c>
      <c r="M108" s="2851" t="s">
        <v>29</v>
      </c>
      <c r="N108" s="2851" t="s">
        <v>29</v>
      </c>
      <c r="O108" s="2851" t="s">
        <v>29</v>
      </c>
      <c r="P108" s="2851" t="s">
        <v>29</v>
      </c>
      <c r="Q108" s="2851" t="s">
        <v>29</v>
      </c>
      <c r="R108" s="2851"/>
      <c r="S108" s="2851"/>
      <c r="T108" s="2851"/>
      <c r="U108" s="2851"/>
      <c r="V108" s="2851"/>
      <c r="W108" s="2851"/>
      <c r="X108" s="2851"/>
      <c r="Y108" s="2851"/>
      <c r="Z108" s="2851"/>
      <c r="AA108" s="2851"/>
      <c r="AB108" s="2851"/>
      <c r="AC108" s="2745">
        <f t="shared" si="14"/>
        <v>8</v>
      </c>
      <c r="AD108" s="3060">
        <f t="shared" si="15"/>
        <v>0</v>
      </c>
      <c r="AE108" s="2853">
        <f t="shared" si="16"/>
        <v>0</v>
      </c>
      <c r="AF108" s="2745">
        <f t="shared" si="17"/>
        <v>8</v>
      </c>
      <c r="AG108" s="2854" t="e">
        <f>+VLOOKUP(C108,[1]Sheet1!$D$9:$E$122,2,0)</f>
        <v>#N/A</v>
      </c>
      <c r="AH108" s="2854" t="e">
        <f t="shared" si="18"/>
        <v>#N/A</v>
      </c>
      <c r="AI108" s="2746"/>
    </row>
    <row r="109" spans="1:36" ht="27.75" customHeight="1">
      <c r="A109" s="2851">
        <v>11</v>
      </c>
      <c r="B109" s="2812" t="s">
        <v>1698</v>
      </c>
      <c r="C109" s="2852"/>
      <c r="D109" s="3364" t="s">
        <v>452</v>
      </c>
      <c r="E109" s="3364"/>
      <c r="F109" s="2851"/>
      <c r="G109" s="2851"/>
      <c r="H109" s="2851"/>
      <c r="I109" s="2851"/>
      <c r="J109" s="2851" t="s">
        <v>29</v>
      </c>
      <c r="K109" s="2851" t="s">
        <v>29</v>
      </c>
      <c r="L109" s="2851" t="s">
        <v>29</v>
      </c>
      <c r="M109" s="2851" t="s">
        <v>29</v>
      </c>
      <c r="N109" s="2851" t="s">
        <v>29</v>
      </c>
      <c r="O109" s="2851" t="s">
        <v>29</v>
      </c>
      <c r="P109" s="2851" t="s">
        <v>29</v>
      </c>
      <c r="Q109" s="2851" t="s">
        <v>29</v>
      </c>
      <c r="R109" s="2851"/>
      <c r="S109" s="2851"/>
      <c r="T109" s="2851"/>
      <c r="U109" s="2851"/>
      <c r="V109" s="2851"/>
      <c r="W109" s="2851"/>
      <c r="X109" s="2851"/>
      <c r="Y109" s="2851"/>
      <c r="Z109" s="2851"/>
      <c r="AA109" s="2851"/>
      <c r="AB109" s="2851"/>
      <c r="AC109" s="2745">
        <f t="shared" si="14"/>
        <v>8</v>
      </c>
      <c r="AD109" s="3060">
        <f t="shared" si="15"/>
        <v>0</v>
      </c>
      <c r="AE109" s="2853">
        <f t="shared" si="16"/>
        <v>0</v>
      </c>
      <c r="AF109" s="2745">
        <f t="shared" si="17"/>
        <v>8</v>
      </c>
      <c r="AG109" s="2854" t="e">
        <f>+VLOOKUP(C109,[1]Sheet1!$D$9:$E$122,2,0)</f>
        <v>#N/A</v>
      </c>
      <c r="AH109" s="2854" t="e">
        <f t="shared" si="18"/>
        <v>#N/A</v>
      </c>
      <c r="AI109" s="2746"/>
    </row>
    <row r="110" spans="1:36" ht="27.75" customHeight="1">
      <c r="A110" s="2851">
        <v>12</v>
      </c>
      <c r="B110" s="2812" t="s">
        <v>1504</v>
      </c>
      <c r="C110" s="2852"/>
      <c r="D110" s="3364" t="s">
        <v>452</v>
      </c>
      <c r="E110" s="3364"/>
      <c r="F110" s="2851"/>
      <c r="G110" s="2851"/>
      <c r="H110" s="2851"/>
      <c r="I110" s="2851"/>
      <c r="J110" s="2851" t="s">
        <v>29</v>
      </c>
      <c r="K110" s="2851" t="s">
        <v>29</v>
      </c>
      <c r="L110" s="2851"/>
      <c r="M110" s="2851"/>
      <c r="N110" s="2851"/>
      <c r="O110" s="2851"/>
      <c r="P110" s="2851"/>
      <c r="Q110" s="2851" t="s">
        <v>29</v>
      </c>
      <c r="R110" s="2851"/>
      <c r="S110" s="2851"/>
      <c r="T110" s="2851"/>
      <c r="U110" s="2851"/>
      <c r="V110" s="2851"/>
      <c r="W110" s="2851"/>
      <c r="X110" s="2851"/>
      <c r="Y110" s="2851"/>
      <c r="Z110" s="2851"/>
      <c r="AA110" s="2851"/>
      <c r="AB110" s="2851"/>
      <c r="AC110" s="2745">
        <f t="shared" si="14"/>
        <v>3</v>
      </c>
      <c r="AD110" s="3060">
        <f t="shared" si="15"/>
        <v>0</v>
      </c>
      <c r="AE110" s="2853">
        <f t="shared" si="16"/>
        <v>0</v>
      </c>
      <c r="AF110" s="2745">
        <f t="shared" si="17"/>
        <v>3</v>
      </c>
      <c r="AG110" s="2854" t="e">
        <f>+VLOOKUP(C110,[1]Sheet1!$D$9:$E$122,2,0)</f>
        <v>#N/A</v>
      </c>
      <c r="AH110" s="2854" t="e">
        <f t="shared" si="18"/>
        <v>#N/A</v>
      </c>
      <c r="AI110" s="2746"/>
    </row>
    <row r="111" spans="1:36" ht="27.75" customHeight="1">
      <c r="A111" s="2851">
        <v>13</v>
      </c>
      <c r="B111" s="2812" t="s">
        <v>2446</v>
      </c>
      <c r="C111" s="2852"/>
      <c r="D111" s="3364" t="s">
        <v>452</v>
      </c>
      <c r="E111" s="3364"/>
      <c r="F111" s="2851"/>
      <c r="G111" s="2851"/>
      <c r="H111" s="2851"/>
      <c r="I111" s="2851"/>
      <c r="J111" s="2851" t="s">
        <v>29</v>
      </c>
      <c r="K111" s="2851" t="s">
        <v>29</v>
      </c>
      <c r="L111" s="2851" t="s">
        <v>29</v>
      </c>
      <c r="M111" s="2851" t="s">
        <v>29</v>
      </c>
      <c r="N111" s="2851" t="s">
        <v>29</v>
      </c>
      <c r="O111" s="2851" t="s">
        <v>29</v>
      </c>
      <c r="P111" s="2851" t="s">
        <v>29</v>
      </c>
      <c r="Q111" s="2851" t="s">
        <v>29</v>
      </c>
      <c r="R111" s="2851"/>
      <c r="S111" s="2851"/>
      <c r="T111" s="2851"/>
      <c r="U111" s="2851"/>
      <c r="V111" s="2851"/>
      <c r="W111" s="2851"/>
      <c r="X111" s="2851"/>
      <c r="Y111" s="2851"/>
      <c r="Z111" s="2851"/>
      <c r="AA111" s="2851"/>
      <c r="AB111" s="2851"/>
      <c r="AC111" s="2745">
        <f t="shared" si="14"/>
        <v>8</v>
      </c>
      <c r="AD111" s="3060">
        <f t="shared" si="15"/>
        <v>0</v>
      </c>
      <c r="AE111" s="2853">
        <f t="shared" si="16"/>
        <v>0</v>
      </c>
      <c r="AF111" s="2745">
        <f t="shared" si="17"/>
        <v>8</v>
      </c>
      <c r="AG111" s="2854" t="e">
        <f>+VLOOKUP(C111,[1]Sheet1!$D$9:$E$122,2,0)</f>
        <v>#N/A</v>
      </c>
      <c r="AH111" s="2854" t="e">
        <f t="shared" si="18"/>
        <v>#N/A</v>
      </c>
      <c r="AI111" s="2746"/>
    </row>
    <row r="112" spans="1:36" ht="27.75" customHeight="1">
      <c r="A112" s="2851">
        <v>14</v>
      </c>
      <c r="B112" s="2812" t="s">
        <v>565</v>
      </c>
      <c r="C112" s="2852"/>
      <c r="D112" s="3364" t="s">
        <v>452</v>
      </c>
      <c r="E112" s="3364"/>
      <c r="F112" s="2851"/>
      <c r="G112" s="2851"/>
      <c r="H112" s="2851"/>
      <c r="I112" s="2851"/>
      <c r="J112" s="2851" t="s">
        <v>29</v>
      </c>
      <c r="K112" s="2851"/>
      <c r="L112" s="2851"/>
      <c r="M112" s="2851"/>
      <c r="N112" s="2851"/>
      <c r="O112" s="2851" t="s">
        <v>29</v>
      </c>
      <c r="P112" s="2851" t="s">
        <v>29</v>
      </c>
      <c r="Q112" s="2851" t="s">
        <v>29</v>
      </c>
      <c r="R112" s="2851"/>
      <c r="S112" s="2851"/>
      <c r="T112" s="2851"/>
      <c r="U112" s="2851"/>
      <c r="V112" s="2851"/>
      <c r="W112" s="2851"/>
      <c r="X112" s="2851"/>
      <c r="Y112" s="2851"/>
      <c r="Z112" s="2851"/>
      <c r="AA112" s="2851"/>
      <c r="AB112" s="2851"/>
      <c r="AC112" s="2745">
        <f t="shared" si="14"/>
        <v>4</v>
      </c>
      <c r="AD112" s="3060">
        <f t="shared" si="15"/>
        <v>0</v>
      </c>
      <c r="AE112" s="2853">
        <f t="shared" si="16"/>
        <v>0</v>
      </c>
      <c r="AF112" s="2745">
        <f t="shared" si="17"/>
        <v>4</v>
      </c>
      <c r="AG112" s="2854" t="e">
        <f>+VLOOKUP(C112,[1]Sheet1!$D$9:$E$122,2,0)</f>
        <v>#N/A</v>
      </c>
      <c r="AH112" s="2854" t="e">
        <f t="shared" si="18"/>
        <v>#N/A</v>
      </c>
      <c r="AI112" s="2746"/>
    </row>
    <row r="113" spans="1:35" ht="27.75" customHeight="1">
      <c r="A113" s="2851">
        <v>15</v>
      </c>
      <c r="B113" s="2812" t="s">
        <v>2447</v>
      </c>
      <c r="C113" s="2852"/>
      <c r="D113" s="3364" t="s">
        <v>452</v>
      </c>
      <c r="E113" s="3364"/>
      <c r="F113" s="2851"/>
      <c r="G113" s="2851"/>
      <c r="H113" s="2851"/>
      <c r="I113" s="2851"/>
      <c r="J113" s="2851" t="s">
        <v>29</v>
      </c>
      <c r="K113" s="2851" t="s">
        <v>29</v>
      </c>
      <c r="L113" s="2851"/>
      <c r="M113" s="2851" t="s">
        <v>29</v>
      </c>
      <c r="N113" s="2851"/>
      <c r="O113" s="2851" t="s">
        <v>29</v>
      </c>
      <c r="P113" s="2851" t="s">
        <v>29</v>
      </c>
      <c r="Q113" s="2851" t="s">
        <v>29</v>
      </c>
      <c r="R113" s="2851"/>
      <c r="S113" s="2851"/>
      <c r="T113" s="2851"/>
      <c r="U113" s="2851"/>
      <c r="V113" s="2851"/>
      <c r="W113" s="2851"/>
      <c r="X113" s="2851"/>
      <c r="Y113" s="2851"/>
      <c r="Z113" s="2851"/>
      <c r="AA113" s="2851"/>
      <c r="AB113" s="2851"/>
      <c r="AC113" s="2745">
        <f t="shared" si="14"/>
        <v>6</v>
      </c>
      <c r="AD113" s="3060">
        <f t="shared" si="15"/>
        <v>0</v>
      </c>
      <c r="AE113" s="2853">
        <f t="shared" si="16"/>
        <v>0</v>
      </c>
      <c r="AF113" s="2745">
        <f t="shared" si="17"/>
        <v>6</v>
      </c>
      <c r="AG113" s="2854" t="e">
        <f>+VLOOKUP(C113,[1]Sheet1!$D$9:$E$122,2,0)</f>
        <v>#N/A</v>
      </c>
      <c r="AH113" s="2854" t="e">
        <f t="shared" si="18"/>
        <v>#N/A</v>
      </c>
      <c r="AI113" s="2746"/>
    </row>
    <row r="114" spans="1:35" ht="27.75" customHeight="1">
      <c r="A114" s="2851">
        <v>16</v>
      </c>
      <c r="B114" s="2812" t="s">
        <v>2448</v>
      </c>
      <c r="C114" s="2852"/>
      <c r="D114" s="3364" t="s">
        <v>452</v>
      </c>
      <c r="E114" s="3364"/>
      <c r="F114" s="2851"/>
      <c r="G114" s="2851"/>
      <c r="H114" s="2851"/>
      <c r="I114" s="2851"/>
      <c r="J114" s="2851" t="s">
        <v>29</v>
      </c>
      <c r="K114" s="2851" t="s">
        <v>29</v>
      </c>
      <c r="L114" s="2851" t="s">
        <v>29</v>
      </c>
      <c r="M114" s="2851" t="s">
        <v>29</v>
      </c>
      <c r="N114" s="2851" t="s">
        <v>29</v>
      </c>
      <c r="O114" s="2851"/>
      <c r="P114" s="2851"/>
      <c r="Q114" s="2851" t="s">
        <v>29</v>
      </c>
      <c r="R114" s="2851"/>
      <c r="S114" s="2851"/>
      <c r="T114" s="2851"/>
      <c r="U114" s="2851"/>
      <c r="V114" s="2851"/>
      <c r="W114" s="2851"/>
      <c r="X114" s="2851"/>
      <c r="Y114" s="2851"/>
      <c r="Z114" s="2851"/>
      <c r="AA114" s="2851"/>
      <c r="AB114" s="2851"/>
      <c r="AC114" s="2745">
        <f t="shared" si="14"/>
        <v>6</v>
      </c>
      <c r="AD114" s="3060">
        <f t="shared" si="15"/>
        <v>0</v>
      </c>
      <c r="AE114" s="2853">
        <f t="shared" si="16"/>
        <v>0</v>
      </c>
      <c r="AF114" s="2745">
        <f t="shared" si="17"/>
        <v>6</v>
      </c>
      <c r="AG114" s="2854" t="e">
        <f>+VLOOKUP(C114,[1]Sheet1!$D$9:$E$122,2,0)</f>
        <v>#N/A</v>
      </c>
      <c r="AH114" s="2854" t="e">
        <f t="shared" si="18"/>
        <v>#N/A</v>
      </c>
      <c r="AI114" s="2746"/>
    </row>
    <row r="115" spans="1:35" ht="27.75" customHeight="1">
      <c r="A115" s="2851">
        <v>17</v>
      </c>
      <c r="B115" s="2812" t="s">
        <v>2449</v>
      </c>
      <c r="C115" s="2852"/>
      <c r="D115" s="3364" t="s">
        <v>452</v>
      </c>
      <c r="E115" s="3364"/>
      <c r="F115" s="2851"/>
      <c r="G115" s="2851"/>
      <c r="H115" s="2851"/>
      <c r="I115" s="2851"/>
      <c r="J115" s="2851" t="s">
        <v>29</v>
      </c>
      <c r="K115" s="2851" t="s">
        <v>29</v>
      </c>
      <c r="L115" s="2851"/>
      <c r="M115" s="2851" t="s">
        <v>29</v>
      </c>
      <c r="N115" s="2851"/>
      <c r="O115" s="2851"/>
      <c r="P115" s="2851" t="s">
        <v>29</v>
      </c>
      <c r="Q115" s="2851" t="s">
        <v>29</v>
      </c>
      <c r="R115" s="2851"/>
      <c r="S115" s="2851"/>
      <c r="T115" s="2851"/>
      <c r="U115" s="2851"/>
      <c r="V115" s="2851"/>
      <c r="W115" s="2851"/>
      <c r="X115" s="2851"/>
      <c r="Y115" s="2851"/>
      <c r="Z115" s="2851"/>
      <c r="AA115" s="2851"/>
      <c r="AB115" s="2851"/>
      <c r="AC115" s="2745">
        <f t="shared" si="14"/>
        <v>5</v>
      </c>
      <c r="AD115" s="3060">
        <f t="shared" si="15"/>
        <v>0</v>
      </c>
      <c r="AE115" s="2853">
        <f t="shared" si="16"/>
        <v>0</v>
      </c>
      <c r="AF115" s="2745">
        <f t="shared" si="17"/>
        <v>5</v>
      </c>
      <c r="AG115" s="2854" t="e">
        <f>+VLOOKUP(C115,[1]Sheet1!$D$9:$E$122,2,0)</f>
        <v>#N/A</v>
      </c>
      <c r="AH115" s="2854" t="e">
        <f t="shared" si="18"/>
        <v>#N/A</v>
      </c>
      <c r="AI115" s="2746"/>
    </row>
    <row r="116" spans="1:35" ht="27.75" customHeight="1">
      <c r="A116" s="2851">
        <v>18</v>
      </c>
      <c r="B116" s="2812" t="s">
        <v>2450</v>
      </c>
      <c r="C116" s="2852"/>
      <c r="D116" s="3364" t="s">
        <v>452</v>
      </c>
      <c r="E116" s="3364"/>
      <c r="F116" s="2851"/>
      <c r="G116" s="2851"/>
      <c r="H116" s="2851"/>
      <c r="I116" s="2851"/>
      <c r="J116" s="2851" t="s">
        <v>29</v>
      </c>
      <c r="K116" s="2851" t="s">
        <v>29</v>
      </c>
      <c r="L116" s="2851" t="s">
        <v>29</v>
      </c>
      <c r="M116" s="2851" t="s">
        <v>29</v>
      </c>
      <c r="N116" s="2851" t="s">
        <v>29</v>
      </c>
      <c r="O116" s="2851"/>
      <c r="P116" s="2851" t="s">
        <v>29</v>
      </c>
      <c r="Q116" s="2851" t="s">
        <v>29</v>
      </c>
      <c r="R116" s="2851"/>
      <c r="S116" s="2851"/>
      <c r="T116" s="2851"/>
      <c r="U116" s="2851"/>
      <c r="V116" s="2851"/>
      <c r="W116" s="2851"/>
      <c r="X116" s="2851"/>
      <c r="Y116" s="2851"/>
      <c r="Z116" s="2851"/>
      <c r="AA116" s="2851"/>
      <c r="AB116" s="2851"/>
      <c r="AC116" s="2745">
        <f t="shared" si="14"/>
        <v>7</v>
      </c>
      <c r="AD116" s="3060">
        <f t="shared" si="15"/>
        <v>0</v>
      </c>
      <c r="AE116" s="2853">
        <f t="shared" si="16"/>
        <v>0</v>
      </c>
      <c r="AF116" s="2745">
        <f t="shared" si="17"/>
        <v>7</v>
      </c>
      <c r="AG116" s="2854" t="e">
        <f>+VLOOKUP(C116,[1]Sheet1!$D$9:$E$122,2,0)</f>
        <v>#N/A</v>
      </c>
      <c r="AH116" s="2854" t="e">
        <f t="shared" si="18"/>
        <v>#N/A</v>
      </c>
      <c r="AI116" s="2746"/>
    </row>
    <row r="117" spans="1:35" ht="27.75" customHeight="1">
      <c r="A117" s="2851">
        <v>19</v>
      </c>
      <c r="B117" s="2812" t="s">
        <v>2451</v>
      </c>
      <c r="C117" s="2852"/>
      <c r="D117" s="3364" t="s">
        <v>452</v>
      </c>
      <c r="E117" s="3364"/>
      <c r="F117" s="2851"/>
      <c r="G117" s="2851"/>
      <c r="H117" s="2851"/>
      <c r="I117" s="2851"/>
      <c r="J117" s="2851" t="s">
        <v>29</v>
      </c>
      <c r="K117" s="2851" t="s">
        <v>29</v>
      </c>
      <c r="L117" s="2851" t="s">
        <v>29</v>
      </c>
      <c r="M117" s="2851" t="s">
        <v>29</v>
      </c>
      <c r="N117" s="2851" t="s">
        <v>29</v>
      </c>
      <c r="O117" s="2851" t="s">
        <v>29</v>
      </c>
      <c r="P117" s="2851" t="s">
        <v>29</v>
      </c>
      <c r="Q117" s="2851" t="s">
        <v>29</v>
      </c>
      <c r="R117" s="2851" t="s">
        <v>29</v>
      </c>
      <c r="S117" s="2851"/>
      <c r="T117" s="2851"/>
      <c r="U117" s="2851"/>
      <c r="V117" s="2851"/>
      <c r="W117" s="2851"/>
      <c r="X117" s="2851"/>
      <c r="Y117" s="2851"/>
      <c r="Z117" s="2851"/>
      <c r="AA117" s="2851"/>
      <c r="AB117" s="2851"/>
      <c r="AC117" s="2745">
        <f t="shared" si="14"/>
        <v>9</v>
      </c>
      <c r="AD117" s="3060">
        <f t="shared" si="15"/>
        <v>0</v>
      </c>
      <c r="AE117" s="2853">
        <f t="shared" si="16"/>
        <v>0</v>
      </c>
      <c r="AF117" s="2745">
        <f t="shared" si="17"/>
        <v>9</v>
      </c>
      <c r="AG117" s="2854" t="e">
        <f>+VLOOKUP(C117,[1]Sheet1!$D$9:$E$122,2,0)</f>
        <v>#N/A</v>
      </c>
      <c r="AH117" s="2854" t="e">
        <f t="shared" si="18"/>
        <v>#N/A</v>
      </c>
      <c r="AI117" s="2746"/>
    </row>
    <row r="118" spans="1:35" ht="27.75" customHeight="1">
      <c r="A118" s="2851">
        <v>20</v>
      </c>
      <c r="B118" s="2812" t="s">
        <v>2273</v>
      </c>
      <c r="C118" s="2852"/>
      <c r="D118" s="3364" t="s">
        <v>452</v>
      </c>
      <c r="E118" s="3364"/>
      <c r="F118" s="2851"/>
      <c r="G118" s="2851"/>
      <c r="H118" s="2851"/>
      <c r="I118" s="2851"/>
      <c r="J118" s="2851" t="s">
        <v>29</v>
      </c>
      <c r="K118" s="2851" t="s">
        <v>29</v>
      </c>
      <c r="L118" s="2851" t="s">
        <v>29</v>
      </c>
      <c r="M118" s="2851" t="s">
        <v>29</v>
      </c>
      <c r="N118" s="2851" t="s">
        <v>29</v>
      </c>
      <c r="O118" s="2851"/>
      <c r="P118" s="2851" t="s">
        <v>29</v>
      </c>
      <c r="Q118" s="2851" t="s">
        <v>29</v>
      </c>
      <c r="R118" s="2851"/>
      <c r="S118" s="2851"/>
      <c r="T118" s="2851"/>
      <c r="U118" s="2851"/>
      <c r="V118" s="2851"/>
      <c r="W118" s="2851"/>
      <c r="X118" s="2851"/>
      <c r="Y118" s="2851"/>
      <c r="Z118" s="2851"/>
      <c r="AA118" s="2851"/>
      <c r="AB118" s="2851"/>
      <c r="AC118" s="2745">
        <f t="shared" si="14"/>
        <v>7</v>
      </c>
      <c r="AD118" s="3060">
        <f t="shared" si="15"/>
        <v>0</v>
      </c>
      <c r="AE118" s="2853">
        <f t="shared" si="16"/>
        <v>0</v>
      </c>
      <c r="AF118" s="2745">
        <f t="shared" si="17"/>
        <v>7</v>
      </c>
      <c r="AG118" s="2854" t="e">
        <f>+VLOOKUP(C118,[1]Sheet1!$D$9:$E$122,2,0)</f>
        <v>#N/A</v>
      </c>
      <c r="AH118" s="2854" t="e">
        <f t="shared" si="18"/>
        <v>#N/A</v>
      </c>
      <c r="AI118" s="2746"/>
    </row>
    <row r="119" spans="1:35" ht="27.75" customHeight="1">
      <c r="A119" s="2851">
        <v>21</v>
      </c>
      <c r="B119" s="2812" t="s">
        <v>570</v>
      </c>
      <c r="C119" s="2852"/>
      <c r="D119" s="3364" t="s">
        <v>452</v>
      </c>
      <c r="E119" s="3364"/>
      <c r="F119" s="2851"/>
      <c r="G119" s="2851"/>
      <c r="H119" s="2851"/>
      <c r="I119" s="2851"/>
      <c r="J119" s="2851" t="s">
        <v>29</v>
      </c>
      <c r="K119" s="2851" t="s">
        <v>29</v>
      </c>
      <c r="L119" s="2851" t="s">
        <v>29</v>
      </c>
      <c r="M119" s="2851" t="s">
        <v>29</v>
      </c>
      <c r="N119" s="2851" t="s">
        <v>29</v>
      </c>
      <c r="O119" s="2851"/>
      <c r="P119" s="2851" t="s">
        <v>29</v>
      </c>
      <c r="Q119" s="2851" t="s">
        <v>29</v>
      </c>
      <c r="R119" s="2851"/>
      <c r="S119" s="2851"/>
      <c r="T119" s="2851"/>
      <c r="U119" s="2851"/>
      <c r="V119" s="2851"/>
      <c r="W119" s="2851"/>
      <c r="X119" s="2851"/>
      <c r="Y119" s="2851"/>
      <c r="Z119" s="2851"/>
      <c r="AA119" s="2851"/>
      <c r="AB119" s="2851"/>
      <c r="AC119" s="2745">
        <f t="shared" si="14"/>
        <v>7</v>
      </c>
      <c r="AD119" s="3060">
        <f t="shared" si="15"/>
        <v>0</v>
      </c>
      <c r="AE119" s="2853">
        <f t="shared" si="16"/>
        <v>0</v>
      </c>
      <c r="AF119" s="2745">
        <f t="shared" si="17"/>
        <v>7</v>
      </c>
      <c r="AG119" s="2854" t="e">
        <f>+VLOOKUP(C119,[1]Sheet1!$D$9:$E$122,2,0)</f>
        <v>#N/A</v>
      </c>
      <c r="AH119" s="2854" t="e">
        <f t="shared" si="18"/>
        <v>#N/A</v>
      </c>
      <c r="AI119" s="2746"/>
    </row>
    <row r="120" spans="1:35" ht="27.75" customHeight="1">
      <c r="A120" s="2851">
        <v>22</v>
      </c>
      <c r="B120" s="2812" t="s">
        <v>1713</v>
      </c>
      <c r="C120" s="2852"/>
      <c r="D120" s="3364" t="s">
        <v>452</v>
      </c>
      <c r="E120" s="3364"/>
      <c r="F120" s="2851"/>
      <c r="G120" s="2851"/>
      <c r="H120" s="2851"/>
      <c r="I120" s="2851"/>
      <c r="J120" s="2851" t="s">
        <v>29</v>
      </c>
      <c r="K120" s="2851" t="s">
        <v>29</v>
      </c>
      <c r="L120" s="2851" t="s">
        <v>29</v>
      </c>
      <c r="M120" s="2851" t="s">
        <v>29</v>
      </c>
      <c r="N120" s="2851" t="s">
        <v>29</v>
      </c>
      <c r="O120" s="2851" t="s">
        <v>29</v>
      </c>
      <c r="P120" s="2851" t="s">
        <v>29</v>
      </c>
      <c r="Q120" s="2851" t="s">
        <v>29</v>
      </c>
      <c r="R120" s="2851"/>
      <c r="S120" s="2851"/>
      <c r="T120" s="2851"/>
      <c r="U120" s="2851"/>
      <c r="V120" s="2851"/>
      <c r="W120" s="2851"/>
      <c r="X120" s="2851"/>
      <c r="Y120" s="2851"/>
      <c r="Z120" s="2851"/>
      <c r="AA120" s="2851"/>
      <c r="AB120" s="2851"/>
      <c r="AC120" s="2745">
        <f t="shared" si="14"/>
        <v>8</v>
      </c>
      <c r="AD120" s="3060">
        <f t="shared" si="15"/>
        <v>0</v>
      </c>
      <c r="AE120" s="2853">
        <f t="shared" si="16"/>
        <v>0</v>
      </c>
      <c r="AF120" s="2745">
        <f t="shared" si="17"/>
        <v>8</v>
      </c>
      <c r="AG120" s="2854" t="e">
        <f>+VLOOKUP(C120,[1]Sheet1!$D$9:$E$122,2,0)</f>
        <v>#N/A</v>
      </c>
      <c r="AH120" s="2854" t="e">
        <f t="shared" si="18"/>
        <v>#N/A</v>
      </c>
      <c r="AI120" s="2746"/>
    </row>
    <row r="121" spans="1:35" ht="27.75" customHeight="1">
      <c r="A121" s="2871">
        <v>23</v>
      </c>
      <c r="B121" s="2812" t="s">
        <v>523</v>
      </c>
      <c r="C121" s="2852"/>
      <c r="D121" s="3364" t="s">
        <v>452</v>
      </c>
      <c r="E121" s="3364"/>
      <c r="F121" s="2851"/>
      <c r="G121" s="2851"/>
      <c r="H121" s="2851"/>
      <c r="I121" s="2851"/>
      <c r="J121" s="2851" t="s">
        <v>29</v>
      </c>
      <c r="K121" s="2851" t="s">
        <v>29</v>
      </c>
      <c r="L121" s="2851" t="s">
        <v>29</v>
      </c>
      <c r="M121" s="2851" t="s">
        <v>29</v>
      </c>
      <c r="N121" s="2851" t="s">
        <v>29</v>
      </c>
      <c r="O121" s="2851" t="s">
        <v>29</v>
      </c>
      <c r="P121" s="2851" t="s">
        <v>29</v>
      </c>
      <c r="Q121" s="2851" t="s">
        <v>29</v>
      </c>
      <c r="R121" s="2851"/>
      <c r="S121" s="2851"/>
      <c r="T121" s="2851"/>
      <c r="U121" s="2851"/>
      <c r="V121" s="2851"/>
      <c r="W121" s="2851"/>
      <c r="X121" s="2851"/>
      <c r="Y121" s="2851"/>
      <c r="Z121" s="2851"/>
      <c r="AA121" s="2851"/>
      <c r="AB121" s="2851"/>
      <c r="AC121" s="2745">
        <f t="shared" si="14"/>
        <v>8</v>
      </c>
      <c r="AD121" s="3060">
        <f t="shared" si="15"/>
        <v>0</v>
      </c>
      <c r="AE121" s="2853">
        <f t="shared" si="16"/>
        <v>0</v>
      </c>
      <c r="AF121" s="2745">
        <f t="shared" si="17"/>
        <v>8</v>
      </c>
      <c r="AG121" s="2854" t="e">
        <f>+VLOOKUP(C121,[1]Sheet1!$D$9:$E$122,2,0)</f>
        <v>#N/A</v>
      </c>
      <c r="AH121" s="2854" t="e">
        <f t="shared" si="18"/>
        <v>#N/A</v>
      </c>
      <c r="AI121" s="2746"/>
    </row>
    <row r="122" spans="1:35" ht="27.75" customHeight="1">
      <c r="A122" s="2851">
        <v>24</v>
      </c>
      <c r="B122" s="2812" t="s">
        <v>2452</v>
      </c>
      <c r="C122" s="2852"/>
      <c r="D122" s="3364" t="s">
        <v>452</v>
      </c>
      <c r="E122" s="3364"/>
      <c r="F122" s="2851"/>
      <c r="G122" s="2851"/>
      <c r="H122" s="2851"/>
      <c r="I122" s="2851"/>
      <c r="J122" s="2851" t="s">
        <v>29</v>
      </c>
      <c r="K122" s="2851" t="s">
        <v>29</v>
      </c>
      <c r="L122" s="2851" t="s">
        <v>29</v>
      </c>
      <c r="M122" s="2851" t="s">
        <v>29</v>
      </c>
      <c r="N122" s="2851" t="s">
        <v>29</v>
      </c>
      <c r="O122" s="2851" t="s">
        <v>29</v>
      </c>
      <c r="P122" s="2851" t="s">
        <v>29</v>
      </c>
      <c r="Q122" s="2851" t="s">
        <v>29</v>
      </c>
      <c r="R122" s="2851" t="s">
        <v>29</v>
      </c>
      <c r="S122" s="2851"/>
      <c r="T122" s="2851"/>
      <c r="U122" s="2851"/>
      <c r="V122" s="2851"/>
      <c r="W122" s="2851"/>
      <c r="X122" s="2851"/>
      <c r="Y122" s="2851"/>
      <c r="Z122" s="2851"/>
      <c r="AA122" s="2851"/>
      <c r="AB122" s="2851"/>
      <c r="AC122" s="2745">
        <f t="shared" si="14"/>
        <v>9</v>
      </c>
      <c r="AD122" s="3060">
        <f t="shared" si="15"/>
        <v>0</v>
      </c>
      <c r="AE122" s="2853">
        <f t="shared" si="16"/>
        <v>0</v>
      </c>
      <c r="AF122" s="2745">
        <f t="shared" si="17"/>
        <v>9</v>
      </c>
      <c r="AG122" s="2854" t="e">
        <f>+VLOOKUP(C122,[1]Sheet1!$D$9:$E$122,2,0)</f>
        <v>#N/A</v>
      </c>
      <c r="AH122" s="2854" t="e">
        <f t="shared" si="18"/>
        <v>#N/A</v>
      </c>
      <c r="AI122" s="2746"/>
    </row>
    <row r="123" spans="1:35" ht="27.75" customHeight="1">
      <c r="A123" s="2871">
        <v>25</v>
      </c>
      <c r="B123" s="2812" t="s">
        <v>2453</v>
      </c>
      <c r="C123" s="2852"/>
      <c r="D123" s="3364" t="s">
        <v>452</v>
      </c>
      <c r="E123" s="3364"/>
      <c r="F123" s="2851"/>
      <c r="G123" s="2851"/>
      <c r="H123" s="2851"/>
      <c r="I123" s="2851"/>
      <c r="J123" s="2851" t="s">
        <v>29</v>
      </c>
      <c r="K123" s="2851" t="s">
        <v>29</v>
      </c>
      <c r="L123" s="2851" t="s">
        <v>29</v>
      </c>
      <c r="M123" s="2851" t="s">
        <v>29</v>
      </c>
      <c r="N123" s="2851" t="s">
        <v>29</v>
      </c>
      <c r="O123" s="2851" t="s">
        <v>29</v>
      </c>
      <c r="P123" s="2851" t="s">
        <v>29</v>
      </c>
      <c r="Q123" s="2851" t="s">
        <v>29</v>
      </c>
      <c r="R123" s="2851" t="s">
        <v>29</v>
      </c>
      <c r="S123" s="2851"/>
      <c r="T123" s="2851"/>
      <c r="U123" s="2851"/>
      <c r="V123" s="2851"/>
      <c r="W123" s="2851"/>
      <c r="X123" s="2851"/>
      <c r="Y123" s="2851"/>
      <c r="Z123" s="2851"/>
      <c r="AA123" s="2851"/>
      <c r="AB123" s="2851"/>
      <c r="AC123" s="2745">
        <f t="shared" si="14"/>
        <v>9</v>
      </c>
      <c r="AD123" s="3060">
        <f t="shared" si="15"/>
        <v>0</v>
      </c>
      <c r="AE123" s="2853">
        <f t="shared" si="16"/>
        <v>0</v>
      </c>
      <c r="AF123" s="2745">
        <f t="shared" si="17"/>
        <v>9</v>
      </c>
      <c r="AG123" s="2854" t="e">
        <f>+VLOOKUP(C123,[1]Sheet1!$D$9:$E$122,2,0)</f>
        <v>#N/A</v>
      </c>
      <c r="AH123" s="2854" t="e">
        <f t="shared" si="18"/>
        <v>#N/A</v>
      </c>
      <c r="AI123" s="2746"/>
    </row>
    <row r="124" spans="1:35" ht="27.75" customHeight="1">
      <c r="A124" s="2851">
        <v>26</v>
      </c>
      <c r="B124" s="2812" t="s">
        <v>2275</v>
      </c>
      <c r="C124" s="2852"/>
      <c r="D124" s="3364" t="s">
        <v>452</v>
      </c>
      <c r="E124" s="3364"/>
      <c r="F124" s="2851"/>
      <c r="G124" s="2851"/>
      <c r="H124" s="2851"/>
      <c r="I124" s="2851"/>
      <c r="J124" s="2851" t="s">
        <v>29</v>
      </c>
      <c r="K124" s="2851" t="s">
        <v>29</v>
      </c>
      <c r="L124" s="2851" t="s">
        <v>29</v>
      </c>
      <c r="M124" s="2851" t="s">
        <v>29</v>
      </c>
      <c r="N124" s="2851" t="s">
        <v>29</v>
      </c>
      <c r="O124" s="2851" t="s">
        <v>29</v>
      </c>
      <c r="P124" s="2851" t="s">
        <v>29</v>
      </c>
      <c r="Q124" s="2851" t="s">
        <v>29</v>
      </c>
      <c r="R124" s="2851" t="s">
        <v>29</v>
      </c>
      <c r="S124" s="2851"/>
      <c r="T124" s="2851"/>
      <c r="U124" s="2851"/>
      <c r="V124" s="2851"/>
      <c r="W124" s="2851"/>
      <c r="X124" s="2851"/>
      <c r="Y124" s="2851"/>
      <c r="Z124" s="2851"/>
      <c r="AA124" s="2851"/>
      <c r="AB124" s="2851"/>
      <c r="AC124" s="2745">
        <f t="shared" si="14"/>
        <v>9</v>
      </c>
      <c r="AD124" s="3060">
        <f t="shared" si="15"/>
        <v>0</v>
      </c>
      <c r="AE124" s="2853">
        <f t="shared" si="16"/>
        <v>0</v>
      </c>
      <c r="AF124" s="2745">
        <f t="shared" si="17"/>
        <v>9</v>
      </c>
      <c r="AG124" s="2854" t="e">
        <f>+VLOOKUP(C124,[1]Sheet1!$D$9:$E$122,2,0)</f>
        <v>#N/A</v>
      </c>
      <c r="AH124" s="2854" t="e">
        <f t="shared" si="18"/>
        <v>#N/A</v>
      </c>
      <c r="AI124" s="2746"/>
    </row>
    <row r="125" spans="1:35" ht="27.75" customHeight="1">
      <c r="A125" s="2871">
        <v>27</v>
      </c>
      <c r="B125" s="2812" t="s">
        <v>2276</v>
      </c>
      <c r="C125" s="2852"/>
      <c r="D125" s="3364" t="s">
        <v>452</v>
      </c>
      <c r="E125" s="3364"/>
      <c r="F125" s="2851"/>
      <c r="G125" s="2851"/>
      <c r="H125" s="2851"/>
      <c r="I125" s="2851"/>
      <c r="J125" s="2851" t="s">
        <v>29</v>
      </c>
      <c r="K125" s="2851" t="s">
        <v>29</v>
      </c>
      <c r="L125" s="2851" t="s">
        <v>29</v>
      </c>
      <c r="M125" s="2851" t="s">
        <v>29</v>
      </c>
      <c r="N125" s="2851" t="s">
        <v>29</v>
      </c>
      <c r="O125" s="2851" t="s">
        <v>29</v>
      </c>
      <c r="P125" s="2851" t="s">
        <v>29</v>
      </c>
      <c r="Q125" s="2851" t="s">
        <v>29</v>
      </c>
      <c r="R125" s="2851" t="s">
        <v>29</v>
      </c>
      <c r="S125" s="2851"/>
      <c r="T125" s="2851"/>
      <c r="U125" s="2851"/>
      <c r="V125" s="2851"/>
      <c r="W125" s="2851"/>
      <c r="X125" s="2851"/>
      <c r="Y125" s="2851"/>
      <c r="Z125" s="2851"/>
      <c r="AA125" s="2851"/>
      <c r="AB125" s="2851"/>
      <c r="AC125" s="2745">
        <f t="shared" si="14"/>
        <v>9</v>
      </c>
      <c r="AD125" s="3060">
        <f t="shared" si="15"/>
        <v>0</v>
      </c>
      <c r="AE125" s="2853">
        <f t="shared" si="16"/>
        <v>0</v>
      </c>
      <c r="AF125" s="2745">
        <f t="shared" si="17"/>
        <v>9</v>
      </c>
      <c r="AG125" s="2854" t="e">
        <f>+VLOOKUP(C125,[1]Sheet1!$D$9:$E$122,2,0)</f>
        <v>#N/A</v>
      </c>
      <c r="AH125" s="2854" t="e">
        <f t="shared" si="18"/>
        <v>#N/A</v>
      </c>
      <c r="AI125" s="2746"/>
    </row>
    <row r="126" spans="1:35" ht="27.75" customHeight="1">
      <c r="A126" s="2851">
        <v>28</v>
      </c>
      <c r="B126" s="2812" t="s">
        <v>2454</v>
      </c>
      <c r="C126" s="2852"/>
      <c r="D126" s="3364" t="s">
        <v>452</v>
      </c>
      <c r="E126" s="3364"/>
      <c r="F126" s="2851"/>
      <c r="G126" s="2851"/>
      <c r="H126" s="2851"/>
      <c r="I126" s="2851"/>
      <c r="J126" s="2851" t="s">
        <v>29</v>
      </c>
      <c r="K126" s="2851" t="s">
        <v>29</v>
      </c>
      <c r="L126" s="2851" t="s">
        <v>29</v>
      </c>
      <c r="M126" s="2851" t="s">
        <v>29</v>
      </c>
      <c r="N126" s="2851" t="s">
        <v>29</v>
      </c>
      <c r="O126" s="2851" t="s">
        <v>29</v>
      </c>
      <c r="P126" s="2851" t="s">
        <v>29</v>
      </c>
      <c r="Q126" s="2851" t="s">
        <v>29</v>
      </c>
      <c r="R126" s="2851" t="s">
        <v>29</v>
      </c>
      <c r="S126" s="2851"/>
      <c r="T126" s="2851"/>
      <c r="U126" s="2851"/>
      <c r="V126" s="2851"/>
      <c r="W126" s="2851"/>
      <c r="X126" s="2851"/>
      <c r="Y126" s="2851"/>
      <c r="Z126" s="2851"/>
      <c r="AA126" s="2851"/>
      <c r="AB126" s="2851"/>
      <c r="AC126" s="2745">
        <f t="shared" si="14"/>
        <v>9</v>
      </c>
      <c r="AD126" s="3060">
        <f t="shared" si="15"/>
        <v>0</v>
      </c>
      <c r="AE126" s="2853">
        <f t="shared" si="16"/>
        <v>0</v>
      </c>
      <c r="AF126" s="2745">
        <f t="shared" si="17"/>
        <v>9</v>
      </c>
      <c r="AG126" s="2854" t="e">
        <f>+VLOOKUP(C126,[1]Sheet1!$D$9:$E$122,2,0)</f>
        <v>#N/A</v>
      </c>
      <c r="AH126" s="2854" t="e">
        <f t="shared" si="18"/>
        <v>#N/A</v>
      </c>
      <c r="AI126" s="2746"/>
    </row>
    <row r="127" spans="1:35" ht="27.75" customHeight="1">
      <c r="A127" s="2871">
        <v>29</v>
      </c>
      <c r="B127" s="2812" t="s">
        <v>2455</v>
      </c>
      <c r="C127" s="2852"/>
      <c r="D127" s="3364" t="s">
        <v>452</v>
      </c>
      <c r="E127" s="3364"/>
      <c r="F127" s="2851"/>
      <c r="G127" s="2851"/>
      <c r="H127" s="2851"/>
      <c r="I127" s="2851"/>
      <c r="J127" s="2851" t="s">
        <v>29</v>
      </c>
      <c r="K127" s="2851" t="s">
        <v>29</v>
      </c>
      <c r="L127" s="2851" t="s">
        <v>29</v>
      </c>
      <c r="M127" s="2851" t="s">
        <v>29</v>
      </c>
      <c r="N127" s="2851" t="s">
        <v>29</v>
      </c>
      <c r="O127" s="2851" t="s">
        <v>29</v>
      </c>
      <c r="P127" s="2851" t="s">
        <v>29</v>
      </c>
      <c r="Q127" s="2851" t="s">
        <v>29</v>
      </c>
      <c r="R127" s="2851" t="s">
        <v>29</v>
      </c>
      <c r="S127" s="2851"/>
      <c r="T127" s="2851"/>
      <c r="U127" s="2851"/>
      <c r="V127" s="2851"/>
      <c r="W127" s="2851"/>
      <c r="X127" s="2851"/>
      <c r="Y127" s="2851"/>
      <c r="Z127" s="2851"/>
      <c r="AA127" s="2851"/>
      <c r="AB127" s="2851"/>
      <c r="AC127" s="2745">
        <f t="shared" si="14"/>
        <v>9</v>
      </c>
      <c r="AD127" s="3060">
        <f t="shared" si="15"/>
        <v>0</v>
      </c>
      <c r="AE127" s="2853">
        <f t="shared" si="16"/>
        <v>0</v>
      </c>
      <c r="AF127" s="2745">
        <f t="shared" si="17"/>
        <v>9</v>
      </c>
      <c r="AG127" s="2854" t="e">
        <f>+VLOOKUP(C127,[1]Sheet1!$D$9:$E$122,2,0)</f>
        <v>#N/A</v>
      </c>
      <c r="AH127" s="2854" t="e">
        <f t="shared" si="18"/>
        <v>#N/A</v>
      </c>
      <c r="AI127" s="2746"/>
    </row>
    <row r="128" spans="1:35" ht="27.75" customHeight="1">
      <c r="A128" s="2851">
        <v>30</v>
      </c>
      <c r="B128" s="2812" t="s">
        <v>2456</v>
      </c>
      <c r="C128" s="2852"/>
      <c r="D128" s="3364" t="s">
        <v>452</v>
      </c>
      <c r="E128" s="3364"/>
      <c r="F128" s="2851"/>
      <c r="G128" s="2851"/>
      <c r="H128" s="2851"/>
      <c r="I128" s="2851"/>
      <c r="J128" s="2851" t="s">
        <v>29</v>
      </c>
      <c r="K128" s="2851" t="s">
        <v>29</v>
      </c>
      <c r="L128" s="2851" t="s">
        <v>29</v>
      </c>
      <c r="M128" s="2851" t="s">
        <v>29</v>
      </c>
      <c r="N128" s="2851" t="s">
        <v>29</v>
      </c>
      <c r="O128" s="2851" t="s">
        <v>29</v>
      </c>
      <c r="P128" s="2851" t="s">
        <v>29</v>
      </c>
      <c r="Q128" s="2851" t="s">
        <v>29</v>
      </c>
      <c r="R128" s="2851" t="s">
        <v>29</v>
      </c>
      <c r="S128" s="2851"/>
      <c r="T128" s="2851"/>
      <c r="U128" s="2851"/>
      <c r="V128" s="2851"/>
      <c r="W128" s="2851"/>
      <c r="X128" s="2851"/>
      <c r="Y128" s="2851"/>
      <c r="Z128" s="2851"/>
      <c r="AA128" s="2851"/>
      <c r="AB128" s="2851"/>
      <c r="AC128" s="2745">
        <f t="shared" si="14"/>
        <v>9</v>
      </c>
      <c r="AD128" s="3060">
        <f t="shared" si="15"/>
        <v>0</v>
      </c>
      <c r="AE128" s="2853">
        <f t="shared" si="16"/>
        <v>0</v>
      </c>
      <c r="AF128" s="2745">
        <f t="shared" si="17"/>
        <v>9</v>
      </c>
      <c r="AG128" s="2854"/>
      <c r="AH128" s="2854"/>
      <c r="AI128" s="2746"/>
    </row>
    <row r="129" spans="1:35" ht="27.75" customHeight="1">
      <c r="A129" s="2871">
        <v>31</v>
      </c>
      <c r="B129" s="2812" t="s">
        <v>1686</v>
      </c>
      <c r="C129" s="2852"/>
      <c r="D129" s="3364" t="s">
        <v>452</v>
      </c>
      <c r="E129" s="3364"/>
      <c r="F129" s="2851"/>
      <c r="G129" s="2851"/>
      <c r="H129" s="2851"/>
      <c r="I129" s="2851"/>
      <c r="J129" s="2851" t="s">
        <v>29</v>
      </c>
      <c r="K129" s="2851" t="s">
        <v>29</v>
      </c>
      <c r="L129" s="2851" t="s">
        <v>29</v>
      </c>
      <c r="M129" s="2851" t="s">
        <v>29</v>
      </c>
      <c r="N129" s="2851" t="s">
        <v>29</v>
      </c>
      <c r="O129" s="2851" t="s">
        <v>29</v>
      </c>
      <c r="P129" s="2851" t="s">
        <v>29</v>
      </c>
      <c r="Q129" s="2851" t="s">
        <v>29</v>
      </c>
      <c r="R129" s="2851" t="s">
        <v>29</v>
      </c>
      <c r="S129" s="2851"/>
      <c r="T129" s="2851"/>
      <c r="U129" s="2851"/>
      <c r="V129" s="2851"/>
      <c r="W129" s="2851"/>
      <c r="X129" s="2851"/>
      <c r="Y129" s="2851"/>
      <c r="Z129" s="2851"/>
      <c r="AA129" s="2851"/>
      <c r="AB129" s="2851"/>
      <c r="AC129" s="2745">
        <f t="shared" si="14"/>
        <v>9</v>
      </c>
      <c r="AD129" s="3060">
        <f t="shared" si="15"/>
        <v>0</v>
      </c>
      <c r="AE129" s="2853">
        <f t="shared" si="16"/>
        <v>0</v>
      </c>
      <c r="AF129" s="2745">
        <f t="shared" si="17"/>
        <v>9</v>
      </c>
      <c r="AG129" s="2854"/>
      <c r="AH129" s="2854"/>
      <c r="AI129" s="2746"/>
    </row>
    <row r="130" spans="1:35" ht="27.75" customHeight="1">
      <c r="A130" s="2851">
        <v>32</v>
      </c>
      <c r="B130" s="2812" t="s">
        <v>2457</v>
      </c>
      <c r="C130" s="2852"/>
      <c r="D130" s="3364" t="s">
        <v>452</v>
      </c>
      <c r="E130" s="3364"/>
      <c r="F130" s="2851"/>
      <c r="G130" s="2851"/>
      <c r="H130" s="2851"/>
      <c r="I130" s="2851"/>
      <c r="J130" s="2851" t="s">
        <v>29</v>
      </c>
      <c r="K130" s="2851" t="s">
        <v>29</v>
      </c>
      <c r="L130" s="2851" t="s">
        <v>29</v>
      </c>
      <c r="M130" s="2851" t="s">
        <v>29</v>
      </c>
      <c r="N130" s="2851" t="s">
        <v>29</v>
      </c>
      <c r="O130" s="2851" t="s">
        <v>29</v>
      </c>
      <c r="P130" s="2851" t="s">
        <v>29</v>
      </c>
      <c r="Q130" s="2851" t="s">
        <v>29</v>
      </c>
      <c r="R130" s="2851" t="s">
        <v>29</v>
      </c>
      <c r="S130" s="2851"/>
      <c r="T130" s="2851"/>
      <c r="U130" s="2851"/>
      <c r="V130" s="2851"/>
      <c r="W130" s="2851"/>
      <c r="X130" s="2851"/>
      <c r="Y130" s="2851"/>
      <c r="Z130" s="2851"/>
      <c r="AA130" s="2851"/>
      <c r="AB130" s="2851"/>
      <c r="AC130" s="2745">
        <f t="shared" si="14"/>
        <v>9</v>
      </c>
      <c r="AD130" s="3060">
        <f t="shared" si="15"/>
        <v>0</v>
      </c>
      <c r="AE130" s="2853">
        <f t="shared" si="16"/>
        <v>0</v>
      </c>
      <c r="AF130" s="2745">
        <f t="shared" si="17"/>
        <v>9</v>
      </c>
      <c r="AG130" s="2854"/>
      <c r="AH130" s="2854"/>
      <c r="AI130" s="2746"/>
    </row>
    <row r="131" spans="1:35" ht="27.75" customHeight="1">
      <c r="A131" s="2871">
        <v>33</v>
      </c>
      <c r="B131" s="2812" t="s">
        <v>2458</v>
      </c>
      <c r="C131" s="2852"/>
      <c r="D131" s="3364" t="s">
        <v>452</v>
      </c>
      <c r="E131" s="3364"/>
      <c r="F131" s="2851"/>
      <c r="G131" s="2851"/>
      <c r="H131" s="2851"/>
      <c r="I131" s="2851"/>
      <c r="J131" s="2851" t="s">
        <v>29</v>
      </c>
      <c r="K131" s="2851" t="s">
        <v>29</v>
      </c>
      <c r="L131" s="2851" t="s">
        <v>29</v>
      </c>
      <c r="M131" s="2851" t="s">
        <v>29</v>
      </c>
      <c r="N131" s="2851" t="s">
        <v>29</v>
      </c>
      <c r="O131" s="2851" t="s">
        <v>29</v>
      </c>
      <c r="P131" s="2851" t="s">
        <v>29</v>
      </c>
      <c r="Q131" s="2851" t="s">
        <v>29</v>
      </c>
      <c r="R131" s="2851" t="s">
        <v>29</v>
      </c>
      <c r="S131" s="2851"/>
      <c r="T131" s="2851"/>
      <c r="U131" s="2851"/>
      <c r="V131" s="2851"/>
      <c r="W131" s="2851"/>
      <c r="X131" s="2851"/>
      <c r="Y131" s="2851"/>
      <c r="Z131" s="2851"/>
      <c r="AA131" s="2851"/>
      <c r="AB131" s="2851"/>
      <c r="AC131" s="2745">
        <f t="shared" si="14"/>
        <v>9</v>
      </c>
      <c r="AD131" s="3060">
        <f t="shared" si="15"/>
        <v>0</v>
      </c>
      <c r="AE131" s="2853">
        <f t="shared" si="16"/>
        <v>0</v>
      </c>
      <c r="AF131" s="2745">
        <f t="shared" si="17"/>
        <v>9</v>
      </c>
      <c r="AG131" s="2854"/>
      <c r="AH131" s="2854"/>
      <c r="AI131" s="2746"/>
    </row>
    <row r="132" spans="1:35" ht="27.75" customHeight="1">
      <c r="A132" s="2851">
        <v>34</v>
      </c>
      <c r="B132" s="2812" t="s">
        <v>2459</v>
      </c>
      <c r="C132" s="2852"/>
      <c r="D132" s="3364" t="s">
        <v>452</v>
      </c>
      <c r="E132" s="3364"/>
      <c r="F132" s="2851"/>
      <c r="G132" s="2851"/>
      <c r="H132" s="2851"/>
      <c r="I132" s="2851"/>
      <c r="J132" s="2851"/>
      <c r="K132" s="2851" t="s">
        <v>29</v>
      </c>
      <c r="L132" s="2851" t="s">
        <v>29</v>
      </c>
      <c r="M132" s="2851" t="s">
        <v>29</v>
      </c>
      <c r="N132" s="2851" t="s">
        <v>29</v>
      </c>
      <c r="O132" s="2851" t="s">
        <v>29</v>
      </c>
      <c r="P132" s="2851" t="s">
        <v>29</v>
      </c>
      <c r="Q132" s="2851" t="s">
        <v>29</v>
      </c>
      <c r="R132" s="2851" t="s">
        <v>29</v>
      </c>
      <c r="S132" s="2851"/>
      <c r="T132" s="2851"/>
      <c r="U132" s="2851"/>
      <c r="V132" s="2851"/>
      <c r="W132" s="2851"/>
      <c r="X132" s="2851"/>
      <c r="Y132" s="2851"/>
      <c r="Z132" s="2851"/>
      <c r="AA132" s="2851"/>
      <c r="AB132" s="2851"/>
      <c r="AC132" s="2745">
        <f t="shared" si="14"/>
        <v>8</v>
      </c>
      <c r="AD132" s="3060">
        <f t="shared" si="15"/>
        <v>0</v>
      </c>
      <c r="AE132" s="2853">
        <f t="shared" si="16"/>
        <v>0</v>
      </c>
      <c r="AF132" s="2745">
        <f t="shared" si="17"/>
        <v>8</v>
      </c>
      <c r="AG132" s="2854"/>
      <c r="AH132" s="2854"/>
      <c r="AI132" s="2746"/>
    </row>
    <row r="133" spans="1:35" ht="27.75" customHeight="1">
      <c r="A133" s="2871">
        <v>35</v>
      </c>
      <c r="B133" s="2812" t="s">
        <v>2460</v>
      </c>
      <c r="C133" s="2852"/>
      <c r="D133" s="3364" t="s">
        <v>452</v>
      </c>
      <c r="E133" s="3364"/>
      <c r="F133" s="2851"/>
      <c r="G133" s="2851"/>
      <c r="H133" s="2851"/>
      <c r="I133" s="2851"/>
      <c r="J133" s="2851"/>
      <c r="K133" s="2851" t="s">
        <v>29</v>
      </c>
      <c r="L133" s="2851" t="s">
        <v>29</v>
      </c>
      <c r="M133" s="2851" t="s">
        <v>29</v>
      </c>
      <c r="N133" s="2851" t="s">
        <v>29</v>
      </c>
      <c r="O133" s="2851" t="s">
        <v>29</v>
      </c>
      <c r="P133" s="2851" t="s">
        <v>29</v>
      </c>
      <c r="Q133" s="2851"/>
      <c r="R133" s="2851"/>
      <c r="S133" s="2851"/>
      <c r="T133" s="2851"/>
      <c r="U133" s="2851"/>
      <c r="V133" s="2851"/>
      <c r="W133" s="2851"/>
      <c r="X133" s="2851"/>
      <c r="Y133" s="2851"/>
      <c r="Z133" s="2851"/>
      <c r="AA133" s="2851"/>
      <c r="AB133" s="2851"/>
      <c r="AC133" s="2745">
        <f t="shared" si="14"/>
        <v>6</v>
      </c>
      <c r="AD133" s="3060">
        <f t="shared" si="15"/>
        <v>0</v>
      </c>
      <c r="AE133" s="2853">
        <f t="shared" si="16"/>
        <v>0</v>
      </c>
      <c r="AF133" s="2745">
        <f t="shared" si="17"/>
        <v>6</v>
      </c>
      <c r="AG133" s="2854"/>
      <c r="AH133" s="2854"/>
      <c r="AI133" s="2746"/>
    </row>
    <row r="134" spans="1:35" ht="27.75" customHeight="1">
      <c r="A134" s="2851">
        <v>36</v>
      </c>
      <c r="B134" s="2812" t="s">
        <v>2461</v>
      </c>
      <c r="C134" s="2852"/>
      <c r="D134" s="3364" t="s">
        <v>452</v>
      </c>
      <c r="E134" s="3364"/>
      <c r="F134" s="2851"/>
      <c r="G134" s="2851"/>
      <c r="H134" s="2851"/>
      <c r="I134" s="2851"/>
      <c r="J134" s="2851"/>
      <c r="K134" s="2851" t="s">
        <v>29</v>
      </c>
      <c r="L134" s="2851" t="s">
        <v>29</v>
      </c>
      <c r="M134" s="2851" t="s">
        <v>29</v>
      </c>
      <c r="N134" s="2851" t="s">
        <v>29</v>
      </c>
      <c r="O134" s="2851" t="s">
        <v>29</v>
      </c>
      <c r="P134" s="2851" t="s">
        <v>29</v>
      </c>
      <c r="Q134" s="2851" t="s">
        <v>29</v>
      </c>
      <c r="R134" s="2851" t="s">
        <v>29</v>
      </c>
      <c r="S134" s="2851"/>
      <c r="T134" s="2851"/>
      <c r="U134" s="2851"/>
      <c r="V134" s="2851"/>
      <c r="W134" s="2851"/>
      <c r="X134" s="2851"/>
      <c r="Y134" s="2851"/>
      <c r="Z134" s="2851"/>
      <c r="AA134" s="2851"/>
      <c r="AB134" s="2851"/>
      <c r="AC134" s="2745">
        <f t="shared" si="14"/>
        <v>8</v>
      </c>
      <c r="AD134" s="3060">
        <f t="shared" si="15"/>
        <v>0</v>
      </c>
      <c r="AE134" s="2853">
        <f t="shared" si="16"/>
        <v>0</v>
      </c>
      <c r="AF134" s="2745">
        <f t="shared" si="17"/>
        <v>8</v>
      </c>
      <c r="AG134" s="2854"/>
      <c r="AH134" s="2854"/>
      <c r="AI134" s="2746"/>
    </row>
    <row r="135" spans="1:35" ht="27.75" customHeight="1">
      <c r="A135" s="2871">
        <v>37</v>
      </c>
      <c r="B135" s="2812" t="s">
        <v>2462</v>
      </c>
      <c r="C135" s="2852"/>
      <c r="D135" s="3364" t="s">
        <v>452</v>
      </c>
      <c r="E135" s="3364"/>
      <c r="F135" s="2851"/>
      <c r="G135" s="2851"/>
      <c r="H135" s="2851"/>
      <c r="I135" s="2851"/>
      <c r="J135" s="2851"/>
      <c r="K135" s="2851" t="s">
        <v>29</v>
      </c>
      <c r="L135" s="2851" t="s">
        <v>29</v>
      </c>
      <c r="M135" s="2851" t="s">
        <v>29</v>
      </c>
      <c r="N135" s="2851" t="s">
        <v>29</v>
      </c>
      <c r="O135" s="2851" t="s">
        <v>29</v>
      </c>
      <c r="P135" s="2851" t="s">
        <v>29</v>
      </c>
      <c r="Q135" s="2851" t="s">
        <v>29</v>
      </c>
      <c r="R135" s="2851" t="s">
        <v>29</v>
      </c>
      <c r="S135" s="2851"/>
      <c r="T135" s="2851"/>
      <c r="U135" s="2851"/>
      <c r="V135" s="2851"/>
      <c r="W135" s="2851"/>
      <c r="X135" s="2851"/>
      <c r="Y135" s="2851"/>
      <c r="Z135" s="2851"/>
      <c r="AA135" s="2851"/>
      <c r="AB135" s="2851"/>
      <c r="AC135" s="2745">
        <f t="shared" si="14"/>
        <v>8</v>
      </c>
      <c r="AD135" s="3060">
        <f t="shared" si="15"/>
        <v>0</v>
      </c>
      <c r="AE135" s="2853">
        <f t="shared" si="16"/>
        <v>0</v>
      </c>
      <c r="AF135" s="2745">
        <f t="shared" si="17"/>
        <v>8</v>
      </c>
      <c r="AG135" s="2854"/>
      <c r="AH135" s="2854"/>
      <c r="AI135" s="2746"/>
    </row>
    <row r="136" spans="1:35" ht="27.75" customHeight="1">
      <c r="A136" s="2851">
        <v>38</v>
      </c>
      <c r="B136" s="2812" t="s">
        <v>842</v>
      </c>
      <c r="C136" s="2852"/>
      <c r="D136" s="3364" t="s">
        <v>452</v>
      </c>
      <c r="E136" s="3364"/>
      <c r="F136" s="2851"/>
      <c r="G136" s="2851"/>
      <c r="H136" s="2851"/>
      <c r="I136" s="2851"/>
      <c r="J136" s="2851"/>
      <c r="K136" s="2851" t="s">
        <v>29</v>
      </c>
      <c r="L136" s="2851"/>
      <c r="M136" s="2851" t="s">
        <v>29</v>
      </c>
      <c r="N136" s="2851" t="s">
        <v>29</v>
      </c>
      <c r="O136" s="2851" t="s">
        <v>29</v>
      </c>
      <c r="P136" s="2851" t="s">
        <v>29</v>
      </c>
      <c r="Q136" s="2851" t="s">
        <v>29</v>
      </c>
      <c r="R136" s="2851" t="s">
        <v>29</v>
      </c>
      <c r="S136" s="2851"/>
      <c r="T136" s="2851"/>
      <c r="U136" s="2851"/>
      <c r="V136" s="2851"/>
      <c r="W136" s="2851"/>
      <c r="X136" s="2851"/>
      <c r="Y136" s="2851"/>
      <c r="Z136" s="2851"/>
      <c r="AA136" s="2851"/>
      <c r="AB136" s="2851"/>
      <c r="AC136" s="2745">
        <f t="shared" si="14"/>
        <v>7</v>
      </c>
      <c r="AD136" s="3060">
        <f t="shared" si="15"/>
        <v>0</v>
      </c>
      <c r="AE136" s="2853">
        <f t="shared" si="16"/>
        <v>0</v>
      </c>
      <c r="AF136" s="2745">
        <f t="shared" si="17"/>
        <v>7</v>
      </c>
      <c r="AG136" s="2854"/>
      <c r="AH136" s="2854"/>
      <c r="AI136" s="2746"/>
    </row>
    <row r="137" spans="1:35" ht="27.75" customHeight="1">
      <c r="A137" s="2871">
        <v>39</v>
      </c>
      <c r="B137" s="2812" t="s">
        <v>2463</v>
      </c>
      <c r="C137" s="2852"/>
      <c r="D137" s="3364" t="s">
        <v>452</v>
      </c>
      <c r="E137" s="3364"/>
      <c r="F137" s="2851"/>
      <c r="G137" s="2851"/>
      <c r="H137" s="2851"/>
      <c r="I137" s="2851"/>
      <c r="J137" s="2851"/>
      <c r="K137" s="2851" t="s">
        <v>29</v>
      </c>
      <c r="L137" s="2851"/>
      <c r="M137" s="2851" t="s">
        <v>29</v>
      </c>
      <c r="N137" s="2851" t="s">
        <v>29</v>
      </c>
      <c r="O137" s="2851" t="s">
        <v>29</v>
      </c>
      <c r="P137" s="2851" t="s">
        <v>29</v>
      </c>
      <c r="Q137" s="2851" t="s">
        <v>29</v>
      </c>
      <c r="R137" s="2851" t="s">
        <v>29</v>
      </c>
      <c r="S137" s="2851"/>
      <c r="T137" s="2851"/>
      <c r="U137" s="2851"/>
      <c r="V137" s="2851"/>
      <c r="W137" s="2851"/>
      <c r="X137" s="2851"/>
      <c r="Y137" s="2851"/>
      <c r="Z137" s="2851"/>
      <c r="AA137" s="2851"/>
      <c r="AB137" s="2851"/>
      <c r="AC137" s="2745">
        <f t="shared" si="14"/>
        <v>7</v>
      </c>
      <c r="AD137" s="3060">
        <f t="shared" si="15"/>
        <v>0</v>
      </c>
      <c r="AE137" s="2853">
        <f t="shared" si="16"/>
        <v>0</v>
      </c>
      <c r="AF137" s="2745">
        <f t="shared" si="17"/>
        <v>7</v>
      </c>
      <c r="AG137" s="2854"/>
      <c r="AH137" s="2854"/>
      <c r="AI137" s="2746"/>
    </row>
    <row r="138" spans="1:35" ht="27.75" customHeight="1">
      <c r="A138" s="2851">
        <v>40</v>
      </c>
      <c r="B138" s="2812" t="s">
        <v>2464</v>
      </c>
      <c r="C138" s="2852"/>
      <c r="D138" s="3364" t="s">
        <v>452</v>
      </c>
      <c r="E138" s="3364"/>
      <c r="F138" s="2851"/>
      <c r="G138" s="2851"/>
      <c r="H138" s="2851"/>
      <c r="I138" s="2851"/>
      <c r="J138" s="2851"/>
      <c r="K138" s="2851"/>
      <c r="L138" s="2851" t="s">
        <v>29</v>
      </c>
      <c r="M138" s="2851" t="s">
        <v>29</v>
      </c>
      <c r="N138" s="2851" t="s">
        <v>29</v>
      </c>
      <c r="O138" s="2851" t="s">
        <v>29</v>
      </c>
      <c r="P138" s="2851" t="s">
        <v>29</v>
      </c>
      <c r="Q138" s="2851" t="s">
        <v>29</v>
      </c>
      <c r="R138" s="2851" t="s">
        <v>29</v>
      </c>
      <c r="S138" s="2851"/>
      <c r="T138" s="2851"/>
      <c r="U138" s="2851"/>
      <c r="V138" s="2851"/>
      <c r="W138" s="2851"/>
      <c r="X138" s="2851"/>
      <c r="Y138" s="2851"/>
      <c r="Z138" s="2851"/>
      <c r="AA138" s="2851"/>
      <c r="AB138" s="2851"/>
      <c r="AC138" s="2745">
        <f t="shared" si="14"/>
        <v>7</v>
      </c>
      <c r="AD138" s="3060">
        <f t="shared" si="15"/>
        <v>0</v>
      </c>
      <c r="AE138" s="2853">
        <f t="shared" si="16"/>
        <v>0</v>
      </c>
      <c r="AF138" s="2745">
        <f t="shared" si="17"/>
        <v>7</v>
      </c>
      <c r="AG138" s="2854"/>
      <c r="AH138" s="2854"/>
      <c r="AI138" s="2746"/>
    </row>
    <row r="139" spans="1:35" ht="27.75" customHeight="1">
      <c r="A139" s="2871">
        <v>41</v>
      </c>
      <c r="B139" s="2812" t="s">
        <v>2465</v>
      </c>
      <c r="C139" s="2852"/>
      <c r="D139" s="3364" t="s">
        <v>452</v>
      </c>
      <c r="E139" s="3364"/>
      <c r="F139" s="2851"/>
      <c r="G139" s="2851"/>
      <c r="H139" s="2851"/>
      <c r="I139" s="2851"/>
      <c r="J139" s="2851"/>
      <c r="K139" s="2851"/>
      <c r="L139" s="2851"/>
      <c r="M139" s="2851"/>
      <c r="N139" s="2851" t="s">
        <v>29</v>
      </c>
      <c r="O139" s="2851" t="s">
        <v>29</v>
      </c>
      <c r="P139" s="2851" t="s">
        <v>29</v>
      </c>
      <c r="Q139" s="2851"/>
      <c r="R139" s="2851"/>
      <c r="S139" s="2851"/>
      <c r="T139" s="2851"/>
      <c r="U139" s="2851"/>
      <c r="V139" s="2851"/>
      <c r="W139" s="2851"/>
      <c r="X139" s="2851"/>
      <c r="Y139" s="2851"/>
      <c r="Z139" s="2851"/>
      <c r="AA139" s="2851"/>
      <c r="AB139" s="2851"/>
      <c r="AC139" s="2745">
        <f t="shared" si="14"/>
        <v>3</v>
      </c>
      <c r="AD139" s="3060">
        <f t="shared" si="15"/>
        <v>0</v>
      </c>
      <c r="AE139" s="2853">
        <f t="shared" si="16"/>
        <v>0</v>
      </c>
      <c r="AF139" s="2745">
        <f t="shared" si="17"/>
        <v>3</v>
      </c>
      <c r="AG139" s="2854"/>
      <c r="AH139" s="2854"/>
      <c r="AI139" s="2746"/>
    </row>
    <row r="140" spans="1:35" ht="27.75" customHeight="1">
      <c r="A140" s="2851">
        <v>42</v>
      </c>
      <c r="B140" s="2812" t="s">
        <v>1507</v>
      </c>
      <c r="C140" s="2852"/>
      <c r="D140" s="3364" t="s">
        <v>452</v>
      </c>
      <c r="E140" s="3364"/>
      <c r="F140" s="2851"/>
      <c r="G140" s="2851"/>
      <c r="H140" s="2851"/>
      <c r="I140" s="2851"/>
      <c r="J140" s="2851"/>
      <c r="K140" s="2851"/>
      <c r="L140" s="2851"/>
      <c r="M140" s="2851"/>
      <c r="N140" s="2851"/>
      <c r="O140" s="2851"/>
      <c r="P140" s="2851" t="s">
        <v>29</v>
      </c>
      <c r="Q140" s="2851"/>
      <c r="R140" s="2851"/>
      <c r="S140" s="2851"/>
      <c r="T140" s="2851"/>
      <c r="U140" s="2851"/>
      <c r="V140" s="2851"/>
      <c r="W140" s="2851"/>
      <c r="X140" s="2851"/>
      <c r="Y140" s="2851"/>
      <c r="Z140" s="2851"/>
      <c r="AA140" s="2851"/>
      <c r="AB140" s="2851"/>
      <c r="AC140" s="2745">
        <f t="shared" si="14"/>
        <v>1</v>
      </c>
      <c r="AD140" s="3060">
        <f t="shared" si="15"/>
        <v>0</v>
      </c>
      <c r="AE140" s="2853">
        <f t="shared" si="16"/>
        <v>0</v>
      </c>
      <c r="AF140" s="2745">
        <f t="shared" si="17"/>
        <v>1</v>
      </c>
      <c r="AG140" s="2854"/>
      <c r="AH140" s="2854"/>
      <c r="AI140" s="2746"/>
    </row>
    <row r="141" spans="1:35" ht="27.75" customHeight="1">
      <c r="A141" s="2871">
        <v>43</v>
      </c>
      <c r="B141" s="2812" t="s">
        <v>1489</v>
      </c>
      <c r="C141" s="2852"/>
      <c r="D141" s="3364" t="s">
        <v>452</v>
      </c>
      <c r="E141" s="3364"/>
      <c r="F141" s="2851"/>
      <c r="G141" s="2851"/>
      <c r="H141" s="2851"/>
      <c r="I141" s="2851"/>
      <c r="J141" s="2851"/>
      <c r="K141" s="2851"/>
      <c r="L141" s="2851"/>
      <c r="M141" s="2851"/>
      <c r="N141" s="2851"/>
      <c r="O141" s="2851" t="s">
        <v>29</v>
      </c>
      <c r="P141" s="2851" t="s">
        <v>29</v>
      </c>
      <c r="Q141" s="2851" t="s">
        <v>29</v>
      </c>
      <c r="R141" s="2851" t="s">
        <v>29</v>
      </c>
      <c r="S141" s="2851"/>
      <c r="T141" s="2851"/>
      <c r="U141" s="2851"/>
      <c r="V141" s="2851"/>
      <c r="W141" s="2851"/>
      <c r="X141" s="2851"/>
      <c r="Y141" s="2851"/>
      <c r="Z141" s="2851"/>
      <c r="AA141" s="2851"/>
      <c r="AB141" s="2851"/>
      <c r="AC141" s="2745">
        <f t="shared" si="14"/>
        <v>4</v>
      </c>
      <c r="AD141" s="3060">
        <f t="shared" si="15"/>
        <v>0</v>
      </c>
      <c r="AE141" s="2853">
        <f t="shared" si="16"/>
        <v>0</v>
      </c>
      <c r="AF141" s="2745">
        <f t="shared" si="17"/>
        <v>4</v>
      </c>
      <c r="AG141" s="2854"/>
      <c r="AH141" s="2854"/>
      <c r="AI141" s="2746"/>
    </row>
    <row r="142" spans="1:35" ht="27.75" customHeight="1">
      <c r="A142" s="2851">
        <v>44</v>
      </c>
      <c r="B142" s="2812" t="s">
        <v>1614</v>
      </c>
      <c r="C142" s="2852"/>
      <c r="D142" s="3364" t="s">
        <v>452</v>
      </c>
      <c r="E142" s="3364"/>
      <c r="F142" s="2851"/>
      <c r="G142" s="2851"/>
      <c r="H142" s="2851"/>
      <c r="I142" s="2851"/>
      <c r="J142" s="2851"/>
      <c r="K142" s="2851"/>
      <c r="L142" s="2851"/>
      <c r="M142" s="2851"/>
      <c r="N142" s="2851"/>
      <c r="O142" s="2851" t="s">
        <v>29</v>
      </c>
      <c r="P142" s="2851" t="s">
        <v>29</v>
      </c>
      <c r="Q142" s="2851" t="s">
        <v>29</v>
      </c>
      <c r="R142" s="2851" t="s">
        <v>29</v>
      </c>
      <c r="S142" s="2851"/>
      <c r="T142" s="2851"/>
      <c r="U142" s="2851"/>
      <c r="V142" s="2851"/>
      <c r="W142" s="2851"/>
      <c r="X142" s="2851"/>
      <c r="Y142" s="2851"/>
      <c r="Z142" s="2851"/>
      <c r="AA142" s="2851"/>
      <c r="AB142" s="2851"/>
      <c r="AC142" s="2745">
        <f t="shared" si="14"/>
        <v>4</v>
      </c>
      <c r="AD142" s="3060">
        <f t="shared" si="15"/>
        <v>0</v>
      </c>
      <c r="AE142" s="2853">
        <f t="shared" si="16"/>
        <v>0</v>
      </c>
      <c r="AF142" s="2745">
        <f t="shared" si="17"/>
        <v>4</v>
      </c>
      <c r="AG142" s="2854"/>
      <c r="AH142" s="2854"/>
      <c r="AI142" s="2746"/>
    </row>
    <row r="143" spans="1:35" ht="27.75" customHeight="1">
      <c r="A143" s="2871">
        <v>45</v>
      </c>
      <c r="B143" s="2812" t="s">
        <v>2466</v>
      </c>
      <c r="C143" s="2852"/>
      <c r="D143" s="3364" t="s">
        <v>452</v>
      </c>
      <c r="E143" s="3364"/>
      <c r="F143" s="2851"/>
      <c r="G143" s="2851"/>
      <c r="H143" s="2851"/>
      <c r="I143" s="2851"/>
      <c r="J143" s="2851"/>
      <c r="K143" s="2851"/>
      <c r="L143" s="2851"/>
      <c r="M143" s="2851"/>
      <c r="N143" s="2851"/>
      <c r="O143" s="2851" t="s">
        <v>29</v>
      </c>
      <c r="P143" s="2851" t="s">
        <v>29</v>
      </c>
      <c r="Q143" s="2851" t="s">
        <v>29</v>
      </c>
      <c r="R143" s="2851" t="s">
        <v>29</v>
      </c>
      <c r="S143" s="2851"/>
      <c r="T143" s="2851"/>
      <c r="U143" s="2851"/>
      <c r="V143" s="2851"/>
      <c r="W143" s="2851"/>
      <c r="X143" s="2851"/>
      <c r="Y143" s="2851"/>
      <c r="Z143" s="2851"/>
      <c r="AA143" s="2851"/>
      <c r="AB143" s="2851"/>
      <c r="AC143" s="2745">
        <f t="shared" si="14"/>
        <v>4</v>
      </c>
      <c r="AD143" s="3060">
        <f t="shared" si="15"/>
        <v>0</v>
      </c>
      <c r="AE143" s="2853">
        <f t="shared" si="16"/>
        <v>0</v>
      </c>
      <c r="AF143" s="2745">
        <f t="shared" si="17"/>
        <v>4</v>
      </c>
      <c r="AG143" s="2854"/>
      <c r="AH143" s="2854"/>
      <c r="AI143" s="2746"/>
    </row>
    <row r="144" spans="1:35" ht="27.75" customHeight="1">
      <c r="A144" s="2851">
        <v>46</v>
      </c>
      <c r="B144" s="2812" t="s">
        <v>1909</v>
      </c>
      <c r="C144" s="2852"/>
      <c r="D144" s="3364" t="s">
        <v>452</v>
      </c>
      <c r="E144" s="3364"/>
      <c r="F144" s="2851"/>
      <c r="G144" s="2851"/>
      <c r="H144" s="2851"/>
      <c r="I144" s="2851"/>
      <c r="J144" s="2851"/>
      <c r="K144" s="2851"/>
      <c r="L144" s="2851"/>
      <c r="M144" s="2851"/>
      <c r="N144" s="2851"/>
      <c r="O144" s="2851"/>
      <c r="P144" s="2851" t="s">
        <v>29</v>
      </c>
      <c r="Q144" s="2851" t="s">
        <v>29</v>
      </c>
      <c r="R144" s="2851" t="s">
        <v>29</v>
      </c>
      <c r="S144" s="2851"/>
      <c r="T144" s="2851"/>
      <c r="U144" s="2851"/>
      <c r="V144" s="2851"/>
      <c r="W144" s="2851"/>
      <c r="X144" s="2851"/>
      <c r="Y144" s="2851"/>
      <c r="Z144" s="2851"/>
      <c r="AA144" s="2851"/>
      <c r="AB144" s="2851"/>
      <c r="AC144" s="2745">
        <f t="shared" si="14"/>
        <v>3</v>
      </c>
      <c r="AD144" s="3060">
        <f t="shared" si="15"/>
        <v>0</v>
      </c>
      <c r="AE144" s="2853">
        <f t="shared" si="16"/>
        <v>0</v>
      </c>
      <c r="AF144" s="2745">
        <f t="shared" si="17"/>
        <v>3</v>
      </c>
      <c r="AG144" s="2854"/>
      <c r="AH144" s="2854"/>
      <c r="AI144" s="2746"/>
    </row>
    <row r="145" spans="1:35" ht="27.75" customHeight="1">
      <c r="A145" s="2871">
        <v>47</v>
      </c>
      <c r="B145" s="2812" t="s">
        <v>1494</v>
      </c>
      <c r="C145" s="2852"/>
      <c r="D145" s="3364" t="s">
        <v>452</v>
      </c>
      <c r="E145" s="3364"/>
      <c r="F145" s="2851"/>
      <c r="G145" s="2851"/>
      <c r="H145" s="2851"/>
      <c r="I145" s="2851"/>
      <c r="J145" s="2851"/>
      <c r="K145" s="2851"/>
      <c r="L145" s="2851"/>
      <c r="M145" s="2851"/>
      <c r="N145" s="2851"/>
      <c r="O145" s="2851" t="s">
        <v>29</v>
      </c>
      <c r="P145" s="2851" t="s">
        <v>29</v>
      </c>
      <c r="Q145" s="2851" t="s">
        <v>29</v>
      </c>
      <c r="R145" s="2851" t="s">
        <v>29</v>
      </c>
      <c r="S145" s="2851"/>
      <c r="T145" s="2851"/>
      <c r="U145" s="2851"/>
      <c r="V145" s="2851"/>
      <c r="W145" s="2851"/>
      <c r="X145" s="2851"/>
      <c r="Y145" s="2851"/>
      <c r="Z145" s="2851"/>
      <c r="AA145" s="2851"/>
      <c r="AB145" s="2851"/>
      <c r="AC145" s="2745">
        <f t="shared" si="14"/>
        <v>4</v>
      </c>
      <c r="AD145" s="3060">
        <f t="shared" si="15"/>
        <v>0</v>
      </c>
      <c r="AE145" s="2853">
        <f t="shared" si="16"/>
        <v>0</v>
      </c>
      <c r="AF145" s="2745">
        <f t="shared" si="17"/>
        <v>4</v>
      </c>
      <c r="AG145" s="2854"/>
      <c r="AH145" s="2854"/>
      <c r="AI145" s="2746"/>
    </row>
    <row r="146" spans="1:35" ht="27.75" customHeight="1">
      <c r="A146" s="2851">
        <v>48</v>
      </c>
      <c r="B146" s="2812" t="s">
        <v>1617</v>
      </c>
      <c r="C146" s="2852"/>
      <c r="D146" s="3364" t="s">
        <v>452</v>
      </c>
      <c r="E146" s="3364"/>
      <c r="F146" s="2851"/>
      <c r="G146" s="2851"/>
      <c r="H146" s="2851"/>
      <c r="I146" s="2851"/>
      <c r="J146" s="2851"/>
      <c r="K146" s="2851"/>
      <c r="L146" s="2851"/>
      <c r="M146" s="2851"/>
      <c r="N146" s="2851"/>
      <c r="O146" s="2851" t="s">
        <v>29</v>
      </c>
      <c r="P146" s="2851" t="s">
        <v>29</v>
      </c>
      <c r="Q146" s="2851" t="s">
        <v>29</v>
      </c>
      <c r="R146" s="2851" t="s">
        <v>29</v>
      </c>
      <c r="S146" s="2851"/>
      <c r="T146" s="2851"/>
      <c r="U146" s="2851"/>
      <c r="V146" s="2851"/>
      <c r="W146" s="2851"/>
      <c r="X146" s="2851"/>
      <c r="Y146" s="2851"/>
      <c r="Z146" s="2851"/>
      <c r="AA146" s="2851"/>
      <c r="AB146" s="2851"/>
      <c r="AC146" s="2745">
        <f t="shared" si="14"/>
        <v>4</v>
      </c>
      <c r="AD146" s="3060">
        <f t="shared" si="15"/>
        <v>0</v>
      </c>
      <c r="AE146" s="2853">
        <f t="shared" si="16"/>
        <v>0</v>
      </c>
      <c r="AF146" s="2745">
        <f t="shared" si="17"/>
        <v>4</v>
      </c>
      <c r="AG146" s="2854"/>
      <c r="AH146" s="2854"/>
      <c r="AI146" s="2746"/>
    </row>
    <row r="147" spans="1:35" ht="27.75" customHeight="1">
      <c r="A147" s="2871">
        <v>49</v>
      </c>
      <c r="B147" s="2812" t="s">
        <v>1495</v>
      </c>
      <c r="C147" s="2852"/>
      <c r="D147" s="3364" t="s">
        <v>452</v>
      </c>
      <c r="E147" s="3364"/>
      <c r="F147" s="2851"/>
      <c r="G147" s="2851"/>
      <c r="H147" s="2851"/>
      <c r="I147" s="2851"/>
      <c r="J147" s="2851"/>
      <c r="K147" s="2851"/>
      <c r="L147" s="2851"/>
      <c r="M147" s="2851"/>
      <c r="N147" s="2851"/>
      <c r="O147" s="2851" t="s">
        <v>29</v>
      </c>
      <c r="P147" s="2851" t="s">
        <v>29</v>
      </c>
      <c r="Q147" s="2851" t="s">
        <v>29</v>
      </c>
      <c r="R147" s="2851" t="s">
        <v>29</v>
      </c>
      <c r="S147" s="2851"/>
      <c r="T147" s="2851"/>
      <c r="U147" s="2851"/>
      <c r="V147" s="2851"/>
      <c r="W147" s="2851"/>
      <c r="X147" s="2851"/>
      <c r="Y147" s="2851"/>
      <c r="Z147" s="2851"/>
      <c r="AA147" s="2851"/>
      <c r="AB147" s="2851"/>
      <c r="AC147" s="2745">
        <f t="shared" ref="AC147:AC155" si="19">+COUNTIF(F147:AB147,"X")</f>
        <v>4</v>
      </c>
      <c r="AD147" s="3060"/>
      <c r="AE147" s="2853">
        <f t="shared" ref="AE147:AE156" si="20">+COUNTIF(F147:AB147,"DCN")</f>
        <v>0</v>
      </c>
      <c r="AF147" s="2745">
        <f t="shared" ref="AF147:AF155" si="21">SUM(AC147:AE147)</f>
        <v>4</v>
      </c>
      <c r="AG147" s="2854"/>
      <c r="AH147" s="2854"/>
      <c r="AI147" s="2746"/>
    </row>
    <row r="148" spans="1:35" ht="27.75" customHeight="1">
      <c r="A148" s="2851">
        <v>50</v>
      </c>
      <c r="B148" s="2812" t="s">
        <v>2430</v>
      </c>
      <c r="C148" s="2852"/>
      <c r="D148" s="3364" t="s">
        <v>452</v>
      </c>
      <c r="E148" s="3364"/>
      <c r="F148" s="2851"/>
      <c r="G148" s="2851"/>
      <c r="H148" s="2851"/>
      <c r="I148" s="2851"/>
      <c r="J148" s="2851"/>
      <c r="K148" s="2851"/>
      <c r="L148" s="2851"/>
      <c r="M148" s="2851"/>
      <c r="N148" s="2851"/>
      <c r="O148" s="2851" t="s">
        <v>29</v>
      </c>
      <c r="P148" s="2851" t="s">
        <v>29</v>
      </c>
      <c r="Q148" s="2851" t="s">
        <v>29</v>
      </c>
      <c r="R148" s="2851" t="s">
        <v>29</v>
      </c>
      <c r="S148" s="2851"/>
      <c r="T148" s="2851"/>
      <c r="U148" s="2851"/>
      <c r="V148" s="2851"/>
      <c r="W148" s="2851"/>
      <c r="X148" s="2851"/>
      <c r="Y148" s="2851"/>
      <c r="Z148" s="2851"/>
      <c r="AA148" s="2851"/>
      <c r="AB148" s="2851"/>
      <c r="AC148" s="2745">
        <f t="shared" si="19"/>
        <v>4</v>
      </c>
      <c r="AD148" s="3060"/>
      <c r="AE148" s="2853">
        <f t="shared" si="20"/>
        <v>0</v>
      </c>
      <c r="AF148" s="2745">
        <f t="shared" si="21"/>
        <v>4</v>
      </c>
      <c r="AG148" s="2854"/>
      <c r="AH148" s="2854"/>
      <c r="AI148" s="2746"/>
    </row>
    <row r="149" spans="1:35" ht="27.75" customHeight="1">
      <c r="A149" s="2871">
        <v>51</v>
      </c>
      <c r="B149" s="2812" t="s">
        <v>2467</v>
      </c>
      <c r="C149" s="2852"/>
      <c r="D149" s="3364" t="s">
        <v>452</v>
      </c>
      <c r="E149" s="3364"/>
      <c r="F149" s="2851"/>
      <c r="G149" s="2851"/>
      <c r="H149" s="2851"/>
      <c r="I149" s="2851"/>
      <c r="J149" s="2851"/>
      <c r="K149" s="2851"/>
      <c r="L149" s="2851"/>
      <c r="M149" s="2851"/>
      <c r="N149" s="2851"/>
      <c r="O149" s="2851"/>
      <c r="P149" s="2851" t="s">
        <v>29</v>
      </c>
      <c r="Q149" s="2851" t="s">
        <v>29</v>
      </c>
      <c r="R149" s="2851" t="s">
        <v>29</v>
      </c>
      <c r="S149" s="2851"/>
      <c r="T149" s="2851"/>
      <c r="U149" s="2851"/>
      <c r="V149" s="2851"/>
      <c r="W149" s="2851"/>
      <c r="X149" s="2851"/>
      <c r="Y149" s="2851"/>
      <c r="Z149" s="2851"/>
      <c r="AA149" s="2851"/>
      <c r="AB149" s="2851"/>
      <c r="AC149" s="2745">
        <f t="shared" si="19"/>
        <v>3</v>
      </c>
      <c r="AD149" s="3060"/>
      <c r="AE149" s="2853">
        <f t="shared" si="20"/>
        <v>0</v>
      </c>
      <c r="AF149" s="2745">
        <f t="shared" si="21"/>
        <v>3</v>
      </c>
      <c r="AG149" s="2854"/>
      <c r="AH149" s="2854"/>
      <c r="AI149" s="2746"/>
    </row>
    <row r="150" spans="1:35" ht="27.75" customHeight="1">
      <c r="A150" s="2851">
        <v>52</v>
      </c>
      <c r="B150" s="2812" t="s">
        <v>2468</v>
      </c>
      <c r="C150" s="2852"/>
      <c r="D150" s="3364" t="s">
        <v>452</v>
      </c>
      <c r="E150" s="3364"/>
      <c r="F150" s="2851"/>
      <c r="G150" s="2851"/>
      <c r="H150" s="2851"/>
      <c r="I150" s="2851"/>
      <c r="J150" s="2851"/>
      <c r="K150" s="2851"/>
      <c r="L150" s="2851"/>
      <c r="M150" s="2851"/>
      <c r="N150" s="2851"/>
      <c r="O150" s="2851" t="s">
        <v>29</v>
      </c>
      <c r="P150" s="2851" t="s">
        <v>29</v>
      </c>
      <c r="Q150" s="2851" t="s">
        <v>29</v>
      </c>
      <c r="R150" s="2851" t="s">
        <v>29</v>
      </c>
      <c r="S150" s="2851"/>
      <c r="T150" s="2851"/>
      <c r="U150" s="2851"/>
      <c r="V150" s="2851"/>
      <c r="W150" s="2851"/>
      <c r="X150" s="2851"/>
      <c r="Y150" s="2851"/>
      <c r="Z150" s="2851"/>
      <c r="AA150" s="2851"/>
      <c r="AB150" s="2851"/>
      <c r="AC150" s="2745">
        <f t="shared" si="19"/>
        <v>4</v>
      </c>
      <c r="AD150" s="3060"/>
      <c r="AE150" s="2853">
        <f t="shared" si="20"/>
        <v>0</v>
      </c>
      <c r="AF150" s="2745">
        <f t="shared" si="21"/>
        <v>4</v>
      </c>
      <c r="AG150" s="2854"/>
      <c r="AH150" s="2854"/>
      <c r="AI150" s="2746"/>
    </row>
    <row r="151" spans="1:35" ht="27.75" customHeight="1">
      <c r="A151" s="2871">
        <v>53</v>
      </c>
      <c r="B151" s="2812" t="s">
        <v>1537</v>
      </c>
      <c r="C151" s="2852"/>
      <c r="D151" s="3364" t="s">
        <v>452</v>
      </c>
      <c r="E151" s="3364"/>
      <c r="F151" s="2851"/>
      <c r="G151" s="2851"/>
      <c r="H151" s="2851"/>
      <c r="I151" s="2851"/>
      <c r="J151" s="2851"/>
      <c r="K151" s="2851"/>
      <c r="L151" s="2851"/>
      <c r="M151" s="2851"/>
      <c r="N151" s="2851"/>
      <c r="O151" s="2851" t="s">
        <v>29</v>
      </c>
      <c r="P151" s="2851" t="s">
        <v>29</v>
      </c>
      <c r="Q151" s="2851" t="s">
        <v>29</v>
      </c>
      <c r="R151" s="2851" t="s">
        <v>29</v>
      </c>
      <c r="S151" s="2851"/>
      <c r="T151" s="2851"/>
      <c r="U151" s="2851"/>
      <c r="V151" s="2851"/>
      <c r="W151" s="2851"/>
      <c r="X151" s="2851"/>
      <c r="Y151" s="2851"/>
      <c r="Z151" s="2851"/>
      <c r="AA151" s="2851"/>
      <c r="AB151" s="2851"/>
      <c r="AC151" s="2745">
        <f t="shared" si="19"/>
        <v>4</v>
      </c>
      <c r="AD151" s="3060"/>
      <c r="AE151" s="2853">
        <f t="shared" si="20"/>
        <v>0</v>
      </c>
      <c r="AF151" s="2745">
        <f t="shared" si="21"/>
        <v>4</v>
      </c>
      <c r="AG151" s="2854"/>
      <c r="AH151" s="2854"/>
      <c r="AI151" s="2746"/>
    </row>
    <row r="152" spans="1:35" ht="27.75" customHeight="1">
      <c r="A152" s="2851">
        <v>54</v>
      </c>
      <c r="B152" s="2812" t="s">
        <v>1501</v>
      </c>
      <c r="C152" s="2852"/>
      <c r="D152" s="3364" t="s">
        <v>452</v>
      </c>
      <c r="E152" s="3364"/>
      <c r="F152" s="2851"/>
      <c r="G152" s="2851"/>
      <c r="H152" s="2851"/>
      <c r="I152" s="2851"/>
      <c r="J152" s="2851"/>
      <c r="K152" s="2851"/>
      <c r="L152" s="2851"/>
      <c r="M152" s="2851"/>
      <c r="N152" s="2851"/>
      <c r="O152" s="2851"/>
      <c r="P152" s="2851" t="s">
        <v>29</v>
      </c>
      <c r="Q152" s="2851" t="s">
        <v>29</v>
      </c>
      <c r="R152" s="2851" t="s">
        <v>29</v>
      </c>
      <c r="S152" s="2851"/>
      <c r="T152" s="2851"/>
      <c r="U152" s="2851"/>
      <c r="V152" s="2851"/>
      <c r="W152" s="2851"/>
      <c r="X152" s="2851"/>
      <c r="Y152" s="2851"/>
      <c r="Z152" s="2851"/>
      <c r="AA152" s="2851"/>
      <c r="AB152" s="2851"/>
      <c r="AC152" s="2745">
        <f t="shared" si="19"/>
        <v>3</v>
      </c>
      <c r="AD152" s="3060"/>
      <c r="AE152" s="2853">
        <f t="shared" si="20"/>
        <v>0</v>
      </c>
      <c r="AF152" s="2745">
        <f t="shared" si="21"/>
        <v>3</v>
      </c>
      <c r="AG152" s="2854"/>
      <c r="AH152" s="2854"/>
      <c r="AI152" s="2746"/>
    </row>
    <row r="153" spans="1:35" ht="27.75" customHeight="1">
      <c r="A153" s="2871">
        <v>55</v>
      </c>
      <c r="B153" s="2812" t="s">
        <v>1505</v>
      </c>
      <c r="C153" s="2852"/>
      <c r="D153" s="3364" t="s">
        <v>452</v>
      </c>
      <c r="E153" s="3364"/>
      <c r="F153" s="2851"/>
      <c r="G153" s="2851"/>
      <c r="H153" s="2851"/>
      <c r="I153" s="2851"/>
      <c r="J153" s="2851"/>
      <c r="K153" s="2851"/>
      <c r="L153" s="2851"/>
      <c r="M153" s="2851"/>
      <c r="N153" s="2851"/>
      <c r="O153" s="2851" t="s">
        <v>29</v>
      </c>
      <c r="P153" s="2851" t="s">
        <v>29</v>
      </c>
      <c r="Q153" s="2851" t="s">
        <v>29</v>
      </c>
      <c r="R153" s="2851" t="s">
        <v>29</v>
      </c>
      <c r="S153" s="2851"/>
      <c r="T153" s="2851"/>
      <c r="U153" s="2851"/>
      <c r="V153" s="2851"/>
      <c r="W153" s="2851"/>
      <c r="X153" s="2851"/>
      <c r="Y153" s="2851"/>
      <c r="Z153" s="2851"/>
      <c r="AA153" s="2851"/>
      <c r="AB153" s="2851"/>
      <c r="AC153" s="2745">
        <f t="shared" si="19"/>
        <v>4</v>
      </c>
      <c r="AD153" s="3060"/>
      <c r="AE153" s="2853">
        <f t="shared" si="20"/>
        <v>0</v>
      </c>
      <c r="AF153" s="2745">
        <f t="shared" si="21"/>
        <v>4</v>
      </c>
      <c r="AG153" s="2854"/>
      <c r="AH153" s="2854"/>
      <c r="AI153" s="2746"/>
    </row>
    <row r="154" spans="1:35" ht="27.75" customHeight="1">
      <c r="A154" s="2851">
        <v>56</v>
      </c>
      <c r="B154" s="2812" t="s">
        <v>2469</v>
      </c>
      <c r="C154" s="2852"/>
      <c r="D154" s="3364" t="s">
        <v>452</v>
      </c>
      <c r="E154" s="3364"/>
      <c r="F154" s="2851"/>
      <c r="G154" s="2851"/>
      <c r="H154" s="2851"/>
      <c r="I154" s="2851"/>
      <c r="J154" s="2851"/>
      <c r="K154" s="2851"/>
      <c r="L154" s="2851"/>
      <c r="M154" s="2851"/>
      <c r="N154" s="2851"/>
      <c r="O154" s="2851" t="s">
        <v>29</v>
      </c>
      <c r="P154" s="2851" t="s">
        <v>29</v>
      </c>
      <c r="Q154" s="2851" t="s">
        <v>29</v>
      </c>
      <c r="R154" s="2851" t="s">
        <v>29</v>
      </c>
      <c r="S154" s="2851"/>
      <c r="T154" s="2851"/>
      <c r="U154" s="2851"/>
      <c r="V154" s="2851"/>
      <c r="W154" s="2851"/>
      <c r="X154" s="2851"/>
      <c r="Y154" s="2851"/>
      <c r="Z154" s="2851"/>
      <c r="AA154" s="2851"/>
      <c r="AB154" s="2851"/>
      <c r="AC154" s="2745">
        <f t="shared" si="19"/>
        <v>4</v>
      </c>
      <c r="AD154" s="3060">
        <f t="shared" ref="AD154:AD167" si="22">+COUNTIF(F154:AB154,"D")</f>
        <v>0</v>
      </c>
      <c r="AE154" s="2853">
        <f t="shared" si="20"/>
        <v>0</v>
      </c>
      <c r="AF154" s="2745">
        <f t="shared" si="21"/>
        <v>4</v>
      </c>
      <c r="AG154" s="2854"/>
      <c r="AH154" s="2854"/>
      <c r="AI154" s="2746"/>
    </row>
    <row r="155" spans="1:35" ht="27.75" customHeight="1">
      <c r="A155" s="2871">
        <v>57</v>
      </c>
      <c r="B155" s="2812" t="s">
        <v>1075</v>
      </c>
      <c r="C155" s="2852"/>
      <c r="D155" s="3364" t="s">
        <v>452</v>
      </c>
      <c r="E155" s="3364"/>
      <c r="F155" s="2851"/>
      <c r="G155" s="2851"/>
      <c r="H155" s="2851"/>
      <c r="I155" s="2851"/>
      <c r="J155" s="2851"/>
      <c r="K155" s="2851"/>
      <c r="L155" s="2851"/>
      <c r="M155" s="2851"/>
      <c r="N155" s="2851"/>
      <c r="O155" s="2851" t="s">
        <v>29</v>
      </c>
      <c r="P155" s="2851" t="s">
        <v>29</v>
      </c>
      <c r="Q155" s="2851" t="s">
        <v>29</v>
      </c>
      <c r="R155" s="2851" t="s">
        <v>29</v>
      </c>
      <c r="S155" s="2851"/>
      <c r="T155" s="2851"/>
      <c r="U155" s="2851"/>
      <c r="V155" s="2851"/>
      <c r="W155" s="2851"/>
      <c r="X155" s="2851"/>
      <c r="Y155" s="2851"/>
      <c r="Z155" s="2851"/>
      <c r="AA155" s="2851"/>
      <c r="AB155" s="2851"/>
      <c r="AC155" s="2745">
        <f t="shared" si="19"/>
        <v>4</v>
      </c>
      <c r="AD155" s="3060">
        <f t="shared" si="22"/>
        <v>0</v>
      </c>
      <c r="AE155" s="2853">
        <f t="shared" si="20"/>
        <v>0</v>
      </c>
      <c r="AF155" s="2745">
        <f t="shared" si="21"/>
        <v>4</v>
      </c>
      <c r="AG155" s="2854"/>
      <c r="AH155" s="2854"/>
      <c r="AI155" s="2746"/>
    </row>
    <row r="156" spans="1:35" ht="27.75" customHeight="1">
      <c r="A156" s="2851">
        <v>58</v>
      </c>
      <c r="B156" s="2812" t="s">
        <v>2207</v>
      </c>
      <c r="C156" s="2852"/>
      <c r="D156" s="3364" t="s">
        <v>452</v>
      </c>
      <c r="E156" s="3364"/>
      <c r="F156" s="2851"/>
      <c r="G156" s="2851"/>
      <c r="H156" s="2851"/>
      <c r="I156" s="2851"/>
      <c r="J156" s="2851"/>
      <c r="K156" s="2851"/>
      <c r="L156" s="2851"/>
      <c r="M156" s="2851"/>
      <c r="N156" s="2851"/>
      <c r="O156" s="2851" t="s">
        <v>29</v>
      </c>
      <c r="P156" s="2851" t="s">
        <v>29</v>
      </c>
      <c r="Q156" s="2851" t="s">
        <v>29</v>
      </c>
      <c r="R156" s="2851" t="s">
        <v>29</v>
      </c>
      <c r="S156" s="2851"/>
      <c r="T156" s="2851"/>
      <c r="U156" s="2851"/>
      <c r="V156" s="2851"/>
      <c r="W156" s="2851"/>
      <c r="X156" s="2851"/>
      <c r="Y156" s="2851"/>
      <c r="Z156" s="2851"/>
      <c r="AA156" s="2851"/>
      <c r="AB156" s="2851"/>
      <c r="AC156" s="2745">
        <f t="shared" ref="AC156:AC169" si="23">+COUNTIF(F156:AB156,"X")</f>
        <v>4</v>
      </c>
      <c r="AD156" s="3060">
        <f t="shared" si="22"/>
        <v>0</v>
      </c>
      <c r="AE156" s="2853">
        <f t="shared" si="20"/>
        <v>0</v>
      </c>
      <c r="AF156" s="2745">
        <f t="shared" ref="AF156:AF169" si="24">SUM(AC156:AE156)</f>
        <v>4</v>
      </c>
      <c r="AG156" s="2854"/>
      <c r="AH156" s="2854"/>
      <c r="AI156" s="2746"/>
    </row>
    <row r="157" spans="1:35" ht="27.75" customHeight="1">
      <c r="A157" s="2871">
        <v>59</v>
      </c>
      <c r="B157" s="2812" t="s">
        <v>1538</v>
      </c>
      <c r="C157" s="2852"/>
      <c r="D157" s="3364" t="s">
        <v>452</v>
      </c>
      <c r="E157" s="3364"/>
      <c r="F157" s="2851"/>
      <c r="G157" s="2851"/>
      <c r="H157" s="2851"/>
      <c r="I157" s="2851"/>
      <c r="J157" s="2851"/>
      <c r="K157" s="2851"/>
      <c r="L157" s="2851"/>
      <c r="M157" s="2851"/>
      <c r="N157" s="2851"/>
      <c r="O157" s="2851"/>
      <c r="P157" s="2851" t="s">
        <v>29</v>
      </c>
      <c r="Q157" s="2851" t="s">
        <v>29</v>
      </c>
      <c r="R157" s="2851" t="s">
        <v>29</v>
      </c>
      <c r="S157" s="2851"/>
      <c r="T157" s="2851"/>
      <c r="U157" s="2851"/>
      <c r="V157" s="2851"/>
      <c r="W157" s="2851"/>
      <c r="X157" s="2851"/>
      <c r="Y157" s="2851"/>
      <c r="Z157" s="2851"/>
      <c r="AA157" s="2851"/>
      <c r="AB157" s="2851"/>
      <c r="AC157" s="2745">
        <f t="shared" si="23"/>
        <v>3</v>
      </c>
      <c r="AD157" s="3060">
        <f t="shared" si="22"/>
        <v>0</v>
      </c>
      <c r="AE157" s="2853">
        <f t="shared" ref="AE157:AE167" si="25">+COUNTIF(F157:AB157,"DCN")</f>
        <v>0</v>
      </c>
      <c r="AF157" s="2745">
        <f t="shared" si="24"/>
        <v>3</v>
      </c>
      <c r="AG157" s="2854"/>
      <c r="AH157" s="2854"/>
      <c r="AI157" s="2746"/>
    </row>
    <row r="158" spans="1:35" ht="27.75" customHeight="1">
      <c r="A158" s="2851">
        <v>60</v>
      </c>
      <c r="B158" s="2812" t="s">
        <v>2470</v>
      </c>
      <c r="C158" s="2852"/>
      <c r="D158" s="3364" t="s">
        <v>452</v>
      </c>
      <c r="E158" s="3364"/>
      <c r="F158" s="2851"/>
      <c r="G158" s="2851"/>
      <c r="H158" s="2851"/>
      <c r="I158" s="2851"/>
      <c r="J158" s="2851"/>
      <c r="K158" s="2851"/>
      <c r="L158" s="2851"/>
      <c r="M158" s="2851"/>
      <c r="N158" s="2851"/>
      <c r="O158" s="2851" t="s">
        <v>29</v>
      </c>
      <c r="P158" s="2851" t="s">
        <v>29</v>
      </c>
      <c r="Q158" s="2851" t="s">
        <v>29</v>
      </c>
      <c r="R158" s="2851" t="s">
        <v>29</v>
      </c>
      <c r="S158" s="2851"/>
      <c r="T158" s="2851"/>
      <c r="U158" s="2851"/>
      <c r="V158" s="2851"/>
      <c r="W158" s="2851"/>
      <c r="X158" s="2851"/>
      <c r="Y158" s="2851"/>
      <c r="Z158" s="2851"/>
      <c r="AA158" s="2851"/>
      <c r="AB158" s="2851"/>
      <c r="AC158" s="2745">
        <f t="shared" si="23"/>
        <v>4</v>
      </c>
      <c r="AD158" s="3060">
        <f t="shared" si="22"/>
        <v>0</v>
      </c>
      <c r="AE158" s="2853">
        <f t="shared" si="25"/>
        <v>0</v>
      </c>
      <c r="AF158" s="2745">
        <f t="shared" si="24"/>
        <v>4</v>
      </c>
      <c r="AG158" s="2854"/>
      <c r="AH158" s="2854"/>
      <c r="AI158" s="2746"/>
    </row>
    <row r="159" spans="1:35" ht="27.75" customHeight="1">
      <c r="A159" s="2871">
        <v>61</v>
      </c>
      <c r="B159" s="2812" t="s">
        <v>1540</v>
      </c>
      <c r="C159" s="2852"/>
      <c r="D159" s="3364" t="s">
        <v>452</v>
      </c>
      <c r="E159" s="3364"/>
      <c r="F159" s="2851"/>
      <c r="G159" s="2851"/>
      <c r="H159" s="2851"/>
      <c r="I159" s="2851"/>
      <c r="J159" s="2851"/>
      <c r="K159" s="2851"/>
      <c r="L159" s="2851"/>
      <c r="M159" s="2851"/>
      <c r="N159" s="2851"/>
      <c r="O159" s="2851" t="s">
        <v>29</v>
      </c>
      <c r="P159" s="2851" t="s">
        <v>29</v>
      </c>
      <c r="Q159" s="2851" t="s">
        <v>29</v>
      </c>
      <c r="R159" s="2851" t="s">
        <v>29</v>
      </c>
      <c r="S159" s="2851"/>
      <c r="T159" s="2851"/>
      <c r="U159" s="2851"/>
      <c r="V159" s="2851"/>
      <c r="W159" s="2851"/>
      <c r="X159" s="2851"/>
      <c r="Y159" s="2851"/>
      <c r="Z159" s="2851"/>
      <c r="AA159" s="2851"/>
      <c r="AB159" s="2851"/>
      <c r="AC159" s="2745">
        <f t="shared" si="23"/>
        <v>4</v>
      </c>
      <c r="AD159" s="3060">
        <f t="shared" si="22"/>
        <v>0</v>
      </c>
      <c r="AE159" s="2853">
        <f t="shared" si="25"/>
        <v>0</v>
      </c>
      <c r="AF159" s="2745">
        <f t="shared" si="24"/>
        <v>4</v>
      </c>
      <c r="AG159" s="2854" t="e">
        <f>+VLOOKUP(C159,[1]Sheet1!$D$9:$E$122,2,0)</f>
        <v>#N/A</v>
      </c>
      <c r="AH159" s="2854" t="e">
        <f>+IF(AG159=B159,"0","1")</f>
        <v>#N/A</v>
      </c>
      <c r="AI159" s="2746"/>
    </row>
    <row r="160" spans="1:35" ht="27.75" customHeight="1">
      <c r="A160" s="2851">
        <v>62</v>
      </c>
      <c r="B160" s="2812" t="s">
        <v>2471</v>
      </c>
      <c r="C160" s="2852"/>
      <c r="D160" s="3364" t="s">
        <v>452</v>
      </c>
      <c r="E160" s="3364"/>
      <c r="F160" s="2851"/>
      <c r="G160" s="2851"/>
      <c r="H160" s="2851"/>
      <c r="I160" s="2851"/>
      <c r="J160" s="2851"/>
      <c r="K160" s="2851"/>
      <c r="L160" s="2851"/>
      <c r="M160" s="2851"/>
      <c r="N160" s="2851"/>
      <c r="O160" s="2851" t="s">
        <v>29</v>
      </c>
      <c r="P160" s="2851" t="s">
        <v>29</v>
      </c>
      <c r="Q160" s="2851" t="s">
        <v>29</v>
      </c>
      <c r="R160" s="2851" t="s">
        <v>29</v>
      </c>
      <c r="S160" s="2851"/>
      <c r="T160" s="2851"/>
      <c r="U160" s="2851"/>
      <c r="V160" s="2851"/>
      <c r="W160" s="2851"/>
      <c r="X160" s="2851"/>
      <c r="Y160" s="2851"/>
      <c r="Z160" s="2851"/>
      <c r="AA160" s="2851"/>
      <c r="AB160" s="2851"/>
      <c r="AC160" s="2745">
        <f t="shared" si="23"/>
        <v>4</v>
      </c>
      <c r="AD160" s="3060">
        <f t="shared" si="22"/>
        <v>0</v>
      </c>
      <c r="AE160" s="2853">
        <f t="shared" si="25"/>
        <v>0</v>
      </c>
      <c r="AF160" s="2745">
        <f t="shared" si="24"/>
        <v>4</v>
      </c>
      <c r="AG160" s="2854" t="e">
        <f>+VLOOKUP(C160,[1]Sheet1!$D$9:$E$122,2,0)</f>
        <v>#N/A</v>
      </c>
      <c r="AH160" s="2854" t="e">
        <f>+IF(AG160=B160,"0","1")</f>
        <v>#N/A</v>
      </c>
      <c r="AI160" s="2746"/>
    </row>
    <row r="161" spans="1:41" ht="27.75" customHeight="1">
      <c r="A161" s="2871">
        <v>63</v>
      </c>
      <c r="B161" s="2812" t="s">
        <v>1694</v>
      </c>
      <c r="C161" s="2852"/>
      <c r="D161" s="3364" t="s">
        <v>452</v>
      </c>
      <c r="E161" s="3364"/>
      <c r="F161" s="2851"/>
      <c r="G161" s="2851"/>
      <c r="H161" s="2851"/>
      <c r="I161" s="2851"/>
      <c r="J161" s="2851"/>
      <c r="K161" s="2851"/>
      <c r="L161" s="2851"/>
      <c r="M161" s="2851"/>
      <c r="N161" s="2851"/>
      <c r="O161" s="2851" t="s">
        <v>29</v>
      </c>
      <c r="P161" s="2851" t="s">
        <v>29</v>
      </c>
      <c r="Q161" s="2851" t="s">
        <v>29</v>
      </c>
      <c r="R161" s="2851" t="s">
        <v>29</v>
      </c>
      <c r="S161" s="2851"/>
      <c r="T161" s="2851"/>
      <c r="U161" s="2851"/>
      <c r="V161" s="2851"/>
      <c r="W161" s="2851"/>
      <c r="X161" s="2851"/>
      <c r="Y161" s="2851"/>
      <c r="Z161" s="2851"/>
      <c r="AA161" s="2851"/>
      <c r="AB161" s="2851"/>
      <c r="AC161" s="2745">
        <f t="shared" si="23"/>
        <v>4</v>
      </c>
      <c r="AD161" s="3060">
        <f t="shared" si="22"/>
        <v>0</v>
      </c>
      <c r="AE161" s="2853">
        <f t="shared" si="25"/>
        <v>0</v>
      </c>
      <c r="AF161" s="2745">
        <f t="shared" si="24"/>
        <v>4</v>
      </c>
      <c r="AG161" s="2854" t="e">
        <f>+VLOOKUP(C161,[1]Sheet1!$D$9:$E$122,2,0)</f>
        <v>#N/A</v>
      </c>
      <c r="AH161" s="2854" t="e">
        <f>+IF(AG161=B161,"0","1")</f>
        <v>#N/A</v>
      </c>
      <c r="AI161" s="2746"/>
    </row>
    <row r="162" spans="1:41" ht="27.75" customHeight="1">
      <c r="A162" s="2851">
        <v>64</v>
      </c>
      <c r="B162" s="2812" t="s">
        <v>1616</v>
      </c>
      <c r="C162" s="2852"/>
      <c r="D162" s="3364" t="s">
        <v>452</v>
      </c>
      <c r="E162" s="3364"/>
      <c r="F162" s="2851"/>
      <c r="G162" s="2851"/>
      <c r="H162" s="2851"/>
      <c r="I162" s="2851"/>
      <c r="J162" s="2851"/>
      <c r="K162" s="2851"/>
      <c r="L162" s="2851"/>
      <c r="M162" s="2851"/>
      <c r="N162" s="2851"/>
      <c r="O162" s="2851" t="s">
        <v>29</v>
      </c>
      <c r="P162" s="2851" t="s">
        <v>29</v>
      </c>
      <c r="Q162" s="2851" t="s">
        <v>29</v>
      </c>
      <c r="R162" s="2851" t="s">
        <v>29</v>
      </c>
      <c r="S162" s="2851"/>
      <c r="T162" s="2851"/>
      <c r="U162" s="2851"/>
      <c r="V162" s="2851"/>
      <c r="W162" s="2851"/>
      <c r="X162" s="2851"/>
      <c r="Y162" s="2851"/>
      <c r="Z162" s="2851"/>
      <c r="AA162" s="2851"/>
      <c r="AB162" s="2851"/>
      <c r="AC162" s="2745">
        <f t="shared" si="23"/>
        <v>4</v>
      </c>
      <c r="AD162" s="3060">
        <f t="shared" si="22"/>
        <v>0</v>
      </c>
      <c r="AE162" s="2853">
        <f t="shared" si="25"/>
        <v>0</v>
      </c>
      <c r="AF162" s="2745">
        <f t="shared" si="24"/>
        <v>4</v>
      </c>
      <c r="AG162" s="2854"/>
      <c r="AH162" s="2854"/>
      <c r="AI162" s="2746"/>
    </row>
    <row r="163" spans="1:41" ht="27.75" customHeight="1">
      <c r="A163" s="2871">
        <v>65</v>
      </c>
      <c r="B163" s="2812" t="s">
        <v>2236</v>
      </c>
      <c r="C163" s="2852"/>
      <c r="D163" s="3364" t="s">
        <v>452</v>
      </c>
      <c r="E163" s="3364"/>
      <c r="F163" s="2851"/>
      <c r="G163" s="2851"/>
      <c r="H163" s="2851"/>
      <c r="I163" s="2851"/>
      <c r="J163" s="2851"/>
      <c r="K163" s="2851"/>
      <c r="L163" s="2851"/>
      <c r="M163" s="2851"/>
      <c r="N163" s="2851"/>
      <c r="O163" s="2851" t="s">
        <v>29</v>
      </c>
      <c r="P163" s="2851" t="s">
        <v>29</v>
      </c>
      <c r="Q163" s="2851" t="s">
        <v>29</v>
      </c>
      <c r="R163" s="2851" t="s">
        <v>29</v>
      </c>
      <c r="S163" s="2851"/>
      <c r="T163" s="2851"/>
      <c r="U163" s="2851"/>
      <c r="V163" s="2851"/>
      <c r="W163" s="2851"/>
      <c r="X163" s="2851"/>
      <c r="Y163" s="2851"/>
      <c r="Z163" s="2851"/>
      <c r="AA163" s="2851"/>
      <c r="AB163" s="2851"/>
      <c r="AC163" s="2745">
        <f t="shared" si="23"/>
        <v>4</v>
      </c>
      <c r="AD163" s="3060">
        <f t="shared" si="22"/>
        <v>0</v>
      </c>
      <c r="AE163" s="2853">
        <f t="shared" si="25"/>
        <v>0</v>
      </c>
      <c r="AF163" s="2745">
        <f t="shared" si="24"/>
        <v>4</v>
      </c>
      <c r="AG163" s="2854"/>
      <c r="AH163" s="2854"/>
      <c r="AI163" s="2746"/>
    </row>
    <row r="164" spans="1:41" ht="27.75" customHeight="1">
      <c r="A164" s="2851">
        <v>66</v>
      </c>
      <c r="B164" s="2812" t="s">
        <v>2472</v>
      </c>
      <c r="C164" s="2852"/>
      <c r="D164" s="3364" t="s">
        <v>452</v>
      </c>
      <c r="E164" s="3364"/>
      <c r="F164" s="2851"/>
      <c r="G164" s="2851"/>
      <c r="H164" s="2851"/>
      <c r="I164" s="2851"/>
      <c r="J164" s="2851"/>
      <c r="K164" s="2851"/>
      <c r="L164" s="2851"/>
      <c r="M164" s="2851"/>
      <c r="N164" s="2851"/>
      <c r="O164" s="2851" t="s">
        <v>29</v>
      </c>
      <c r="P164" s="2851" t="s">
        <v>29</v>
      </c>
      <c r="Q164" s="2851" t="s">
        <v>29</v>
      </c>
      <c r="R164" s="2851" t="s">
        <v>29</v>
      </c>
      <c r="S164" s="2851"/>
      <c r="T164" s="2851"/>
      <c r="U164" s="2851"/>
      <c r="V164" s="2851"/>
      <c r="W164" s="2851"/>
      <c r="X164" s="2851"/>
      <c r="Y164" s="2851"/>
      <c r="Z164" s="2851"/>
      <c r="AA164" s="2851"/>
      <c r="AB164" s="2851"/>
      <c r="AC164" s="2745">
        <f t="shared" si="23"/>
        <v>4</v>
      </c>
      <c r="AD164" s="3060">
        <f t="shared" si="22"/>
        <v>0</v>
      </c>
      <c r="AE164" s="2853">
        <f t="shared" si="25"/>
        <v>0</v>
      </c>
      <c r="AF164" s="2745">
        <f t="shared" si="24"/>
        <v>4</v>
      </c>
      <c r="AG164" s="2854"/>
      <c r="AH164" s="2854"/>
      <c r="AI164" s="2746"/>
    </row>
    <row r="165" spans="1:41" ht="27.75" customHeight="1">
      <c r="A165" s="2871">
        <v>67</v>
      </c>
      <c r="B165" s="2812" t="s">
        <v>2473</v>
      </c>
      <c r="C165" s="2852"/>
      <c r="D165" s="3364" t="s">
        <v>452</v>
      </c>
      <c r="E165" s="3364"/>
      <c r="F165" s="2851"/>
      <c r="G165" s="2851"/>
      <c r="H165" s="2851"/>
      <c r="I165" s="2851"/>
      <c r="J165" s="2851"/>
      <c r="K165" s="2851"/>
      <c r="L165" s="2851"/>
      <c r="M165" s="2851"/>
      <c r="N165" s="2851"/>
      <c r="O165" s="2851" t="s">
        <v>29</v>
      </c>
      <c r="P165" s="2851" t="s">
        <v>29</v>
      </c>
      <c r="Q165" s="2851" t="s">
        <v>29</v>
      </c>
      <c r="R165" s="2851" t="s">
        <v>29</v>
      </c>
      <c r="S165" s="2851"/>
      <c r="T165" s="2851"/>
      <c r="U165" s="2851"/>
      <c r="V165" s="2851"/>
      <c r="W165" s="2851"/>
      <c r="X165" s="2851"/>
      <c r="Y165" s="2851"/>
      <c r="Z165" s="2851"/>
      <c r="AA165" s="2851"/>
      <c r="AB165" s="2851"/>
      <c r="AC165" s="2745">
        <f t="shared" si="23"/>
        <v>4</v>
      </c>
      <c r="AD165" s="3060">
        <f t="shared" si="22"/>
        <v>0</v>
      </c>
      <c r="AE165" s="2853">
        <f t="shared" si="25"/>
        <v>0</v>
      </c>
      <c r="AF165" s="2745">
        <f t="shared" si="24"/>
        <v>4</v>
      </c>
      <c r="AG165" s="2854"/>
      <c r="AH165" s="2854"/>
      <c r="AI165" s="2746"/>
    </row>
    <row r="166" spans="1:41" ht="27.75" customHeight="1">
      <c r="A166" s="2851">
        <v>68</v>
      </c>
      <c r="B166" s="2812" t="s">
        <v>2474</v>
      </c>
      <c r="C166" s="2852"/>
      <c r="D166" s="3364" t="s">
        <v>452</v>
      </c>
      <c r="E166" s="3364"/>
      <c r="F166" s="2851"/>
      <c r="G166" s="2851"/>
      <c r="H166" s="2851"/>
      <c r="I166" s="2851"/>
      <c r="J166" s="2851"/>
      <c r="K166" s="2851"/>
      <c r="L166" s="2851"/>
      <c r="M166" s="2851"/>
      <c r="N166" s="2851"/>
      <c r="O166" s="2851" t="s">
        <v>29</v>
      </c>
      <c r="P166" s="2851" t="s">
        <v>29</v>
      </c>
      <c r="Q166" s="2851" t="s">
        <v>29</v>
      </c>
      <c r="R166" s="2851" t="s">
        <v>29</v>
      </c>
      <c r="S166" s="2851"/>
      <c r="T166" s="2851"/>
      <c r="U166" s="2851"/>
      <c r="V166" s="2851"/>
      <c r="W166" s="2851"/>
      <c r="X166" s="2851"/>
      <c r="Y166" s="2851"/>
      <c r="Z166" s="2851"/>
      <c r="AA166" s="2851"/>
      <c r="AB166" s="2851"/>
      <c r="AC166" s="2745">
        <f t="shared" si="23"/>
        <v>4</v>
      </c>
      <c r="AD166" s="3060">
        <f t="shared" si="22"/>
        <v>0</v>
      </c>
      <c r="AE166" s="2853">
        <f t="shared" si="25"/>
        <v>0</v>
      </c>
      <c r="AF166" s="2745">
        <f t="shared" si="24"/>
        <v>4</v>
      </c>
      <c r="AG166" s="2854"/>
      <c r="AH166" s="2854"/>
      <c r="AI166" s="2746"/>
    </row>
    <row r="167" spans="1:41" ht="27.75" customHeight="1">
      <c r="A167" s="2871">
        <v>69</v>
      </c>
      <c r="B167" s="2812" t="s">
        <v>2475</v>
      </c>
      <c r="C167" s="2852"/>
      <c r="D167" s="3364" t="s">
        <v>452</v>
      </c>
      <c r="E167" s="3364"/>
      <c r="F167" s="2851"/>
      <c r="G167" s="2851"/>
      <c r="H167" s="2851"/>
      <c r="I167" s="2851"/>
      <c r="J167" s="2851"/>
      <c r="K167" s="2851"/>
      <c r="L167" s="2851"/>
      <c r="M167" s="2851"/>
      <c r="N167" s="2851"/>
      <c r="O167" s="2851" t="s">
        <v>29</v>
      </c>
      <c r="P167" s="2851" t="s">
        <v>29</v>
      </c>
      <c r="Q167" s="2851" t="s">
        <v>29</v>
      </c>
      <c r="R167" s="2851" t="s">
        <v>29</v>
      </c>
      <c r="S167" s="2851"/>
      <c r="T167" s="2851"/>
      <c r="U167" s="2851"/>
      <c r="V167" s="2851"/>
      <c r="W167" s="2851"/>
      <c r="X167" s="2851"/>
      <c r="Y167" s="2851"/>
      <c r="Z167" s="2851"/>
      <c r="AA167" s="2851"/>
      <c r="AB167" s="2851"/>
      <c r="AC167" s="2745">
        <f t="shared" si="23"/>
        <v>4</v>
      </c>
      <c r="AD167" s="3060">
        <f t="shared" si="22"/>
        <v>0</v>
      </c>
      <c r="AE167" s="2853">
        <f t="shared" si="25"/>
        <v>0</v>
      </c>
      <c r="AF167" s="2745">
        <f t="shared" si="24"/>
        <v>4</v>
      </c>
      <c r="AG167" s="2854"/>
      <c r="AH167" s="2854"/>
      <c r="AI167" s="2746"/>
    </row>
    <row r="168" spans="1:41" ht="27.75" customHeight="1">
      <c r="A168" s="2851">
        <v>70</v>
      </c>
      <c r="B168" s="2812" t="s">
        <v>2476</v>
      </c>
      <c r="C168" s="2852"/>
      <c r="D168" s="3364" t="s">
        <v>453</v>
      </c>
      <c r="E168" s="3364"/>
      <c r="F168" s="2851"/>
      <c r="G168" s="2851"/>
      <c r="H168" s="2851"/>
      <c r="I168" s="2851"/>
      <c r="J168" s="2851"/>
      <c r="K168" s="2851"/>
      <c r="L168" s="2851"/>
      <c r="M168" s="2851"/>
      <c r="N168" s="2851"/>
      <c r="O168" s="2851" t="s">
        <v>29</v>
      </c>
      <c r="P168" s="2851" t="s">
        <v>29</v>
      </c>
      <c r="Q168" s="2851" t="s">
        <v>29</v>
      </c>
      <c r="R168" s="2851" t="s">
        <v>29</v>
      </c>
      <c r="S168" s="2851"/>
      <c r="T168" s="2851"/>
      <c r="U168" s="2851"/>
      <c r="V168" s="2851"/>
      <c r="W168" s="2851"/>
      <c r="X168" s="2851"/>
      <c r="Y168" s="2851"/>
      <c r="Z168" s="2851"/>
      <c r="AA168" s="2851"/>
      <c r="AB168" s="2851"/>
      <c r="AC168" s="2745">
        <f t="shared" si="23"/>
        <v>4</v>
      </c>
      <c r="AD168" s="3060"/>
      <c r="AE168" s="2853"/>
      <c r="AF168" s="2745">
        <f t="shared" si="24"/>
        <v>4</v>
      </c>
      <c r="AG168" s="2854"/>
      <c r="AH168" s="2854"/>
      <c r="AI168" s="2746"/>
    </row>
    <row r="169" spans="1:41" ht="27.75" customHeight="1">
      <c r="A169" s="2871">
        <v>71</v>
      </c>
      <c r="B169" s="2812" t="s">
        <v>2493</v>
      </c>
      <c r="C169" s="2852"/>
      <c r="D169" s="3364" t="s">
        <v>2477</v>
      </c>
      <c r="E169" s="3364"/>
      <c r="F169" s="2851"/>
      <c r="G169" s="2851"/>
      <c r="H169" s="2851"/>
      <c r="I169" s="2851"/>
      <c r="J169" s="2851"/>
      <c r="K169" s="2851"/>
      <c r="L169" s="2851"/>
      <c r="M169" s="2851"/>
      <c r="N169" s="2851"/>
      <c r="O169" s="2851" t="s">
        <v>29</v>
      </c>
      <c r="P169" s="2851" t="s">
        <v>29</v>
      </c>
      <c r="Q169" s="2851" t="s">
        <v>29</v>
      </c>
      <c r="R169" s="2851"/>
      <c r="S169" s="2851"/>
      <c r="T169" s="2851"/>
      <c r="U169" s="2851"/>
      <c r="V169" s="2851"/>
      <c r="W169" s="2851"/>
      <c r="X169" s="2851"/>
      <c r="Y169" s="2851"/>
      <c r="Z169" s="2851"/>
      <c r="AA169" s="2851"/>
      <c r="AB169" s="2851"/>
      <c r="AC169" s="2745">
        <f t="shared" si="23"/>
        <v>3</v>
      </c>
      <c r="AD169" s="3060">
        <f>+COUNTIF(F169:AB169,"D")</f>
        <v>0</v>
      </c>
      <c r="AE169" s="2853">
        <f>+COUNTIF(F169:AB169,"DCN")</f>
        <v>0</v>
      </c>
      <c r="AF169" s="2745">
        <f t="shared" si="24"/>
        <v>3</v>
      </c>
      <c r="AG169" s="2854"/>
      <c r="AH169" s="2854"/>
      <c r="AI169" s="2746"/>
    </row>
    <row r="170" spans="1:41" ht="27.75" customHeight="1">
      <c r="A170" s="3912" t="s">
        <v>1864</v>
      </c>
      <c r="B170" s="3912"/>
      <c r="C170" s="2876"/>
      <c r="D170" s="3367"/>
      <c r="E170" s="3367"/>
      <c r="F170" s="3182">
        <f t="shared" ref="F170:AB170" si="26">COUNTIF(F99:F169,"X")+COUNTIF(F99:F169,"cn")+COUNTIF(F99:F169,"D")+COUNTIF(F99:F169,"DCN")</f>
        <v>0</v>
      </c>
      <c r="G170" s="3182">
        <f t="shared" si="26"/>
        <v>0</v>
      </c>
      <c r="H170" s="3182">
        <f t="shared" si="26"/>
        <v>0</v>
      </c>
      <c r="I170" s="3182">
        <f t="shared" si="26"/>
        <v>0</v>
      </c>
      <c r="J170" s="3182">
        <f t="shared" si="26"/>
        <v>33</v>
      </c>
      <c r="K170" s="3182">
        <f t="shared" si="26"/>
        <v>38</v>
      </c>
      <c r="L170" s="3182">
        <f t="shared" si="26"/>
        <v>34</v>
      </c>
      <c r="M170" s="3182">
        <f t="shared" si="26"/>
        <v>37</v>
      </c>
      <c r="N170" s="3182">
        <f t="shared" si="26"/>
        <v>37</v>
      </c>
      <c r="O170" s="3182">
        <f t="shared" si="26"/>
        <v>59</v>
      </c>
      <c r="P170" s="3182">
        <f t="shared" si="26"/>
        <v>69</v>
      </c>
      <c r="Q170" s="3182">
        <f t="shared" si="26"/>
        <v>68</v>
      </c>
      <c r="R170" s="3182">
        <f t="shared" si="26"/>
        <v>46</v>
      </c>
      <c r="S170" s="3182">
        <f t="shared" si="26"/>
        <v>0</v>
      </c>
      <c r="T170" s="3182">
        <f t="shared" si="26"/>
        <v>0</v>
      </c>
      <c r="U170" s="3182">
        <f t="shared" si="26"/>
        <v>0</v>
      </c>
      <c r="V170" s="3182">
        <f t="shared" si="26"/>
        <v>0</v>
      </c>
      <c r="W170" s="3182">
        <f t="shared" si="26"/>
        <v>0</v>
      </c>
      <c r="X170" s="3182">
        <f t="shared" si="26"/>
        <v>0</v>
      </c>
      <c r="Y170" s="3182">
        <f t="shared" si="26"/>
        <v>0</v>
      </c>
      <c r="Z170" s="3182">
        <f t="shared" si="26"/>
        <v>0</v>
      </c>
      <c r="AA170" s="3182">
        <f t="shared" si="26"/>
        <v>0</v>
      </c>
      <c r="AB170" s="3182">
        <f t="shared" si="26"/>
        <v>0</v>
      </c>
      <c r="AC170" s="3182">
        <f>+SUM(AC99:AC169)</f>
        <v>421</v>
      </c>
      <c r="AD170" s="3182">
        <f>+SUM(AD99:AD169)</f>
        <v>0</v>
      </c>
      <c r="AE170" s="3182">
        <f>+SUM(AE99:AE169)</f>
        <v>0</v>
      </c>
      <c r="AF170" s="3182">
        <f>+SUM(AF99:AF169)</f>
        <v>421</v>
      </c>
      <c r="AI170" s="2856"/>
      <c r="AJ170" s="2870">
        <f>+AF170+AF195</f>
        <v>532</v>
      </c>
      <c r="AK170" s="2857">
        <f>+AC170+AC195</f>
        <v>532</v>
      </c>
      <c r="AL170" s="2857">
        <v>61</v>
      </c>
      <c r="AM170" s="2857">
        <f>+AD170+AD195</f>
        <v>0</v>
      </c>
      <c r="AN170" s="2857">
        <f>+AE170+AE195</f>
        <v>0</v>
      </c>
      <c r="AO170" s="2857">
        <f>+AF170+AF195</f>
        <v>532</v>
      </c>
    </row>
    <row r="171" spans="1:41" ht="27.75" customHeight="1">
      <c r="A171" s="3061">
        <v>1</v>
      </c>
      <c r="B171" s="2878" t="s">
        <v>2279</v>
      </c>
      <c r="C171" s="3390"/>
      <c r="D171" s="3365" t="s">
        <v>452</v>
      </c>
      <c r="E171" s="3365"/>
      <c r="F171" s="2861"/>
      <c r="G171" s="2861"/>
      <c r="H171" s="2861"/>
      <c r="I171" s="2861"/>
      <c r="J171" s="2861" t="s">
        <v>29</v>
      </c>
      <c r="K171" s="2861"/>
      <c r="L171" s="2861"/>
      <c r="M171" s="2861"/>
      <c r="N171" s="2861"/>
      <c r="O171" s="2861" t="s">
        <v>29</v>
      </c>
      <c r="P171" s="2861" t="s">
        <v>29</v>
      </c>
      <c r="Q171" s="2861" t="s">
        <v>29</v>
      </c>
      <c r="R171" s="2861" t="s">
        <v>29</v>
      </c>
      <c r="S171" s="2861"/>
      <c r="T171" s="2861"/>
      <c r="U171" s="2861"/>
      <c r="V171" s="2861"/>
      <c r="W171" s="2861"/>
      <c r="X171" s="2861"/>
      <c r="Y171" s="2861"/>
      <c r="Z171" s="2861"/>
      <c r="AA171" s="2861"/>
      <c r="AB171" s="2861"/>
      <c r="AC171" s="2880">
        <f t="shared" ref="AC171:AC194" si="27">+COUNTIF(F171:AB171,"X")</f>
        <v>5</v>
      </c>
      <c r="AD171" s="2862">
        <f t="shared" ref="AD171:AD194" si="28">+COUNTIF(F171:AB171,"D")</f>
        <v>0</v>
      </c>
      <c r="AE171" s="2862">
        <f t="shared" ref="AE171:AE194" si="29">+COUNTIF(F171:AB171,"DCN")</f>
        <v>0</v>
      </c>
      <c r="AF171" s="2880">
        <f t="shared" ref="AF171:AF194" si="30">+SUM(AC171:AE171)</f>
        <v>5</v>
      </c>
      <c r="AG171" s="2863" t="e">
        <f>+VLOOKUP(C171,[1]Sheet1!$D$9:$E$122,2,0)</f>
        <v>#N/A</v>
      </c>
      <c r="AH171" s="2863" t="e">
        <f>+IF(AG171=B171,"0","1")</f>
        <v>#N/A</v>
      </c>
      <c r="AI171" s="2875"/>
      <c r="AJ171" s="2846">
        <v>4</v>
      </c>
      <c r="AK171" s="2846">
        <f>+AJ171-AF171</f>
        <v>-1</v>
      </c>
    </row>
    <row r="172" spans="1:41" ht="27.75" customHeight="1">
      <c r="A172" s="3061">
        <v>2</v>
      </c>
      <c r="B172" s="2812" t="s">
        <v>2478</v>
      </c>
      <c r="C172" s="2852"/>
      <c r="D172" s="3364" t="s">
        <v>452</v>
      </c>
      <c r="E172" s="3364"/>
      <c r="F172" s="2851"/>
      <c r="G172" s="2851"/>
      <c r="H172" s="2851"/>
      <c r="I172" s="2851"/>
      <c r="J172" s="2861" t="s">
        <v>29</v>
      </c>
      <c r="K172" s="2851"/>
      <c r="L172" s="2851"/>
      <c r="M172" s="2851"/>
      <c r="N172" s="2851"/>
      <c r="O172" s="2861" t="s">
        <v>29</v>
      </c>
      <c r="P172" s="2861" t="s">
        <v>29</v>
      </c>
      <c r="Q172" s="2861" t="s">
        <v>29</v>
      </c>
      <c r="R172" s="2861" t="s">
        <v>29</v>
      </c>
      <c r="S172" s="2861"/>
      <c r="T172" s="2861"/>
      <c r="U172" s="2861"/>
      <c r="V172" s="2861"/>
      <c r="W172" s="2861"/>
      <c r="X172" s="2861"/>
      <c r="Y172" s="2861"/>
      <c r="Z172" s="2861"/>
      <c r="AA172" s="2861"/>
      <c r="AB172" s="2851"/>
      <c r="AC172" s="2880">
        <f t="shared" si="27"/>
        <v>5</v>
      </c>
      <c r="AD172" s="2862">
        <f t="shared" si="28"/>
        <v>0</v>
      </c>
      <c r="AE172" s="2862">
        <f t="shared" si="29"/>
        <v>0</v>
      </c>
      <c r="AF172" s="2880">
        <f t="shared" si="30"/>
        <v>5</v>
      </c>
      <c r="AG172" s="2854" t="e">
        <f>+VLOOKUP(C172,[1]Sheet1!$D$9:$E$122,2,0)</f>
        <v>#N/A</v>
      </c>
      <c r="AH172" s="2854" t="e">
        <f>+IF(AG172=B172,"0","1")</f>
        <v>#N/A</v>
      </c>
      <c r="AI172" s="2746"/>
      <c r="AJ172" s="2846">
        <v>8</v>
      </c>
      <c r="AK172" s="2846">
        <f t="shared" ref="AK172:AK194" si="31">+AJ172-AF172</f>
        <v>3</v>
      </c>
    </row>
    <row r="173" spans="1:41" ht="27.75" customHeight="1">
      <c r="A173" s="3061">
        <v>3</v>
      </c>
      <c r="B173" s="2812" t="s">
        <v>568</v>
      </c>
      <c r="C173" s="2852"/>
      <c r="D173" s="3364" t="s">
        <v>452</v>
      </c>
      <c r="E173" s="3364"/>
      <c r="F173" s="2851"/>
      <c r="G173" s="2851"/>
      <c r="H173" s="2851"/>
      <c r="I173" s="2851"/>
      <c r="J173" s="2861" t="s">
        <v>29</v>
      </c>
      <c r="K173" s="2851"/>
      <c r="L173" s="2851"/>
      <c r="M173" s="2851"/>
      <c r="N173" s="2851"/>
      <c r="O173" s="2851"/>
      <c r="P173" s="2851" t="s">
        <v>29</v>
      </c>
      <c r="Q173" s="2851" t="s">
        <v>29</v>
      </c>
      <c r="R173" s="2861" t="s">
        <v>29</v>
      </c>
      <c r="S173" s="2861"/>
      <c r="T173" s="2861"/>
      <c r="U173" s="2861"/>
      <c r="V173" s="2861"/>
      <c r="W173" s="2861"/>
      <c r="X173" s="2861"/>
      <c r="Y173" s="2861"/>
      <c r="Z173" s="2861"/>
      <c r="AA173" s="2861"/>
      <c r="AB173" s="2851"/>
      <c r="AC173" s="2880">
        <f t="shared" si="27"/>
        <v>4</v>
      </c>
      <c r="AD173" s="2862">
        <f t="shared" si="28"/>
        <v>0</v>
      </c>
      <c r="AE173" s="2862">
        <f t="shared" si="29"/>
        <v>0</v>
      </c>
      <c r="AF173" s="2880">
        <f t="shared" si="30"/>
        <v>4</v>
      </c>
      <c r="AG173" s="2854" t="e">
        <f>+VLOOKUP(C173,[1]Sheet1!$D$9:$E$122,2,0)</f>
        <v>#N/A</v>
      </c>
      <c r="AH173" s="2854" t="e">
        <f>+IF(AG173=B173,"0","1")</f>
        <v>#N/A</v>
      </c>
      <c r="AI173" s="2746"/>
      <c r="AJ173" s="2846">
        <v>10</v>
      </c>
      <c r="AK173" s="2846">
        <f t="shared" si="31"/>
        <v>6</v>
      </c>
    </row>
    <row r="174" spans="1:41" ht="27.75" customHeight="1">
      <c r="A174" s="3061">
        <v>4</v>
      </c>
      <c r="B174" s="2812" t="s">
        <v>847</v>
      </c>
      <c r="C174" s="2852"/>
      <c r="D174" s="3364" t="s">
        <v>452</v>
      </c>
      <c r="E174" s="3364"/>
      <c r="F174" s="2851"/>
      <c r="G174" s="2851"/>
      <c r="H174" s="2851"/>
      <c r="I174" s="2851"/>
      <c r="J174" s="2861" t="s">
        <v>29</v>
      </c>
      <c r="K174" s="2851"/>
      <c r="L174" s="2851"/>
      <c r="M174" s="2851"/>
      <c r="N174" s="2851"/>
      <c r="O174" s="2851" t="s">
        <v>29</v>
      </c>
      <c r="P174" s="2851" t="s">
        <v>29</v>
      </c>
      <c r="Q174" s="2851" t="s">
        <v>29</v>
      </c>
      <c r="R174" s="2861" t="s">
        <v>29</v>
      </c>
      <c r="S174" s="2861"/>
      <c r="T174" s="2861"/>
      <c r="U174" s="2861"/>
      <c r="V174" s="2861"/>
      <c r="W174" s="2861"/>
      <c r="X174" s="2861"/>
      <c r="Y174" s="2861"/>
      <c r="Z174" s="2861"/>
      <c r="AA174" s="2861"/>
      <c r="AB174" s="2851"/>
      <c r="AC174" s="2880">
        <f t="shared" si="27"/>
        <v>5</v>
      </c>
      <c r="AD174" s="2862">
        <f t="shared" si="28"/>
        <v>0</v>
      </c>
      <c r="AE174" s="2862">
        <f t="shared" si="29"/>
        <v>0</v>
      </c>
      <c r="AF174" s="2880">
        <f t="shared" si="30"/>
        <v>5</v>
      </c>
      <c r="AG174" s="2854" t="e">
        <f>+VLOOKUP(C174,[1]Sheet1!$D$9:$E$122,2,0)</f>
        <v>#N/A</v>
      </c>
      <c r="AH174" s="2854" t="e">
        <f>+IF(AG174=B174,"0","1")</f>
        <v>#N/A</v>
      </c>
      <c r="AI174" s="2746"/>
      <c r="AJ174" s="2846">
        <v>9</v>
      </c>
      <c r="AK174" s="2846">
        <f t="shared" si="31"/>
        <v>4</v>
      </c>
    </row>
    <row r="175" spans="1:41" ht="27.75" customHeight="1">
      <c r="A175" s="3061">
        <v>5</v>
      </c>
      <c r="B175" s="2812" t="s">
        <v>2479</v>
      </c>
      <c r="C175" s="2852"/>
      <c r="D175" s="3364" t="s">
        <v>452</v>
      </c>
      <c r="E175" s="3364"/>
      <c r="F175" s="2851"/>
      <c r="G175" s="2851"/>
      <c r="H175" s="2851"/>
      <c r="I175" s="2851"/>
      <c r="J175" s="2861" t="s">
        <v>29</v>
      </c>
      <c r="K175" s="2851"/>
      <c r="L175" s="2851"/>
      <c r="M175" s="2851"/>
      <c r="N175" s="2851"/>
      <c r="O175" s="2851" t="s">
        <v>29</v>
      </c>
      <c r="P175" s="2851" t="s">
        <v>29</v>
      </c>
      <c r="Q175" s="2851" t="s">
        <v>29</v>
      </c>
      <c r="R175" s="2861" t="s">
        <v>29</v>
      </c>
      <c r="S175" s="2861"/>
      <c r="T175" s="2861"/>
      <c r="U175" s="2861"/>
      <c r="V175" s="2861"/>
      <c r="W175" s="2861"/>
      <c r="X175" s="2861"/>
      <c r="Y175" s="2861"/>
      <c r="Z175" s="2861"/>
      <c r="AA175" s="2861"/>
      <c r="AB175" s="2851"/>
      <c r="AC175" s="2880">
        <f t="shared" si="27"/>
        <v>5</v>
      </c>
      <c r="AD175" s="2862">
        <f t="shared" si="28"/>
        <v>0</v>
      </c>
      <c r="AE175" s="2862">
        <f t="shared" si="29"/>
        <v>0</v>
      </c>
      <c r="AF175" s="2880">
        <f t="shared" si="30"/>
        <v>5</v>
      </c>
      <c r="AG175" s="2854"/>
      <c r="AH175" s="2854"/>
      <c r="AI175" s="2746"/>
      <c r="AJ175" s="2846">
        <v>8</v>
      </c>
      <c r="AK175" s="2846">
        <f t="shared" si="31"/>
        <v>3</v>
      </c>
    </row>
    <row r="176" spans="1:41" ht="27.75" customHeight="1">
      <c r="A176" s="3061">
        <v>6</v>
      </c>
      <c r="B176" s="2812" t="s">
        <v>2480</v>
      </c>
      <c r="C176" s="2852"/>
      <c r="D176" s="3364" t="s">
        <v>452</v>
      </c>
      <c r="E176" s="3364"/>
      <c r="F176" s="2851"/>
      <c r="G176" s="2851"/>
      <c r="H176" s="2851"/>
      <c r="I176" s="2851"/>
      <c r="J176" s="2861" t="s">
        <v>29</v>
      </c>
      <c r="K176" s="2851"/>
      <c r="L176" s="2851"/>
      <c r="M176" s="2851"/>
      <c r="N176" s="2851"/>
      <c r="O176" s="2851" t="s">
        <v>29</v>
      </c>
      <c r="P176" s="2851"/>
      <c r="Q176" s="2851" t="s">
        <v>29</v>
      </c>
      <c r="R176" s="2861"/>
      <c r="S176" s="2861" t="s">
        <v>29</v>
      </c>
      <c r="T176" s="2861"/>
      <c r="U176" s="2861"/>
      <c r="V176" s="2861"/>
      <c r="W176" s="2861"/>
      <c r="X176" s="2861"/>
      <c r="Y176" s="2861"/>
      <c r="Z176" s="2861"/>
      <c r="AA176" s="2861"/>
      <c r="AB176" s="2851"/>
      <c r="AC176" s="2880">
        <f t="shared" si="27"/>
        <v>4</v>
      </c>
      <c r="AD176" s="2862">
        <f t="shared" si="28"/>
        <v>0</v>
      </c>
      <c r="AE176" s="2862">
        <f t="shared" si="29"/>
        <v>0</v>
      </c>
      <c r="AF176" s="2880">
        <f t="shared" si="30"/>
        <v>4</v>
      </c>
      <c r="AG176" s="2854"/>
      <c r="AH176" s="2854"/>
      <c r="AI176" s="2746"/>
      <c r="AJ176" s="2846">
        <v>8</v>
      </c>
      <c r="AK176" s="2846">
        <f t="shared" si="31"/>
        <v>4</v>
      </c>
    </row>
    <row r="177" spans="1:37" ht="27.75" customHeight="1">
      <c r="A177" s="3061">
        <v>7</v>
      </c>
      <c r="B177" s="2812" t="s">
        <v>2481</v>
      </c>
      <c r="C177" s="2852"/>
      <c r="D177" s="3364" t="s">
        <v>452</v>
      </c>
      <c r="E177" s="3364"/>
      <c r="F177" s="2851"/>
      <c r="G177" s="2851"/>
      <c r="H177" s="2851"/>
      <c r="I177" s="2851"/>
      <c r="J177" s="2861" t="s">
        <v>29</v>
      </c>
      <c r="K177" s="2851"/>
      <c r="L177" s="2851"/>
      <c r="M177" s="2851"/>
      <c r="N177" s="2851"/>
      <c r="O177" s="2851" t="s">
        <v>29</v>
      </c>
      <c r="P177" s="2851" t="s">
        <v>29</v>
      </c>
      <c r="Q177" s="2851" t="s">
        <v>29</v>
      </c>
      <c r="R177" s="2861" t="s">
        <v>29</v>
      </c>
      <c r="S177" s="2861"/>
      <c r="T177" s="2861"/>
      <c r="U177" s="2861"/>
      <c r="V177" s="2861"/>
      <c r="W177" s="2861"/>
      <c r="X177" s="2861"/>
      <c r="Y177" s="2861"/>
      <c r="Z177" s="2861"/>
      <c r="AA177" s="2861"/>
      <c r="AB177" s="2851"/>
      <c r="AC177" s="2880">
        <f t="shared" si="27"/>
        <v>5</v>
      </c>
      <c r="AD177" s="2862">
        <f t="shared" si="28"/>
        <v>0</v>
      </c>
      <c r="AE177" s="2862">
        <f t="shared" si="29"/>
        <v>0</v>
      </c>
      <c r="AF177" s="2880">
        <f t="shared" si="30"/>
        <v>5</v>
      </c>
      <c r="AG177" s="2854"/>
      <c r="AH177" s="2854"/>
      <c r="AI177" s="2746"/>
      <c r="AJ177" s="2846">
        <v>11</v>
      </c>
      <c r="AK177" s="2846">
        <f t="shared" si="31"/>
        <v>6</v>
      </c>
    </row>
    <row r="178" spans="1:37" ht="27.75" customHeight="1">
      <c r="A178" s="3061">
        <v>8</v>
      </c>
      <c r="B178" s="2812" t="s">
        <v>2482</v>
      </c>
      <c r="C178" s="2852"/>
      <c r="D178" s="3364" t="s">
        <v>452</v>
      </c>
      <c r="E178" s="3364"/>
      <c r="F178" s="2851"/>
      <c r="G178" s="2851"/>
      <c r="H178" s="2851"/>
      <c r="I178" s="2851"/>
      <c r="J178" s="2861" t="s">
        <v>29</v>
      </c>
      <c r="K178" s="2851"/>
      <c r="L178" s="2851"/>
      <c r="M178" s="2851"/>
      <c r="N178" s="2851"/>
      <c r="O178" s="2851" t="s">
        <v>29</v>
      </c>
      <c r="P178" s="2851" t="s">
        <v>29</v>
      </c>
      <c r="Q178" s="2851" t="s">
        <v>29</v>
      </c>
      <c r="R178" s="2861" t="s">
        <v>29</v>
      </c>
      <c r="S178" s="2861"/>
      <c r="T178" s="2861"/>
      <c r="U178" s="2861"/>
      <c r="V178" s="2861"/>
      <c r="W178" s="2861"/>
      <c r="X178" s="2861"/>
      <c r="Y178" s="2861"/>
      <c r="Z178" s="2861"/>
      <c r="AA178" s="2861"/>
      <c r="AB178" s="2851"/>
      <c r="AC178" s="2880">
        <f t="shared" si="27"/>
        <v>5</v>
      </c>
      <c r="AD178" s="2862">
        <f t="shared" si="28"/>
        <v>0</v>
      </c>
      <c r="AE178" s="2862">
        <f t="shared" si="29"/>
        <v>0</v>
      </c>
      <c r="AF178" s="2880">
        <f t="shared" si="30"/>
        <v>5</v>
      </c>
      <c r="AG178" s="2854"/>
      <c r="AH178" s="2854"/>
      <c r="AI178" s="2746"/>
      <c r="AJ178" s="2846">
        <v>10</v>
      </c>
      <c r="AK178" s="2846">
        <f t="shared" si="31"/>
        <v>5</v>
      </c>
    </row>
    <row r="179" spans="1:37" ht="27.75" customHeight="1">
      <c r="A179" s="3061">
        <v>9</v>
      </c>
      <c r="B179" s="2812" t="s">
        <v>2293</v>
      </c>
      <c r="C179" s="2852"/>
      <c r="D179" s="3364" t="s">
        <v>452</v>
      </c>
      <c r="E179" s="3364"/>
      <c r="F179" s="2851"/>
      <c r="G179" s="2851"/>
      <c r="H179" s="2851"/>
      <c r="I179" s="2851"/>
      <c r="J179" s="2861" t="s">
        <v>29</v>
      </c>
      <c r="K179" s="2851"/>
      <c r="L179" s="2851"/>
      <c r="M179" s="2851"/>
      <c r="N179" s="2851"/>
      <c r="O179" s="2851" t="s">
        <v>29</v>
      </c>
      <c r="P179" s="2851" t="s">
        <v>29</v>
      </c>
      <c r="Q179" s="2851" t="s">
        <v>29</v>
      </c>
      <c r="R179" s="2861" t="s">
        <v>29</v>
      </c>
      <c r="S179" s="2861"/>
      <c r="T179" s="2861"/>
      <c r="U179" s="2861"/>
      <c r="V179" s="2861"/>
      <c r="W179" s="2861"/>
      <c r="X179" s="2861"/>
      <c r="Y179" s="2861"/>
      <c r="Z179" s="2861"/>
      <c r="AA179" s="2861"/>
      <c r="AB179" s="2851"/>
      <c r="AC179" s="2880">
        <f t="shared" si="27"/>
        <v>5</v>
      </c>
      <c r="AD179" s="2862">
        <f t="shared" si="28"/>
        <v>0</v>
      </c>
      <c r="AE179" s="2862">
        <f t="shared" si="29"/>
        <v>0</v>
      </c>
      <c r="AF179" s="2880">
        <f t="shared" si="30"/>
        <v>5</v>
      </c>
      <c r="AG179" s="2854"/>
      <c r="AH179" s="2854"/>
      <c r="AI179" s="2746"/>
      <c r="AJ179" s="2846">
        <v>11</v>
      </c>
      <c r="AK179" s="2846">
        <f t="shared" si="31"/>
        <v>6</v>
      </c>
    </row>
    <row r="180" spans="1:37" ht="27.75" customHeight="1">
      <c r="A180" s="3061">
        <v>10</v>
      </c>
      <c r="B180" s="2812" t="s">
        <v>2287</v>
      </c>
      <c r="C180" s="2852"/>
      <c r="D180" s="3364" t="s">
        <v>452</v>
      </c>
      <c r="E180" s="3364"/>
      <c r="F180" s="2851"/>
      <c r="G180" s="2851"/>
      <c r="H180" s="2851"/>
      <c r="I180" s="2851"/>
      <c r="J180" s="2861" t="s">
        <v>29</v>
      </c>
      <c r="K180" s="2851"/>
      <c r="L180" s="2851"/>
      <c r="M180" s="2851"/>
      <c r="N180" s="2851"/>
      <c r="O180" s="2851"/>
      <c r="P180" s="2851" t="s">
        <v>29</v>
      </c>
      <c r="Q180" s="2851" t="s">
        <v>29</v>
      </c>
      <c r="R180" s="2861" t="s">
        <v>29</v>
      </c>
      <c r="S180" s="2861"/>
      <c r="T180" s="2861"/>
      <c r="U180" s="2861"/>
      <c r="V180" s="2861"/>
      <c r="W180" s="2861"/>
      <c r="X180" s="2861"/>
      <c r="Y180" s="2861"/>
      <c r="Z180" s="2861"/>
      <c r="AA180" s="2861"/>
      <c r="AB180" s="2851"/>
      <c r="AC180" s="2880">
        <f t="shared" si="27"/>
        <v>4</v>
      </c>
      <c r="AD180" s="2862">
        <f t="shared" si="28"/>
        <v>0</v>
      </c>
      <c r="AE180" s="2862">
        <f t="shared" si="29"/>
        <v>0</v>
      </c>
      <c r="AF180" s="2880">
        <f t="shared" si="30"/>
        <v>4</v>
      </c>
      <c r="AG180" s="2854"/>
      <c r="AH180" s="2854"/>
      <c r="AI180" s="2746"/>
      <c r="AJ180" s="2846">
        <v>10</v>
      </c>
      <c r="AK180" s="2846">
        <f t="shared" si="31"/>
        <v>6</v>
      </c>
    </row>
    <row r="181" spans="1:37" ht="27.75" customHeight="1">
      <c r="A181" s="3061">
        <v>11</v>
      </c>
      <c r="B181" s="2812" t="s">
        <v>1207</v>
      </c>
      <c r="C181" s="2852"/>
      <c r="D181" s="3364" t="s">
        <v>452</v>
      </c>
      <c r="E181" s="3364"/>
      <c r="F181" s="2851"/>
      <c r="G181" s="2851"/>
      <c r="H181" s="2851"/>
      <c r="I181" s="2851"/>
      <c r="J181" s="2861" t="s">
        <v>29</v>
      </c>
      <c r="K181" s="2851"/>
      <c r="L181" s="2851"/>
      <c r="M181" s="2851"/>
      <c r="N181" s="2851"/>
      <c r="O181" s="2851" t="s">
        <v>29</v>
      </c>
      <c r="P181" s="2851" t="s">
        <v>29</v>
      </c>
      <c r="Q181" s="2851"/>
      <c r="R181" s="2861" t="s">
        <v>29</v>
      </c>
      <c r="S181" s="2861"/>
      <c r="T181" s="2861"/>
      <c r="U181" s="2861"/>
      <c r="V181" s="2861"/>
      <c r="W181" s="2861"/>
      <c r="X181" s="2861"/>
      <c r="Y181" s="2861"/>
      <c r="Z181" s="2861"/>
      <c r="AA181" s="2861"/>
      <c r="AB181" s="2851"/>
      <c r="AC181" s="2880">
        <f t="shared" si="27"/>
        <v>4</v>
      </c>
      <c r="AD181" s="2862">
        <f t="shared" si="28"/>
        <v>0</v>
      </c>
      <c r="AE181" s="2862">
        <f t="shared" si="29"/>
        <v>0</v>
      </c>
      <c r="AF181" s="2880">
        <f t="shared" si="30"/>
        <v>4</v>
      </c>
      <c r="AG181" s="2854"/>
      <c r="AH181" s="2854"/>
      <c r="AI181" s="2746"/>
      <c r="AJ181" s="2846">
        <v>11</v>
      </c>
      <c r="AK181" s="2846">
        <f t="shared" si="31"/>
        <v>7</v>
      </c>
    </row>
    <row r="182" spans="1:37" ht="27.75" customHeight="1">
      <c r="A182" s="3061">
        <v>12</v>
      </c>
      <c r="B182" s="2812" t="s">
        <v>1515</v>
      </c>
      <c r="C182" s="2852"/>
      <c r="D182" s="3364" t="s">
        <v>452</v>
      </c>
      <c r="E182" s="3364"/>
      <c r="F182" s="2851"/>
      <c r="G182" s="2851"/>
      <c r="H182" s="2851"/>
      <c r="I182" s="2851"/>
      <c r="J182" s="2861" t="s">
        <v>29</v>
      </c>
      <c r="K182" s="2851"/>
      <c r="L182" s="2851"/>
      <c r="M182" s="2851"/>
      <c r="N182" s="2851"/>
      <c r="O182" s="2851" t="s">
        <v>29</v>
      </c>
      <c r="P182" s="2851" t="s">
        <v>29</v>
      </c>
      <c r="Q182" s="2851" t="s">
        <v>29</v>
      </c>
      <c r="R182" s="2861" t="s">
        <v>29</v>
      </c>
      <c r="S182" s="2861"/>
      <c r="T182" s="2861"/>
      <c r="U182" s="2861"/>
      <c r="V182" s="2861"/>
      <c r="W182" s="2861"/>
      <c r="X182" s="2861"/>
      <c r="Y182" s="2861"/>
      <c r="Z182" s="2861"/>
      <c r="AA182" s="2861"/>
      <c r="AB182" s="2851"/>
      <c r="AC182" s="2880">
        <f t="shared" si="27"/>
        <v>5</v>
      </c>
      <c r="AD182" s="2862">
        <f t="shared" si="28"/>
        <v>0</v>
      </c>
      <c r="AE182" s="2862">
        <f t="shared" si="29"/>
        <v>0</v>
      </c>
      <c r="AF182" s="2880">
        <f t="shared" si="30"/>
        <v>5</v>
      </c>
      <c r="AG182" s="2854"/>
      <c r="AH182" s="2854"/>
      <c r="AI182" s="2746"/>
      <c r="AJ182" s="2846">
        <v>11</v>
      </c>
      <c r="AK182" s="2846">
        <f t="shared" si="31"/>
        <v>6</v>
      </c>
    </row>
    <row r="183" spans="1:37" ht="27.75" customHeight="1">
      <c r="A183" s="3061">
        <v>13</v>
      </c>
      <c r="B183" s="2812" t="s">
        <v>2483</v>
      </c>
      <c r="C183" s="2852"/>
      <c r="D183" s="3364" t="s">
        <v>452</v>
      </c>
      <c r="E183" s="3364"/>
      <c r="F183" s="2851"/>
      <c r="G183" s="2851"/>
      <c r="H183" s="2851"/>
      <c r="I183" s="2851"/>
      <c r="J183" s="2861" t="s">
        <v>29</v>
      </c>
      <c r="K183" s="2851"/>
      <c r="L183" s="2851"/>
      <c r="M183" s="2851"/>
      <c r="N183" s="2851"/>
      <c r="O183" s="2851" t="s">
        <v>29</v>
      </c>
      <c r="P183" s="2851"/>
      <c r="Q183" s="2851"/>
      <c r="R183" s="2861"/>
      <c r="S183" s="2861" t="s">
        <v>29</v>
      </c>
      <c r="T183" s="2861"/>
      <c r="U183" s="2861"/>
      <c r="V183" s="2861"/>
      <c r="W183" s="2861"/>
      <c r="X183" s="2861"/>
      <c r="Y183" s="2861"/>
      <c r="Z183" s="2861"/>
      <c r="AA183" s="2861"/>
      <c r="AB183" s="2851"/>
      <c r="AC183" s="2880">
        <f t="shared" si="27"/>
        <v>3</v>
      </c>
      <c r="AD183" s="2862">
        <f t="shared" si="28"/>
        <v>0</v>
      </c>
      <c r="AE183" s="2862">
        <f t="shared" si="29"/>
        <v>0</v>
      </c>
      <c r="AF183" s="2880">
        <f t="shared" si="30"/>
        <v>3</v>
      </c>
      <c r="AG183" s="2854" t="e">
        <f>+VLOOKUP(C183,[1]Sheet1!$D$9:$E$122,2,0)</f>
        <v>#N/A</v>
      </c>
      <c r="AH183" s="2854" t="e">
        <f>+IF(AG183=B183,"0","1")</f>
        <v>#N/A</v>
      </c>
      <c r="AI183" s="2746"/>
      <c r="AJ183" s="2846">
        <v>11</v>
      </c>
      <c r="AK183" s="2846">
        <f t="shared" si="31"/>
        <v>8</v>
      </c>
    </row>
    <row r="184" spans="1:37" ht="27.75" customHeight="1">
      <c r="A184" s="3061">
        <v>14</v>
      </c>
      <c r="B184" s="2812" t="s">
        <v>1513</v>
      </c>
      <c r="C184" s="2852"/>
      <c r="D184" s="3364" t="s">
        <v>452</v>
      </c>
      <c r="E184" s="3364"/>
      <c r="F184" s="2851"/>
      <c r="G184" s="2851"/>
      <c r="H184" s="2851"/>
      <c r="I184" s="2851"/>
      <c r="J184" s="2861" t="s">
        <v>29</v>
      </c>
      <c r="K184" s="2851"/>
      <c r="L184" s="2851"/>
      <c r="M184" s="2851"/>
      <c r="N184" s="2851"/>
      <c r="O184" s="2851" t="s">
        <v>29</v>
      </c>
      <c r="P184" s="2851" t="s">
        <v>29</v>
      </c>
      <c r="Q184" s="2851" t="s">
        <v>29</v>
      </c>
      <c r="R184" s="2861" t="s">
        <v>29</v>
      </c>
      <c r="S184" s="2861"/>
      <c r="T184" s="2861"/>
      <c r="U184" s="2861"/>
      <c r="V184" s="2861"/>
      <c r="W184" s="2861"/>
      <c r="X184" s="2861"/>
      <c r="Y184" s="2861"/>
      <c r="Z184" s="2861"/>
      <c r="AA184" s="2861"/>
      <c r="AB184" s="2851"/>
      <c r="AC184" s="2880">
        <f t="shared" si="27"/>
        <v>5</v>
      </c>
      <c r="AD184" s="2862">
        <f t="shared" si="28"/>
        <v>0</v>
      </c>
      <c r="AE184" s="2862">
        <f t="shared" si="29"/>
        <v>0</v>
      </c>
      <c r="AF184" s="2880">
        <f t="shared" si="30"/>
        <v>5</v>
      </c>
      <c r="AG184" s="2854" t="e">
        <f>+VLOOKUP(C184,[1]Sheet1!$D$9:$E$122,2,0)</f>
        <v>#N/A</v>
      </c>
      <c r="AH184" s="2854" t="e">
        <f>+IF(AG184=B184,"0","1")</f>
        <v>#N/A</v>
      </c>
      <c r="AI184" s="2746"/>
      <c r="AJ184" s="2846">
        <v>9</v>
      </c>
      <c r="AK184" s="2846">
        <f t="shared" si="31"/>
        <v>4</v>
      </c>
    </row>
    <row r="185" spans="1:37" ht="27.75" customHeight="1">
      <c r="A185" s="3061">
        <v>15</v>
      </c>
      <c r="B185" s="2812" t="s">
        <v>2484</v>
      </c>
      <c r="C185" s="2852"/>
      <c r="D185" s="3364" t="s">
        <v>452</v>
      </c>
      <c r="E185" s="3364"/>
      <c r="F185" s="2851"/>
      <c r="G185" s="2851"/>
      <c r="H185" s="2851"/>
      <c r="I185" s="2851"/>
      <c r="J185" s="2861" t="s">
        <v>29</v>
      </c>
      <c r="K185" s="2851"/>
      <c r="L185" s="2851"/>
      <c r="M185" s="2851"/>
      <c r="N185" s="2851"/>
      <c r="O185" s="2851"/>
      <c r="P185" s="2851" t="s">
        <v>29</v>
      </c>
      <c r="Q185" s="2851" t="s">
        <v>29</v>
      </c>
      <c r="R185" s="2861" t="s">
        <v>29</v>
      </c>
      <c r="S185" s="2861"/>
      <c r="T185" s="2861"/>
      <c r="U185" s="2861"/>
      <c r="V185" s="2861"/>
      <c r="W185" s="2861"/>
      <c r="X185" s="2861"/>
      <c r="Y185" s="2861"/>
      <c r="Z185" s="2861"/>
      <c r="AA185" s="2861"/>
      <c r="AB185" s="2851"/>
      <c r="AC185" s="2880">
        <f t="shared" si="27"/>
        <v>4</v>
      </c>
      <c r="AD185" s="2862">
        <f t="shared" si="28"/>
        <v>0</v>
      </c>
      <c r="AE185" s="2862">
        <f t="shared" si="29"/>
        <v>0</v>
      </c>
      <c r="AF185" s="2880">
        <f t="shared" si="30"/>
        <v>4</v>
      </c>
      <c r="AG185" s="2854"/>
      <c r="AH185" s="2854"/>
      <c r="AI185" s="2746"/>
      <c r="AJ185" s="2846">
        <v>7</v>
      </c>
      <c r="AK185" s="2846">
        <f t="shared" si="31"/>
        <v>3</v>
      </c>
    </row>
    <row r="186" spans="1:37" ht="27.75" customHeight="1">
      <c r="A186" s="3061">
        <v>16</v>
      </c>
      <c r="B186" s="2812" t="s">
        <v>2485</v>
      </c>
      <c r="C186" s="2852"/>
      <c r="D186" s="3364" t="s">
        <v>452</v>
      </c>
      <c r="E186" s="3364"/>
      <c r="F186" s="2851"/>
      <c r="G186" s="2851"/>
      <c r="H186" s="2851"/>
      <c r="I186" s="2851"/>
      <c r="J186" s="2861" t="s">
        <v>29</v>
      </c>
      <c r="K186" s="2851"/>
      <c r="L186" s="2851"/>
      <c r="M186" s="2851"/>
      <c r="N186" s="2851"/>
      <c r="O186" s="2851" t="s">
        <v>29</v>
      </c>
      <c r="P186" s="2851" t="s">
        <v>29</v>
      </c>
      <c r="Q186" s="2851" t="s">
        <v>29</v>
      </c>
      <c r="R186" s="2861" t="s">
        <v>29</v>
      </c>
      <c r="S186" s="2861"/>
      <c r="T186" s="2861"/>
      <c r="U186" s="2861"/>
      <c r="V186" s="2861"/>
      <c r="W186" s="2861"/>
      <c r="X186" s="2861"/>
      <c r="Y186" s="2861"/>
      <c r="Z186" s="2861"/>
      <c r="AA186" s="2861"/>
      <c r="AB186" s="2851"/>
      <c r="AC186" s="2880">
        <f t="shared" si="27"/>
        <v>5</v>
      </c>
      <c r="AD186" s="2862">
        <f t="shared" si="28"/>
        <v>0</v>
      </c>
      <c r="AE186" s="2862">
        <f t="shared" si="29"/>
        <v>0</v>
      </c>
      <c r="AF186" s="2880">
        <f t="shared" si="30"/>
        <v>5</v>
      </c>
      <c r="AG186" s="2854"/>
      <c r="AH186" s="2854"/>
      <c r="AI186" s="2746"/>
      <c r="AJ186" s="2846">
        <v>11</v>
      </c>
      <c r="AK186" s="2846">
        <f t="shared" si="31"/>
        <v>6</v>
      </c>
    </row>
    <row r="187" spans="1:37" ht="27.75" customHeight="1">
      <c r="A187" s="3061">
        <v>17</v>
      </c>
      <c r="B187" s="2812" t="s">
        <v>2486</v>
      </c>
      <c r="C187" s="2852"/>
      <c r="D187" s="3364" t="s">
        <v>452</v>
      </c>
      <c r="E187" s="3364"/>
      <c r="F187" s="2851"/>
      <c r="G187" s="2851"/>
      <c r="H187" s="2851"/>
      <c r="I187" s="2851"/>
      <c r="J187" s="2861" t="s">
        <v>29</v>
      </c>
      <c r="K187" s="2851"/>
      <c r="L187" s="2851"/>
      <c r="M187" s="2851"/>
      <c r="N187" s="2851"/>
      <c r="O187" s="2851" t="s">
        <v>29</v>
      </c>
      <c r="P187" s="2851" t="s">
        <v>29</v>
      </c>
      <c r="Q187" s="2851" t="s">
        <v>29</v>
      </c>
      <c r="R187" s="2861" t="s">
        <v>29</v>
      </c>
      <c r="S187" s="2861"/>
      <c r="T187" s="2861"/>
      <c r="U187" s="2861"/>
      <c r="V187" s="2861"/>
      <c r="W187" s="2861"/>
      <c r="X187" s="2861"/>
      <c r="Y187" s="2861"/>
      <c r="Z187" s="2861"/>
      <c r="AA187" s="2861"/>
      <c r="AB187" s="2851"/>
      <c r="AC187" s="2880">
        <f t="shared" si="27"/>
        <v>5</v>
      </c>
      <c r="AD187" s="2862">
        <f t="shared" si="28"/>
        <v>0</v>
      </c>
      <c r="AE187" s="2862">
        <f t="shared" si="29"/>
        <v>0</v>
      </c>
      <c r="AF187" s="2880">
        <f t="shared" si="30"/>
        <v>5</v>
      </c>
      <c r="AG187" s="2854"/>
      <c r="AH187" s="2854"/>
      <c r="AI187" s="2746"/>
      <c r="AJ187" s="2846">
        <v>10</v>
      </c>
      <c r="AK187" s="2846">
        <f t="shared" si="31"/>
        <v>5</v>
      </c>
    </row>
    <row r="188" spans="1:37" ht="27.75" customHeight="1">
      <c r="A188" s="3061">
        <v>18</v>
      </c>
      <c r="B188" s="2812" t="s">
        <v>2487</v>
      </c>
      <c r="C188" s="2852"/>
      <c r="D188" s="3364" t="s">
        <v>452</v>
      </c>
      <c r="E188" s="3364"/>
      <c r="F188" s="2851"/>
      <c r="G188" s="2851"/>
      <c r="H188" s="2851"/>
      <c r="I188" s="2851"/>
      <c r="J188" s="2861" t="s">
        <v>29</v>
      </c>
      <c r="K188" s="2851"/>
      <c r="L188" s="2851"/>
      <c r="M188" s="2851"/>
      <c r="N188" s="2851"/>
      <c r="O188" s="2851" t="s">
        <v>29</v>
      </c>
      <c r="P188" s="2851" t="s">
        <v>29</v>
      </c>
      <c r="Q188" s="2851" t="s">
        <v>29</v>
      </c>
      <c r="R188" s="2861" t="s">
        <v>29</v>
      </c>
      <c r="S188" s="2861"/>
      <c r="T188" s="2861"/>
      <c r="U188" s="2861"/>
      <c r="V188" s="2861"/>
      <c r="W188" s="2861"/>
      <c r="X188" s="2861"/>
      <c r="Y188" s="2861"/>
      <c r="Z188" s="2861"/>
      <c r="AA188" s="2861"/>
      <c r="AB188" s="2851"/>
      <c r="AC188" s="2880">
        <f t="shared" si="27"/>
        <v>5</v>
      </c>
      <c r="AD188" s="2862">
        <f t="shared" si="28"/>
        <v>0</v>
      </c>
      <c r="AE188" s="2862">
        <f t="shared" si="29"/>
        <v>0</v>
      </c>
      <c r="AF188" s="2880">
        <f t="shared" si="30"/>
        <v>5</v>
      </c>
      <c r="AG188" s="2854"/>
      <c r="AH188" s="2854"/>
      <c r="AI188" s="2746"/>
      <c r="AJ188" s="2846">
        <v>10</v>
      </c>
      <c r="AK188" s="2846">
        <f t="shared" si="31"/>
        <v>5</v>
      </c>
    </row>
    <row r="189" spans="1:37" ht="27.75" customHeight="1">
      <c r="A189" s="3061">
        <v>19</v>
      </c>
      <c r="B189" s="2812" t="s">
        <v>2488</v>
      </c>
      <c r="C189" s="2852"/>
      <c r="D189" s="3364" t="s">
        <v>452</v>
      </c>
      <c r="E189" s="3364"/>
      <c r="F189" s="2851"/>
      <c r="G189" s="2851"/>
      <c r="H189" s="2851"/>
      <c r="I189" s="2851"/>
      <c r="J189" s="2861" t="s">
        <v>29</v>
      </c>
      <c r="K189" s="2851"/>
      <c r="L189" s="2851"/>
      <c r="M189" s="2851"/>
      <c r="N189" s="2851"/>
      <c r="O189" s="2851" t="s">
        <v>29</v>
      </c>
      <c r="P189" s="2851" t="s">
        <v>29</v>
      </c>
      <c r="Q189" s="2851" t="s">
        <v>29</v>
      </c>
      <c r="R189" s="2861" t="s">
        <v>29</v>
      </c>
      <c r="S189" s="2861"/>
      <c r="T189" s="2861"/>
      <c r="U189" s="2861"/>
      <c r="V189" s="2861"/>
      <c r="W189" s="2861"/>
      <c r="X189" s="2861"/>
      <c r="Y189" s="2861"/>
      <c r="Z189" s="2861"/>
      <c r="AA189" s="2861"/>
      <c r="AB189" s="2851"/>
      <c r="AC189" s="2880">
        <f t="shared" si="27"/>
        <v>5</v>
      </c>
      <c r="AD189" s="2862">
        <f t="shared" si="28"/>
        <v>0</v>
      </c>
      <c r="AE189" s="2862">
        <f t="shared" si="29"/>
        <v>0</v>
      </c>
      <c r="AF189" s="2880">
        <f t="shared" si="30"/>
        <v>5</v>
      </c>
      <c r="AG189" s="2854"/>
      <c r="AH189" s="2854"/>
      <c r="AI189" s="2746"/>
      <c r="AJ189" s="2846">
        <v>11</v>
      </c>
      <c r="AK189" s="2846">
        <f t="shared" si="31"/>
        <v>6</v>
      </c>
    </row>
    <row r="190" spans="1:37" ht="27.75" customHeight="1">
      <c r="A190" s="3061">
        <v>20</v>
      </c>
      <c r="B190" s="2812" t="s">
        <v>2489</v>
      </c>
      <c r="C190" s="2852"/>
      <c r="D190" s="3364" t="s">
        <v>452</v>
      </c>
      <c r="E190" s="3364"/>
      <c r="F190" s="2851"/>
      <c r="G190" s="2851"/>
      <c r="H190" s="2851"/>
      <c r="I190" s="2851"/>
      <c r="J190" s="2861" t="s">
        <v>29</v>
      </c>
      <c r="K190" s="2851"/>
      <c r="L190" s="2851"/>
      <c r="M190" s="2851"/>
      <c r="N190" s="2851"/>
      <c r="O190" s="2851" t="s">
        <v>29</v>
      </c>
      <c r="P190" s="2851" t="s">
        <v>29</v>
      </c>
      <c r="Q190" s="2851" t="s">
        <v>29</v>
      </c>
      <c r="R190" s="2861" t="s">
        <v>29</v>
      </c>
      <c r="S190" s="2861"/>
      <c r="T190" s="2861"/>
      <c r="U190" s="2861"/>
      <c r="V190" s="2861"/>
      <c r="W190" s="2861"/>
      <c r="X190" s="2861"/>
      <c r="Y190" s="2861"/>
      <c r="Z190" s="2861"/>
      <c r="AA190" s="2861"/>
      <c r="AB190" s="2851"/>
      <c r="AC190" s="2880">
        <f t="shared" si="27"/>
        <v>5</v>
      </c>
      <c r="AD190" s="2862">
        <f t="shared" si="28"/>
        <v>0</v>
      </c>
      <c r="AE190" s="2862">
        <f t="shared" si="29"/>
        <v>0</v>
      </c>
      <c r="AF190" s="2880">
        <f t="shared" si="30"/>
        <v>5</v>
      </c>
      <c r="AG190" s="2854"/>
      <c r="AH190" s="2854"/>
      <c r="AI190" s="2746"/>
      <c r="AJ190" s="2846">
        <v>8</v>
      </c>
      <c r="AK190" s="2846">
        <f t="shared" si="31"/>
        <v>3</v>
      </c>
    </row>
    <row r="191" spans="1:37" ht="27.75" customHeight="1">
      <c r="A191" s="3061">
        <v>21</v>
      </c>
      <c r="B191" s="2812" t="s">
        <v>2490</v>
      </c>
      <c r="C191" s="2852"/>
      <c r="D191" s="3364" t="s">
        <v>452</v>
      </c>
      <c r="E191" s="3364"/>
      <c r="F191" s="2851"/>
      <c r="G191" s="2851"/>
      <c r="H191" s="2851"/>
      <c r="I191" s="2851"/>
      <c r="J191" s="2861" t="s">
        <v>29</v>
      </c>
      <c r="K191" s="2851"/>
      <c r="L191" s="2851"/>
      <c r="M191" s="2851"/>
      <c r="N191" s="2851"/>
      <c r="O191" s="2851"/>
      <c r="P191" s="2851" t="s">
        <v>29</v>
      </c>
      <c r="Q191" s="2851" t="s">
        <v>29</v>
      </c>
      <c r="R191" s="2861" t="s">
        <v>29</v>
      </c>
      <c r="S191" s="2861"/>
      <c r="T191" s="2861"/>
      <c r="U191" s="2861"/>
      <c r="V191" s="2861"/>
      <c r="W191" s="2861"/>
      <c r="X191" s="2861"/>
      <c r="Y191" s="2861"/>
      <c r="Z191" s="2861"/>
      <c r="AA191" s="2861"/>
      <c r="AB191" s="2851"/>
      <c r="AC191" s="2880">
        <f t="shared" si="27"/>
        <v>4</v>
      </c>
      <c r="AD191" s="2862">
        <f t="shared" si="28"/>
        <v>0</v>
      </c>
      <c r="AE191" s="2862">
        <f t="shared" si="29"/>
        <v>0</v>
      </c>
      <c r="AF191" s="2880">
        <f t="shared" si="30"/>
        <v>4</v>
      </c>
      <c r="AG191" s="2854"/>
      <c r="AH191" s="2854"/>
      <c r="AI191" s="2746"/>
      <c r="AJ191" s="2846">
        <v>11</v>
      </c>
      <c r="AK191" s="2846">
        <f t="shared" si="31"/>
        <v>7</v>
      </c>
    </row>
    <row r="192" spans="1:37" ht="27.75" customHeight="1">
      <c r="A192" s="3061">
        <v>22</v>
      </c>
      <c r="B192" s="2812" t="s">
        <v>567</v>
      </c>
      <c r="C192" s="2852"/>
      <c r="D192" s="3364" t="s">
        <v>452</v>
      </c>
      <c r="E192" s="3364"/>
      <c r="F192" s="2851"/>
      <c r="G192" s="2851"/>
      <c r="H192" s="2851"/>
      <c r="I192" s="2851"/>
      <c r="J192" s="2861" t="s">
        <v>29</v>
      </c>
      <c r="K192" s="2851"/>
      <c r="L192" s="2851"/>
      <c r="M192" s="2851"/>
      <c r="N192" s="2851"/>
      <c r="O192" s="2851" t="s">
        <v>29</v>
      </c>
      <c r="P192" s="2851" t="s">
        <v>29</v>
      </c>
      <c r="Q192" s="2851" t="s">
        <v>29</v>
      </c>
      <c r="R192" s="2861" t="s">
        <v>29</v>
      </c>
      <c r="S192" s="2861"/>
      <c r="T192" s="2861"/>
      <c r="U192" s="2861"/>
      <c r="V192" s="2861"/>
      <c r="W192" s="2861"/>
      <c r="X192" s="2861"/>
      <c r="Y192" s="2861"/>
      <c r="Z192" s="2861"/>
      <c r="AA192" s="2861"/>
      <c r="AB192" s="2851"/>
      <c r="AC192" s="2880">
        <f t="shared" si="27"/>
        <v>5</v>
      </c>
      <c r="AD192" s="2862">
        <f t="shared" si="28"/>
        <v>0</v>
      </c>
      <c r="AE192" s="2862">
        <f t="shared" si="29"/>
        <v>0</v>
      </c>
      <c r="AF192" s="2880">
        <f t="shared" si="30"/>
        <v>5</v>
      </c>
      <c r="AG192" s="2854"/>
      <c r="AH192" s="2854"/>
      <c r="AI192" s="2746"/>
      <c r="AJ192" s="2846">
        <v>11</v>
      </c>
      <c r="AK192" s="2846">
        <f t="shared" si="31"/>
        <v>6</v>
      </c>
    </row>
    <row r="193" spans="1:37" ht="27.75" customHeight="1">
      <c r="A193" s="3061">
        <v>23</v>
      </c>
      <c r="B193" s="2812" t="s">
        <v>2491</v>
      </c>
      <c r="C193" s="2852"/>
      <c r="D193" s="3364" t="s">
        <v>452</v>
      </c>
      <c r="E193" s="3364"/>
      <c r="F193" s="2851"/>
      <c r="G193" s="2851"/>
      <c r="H193" s="2851"/>
      <c r="I193" s="2851"/>
      <c r="J193" s="2851"/>
      <c r="K193" s="2851"/>
      <c r="L193" s="2851"/>
      <c r="M193" s="2851"/>
      <c r="N193" s="2851"/>
      <c r="O193" s="2851" t="s">
        <v>29</v>
      </c>
      <c r="P193" s="2851" t="s">
        <v>29</v>
      </c>
      <c r="Q193" s="2851" t="s">
        <v>29</v>
      </c>
      <c r="R193" s="2861" t="s">
        <v>29</v>
      </c>
      <c r="S193" s="2861"/>
      <c r="T193" s="2861"/>
      <c r="U193" s="2861"/>
      <c r="V193" s="2861"/>
      <c r="W193" s="2861"/>
      <c r="X193" s="2861"/>
      <c r="Y193" s="2861"/>
      <c r="Z193" s="2861"/>
      <c r="AA193" s="2861"/>
      <c r="AB193" s="2851"/>
      <c r="AC193" s="2880">
        <f t="shared" si="27"/>
        <v>4</v>
      </c>
      <c r="AD193" s="2862">
        <f t="shared" si="28"/>
        <v>0</v>
      </c>
      <c r="AE193" s="2862">
        <f t="shared" si="29"/>
        <v>0</v>
      </c>
      <c r="AF193" s="2880">
        <f t="shared" si="30"/>
        <v>4</v>
      </c>
      <c r="AG193" s="2854"/>
      <c r="AH193" s="2854"/>
      <c r="AI193" s="2746"/>
      <c r="AJ193" s="2846">
        <v>12</v>
      </c>
      <c r="AK193" s="2846">
        <f t="shared" si="31"/>
        <v>8</v>
      </c>
    </row>
    <row r="194" spans="1:37" ht="27.75" customHeight="1">
      <c r="A194" s="3061">
        <v>24</v>
      </c>
      <c r="B194" s="3492" t="s">
        <v>2492</v>
      </c>
      <c r="C194" s="2852"/>
      <c r="D194" s="3364" t="s">
        <v>452</v>
      </c>
      <c r="E194" s="3364"/>
      <c r="F194" s="2851"/>
      <c r="G194" s="2851"/>
      <c r="H194" s="2851"/>
      <c r="I194" s="2851"/>
      <c r="J194" s="2851" t="s">
        <v>29</v>
      </c>
      <c r="K194" s="2851"/>
      <c r="L194" s="2851"/>
      <c r="M194" s="2851"/>
      <c r="N194" s="2851"/>
      <c r="O194" s="2851" t="s">
        <v>29</v>
      </c>
      <c r="P194" s="2851" t="s">
        <v>29</v>
      </c>
      <c r="Q194" s="2851" t="s">
        <v>29</v>
      </c>
      <c r="R194" s="2861" t="s">
        <v>29</v>
      </c>
      <c r="S194" s="2861"/>
      <c r="T194" s="2861"/>
      <c r="U194" s="2861"/>
      <c r="V194" s="2861"/>
      <c r="W194" s="2861"/>
      <c r="X194" s="2861"/>
      <c r="Y194" s="2861"/>
      <c r="Z194" s="2861"/>
      <c r="AA194" s="2861"/>
      <c r="AB194" s="2851"/>
      <c r="AC194" s="2880">
        <f t="shared" si="27"/>
        <v>5</v>
      </c>
      <c r="AD194" s="2862">
        <f t="shared" si="28"/>
        <v>0</v>
      </c>
      <c r="AE194" s="2862">
        <f t="shared" si="29"/>
        <v>0</v>
      </c>
      <c r="AF194" s="2880">
        <f t="shared" si="30"/>
        <v>5</v>
      </c>
      <c r="AG194" s="2854"/>
      <c r="AH194" s="2854"/>
      <c r="AI194" s="2746"/>
      <c r="AJ194" s="2846">
        <v>10</v>
      </c>
      <c r="AK194" s="2846">
        <f t="shared" si="31"/>
        <v>5</v>
      </c>
    </row>
    <row r="195" spans="1:37" ht="27.75" customHeight="1">
      <c r="A195" s="3912" t="s">
        <v>1865</v>
      </c>
      <c r="B195" s="3912"/>
      <c r="C195" s="2866"/>
      <c r="D195" s="3368"/>
      <c r="E195" s="3368"/>
      <c r="F195" s="2867">
        <f t="shared" ref="F195:K195" si="32">COUNTIF(F171:F194,"X")+COUNTIF(F171:F194,"cn")+COUNTIF(F171:F194,"D")+COUNTIF(F171:F194,"DCN")</f>
        <v>0</v>
      </c>
      <c r="G195" s="2867">
        <f t="shared" si="32"/>
        <v>0</v>
      </c>
      <c r="H195" s="2867">
        <f t="shared" si="32"/>
        <v>0</v>
      </c>
      <c r="I195" s="2867">
        <f t="shared" si="32"/>
        <v>0</v>
      </c>
      <c r="J195" s="2867">
        <f t="shared" si="32"/>
        <v>23</v>
      </c>
      <c r="K195" s="2867">
        <f t="shared" si="32"/>
        <v>0</v>
      </c>
      <c r="L195" s="2867">
        <f>COUNTIF(L171:L194,"X")+COUNTIF(L171:L194,"cn")+COUNTIF(L171:L194,"D")+COUNTIF(L171:L194,"DCN")</f>
        <v>0</v>
      </c>
      <c r="M195" s="2867">
        <f t="shared" ref="M195:AB195" si="33">COUNTIF(M171:M194,"X")+COUNTIF(M171:M194,"cn")+COUNTIF(M171:M194,"D")+COUNTIF(M171:M194,"DCN")</f>
        <v>0</v>
      </c>
      <c r="N195" s="2867">
        <f t="shared" si="33"/>
        <v>0</v>
      </c>
      <c r="O195" s="2867">
        <f t="shared" si="33"/>
        <v>20</v>
      </c>
      <c r="P195" s="2867">
        <f t="shared" si="33"/>
        <v>22</v>
      </c>
      <c r="Q195" s="2867">
        <f t="shared" si="33"/>
        <v>22</v>
      </c>
      <c r="R195" s="2867">
        <f t="shared" si="33"/>
        <v>22</v>
      </c>
      <c r="S195" s="2867">
        <f t="shared" si="33"/>
        <v>2</v>
      </c>
      <c r="T195" s="2867">
        <f t="shared" si="33"/>
        <v>0</v>
      </c>
      <c r="U195" s="2867">
        <f t="shared" si="33"/>
        <v>0</v>
      </c>
      <c r="V195" s="2867">
        <f t="shared" si="33"/>
        <v>0</v>
      </c>
      <c r="W195" s="2867">
        <f t="shared" si="33"/>
        <v>0</v>
      </c>
      <c r="X195" s="2867">
        <f t="shared" si="33"/>
        <v>0</v>
      </c>
      <c r="Y195" s="2867">
        <f t="shared" si="33"/>
        <v>0</v>
      </c>
      <c r="Z195" s="2867">
        <f t="shared" si="33"/>
        <v>0</v>
      </c>
      <c r="AA195" s="2867">
        <f t="shared" si="33"/>
        <v>0</v>
      </c>
      <c r="AB195" s="2867">
        <f t="shared" si="33"/>
        <v>0</v>
      </c>
      <c r="AC195" s="2877">
        <f t="shared" ref="AC195:AI195" si="34">+SUM(AC171:AC194)</f>
        <v>111</v>
      </c>
      <c r="AD195" s="2877">
        <f t="shared" si="34"/>
        <v>0</v>
      </c>
      <c r="AE195" s="2877">
        <f t="shared" si="34"/>
        <v>0</v>
      </c>
      <c r="AF195" s="2877">
        <f>+SUM(AF171:AF194)</f>
        <v>111</v>
      </c>
      <c r="AG195" s="2877" t="e">
        <f t="shared" si="34"/>
        <v>#N/A</v>
      </c>
      <c r="AH195" s="2877" t="e">
        <f t="shared" si="34"/>
        <v>#N/A</v>
      </c>
      <c r="AI195" s="2877">
        <f t="shared" si="34"/>
        <v>0</v>
      </c>
    </row>
    <row r="196" spans="1:37" ht="27.75" customHeight="1">
      <c r="A196" s="2861">
        <v>1</v>
      </c>
      <c r="B196" s="2878" t="s">
        <v>1216</v>
      </c>
      <c r="C196" s="2879"/>
      <c r="D196" s="3369" t="s">
        <v>453</v>
      </c>
      <c r="E196" s="3369"/>
      <c r="F196" s="2851"/>
      <c r="G196" s="2851"/>
      <c r="H196" s="2851"/>
      <c r="I196" s="2851"/>
      <c r="J196" s="2851" t="s">
        <v>29</v>
      </c>
      <c r="K196" s="2851" t="s">
        <v>29</v>
      </c>
      <c r="L196" s="2851" t="s">
        <v>29</v>
      </c>
      <c r="M196" s="2851" t="s">
        <v>29</v>
      </c>
      <c r="N196" s="2851" t="s">
        <v>29</v>
      </c>
      <c r="O196" s="2851"/>
      <c r="P196" s="2851"/>
      <c r="Q196" s="2851"/>
      <c r="R196" s="2851" t="s">
        <v>29</v>
      </c>
      <c r="S196" s="2851"/>
      <c r="T196" s="2851"/>
      <c r="U196" s="2851"/>
      <c r="V196" s="2851"/>
      <c r="W196" s="2851"/>
      <c r="X196" s="2851"/>
      <c r="Y196" s="2851"/>
      <c r="Z196" s="2851"/>
      <c r="AA196" s="2851"/>
      <c r="AB196" s="2851"/>
      <c r="AC196" s="2880">
        <f t="shared" ref="AC196:AC219" si="35">+COUNTIF(F196:AB196,"X")</f>
        <v>6</v>
      </c>
      <c r="AD196" s="3059">
        <f t="shared" ref="AD196:AD219" si="36">+COUNTIF(F196:AB196,"D")</f>
        <v>0</v>
      </c>
      <c r="AE196" s="2874">
        <f t="shared" ref="AE196:AE219" si="37">+COUNTIF(F196:AB196,"DCN")</f>
        <v>0</v>
      </c>
      <c r="AF196" s="2880">
        <f t="shared" ref="AF196:AF219" si="38">SUM(AC196:AE196)</f>
        <v>6</v>
      </c>
      <c r="AG196" s="2863" t="e">
        <f>+VLOOKUP(C196,[1]Sheet1!$D$9:$E$122,2,0)</f>
        <v>#N/A</v>
      </c>
      <c r="AH196" s="2863" t="e">
        <f t="shared" ref="AH196:AH206" si="39">+IF(AG196=B196,"0","1")</f>
        <v>#N/A</v>
      </c>
      <c r="AI196" s="2875"/>
    </row>
    <row r="197" spans="1:37" ht="27.75" customHeight="1">
      <c r="A197" s="2851">
        <v>2</v>
      </c>
      <c r="B197" s="2812" t="s">
        <v>351</v>
      </c>
      <c r="C197" s="2881"/>
      <c r="D197" s="3370" t="s">
        <v>453</v>
      </c>
      <c r="E197" s="3370"/>
      <c r="F197" s="2851"/>
      <c r="G197" s="2851"/>
      <c r="H197" s="2851"/>
      <c r="I197" s="2851"/>
      <c r="J197" s="2851" t="s">
        <v>29</v>
      </c>
      <c r="K197" s="2851"/>
      <c r="L197" s="2851"/>
      <c r="M197" s="2851" t="s">
        <v>29</v>
      </c>
      <c r="N197" s="2851" t="s">
        <v>29</v>
      </c>
      <c r="O197" s="2851"/>
      <c r="P197" s="2851"/>
      <c r="Q197" s="2851" t="s">
        <v>29</v>
      </c>
      <c r="R197" s="2851" t="s">
        <v>29</v>
      </c>
      <c r="S197" s="2851"/>
      <c r="T197" s="2851"/>
      <c r="U197" s="2851"/>
      <c r="V197" s="2851"/>
      <c r="W197" s="2851"/>
      <c r="X197" s="2851"/>
      <c r="Y197" s="2851"/>
      <c r="Z197" s="2851"/>
      <c r="AA197" s="2851"/>
      <c r="AB197" s="2851"/>
      <c r="AC197" s="2880">
        <f t="shared" si="35"/>
        <v>5</v>
      </c>
      <c r="AD197" s="3060">
        <f t="shared" si="36"/>
        <v>0</v>
      </c>
      <c r="AE197" s="2853">
        <f t="shared" si="37"/>
        <v>0</v>
      </c>
      <c r="AF197" s="2880">
        <f t="shared" si="38"/>
        <v>5</v>
      </c>
      <c r="AG197" s="2854" t="e">
        <f>+VLOOKUP(C197,[1]Sheet1!$D$9:$E$122,2,0)</f>
        <v>#N/A</v>
      </c>
      <c r="AH197" s="2854" t="e">
        <f t="shared" si="39"/>
        <v>#N/A</v>
      </c>
      <c r="AI197" s="2746"/>
    </row>
    <row r="198" spans="1:37" ht="27.75" customHeight="1">
      <c r="A198" s="2861">
        <v>3</v>
      </c>
      <c r="B198" s="2812" t="s">
        <v>334</v>
      </c>
      <c r="C198" s="2881"/>
      <c r="D198" s="3370" t="s">
        <v>453</v>
      </c>
      <c r="E198" s="3370"/>
      <c r="F198" s="2851"/>
      <c r="G198" s="2851"/>
      <c r="H198" s="2851"/>
      <c r="I198" s="2851"/>
      <c r="J198" s="2851" t="s">
        <v>29</v>
      </c>
      <c r="K198" s="2851" t="s">
        <v>29</v>
      </c>
      <c r="L198" s="2851" t="s">
        <v>29</v>
      </c>
      <c r="M198" s="2851" t="s">
        <v>29</v>
      </c>
      <c r="N198" s="2851" t="s">
        <v>29</v>
      </c>
      <c r="O198" s="2851"/>
      <c r="P198" s="2851"/>
      <c r="Q198" s="2851" t="s">
        <v>29</v>
      </c>
      <c r="R198" s="2851" t="s">
        <v>29</v>
      </c>
      <c r="S198" s="2851"/>
      <c r="T198" s="2851"/>
      <c r="U198" s="2851"/>
      <c r="V198" s="2851"/>
      <c r="W198" s="2851"/>
      <c r="X198" s="2851"/>
      <c r="Y198" s="2851"/>
      <c r="Z198" s="2851"/>
      <c r="AA198" s="2851"/>
      <c r="AB198" s="2851"/>
      <c r="AC198" s="2880">
        <f t="shared" si="35"/>
        <v>7</v>
      </c>
      <c r="AD198" s="3060">
        <f t="shared" si="36"/>
        <v>0</v>
      </c>
      <c r="AE198" s="2853">
        <f t="shared" si="37"/>
        <v>0</v>
      </c>
      <c r="AF198" s="2880">
        <f t="shared" si="38"/>
        <v>7</v>
      </c>
      <c r="AG198" s="2854" t="e">
        <f>+VLOOKUP(C198,[1]Sheet1!$D$9:$E$122,2,0)</f>
        <v>#N/A</v>
      </c>
      <c r="AH198" s="2854" t="e">
        <f t="shared" si="39"/>
        <v>#N/A</v>
      </c>
      <c r="AI198" s="2746"/>
    </row>
    <row r="199" spans="1:37" ht="27.75" customHeight="1">
      <c r="A199" s="2851">
        <v>4</v>
      </c>
      <c r="B199" s="2812" t="s">
        <v>1218</v>
      </c>
      <c r="C199" s="2881"/>
      <c r="D199" s="3370" t="s">
        <v>453</v>
      </c>
      <c r="E199" s="3370"/>
      <c r="F199" s="2851"/>
      <c r="G199" s="2851"/>
      <c r="H199" s="2851"/>
      <c r="I199" s="2851"/>
      <c r="J199" s="2851" t="s">
        <v>29</v>
      </c>
      <c r="K199" s="2851" t="s">
        <v>29</v>
      </c>
      <c r="L199" s="2851" t="s">
        <v>29</v>
      </c>
      <c r="M199" s="2851"/>
      <c r="N199" s="2851" t="s">
        <v>29</v>
      </c>
      <c r="O199" s="2851"/>
      <c r="P199" s="2851"/>
      <c r="Q199" s="2851" t="s">
        <v>29</v>
      </c>
      <c r="R199" s="2851" t="s">
        <v>29</v>
      </c>
      <c r="S199" s="2851"/>
      <c r="T199" s="2851"/>
      <c r="U199" s="2851"/>
      <c r="V199" s="2851"/>
      <c r="W199" s="2851"/>
      <c r="X199" s="2851"/>
      <c r="Y199" s="2851"/>
      <c r="Z199" s="2851"/>
      <c r="AA199" s="2851"/>
      <c r="AB199" s="2851"/>
      <c r="AC199" s="2880">
        <f t="shared" si="35"/>
        <v>6</v>
      </c>
      <c r="AD199" s="3060">
        <f t="shared" si="36"/>
        <v>0</v>
      </c>
      <c r="AE199" s="2853">
        <f t="shared" si="37"/>
        <v>0</v>
      </c>
      <c r="AF199" s="2880">
        <f t="shared" si="38"/>
        <v>6</v>
      </c>
      <c r="AG199" s="2854" t="e">
        <f>+VLOOKUP(C199,[1]Sheet1!$D$9:$E$122,2,0)</f>
        <v>#N/A</v>
      </c>
      <c r="AH199" s="2854" t="e">
        <f t="shared" si="39"/>
        <v>#N/A</v>
      </c>
      <c r="AI199" s="2746"/>
    </row>
    <row r="200" spans="1:37" ht="27.75" customHeight="1">
      <c r="A200" s="2861">
        <v>5</v>
      </c>
      <c r="B200" s="2812" t="s">
        <v>1517</v>
      </c>
      <c r="C200" s="2881"/>
      <c r="D200" s="3370" t="s">
        <v>453</v>
      </c>
      <c r="E200" s="3370"/>
      <c r="F200" s="2851"/>
      <c r="G200" s="2851"/>
      <c r="H200" s="2851"/>
      <c r="I200" s="2851"/>
      <c r="J200" s="2851" t="s">
        <v>29</v>
      </c>
      <c r="K200" s="2851" t="s">
        <v>29</v>
      </c>
      <c r="L200" s="2851"/>
      <c r="M200" s="2851"/>
      <c r="N200" s="2851" t="s">
        <v>29</v>
      </c>
      <c r="O200" s="2851" t="s">
        <v>29</v>
      </c>
      <c r="P200" s="2851"/>
      <c r="Q200" s="2851" t="s">
        <v>29</v>
      </c>
      <c r="R200" s="2851" t="s">
        <v>29</v>
      </c>
      <c r="S200" s="2851"/>
      <c r="T200" s="2851"/>
      <c r="U200" s="2851"/>
      <c r="V200" s="2851"/>
      <c r="W200" s="2851"/>
      <c r="X200" s="2851"/>
      <c r="Y200" s="2851"/>
      <c r="Z200" s="2851"/>
      <c r="AA200" s="2851"/>
      <c r="AB200" s="2851"/>
      <c r="AC200" s="2880">
        <f t="shared" si="35"/>
        <v>6</v>
      </c>
      <c r="AD200" s="3060">
        <f t="shared" si="36"/>
        <v>0</v>
      </c>
      <c r="AE200" s="2853">
        <f t="shared" si="37"/>
        <v>0</v>
      </c>
      <c r="AF200" s="2880">
        <f t="shared" si="38"/>
        <v>6</v>
      </c>
      <c r="AG200" s="2854" t="e">
        <f>+VLOOKUP(C200,[1]Sheet1!$D$9:$E$122,2,0)</f>
        <v>#N/A</v>
      </c>
      <c r="AH200" s="2854" t="e">
        <f t="shared" si="39"/>
        <v>#N/A</v>
      </c>
      <c r="AI200" s="2746"/>
    </row>
    <row r="201" spans="1:37" ht="27.75" customHeight="1">
      <c r="A201" s="2851">
        <v>6</v>
      </c>
      <c r="B201" s="2812" t="s">
        <v>1217</v>
      </c>
      <c r="C201" s="2881"/>
      <c r="D201" s="3370" t="s">
        <v>453</v>
      </c>
      <c r="E201" s="3370"/>
      <c r="F201" s="2851"/>
      <c r="G201" s="2851"/>
      <c r="H201" s="2851"/>
      <c r="I201" s="2851"/>
      <c r="J201" s="2851" t="s">
        <v>29</v>
      </c>
      <c r="K201" s="2851" t="s">
        <v>29</v>
      </c>
      <c r="L201" s="2851"/>
      <c r="M201" s="2851" t="s">
        <v>29</v>
      </c>
      <c r="N201" s="2851" t="s">
        <v>29</v>
      </c>
      <c r="O201" s="2851"/>
      <c r="P201" s="2851"/>
      <c r="Q201" s="2851" t="s">
        <v>29</v>
      </c>
      <c r="R201" s="2851" t="s">
        <v>29</v>
      </c>
      <c r="S201" s="2851"/>
      <c r="T201" s="2851"/>
      <c r="U201" s="2851"/>
      <c r="V201" s="2851"/>
      <c r="W201" s="2851"/>
      <c r="X201" s="2851"/>
      <c r="Y201" s="2851"/>
      <c r="Z201" s="2851"/>
      <c r="AA201" s="2851"/>
      <c r="AB201" s="2851"/>
      <c r="AC201" s="2880">
        <f t="shared" si="35"/>
        <v>6</v>
      </c>
      <c r="AD201" s="3060">
        <f t="shared" si="36"/>
        <v>0</v>
      </c>
      <c r="AE201" s="2853">
        <f t="shared" si="37"/>
        <v>0</v>
      </c>
      <c r="AF201" s="2880">
        <f t="shared" si="38"/>
        <v>6</v>
      </c>
      <c r="AG201" s="2854" t="e">
        <f>+VLOOKUP(C201,[1]Sheet1!$D$9:$E$122,2,0)</f>
        <v>#N/A</v>
      </c>
      <c r="AH201" s="2854" t="e">
        <f t="shared" si="39"/>
        <v>#N/A</v>
      </c>
      <c r="AI201" s="2746"/>
    </row>
    <row r="202" spans="1:37" ht="27.75" customHeight="1">
      <c r="A202" s="2861">
        <v>7</v>
      </c>
      <c r="B202" s="2882" t="s">
        <v>1545</v>
      </c>
      <c r="C202" s="2881"/>
      <c r="D202" s="3370" t="s">
        <v>453</v>
      </c>
      <c r="E202" s="3370"/>
      <c r="F202" s="2851"/>
      <c r="G202" s="2851"/>
      <c r="H202" s="2851"/>
      <c r="I202" s="2851"/>
      <c r="J202" s="2851" t="s">
        <v>29</v>
      </c>
      <c r="K202" s="2851"/>
      <c r="L202" s="2851"/>
      <c r="M202" s="2851"/>
      <c r="N202" s="2851" t="s">
        <v>29</v>
      </c>
      <c r="O202" s="2851" t="s">
        <v>29</v>
      </c>
      <c r="P202" s="2851"/>
      <c r="Q202" s="2851" t="s">
        <v>29</v>
      </c>
      <c r="R202" s="2851" t="s">
        <v>29</v>
      </c>
      <c r="S202" s="2851"/>
      <c r="T202" s="2851"/>
      <c r="U202" s="2851"/>
      <c r="V202" s="2851"/>
      <c r="W202" s="2851"/>
      <c r="X202" s="2851"/>
      <c r="Y202" s="2851"/>
      <c r="Z202" s="2851"/>
      <c r="AA202" s="2851"/>
      <c r="AB202" s="2851"/>
      <c r="AC202" s="2880">
        <f t="shared" si="35"/>
        <v>5</v>
      </c>
      <c r="AD202" s="3060">
        <f t="shared" si="36"/>
        <v>0</v>
      </c>
      <c r="AE202" s="2853">
        <f t="shared" si="37"/>
        <v>0</v>
      </c>
      <c r="AF202" s="2880">
        <f t="shared" si="38"/>
        <v>5</v>
      </c>
      <c r="AG202" s="2854" t="e">
        <f>+VLOOKUP(C202,[1]Sheet1!$D$9:$E$122,2,0)</f>
        <v>#N/A</v>
      </c>
      <c r="AH202" s="2854" t="e">
        <f t="shared" si="39"/>
        <v>#N/A</v>
      </c>
      <c r="AI202" s="2746"/>
    </row>
    <row r="203" spans="1:37" ht="27.75" customHeight="1">
      <c r="A203" s="2851">
        <v>8</v>
      </c>
      <c r="B203" s="2812" t="s">
        <v>152</v>
      </c>
      <c r="C203" s="2881"/>
      <c r="D203" s="3370" t="s">
        <v>453</v>
      </c>
      <c r="E203" s="3370"/>
      <c r="F203" s="2851"/>
      <c r="G203" s="2851"/>
      <c r="H203" s="2851"/>
      <c r="I203" s="2851"/>
      <c r="J203" s="2851" t="s">
        <v>29</v>
      </c>
      <c r="K203" s="2851"/>
      <c r="L203" s="2851" t="s">
        <v>29</v>
      </c>
      <c r="M203" s="2851"/>
      <c r="N203" s="2851"/>
      <c r="O203" s="2851"/>
      <c r="P203" s="2851"/>
      <c r="Q203" s="2851" t="s">
        <v>29</v>
      </c>
      <c r="R203" s="2851"/>
      <c r="S203" s="2851"/>
      <c r="T203" s="2851"/>
      <c r="U203" s="2851"/>
      <c r="V203" s="2851"/>
      <c r="W203" s="2851"/>
      <c r="X203" s="2851"/>
      <c r="Y203" s="2851"/>
      <c r="Z203" s="2851"/>
      <c r="AA203" s="2851"/>
      <c r="AB203" s="2851"/>
      <c r="AC203" s="2880">
        <f t="shared" si="35"/>
        <v>3</v>
      </c>
      <c r="AD203" s="3060">
        <f t="shared" si="36"/>
        <v>0</v>
      </c>
      <c r="AE203" s="2853">
        <f t="shared" si="37"/>
        <v>0</v>
      </c>
      <c r="AF203" s="2880">
        <f t="shared" si="38"/>
        <v>3</v>
      </c>
      <c r="AG203" s="2854" t="e">
        <f>+VLOOKUP(C203,[1]Sheet1!$D$9:$E$122,2,0)</f>
        <v>#N/A</v>
      </c>
      <c r="AH203" s="2854" t="e">
        <f t="shared" si="39"/>
        <v>#N/A</v>
      </c>
      <c r="AI203" s="2746"/>
    </row>
    <row r="204" spans="1:37" ht="27.75" customHeight="1">
      <c r="A204" s="2861">
        <v>9</v>
      </c>
      <c r="B204" s="2812" t="s">
        <v>571</v>
      </c>
      <c r="C204" s="2881"/>
      <c r="D204" s="3370" t="s">
        <v>453</v>
      </c>
      <c r="E204" s="3370"/>
      <c r="F204" s="2851"/>
      <c r="G204" s="2851"/>
      <c r="H204" s="2851"/>
      <c r="I204" s="2851"/>
      <c r="J204" s="2851" t="s">
        <v>29</v>
      </c>
      <c r="K204" s="2851"/>
      <c r="L204" s="2851" t="s">
        <v>29</v>
      </c>
      <c r="M204" s="2851"/>
      <c r="N204" s="2851" t="s">
        <v>29</v>
      </c>
      <c r="O204" s="2851"/>
      <c r="P204" s="2851"/>
      <c r="Q204" s="2851" t="s">
        <v>29</v>
      </c>
      <c r="R204" s="2851" t="s">
        <v>29</v>
      </c>
      <c r="S204" s="2851"/>
      <c r="T204" s="2851"/>
      <c r="U204" s="2851"/>
      <c r="V204" s="2851"/>
      <c r="W204" s="2851"/>
      <c r="X204" s="2851"/>
      <c r="Y204" s="2851"/>
      <c r="Z204" s="2851"/>
      <c r="AA204" s="2851"/>
      <c r="AB204" s="2851"/>
      <c r="AC204" s="2880">
        <f t="shared" si="35"/>
        <v>5</v>
      </c>
      <c r="AD204" s="3060">
        <f t="shared" si="36"/>
        <v>0</v>
      </c>
      <c r="AE204" s="2853">
        <f t="shared" si="37"/>
        <v>0</v>
      </c>
      <c r="AF204" s="2880">
        <f t="shared" si="38"/>
        <v>5</v>
      </c>
      <c r="AG204" s="2854" t="e">
        <f>+VLOOKUP(C204,[1]Sheet1!$D$9:$E$122,2,0)</f>
        <v>#N/A</v>
      </c>
      <c r="AH204" s="2854" t="e">
        <f t="shared" si="39"/>
        <v>#N/A</v>
      </c>
      <c r="AI204" s="2746"/>
    </row>
    <row r="205" spans="1:37" ht="27.75" customHeight="1">
      <c r="A205" s="2851">
        <v>10</v>
      </c>
      <c r="B205" s="2812" t="s">
        <v>1219</v>
      </c>
      <c r="C205" s="2881"/>
      <c r="D205" s="3370" t="s">
        <v>453</v>
      </c>
      <c r="E205" s="3370"/>
      <c r="F205" s="2851"/>
      <c r="G205" s="2851"/>
      <c r="H205" s="2851"/>
      <c r="I205" s="2851"/>
      <c r="J205" s="2851" t="s">
        <v>29</v>
      </c>
      <c r="K205" s="2851" t="s">
        <v>29</v>
      </c>
      <c r="L205" s="2851" t="s">
        <v>29</v>
      </c>
      <c r="M205" s="2851" t="s">
        <v>29</v>
      </c>
      <c r="N205" s="2851" t="s">
        <v>29</v>
      </c>
      <c r="O205" s="2851" t="s">
        <v>29</v>
      </c>
      <c r="P205" s="2851"/>
      <c r="Q205" s="2851" t="s">
        <v>29</v>
      </c>
      <c r="R205" s="2851"/>
      <c r="S205" s="2851"/>
      <c r="T205" s="2851"/>
      <c r="U205" s="2851"/>
      <c r="V205" s="2851"/>
      <c r="W205" s="2851"/>
      <c r="X205" s="2851"/>
      <c r="Y205" s="2851"/>
      <c r="Z205" s="2851"/>
      <c r="AA205" s="2851"/>
      <c r="AB205" s="2851"/>
      <c r="AC205" s="2880">
        <f t="shared" si="35"/>
        <v>7</v>
      </c>
      <c r="AD205" s="3060">
        <f t="shared" si="36"/>
        <v>0</v>
      </c>
      <c r="AE205" s="2853">
        <f t="shared" si="37"/>
        <v>0</v>
      </c>
      <c r="AF205" s="2880">
        <f t="shared" si="38"/>
        <v>7</v>
      </c>
      <c r="AG205" s="2854" t="e">
        <f>+VLOOKUP(C205,[1]Sheet1!$D$9:$E$122,2,0)</f>
        <v>#N/A</v>
      </c>
      <c r="AH205" s="2854" t="e">
        <f t="shared" si="39"/>
        <v>#N/A</v>
      </c>
      <c r="AI205" s="2746"/>
    </row>
    <row r="206" spans="1:37" ht="27.75" customHeight="1">
      <c r="A206" s="2861">
        <v>11</v>
      </c>
      <c r="B206" s="2812" t="s">
        <v>853</v>
      </c>
      <c r="C206" s="2881"/>
      <c r="D206" s="3370" t="s">
        <v>453</v>
      </c>
      <c r="E206" s="3370"/>
      <c r="F206" s="2851"/>
      <c r="G206" s="2851"/>
      <c r="H206" s="2851"/>
      <c r="I206" s="2851"/>
      <c r="J206" s="2851" t="s">
        <v>29</v>
      </c>
      <c r="K206" s="2851" t="s">
        <v>29</v>
      </c>
      <c r="L206" s="2851"/>
      <c r="M206" s="2851" t="s">
        <v>29</v>
      </c>
      <c r="N206" s="2851" t="s">
        <v>29</v>
      </c>
      <c r="O206" s="2851"/>
      <c r="P206" s="2851"/>
      <c r="Q206" s="2851" t="s">
        <v>29</v>
      </c>
      <c r="R206" s="2851" t="s">
        <v>29</v>
      </c>
      <c r="S206" s="2851"/>
      <c r="T206" s="2851"/>
      <c r="U206" s="2851"/>
      <c r="V206" s="2851"/>
      <c r="W206" s="2851"/>
      <c r="X206" s="2851"/>
      <c r="Y206" s="2851"/>
      <c r="Z206" s="2851"/>
      <c r="AA206" s="2851"/>
      <c r="AB206" s="2851"/>
      <c r="AC206" s="2880">
        <f t="shared" si="35"/>
        <v>6</v>
      </c>
      <c r="AD206" s="3060">
        <f t="shared" si="36"/>
        <v>0</v>
      </c>
      <c r="AE206" s="2853">
        <f t="shared" si="37"/>
        <v>0</v>
      </c>
      <c r="AF206" s="2880">
        <f t="shared" si="38"/>
        <v>6</v>
      </c>
      <c r="AG206" s="2854" t="e">
        <f>+VLOOKUP(C206,[1]Sheet1!$D$9:$E$122,2,0)</f>
        <v>#N/A</v>
      </c>
      <c r="AH206" s="2854" t="e">
        <f t="shared" si="39"/>
        <v>#N/A</v>
      </c>
      <c r="AI206" s="2746"/>
    </row>
    <row r="207" spans="1:37" ht="27.75" customHeight="1">
      <c r="A207" s="2851">
        <v>12</v>
      </c>
      <c r="B207" s="2812" t="s">
        <v>1220</v>
      </c>
      <c r="C207" s="2881"/>
      <c r="D207" s="3370" t="s">
        <v>453</v>
      </c>
      <c r="E207" s="3370"/>
      <c r="F207" s="2851"/>
      <c r="G207" s="2851"/>
      <c r="H207" s="2851"/>
      <c r="I207" s="2851"/>
      <c r="J207" s="2851" t="s">
        <v>29</v>
      </c>
      <c r="K207" s="2851"/>
      <c r="L207" s="2851"/>
      <c r="M207" s="2851"/>
      <c r="N207" s="2851" t="s">
        <v>29</v>
      </c>
      <c r="O207" s="2851"/>
      <c r="P207" s="2851"/>
      <c r="Q207" s="2851" t="s">
        <v>29</v>
      </c>
      <c r="R207" s="2851" t="s">
        <v>29</v>
      </c>
      <c r="S207" s="2851"/>
      <c r="T207" s="2851"/>
      <c r="U207" s="2851"/>
      <c r="V207" s="2851"/>
      <c r="W207" s="2851"/>
      <c r="X207" s="2851"/>
      <c r="Y207" s="2851"/>
      <c r="Z207" s="2851"/>
      <c r="AA207" s="2851"/>
      <c r="AB207" s="2851"/>
      <c r="AC207" s="2880">
        <f t="shared" si="35"/>
        <v>4</v>
      </c>
      <c r="AD207" s="3060">
        <f t="shared" si="36"/>
        <v>0</v>
      </c>
      <c r="AE207" s="2853">
        <f t="shared" si="37"/>
        <v>0</v>
      </c>
      <c r="AF207" s="2880">
        <f t="shared" si="38"/>
        <v>4</v>
      </c>
      <c r="AG207" s="2854"/>
      <c r="AH207" s="2854"/>
      <c r="AI207" s="2746"/>
    </row>
    <row r="208" spans="1:37" ht="27.75" customHeight="1">
      <c r="A208" s="2861">
        <v>13</v>
      </c>
      <c r="B208" s="2812" t="s">
        <v>1221</v>
      </c>
      <c r="C208" s="2881"/>
      <c r="D208" s="3370" t="s">
        <v>453</v>
      </c>
      <c r="E208" s="3370"/>
      <c r="F208" s="2851"/>
      <c r="G208" s="2851"/>
      <c r="H208" s="2851"/>
      <c r="I208" s="2851"/>
      <c r="J208" s="2851" t="s">
        <v>29</v>
      </c>
      <c r="K208" s="2851" t="s">
        <v>29</v>
      </c>
      <c r="L208" s="2851" t="s">
        <v>29</v>
      </c>
      <c r="M208" s="2851" t="s">
        <v>29</v>
      </c>
      <c r="N208" s="2851" t="s">
        <v>29</v>
      </c>
      <c r="O208" s="2851"/>
      <c r="P208" s="2851"/>
      <c r="Q208" s="2851"/>
      <c r="R208" s="2851"/>
      <c r="S208" s="2851"/>
      <c r="T208" s="2851"/>
      <c r="U208" s="2851"/>
      <c r="V208" s="2851"/>
      <c r="W208" s="2851"/>
      <c r="X208" s="2851"/>
      <c r="Y208" s="2851"/>
      <c r="Z208" s="2851"/>
      <c r="AA208" s="2851"/>
      <c r="AB208" s="2851"/>
      <c r="AC208" s="2880">
        <f t="shared" si="35"/>
        <v>5</v>
      </c>
      <c r="AD208" s="3060">
        <f t="shared" si="36"/>
        <v>0</v>
      </c>
      <c r="AE208" s="2853">
        <f t="shared" si="37"/>
        <v>0</v>
      </c>
      <c r="AF208" s="2880">
        <f t="shared" si="38"/>
        <v>5</v>
      </c>
      <c r="AG208" s="2854"/>
      <c r="AH208" s="2854"/>
      <c r="AI208" s="2746"/>
    </row>
    <row r="209" spans="1:37" ht="27.75" customHeight="1">
      <c r="A209" s="2851">
        <v>14</v>
      </c>
      <c r="B209" s="2812" t="s">
        <v>1222</v>
      </c>
      <c r="C209" s="2881"/>
      <c r="D209" s="3370" t="s">
        <v>453</v>
      </c>
      <c r="E209" s="3370"/>
      <c r="F209" s="2851"/>
      <c r="G209" s="2851"/>
      <c r="H209" s="2851"/>
      <c r="I209" s="2851"/>
      <c r="J209" s="2851" t="s">
        <v>29</v>
      </c>
      <c r="K209" s="2851" t="s">
        <v>29</v>
      </c>
      <c r="L209" s="2851"/>
      <c r="M209" s="2851"/>
      <c r="N209" s="2851" t="s">
        <v>29</v>
      </c>
      <c r="O209" s="2851" t="s">
        <v>29</v>
      </c>
      <c r="P209" s="2851"/>
      <c r="Q209" s="2851" t="s">
        <v>29</v>
      </c>
      <c r="R209" s="2851" t="s">
        <v>29</v>
      </c>
      <c r="S209" s="2851"/>
      <c r="T209" s="2851"/>
      <c r="U209" s="2851"/>
      <c r="V209" s="2851"/>
      <c r="W209" s="2851"/>
      <c r="X209" s="2851"/>
      <c r="Y209" s="2851"/>
      <c r="Z209" s="2851"/>
      <c r="AA209" s="2851"/>
      <c r="AB209" s="2851"/>
      <c r="AC209" s="2880">
        <f t="shared" si="35"/>
        <v>6</v>
      </c>
      <c r="AD209" s="3060">
        <f t="shared" si="36"/>
        <v>0</v>
      </c>
      <c r="AE209" s="2853">
        <f t="shared" si="37"/>
        <v>0</v>
      </c>
      <c r="AF209" s="2880">
        <f t="shared" si="38"/>
        <v>6</v>
      </c>
      <c r="AG209" s="2854"/>
      <c r="AH209" s="2854"/>
      <c r="AI209" s="2746"/>
    </row>
    <row r="210" spans="1:37" ht="27.75" customHeight="1">
      <c r="A210" s="2861">
        <v>15</v>
      </c>
      <c r="B210" s="2812" t="s">
        <v>1223</v>
      </c>
      <c r="C210" s="2881"/>
      <c r="D210" s="3370" t="s">
        <v>453</v>
      </c>
      <c r="E210" s="3370"/>
      <c r="F210" s="2851"/>
      <c r="G210" s="2851"/>
      <c r="H210" s="2851"/>
      <c r="I210" s="2851"/>
      <c r="J210" s="2851" t="s">
        <v>29</v>
      </c>
      <c r="K210" s="2851" t="s">
        <v>29</v>
      </c>
      <c r="L210" s="2851" t="s">
        <v>29</v>
      </c>
      <c r="M210" s="2851" t="s">
        <v>29</v>
      </c>
      <c r="N210" s="2851" t="s">
        <v>29</v>
      </c>
      <c r="O210" s="2851"/>
      <c r="P210" s="2851"/>
      <c r="Q210" s="2851" t="s">
        <v>29</v>
      </c>
      <c r="R210" s="2851" t="s">
        <v>29</v>
      </c>
      <c r="S210" s="2851"/>
      <c r="T210" s="2851"/>
      <c r="U210" s="2851"/>
      <c r="V210" s="2851"/>
      <c r="W210" s="2851"/>
      <c r="X210" s="2851"/>
      <c r="Y210" s="2851"/>
      <c r="Z210" s="2851"/>
      <c r="AA210" s="2851"/>
      <c r="AB210" s="2851"/>
      <c r="AC210" s="2880">
        <f t="shared" si="35"/>
        <v>7</v>
      </c>
      <c r="AD210" s="3060">
        <f t="shared" si="36"/>
        <v>0</v>
      </c>
      <c r="AE210" s="2853">
        <f t="shared" si="37"/>
        <v>0</v>
      </c>
      <c r="AF210" s="2880">
        <f t="shared" si="38"/>
        <v>7</v>
      </c>
      <c r="AG210" s="2854"/>
      <c r="AH210" s="2854"/>
      <c r="AI210" s="2746"/>
    </row>
    <row r="211" spans="1:37" ht="27.75" customHeight="1">
      <c r="A211" s="2851">
        <v>16</v>
      </c>
      <c r="B211" s="2812" t="s">
        <v>1224</v>
      </c>
      <c r="C211" s="2881"/>
      <c r="D211" s="3370" t="s">
        <v>453</v>
      </c>
      <c r="E211" s="3370"/>
      <c r="F211" s="2851"/>
      <c r="G211" s="2851"/>
      <c r="H211" s="2851"/>
      <c r="I211" s="2851"/>
      <c r="J211" s="2851" t="s">
        <v>29</v>
      </c>
      <c r="K211" s="2851" t="s">
        <v>29</v>
      </c>
      <c r="L211" s="2851" t="s">
        <v>29</v>
      </c>
      <c r="M211" s="2851" t="s">
        <v>29</v>
      </c>
      <c r="N211" s="2851" t="s">
        <v>29</v>
      </c>
      <c r="O211" s="2851"/>
      <c r="P211" s="2851"/>
      <c r="Q211" s="2851" t="s">
        <v>29</v>
      </c>
      <c r="R211" s="2851" t="s">
        <v>29</v>
      </c>
      <c r="S211" s="2851"/>
      <c r="T211" s="2851"/>
      <c r="U211" s="2851"/>
      <c r="V211" s="2851"/>
      <c r="W211" s="2851"/>
      <c r="X211" s="2851"/>
      <c r="Y211" s="2851"/>
      <c r="Z211" s="2851"/>
      <c r="AA211" s="2851"/>
      <c r="AB211" s="2851"/>
      <c r="AC211" s="2880">
        <f t="shared" si="35"/>
        <v>7</v>
      </c>
      <c r="AD211" s="3060">
        <f t="shared" si="36"/>
        <v>0</v>
      </c>
      <c r="AE211" s="2853">
        <f t="shared" si="37"/>
        <v>0</v>
      </c>
      <c r="AF211" s="2880">
        <f t="shared" si="38"/>
        <v>7</v>
      </c>
      <c r="AG211" s="2854"/>
      <c r="AH211" s="2854"/>
      <c r="AI211" s="2746"/>
    </row>
    <row r="212" spans="1:37" ht="27.75" customHeight="1">
      <c r="A212" s="2861">
        <v>17</v>
      </c>
      <c r="B212" s="2812" t="s">
        <v>1546</v>
      </c>
      <c r="C212" s="2881"/>
      <c r="D212" s="3370" t="s">
        <v>453</v>
      </c>
      <c r="E212" s="3370"/>
      <c r="F212" s="2851"/>
      <c r="G212" s="2851"/>
      <c r="H212" s="2851"/>
      <c r="I212" s="2851"/>
      <c r="J212" s="2851" t="s">
        <v>29</v>
      </c>
      <c r="K212" s="2851" t="s">
        <v>29</v>
      </c>
      <c r="L212" s="2851" t="s">
        <v>29</v>
      </c>
      <c r="M212" s="2851" t="s">
        <v>29</v>
      </c>
      <c r="N212" s="2851" t="s">
        <v>29</v>
      </c>
      <c r="O212" s="2851"/>
      <c r="P212" s="2851"/>
      <c r="Q212" s="2851" t="s">
        <v>29</v>
      </c>
      <c r="R212" s="2851" t="s">
        <v>29</v>
      </c>
      <c r="S212" s="2851"/>
      <c r="T212" s="2851"/>
      <c r="U212" s="2851"/>
      <c r="V212" s="2851"/>
      <c r="W212" s="2851"/>
      <c r="X212" s="2851"/>
      <c r="Y212" s="2851"/>
      <c r="Z212" s="2851"/>
      <c r="AA212" s="2851"/>
      <c r="AB212" s="2851"/>
      <c r="AC212" s="2880">
        <f t="shared" si="35"/>
        <v>7</v>
      </c>
      <c r="AD212" s="3060">
        <f t="shared" si="36"/>
        <v>0</v>
      </c>
      <c r="AE212" s="2853">
        <f t="shared" si="37"/>
        <v>0</v>
      </c>
      <c r="AF212" s="2880">
        <f t="shared" si="38"/>
        <v>7</v>
      </c>
      <c r="AG212" s="2854"/>
      <c r="AH212" s="2854"/>
      <c r="AI212" s="2746"/>
    </row>
    <row r="213" spans="1:37" ht="27.75" customHeight="1">
      <c r="A213" s="2851">
        <v>18</v>
      </c>
      <c r="B213" s="2812" t="s">
        <v>1226</v>
      </c>
      <c r="C213" s="2881"/>
      <c r="D213" s="3370" t="s">
        <v>453</v>
      </c>
      <c r="E213" s="3370"/>
      <c r="F213" s="2851"/>
      <c r="G213" s="2851"/>
      <c r="H213" s="2851"/>
      <c r="I213" s="2851"/>
      <c r="J213" s="2851" t="s">
        <v>29</v>
      </c>
      <c r="K213" s="2851" t="s">
        <v>29</v>
      </c>
      <c r="L213" s="2851"/>
      <c r="M213" s="2851" t="s">
        <v>29</v>
      </c>
      <c r="N213" s="2851" t="s">
        <v>29</v>
      </c>
      <c r="O213" s="2851"/>
      <c r="P213" s="2851"/>
      <c r="Q213" s="2851"/>
      <c r="R213" s="2851" t="s">
        <v>29</v>
      </c>
      <c r="S213" s="2851"/>
      <c r="T213" s="2851"/>
      <c r="U213" s="2851"/>
      <c r="V213" s="2851"/>
      <c r="W213" s="2851"/>
      <c r="X213" s="2851"/>
      <c r="Y213" s="2851"/>
      <c r="Z213" s="2851"/>
      <c r="AA213" s="2851"/>
      <c r="AB213" s="2851"/>
      <c r="AC213" s="2880">
        <f t="shared" si="35"/>
        <v>5</v>
      </c>
      <c r="AD213" s="3060">
        <f t="shared" si="36"/>
        <v>0</v>
      </c>
      <c r="AE213" s="2853">
        <f t="shared" si="37"/>
        <v>0</v>
      </c>
      <c r="AF213" s="2880">
        <f t="shared" si="38"/>
        <v>5</v>
      </c>
      <c r="AG213" s="2854"/>
      <c r="AH213" s="2854"/>
      <c r="AI213" s="2746"/>
    </row>
    <row r="214" spans="1:37" ht="27.75" customHeight="1">
      <c r="A214" s="2861">
        <v>19</v>
      </c>
      <c r="B214" s="2812" t="s">
        <v>861</v>
      </c>
      <c r="C214" s="2881"/>
      <c r="D214" s="3370" t="s">
        <v>453</v>
      </c>
      <c r="E214" s="3370"/>
      <c r="F214" s="2851"/>
      <c r="G214" s="2851"/>
      <c r="H214" s="2851"/>
      <c r="I214" s="2851"/>
      <c r="J214" s="2851" t="s">
        <v>29</v>
      </c>
      <c r="K214" s="2851" t="s">
        <v>29</v>
      </c>
      <c r="L214" s="2851" t="s">
        <v>29</v>
      </c>
      <c r="M214" s="2851" t="s">
        <v>29</v>
      </c>
      <c r="N214" s="2851" t="s">
        <v>29</v>
      </c>
      <c r="O214" s="2851"/>
      <c r="P214" s="2851"/>
      <c r="Q214" s="2851" t="s">
        <v>29</v>
      </c>
      <c r="R214" s="2851" t="s">
        <v>29</v>
      </c>
      <c r="S214" s="2851"/>
      <c r="T214" s="2851"/>
      <c r="U214" s="2851"/>
      <c r="V214" s="2851"/>
      <c r="W214" s="2851"/>
      <c r="X214" s="2851"/>
      <c r="Y214" s="2851"/>
      <c r="Z214" s="2851"/>
      <c r="AA214" s="2851"/>
      <c r="AB214" s="2851"/>
      <c r="AC214" s="2880">
        <f t="shared" si="35"/>
        <v>7</v>
      </c>
      <c r="AD214" s="3060">
        <f t="shared" si="36"/>
        <v>0</v>
      </c>
      <c r="AE214" s="2853">
        <f t="shared" si="37"/>
        <v>0</v>
      </c>
      <c r="AF214" s="2880">
        <f t="shared" si="38"/>
        <v>7</v>
      </c>
      <c r="AG214" s="2854"/>
      <c r="AH214" s="2854"/>
      <c r="AI214" s="2746"/>
    </row>
    <row r="215" spans="1:37" ht="27.75" customHeight="1">
      <c r="A215" s="2851">
        <v>20</v>
      </c>
      <c r="B215" s="2812" t="s">
        <v>486</v>
      </c>
      <c r="C215" s="2881"/>
      <c r="D215" s="3370" t="s">
        <v>453</v>
      </c>
      <c r="E215" s="3370"/>
      <c r="F215" s="2851"/>
      <c r="G215" s="2851"/>
      <c r="H215" s="2851"/>
      <c r="I215" s="2851"/>
      <c r="J215" s="2851" t="s">
        <v>29</v>
      </c>
      <c r="K215" s="2851" t="s">
        <v>29</v>
      </c>
      <c r="L215" s="2851" t="s">
        <v>29</v>
      </c>
      <c r="M215" s="2851" t="s">
        <v>29</v>
      </c>
      <c r="N215" s="2851" t="s">
        <v>29</v>
      </c>
      <c r="O215" s="2851"/>
      <c r="P215" s="2851"/>
      <c r="Q215" s="2851" t="s">
        <v>29</v>
      </c>
      <c r="R215" s="2851" t="s">
        <v>29</v>
      </c>
      <c r="S215" s="2851"/>
      <c r="T215" s="2851"/>
      <c r="U215" s="2851"/>
      <c r="V215" s="2851"/>
      <c r="W215" s="2851"/>
      <c r="X215" s="2851"/>
      <c r="Y215" s="2851"/>
      <c r="Z215" s="2851"/>
      <c r="AA215" s="2851"/>
      <c r="AB215" s="2851"/>
      <c r="AC215" s="2880">
        <f t="shared" si="35"/>
        <v>7</v>
      </c>
      <c r="AD215" s="3060">
        <f t="shared" si="36"/>
        <v>0</v>
      </c>
      <c r="AE215" s="2853">
        <f t="shared" si="37"/>
        <v>0</v>
      </c>
      <c r="AF215" s="2880">
        <f t="shared" si="38"/>
        <v>7</v>
      </c>
      <c r="AG215" s="2854" t="e">
        <f>+VLOOKUP(C215,[1]Sheet1!$D$9:$E$122,2,0)</f>
        <v>#N/A</v>
      </c>
      <c r="AH215" s="2854" t="e">
        <f>+IF(AG215=B215,"0","1")</f>
        <v>#N/A</v>
      </c>
      <c r="AI215" s="2746"/>
    </row>
    <row r="216" spans="1:37" ht="27.75" customHeight="1">
      <c r="A216" s="2861">
        <v>21</v>
      </c>
      <c r="B216" s="2812" t="s">
        <v>836</v>
      </c>
      <c r="C216" s="2881"/>
      <c r="D216" s="3370" t="s">
        <v>453</v>
      </c>
      <c r="E216" s="3370"/>
      <c r="F216" s="2851"/>
      <c r="G216" s="2851"/>
      <c r="H216" s="2851"/>
      <c r="I216" s="2851"/>
      <c r="J216" s="2851"/>
      <c r="K216" s="2851"/>
      <c r="L216" s="2851"/>
      <c r="M216" s="2851" t="s">
        <v>29</v>
      </c>
      <c r="N216" s="2851" t="s">
        <v>29</v>
      </c>
      <c r="O216" s="2851"/>
      <c r="P216" s="2851"/>
      <c r="Q216" s="2851"/>
      <c r="R216" s="2851" t="s">
        <v>29</v>
      </c>
      <c r="S216" s="2851"/>
      <c r="T216" s="2851"/>
      <c r="U216" s="2851"/>
      <c r="V216" s="2851"/>
      <c r="W216" s="2851"/>
      <c r="X216" s="2851"/>
      <c r="Y216" s="2851"/>
      <c r="Z216" s="2851"/>
      <c r="AA216" s="2851"/>
      <c r="AB216" s="2851"/>
      <c r="AC216" s="2880">
        <f t="shared" si="35"/>
        <v>3</v>
      </c>
      <c r="AD216" s="3060">
        <f t="shared" si="36"/>
        <v>0</v>
      </c>
      <c r="AE216" s="2853">
        <f t="shared" si="37"/>
        <v>0</v>
      </c>
      <c r="AF216" s="2880">
        <f t="shared" si="38"/>
        <v>3</v>
      </c>
      <c r="AG216" s="2854" t="e">
        <f>+VLOOKUP(C216,[1]Sheet1!$D$9:$E$122,2,0)</f>
        <v>#N/A</v>
      </c>
      <c r="AH216" s="2854" t="e">
        <f>+IF(AG216=B216,"0","1")</f>
        <v>#N/A</v>
      </c>
      <c r="AI216" s="2746"/>
    </row>
    <row r="217" spans="1:37" ht="27.75" customHeight="1">
      <c r="A217" s="2851">
        <v>22</v>
      </c>
      <c r="B217" s="2865" t="s">
        <v>1227</v>
      </c>
      <c r="C217" s="2851"/>
      <c r="D217" s="3370" t="s">
        <v>453</v>
      </c>
      <c r="E217" s="3370"/>
      <c r="F217" s="2851"/>
      <c r="G217" s="2851"/>
      <c r="H217" s="2851"/>
      <c r="I217" s="2851"/>
      <c r="J217" s="2851"/>
      <c r="K217" s="2851" t="s">
        <v>29</v>
      </c>
      <c r="L217" s="2851"/>
      <c r="M217" s="2851"/>
      <c r="N217" s="2851"/>
      <c r="O217" s="2851" t="s">
        <v>29</v>
      </c>
      <c r="P217" s="2851"/>
      <c r="Q217" s="2851"/>
      <c r="R217" s="2851" t="s">
        <v>29</v>
      </c>
      <c r="S217" s="2851"/>
      <c r="T217" s="2851"/>
      <c r="U217" s="2851"/>
      <c r="V217" s="2851"/>
      <c r="W217" s="2851"/>
      <c r="X217" s="2851"/>
      <c r="Y217" s="2851"/>
      <c r="Z217" s="2851"/>
      <c r="AA217" s="2851"/>
      <c r="AB217" s="2851"/>
      <c r="AC217" s="2880">
        <f t="shared" si="35"/>
        <v>3</v>
      </c>
      <c r="AD217" s="3060">
        <f t="shared" si="36"/>
        <v>0</v>
      </c>
      <c r="AE217" s="2853">
        <f t="shared" si="37"/>
        <v>0</v>
      </c>
      <c r="AF217" s="2880">
        <f t="shared" si="38"/>
        <v>3</v>
      </c>
      <c r="AG217" s="2854"/>
      <c r="AH217" s="2854"/>
      <c r="AI217" s="2746"/>
    </row>
    <row r="218" spans="1:37" ht="27.75" customHeight="1">
      <c r="A218" s="2861">
        <v>23</v>
      </c>
      <c r="B218" s="2865" t="s">
        <v>1228</v>
      </c>
      <c r="C218" s="2851"/>
      <c r="D218" s="3370" t="s">
        <v>453</v>
      </c>
      <c r="E218" s="3370"/>
      <c r="F218" s="2851"/>
      <c r="G218" s="2851"/>
      <c r="H218" s="2851"/>
      <c r="I218" s="2851"/>
      <c r="J218" s="2851" t="s">
        <v>29</v>
      </c>
      <c r="K218" s="2851" t="s">
        <v>29</v>
      </c>
      <c r="L218" s="2851"/>
      <c r="M218" s="2851" t="s">
        <v>29</v>
      </c>
      <c r="N218" s="2851" t="s">
        <v>29</v>
      </c>
      <c r="O218" s="2851" t="s">
        <v>29</v>
      </c>
      <c r="P218" s="2851"/>
      <c r="Q218" s="2851" t="s">
        <v>29</v>
      </c>
      <c r="R218" s="2851" t="s">
        <v>29</v>
      </c>
      <c r="S218" s="2851"/>
      <c r="T218" s="2851"/>
      <c r="U218" s="2851"/>
      <c r="V218" s="2851"/>
      <c r="W218" s="2851"/>
      <c r="X218" s="2851"/>
      <c r="Y218" s="2851"/>
      <c r="Z218" s="2851"/>
      <c r="AA218" s="2851"/>
      <c r="AB218" s="2851"/>
      <c r="AC218" s="2880">
        <f t="shared" si="35"/>
        <v>7</v>
      </c>
      <c r="AD218" s="3060">
        <f t="shared" si="36"/>
        <v>0</v>
      </c>
      <c r="AE218" s="2853">
        <f t="shared" si="37"/>
        <v>0</v>
      </c>
      <c r="AF218" s="2880">
        <f t="shared" si="38"/>
        <v>7</v>
      </c>
      <c r="AG218" s="2854"/>
      <c r="AH218" s="2854"/>
      <c r="AI218" s="2746"/>
    </row>
    <row r="219" spans="1:37" ht="27.75" customHeight="1">
      <c r="A219" s="2851">
        <v>24</v>
      </c>
      <c r="B219" s="2865" t="s">
        <v>1229</v>
      </c>
      <c r="C219" s="2883"/>
      <c r="D219" s="3370" t="s">
        <v>453</v>
      </c>
      <c r="E219" s="3370"/>
      <c r="F219" s="2851"/>
      <c r="G219" s="2851"/>
      <c r="H219" s="2851"/>
      <c r="I219" s="2851"/>
      <c r="J219" s="2851"/>
      <c r="K219" s="2851"/>
      <c r="L219" s="2851"/>
      <c r="M219" s="2851" t="s">
        <v>29</v>
      </c>
      <c r="N219" s="2851" t="s">
        <v>29</v>
      </c>
      <c r="O219" s="2851" t="s">
        <v>29</v>
      </c>
      <c r="P219" s="2851"/>
      <c r="Q219" s="2851" t="s">
        <v>29</v>
      </c>
      <c r="R219" s="2851" t="s">
        <v>29</v>
      </c>
      <c r="S219" s="2851"/>
      <c r="T219" s="2851"/>
      <c r="U219" s="2851"/>
      <c r="V219" s="2851"/>
      <c r="W219" s="2851"/>
      <c r="X219" s="2851"/>
      <c r="Y219" s="2851"/>
      <c r="Z219" s="2851"/>
      <c r="AA219" s="2851"/>
      <c r="AB219" s="2851"/>
      <c r="AC219" s="2880">
        <f t="shared" si="35"/>
        <v>5</v>
      </c>
      <c r="AD219" s="3060">
        <f t="shared" si="36"/>
        <v>0</v>
      </c>
      <c r="AE219" s="2853">
        <f t="shared" si="37"/>
        <v>0</v>
      </c>
      <c r="AF219" s="2880">
        <f t="shared" si="38"/>
        <v>5</v>
      </c>
      <c r="AG219" s="2884"/>
      <c r="AH219" s="2884"/>
      <c r="AI219" s="3500"/>
    </row>
    <row r="220" spans="1:37" ht="27.75" customHeight="1">
      <c r="A220" s="3913" t="s">
        <v>453</v>
      </c>
      <c r="B220" s="3914"/>
      <c r="C220" s="2886"/>
      <c r="D220" s="3371"/>
      <c r="E220" s="3371"/>
      <c r="F220" s="2867">
        <f t="shared" ref="F220:AA220" si="40">COUNTIF(F196:F219,"X")+COUNTIF(F196:F219,"cn")+COUNTIF(F196:F219,"D")+COUNTIF(F196:F219,"DCN")</f>
        <v>0</v>
      </c>
      <c r="G220" s="2867">
        <f t="shared" si="40"/>
        <v>0</v>
      </c>
      <c r="H220" s="2867">
        <f t="shared" si="40"/>
        <v>0</v>
      </c>
      <c r="I220" s="2867">
        <f t="shared" si="40"/>
        <v>0</v>
      </c>
      <c r="J220" s="2867">
        <f t="shared" si="40"/>
        <v>21</v>
      </c>
      <c r="K220" s="2867">
        <f t="shared" si="40"/>
        <v>17</v>
      </c>
      <c r="L220" s="2867">
        <f t="shared" si="40"/>
        <v>12</v>
      </c>
      <c r="M220" s="2867">
        <f t="shared" si="40"/>
        <v>16</v>
      </c>
      <c r="N220" s="2867">
        <f t="shared" si="40"/>
        <v>22</v>
      </c>
      <c r="O220" s="2867">
        <f t="shared" si="40"/>
        <v>7</v>
      </c>
      <c r="P220" s="2867">
        <f t="shared" si="40"/>
        <v>0</v>
      </c>
      <c r="Q220" s="2867">
        <f t="shared" si="40"/>
        <v>19</v>
      </c>
      <c r="R220" s="2867">
        <f t="shared" si="40"/>
        <v>21</v>
      </c>
      <c r="S220" s="2867">
        <f t="shared" si="40"/>
        <v>0</v>
      </c>
      <c r="T220" s="2867">
        <f t="shared" si="40"/>
        <v>0</v>
      </c>
      <c r="U220" s="2867">
        <f t="shared" si="40"/>
        <v>0</v>
      </c>
      <c r="V220" s="2867">
        <f t="shared" si="40"/>
        <v>0</v>
      </c>
      <c r="W220" s="2867">
        <f t="shared" si="40"/>
        <v>0</v>
      </c>
      <c r="X220" s="2867">
        <f t="shared" si="40"/>
        <v>0</v>
      </c>
      <c r="Y220" s="2867">
        <f t="shared" si="40"/>
        <v>0</v>
      </c>
      <c r="Z220" s="2867">
        <f t="shared" si="40"/>
        <v>0</v>
      </c>
      <c r="AA220" s="2867">
        <f t="shared" si="40"/>
        <v>0</v>
      </c>
      <c r="AB220" s="2867">
        <f>COUNTIF(AB196:AB219,"X")+COUNTIF(AB196:AB219,"cn")+COUNTIF(AB196:AB219,"D")+COUNTIF(AB196:AB219,"DCN")</f>
        <v>0</v>
      </c>
      <c r="AC220" s="3661">
        <f>SUBTOTAL(9,AC196:AC219)</f>
        <v>135</v>
      </c>
      <c r="AD220" s="3661">
        <f>SUBTOTAL(9,AD196:AD219)</f>
        <v>0</v>
      </c>
      <c r="AE220" s="3661">
        <f>SUBTOTAL(9,AE196:AE219)</f>
        <v>0</v>
      </c>
      <c r="AF220" s="3661">
        <f>SUBTOTAL(9,AF196:AF219)</f>
        <v>135</v>
      </c>
      <c r="AI220" s="2888"/>
    </row>
    <row r="221" spans="1:37" ht="27.75" customHeight="1">
      <c r="A221" s="3915" t="s">
        <v>61</v>
      </c>
      <c r="B221" s="3916"/>
      <c r="C221" s="2889"/>
      <c r="D221" s="3372"/>
      <c r="E221" s="3372"/>
      <c r="F221" s="3179">
        <f t="shared" ref="F221:AA221" si="41">+F220+F195+F170+F98+F46</f>
        <v>10</v>
      </c>
      <c r="G221" s="3179">
        <f t="shared" si="41"/>
        <v>10</v>
      </c>
      <c r="H221" s="3179">
        <f t="shared" si="41"/>
        <v>19</v>
      </c>
      <c r="I221" s="3179">
        <f t="shared" si="41"/>
        <v>31</v>
      </c>
      <c r="J221" s="3179">
        <f t="shared" si="41"/>
        <v>142</v>
      </c>
      <c r="K221" s="3179">
        <f t="shared" si="41"/>
        <v>117</v>
      </c>
      <c r="L221" s="3179">
        <f t="shared" si="41"/>
        <v>112</v>
      </c>
      <c r="M221" s="3179">
        <f t="shared" si="41"/>
        <v>110</v>
      </c>
      <c r="N221" s="3179">
        <f t="shared" si="41"/>
        <v>108</v>
      </c>
      <c r="O221" s="3179">
        <f t="shared" si="41"/>
        <v>136</v>
      </c>
      <c r="P221" s="3179">
        <f t="shared" si="41"/>
        <v>132</v>
      </c>
      <c r="Q221" s="3179">
        <f t="shared" si="41"/>
        <v>150</v>
      </c>
      <c r="R221" s="3179">
        <f t="shared" si="41"/>
        <v>120</v>
      </c>
      <c r="S221" s="3179">
        <f t="shared" si="41"/>
        <v>18</v>
      </c>
      <c r="T221" s="3179">
        <f t="shared" si="41"/>
        <v>15</v>
      </c>
      <c r="U221" s="3179">
        <f t="shared" si="41"/>
        <v>10</v>
      </c>
      <c r="V221" s="3179">
        <f t="shared" si="41"/>
        <v>6</v>
      </c>
      <c r="W221" s="3179">
        <f t="shared" si="41"/>
        <v>6</v>
      </c>
      <c r="X221" s="3179">
        <f t="shared" si="41"/>
        <v>2</v>
      </c>
      <c r="Y221" s="3179">
        <f t="shared" si="41"/>
        <v>2</v>
      </c>
      <c r="Z221" s="3179">
        <f t="shared" si="41"/>
        <v>2</v>
      </c>
      <c r="AA221" s="3179">
        <f t="shared" si="41"/>
        <v>2</v>
      </c>
      <c r="AB221" s="3179">
        <f>+AB220+AB195+AB170+AB98+AB46</f>
        <v>2</v>
      </c>
      <c r="AC221" s="3391">
        <f>+AC220+AC195+AC170+AC98+AC46</f>
        <v>1262</v>
      </c>
      <c r="AD221" s="3391">
        <f>+AD220+AD195+AD170+AD98+AD46</f>
        <v>0</v>
      </c>
      <c r="AE221" s="3391">
        <f>+AE220+AE195+AE170+AE98+AE46</f>
        <v>0</v>
      </c>
      <c r="AF221" s="3391">
        <f>+AF220+AF195+AF170+AF98+AF46</f>
        <v>1262</v>
      </c>
      <c r="AG221" s="2890" t="e">
        <f>SUBTOTAL(9,AG12:AG220)</f>
        <v>#N/A</v>
      </c>
      <c r="AH221" s="2891" t="e">
        <f>SUBTOTAL(9,AH12:AH220)</f>
        <v>#N/A</v>
      </c>
      <c r="AI221" s="2856"/>
      <c r="AJ221" s="3485">
        <v>2697</v>
      </c>
      <c r="AK221" s="3485"/>
    </row>
    <row r="222" spans="1:37" ht="21.75" customHeight="1">
      <c r="A222" s="3922" t="s">
        <v>92</v>
      </c>
      <c r="B222" s="3922"/>
      <c r="D222" s="3493" t="s">
        <v>29</v>
      </c>
      <c r="E222" s="3493"/>
      <c r="K222" s="2870"/>
      <c r="T222" s="3918" t="s">
        <v>2296</v>
      </c>
      <c r="U222" s="3918"/>
      <c r="V222" s="3918"/>
      <c r="W222" s="3918"/>
      <c r="X222" s="3918"/>
      <c r="Y222" s="3918"/>
      <c r="Z222" s="3918"/>
      <c r="AA222" s="3918"/>
      <c r="AB222" s="3918"/>
      <c r="AC222" s="3918"/>
      <c r="AD222" s="3918"/>
      <c r="AE222" s="3918"/>
      <c r="AF222" s="3918"/>
      <c r="AG222" s="3918"/>
      <c r="AH222" s="3918"/>
      <c r="AI222" s="3918"/>
      <c r="AJ222" s="3178"/>
      <c r="AK222" s="3178"/>
    </row>
    <row r="223" spans="1:37" hidden="1">
      <c r="D223" s="3493"/>
      <c r="E223" s="3493"/>
      <c r="AJ223" s="3485"/>
      <c r="AK223" s="3485"/>
    </row>
    <row r="224" spans="1:37" hidden="1">
      <c r="F224" s="2892"/>
      <c r="G224" s="2892"/>
      <c r="H224" s="2892"/>
      <c r="I224" s="2892"/>
      <c r="J224" s="2892"/>
      <c r="K224" s="2892"/>
      <c r="L224" s="2892"/>
      <c r="M224" s="2892"/>
      <c r="N224" s="2892"/>
      <c r="O224" s="2892"/>
      <c r="P224" s="2892"/>
      <c r="Q224" s="2892"/>
      <c r="R224" s="2892"/>
      <c r="S224" s="2892"/>
      <c r="T224" s="2892"/>
      <c r="U224" s="2892"/>
      <c r="V224" s="2892"/>
      <c r="W224" s="2892"/>
      <c r="X224" s="2892"/>
      <c r="Y224" s="2892"/>
      <c r="Z224" s="2892"/>
      <c r="AA224" s="2892"/>
      <c r="AI224" s="2870"/>
      <c r="AJ224" s="3485"/>
      <c r="AK224" s="3485"/>
    </row>
    <row r="225" spans="1:37" ht="23.25" customHeight="1">
      <c r="A225" s="3920" t="s">
        <v>2130</v>
      </c>
      <c r="B225" s="3920"/>
      <c r="C225" s="3920"/>
      <c r="D225" s="3920"/>
      <c r="E225" s="3765"/>
      <c r="F225" s="3772"/>
      <c r="G225" s="3921" t="s">
        <v>20</v>
      </c>
      <c r="H225" s="3921"/>
      <c r="I225" s="3921"/>
      <c r="J225" s="3921"/>
      <c r="K225" s="3921"/>
      <c r="L225" s="3921" t="s">
        <v>1874</v>
      </c>
      <c r="M225" s="3921"/>
      <c r="N225" s="3921"/>
      <c r="O225" s="3921"/>
      <c r="P225" s="3921"/>
      <c r="Q225" s="3923" t="s">
        <v>1885</v>
      </c>
      <c r="R225" s="3923"/>
      <c r="S225" s="3923"/>
      <c r="T225" s="3923"/>
      <c r="U225" s="3923"/>
      <c r="V225" s="3923"/>
      <c r="W225" s="3923"/>
      <c r="X225" s="3921" t="s">
        <v>21</v>
      </c>
      <c r="Y225" s="3921"/>
      <c r="Z225" s="3921"/>
      <c r="AA225" s="3921"/>
      <c r="AB225" s="3921"/>
      <c r="AC225" s="3921"/>
      <c r="AD225" s="3921"/>
      <c r="AE225" s="3921"/>
      <c r="AF225" s="3921"/>
      <c r="AG225" s="3921"/>
      <c r="AH225" s="3921"/>
      <c r="AI225" s="3921"/>
      <c r="AK225" s="3360"/>
    </row>
    <row r="226" spans="1:37">
      <c r="F226" s="2850"/>
      <c r="G226" s="2850"/>
      <c r="H226" s="2850"/>
      <c r="I226" s="2850"/>
      <c r="J226" s="2850"/>
      <c r="K226" s="2850"/>
      <c r="L226" s="2850"/>
      <c r="M226" s="2850"/>
      <c r="N226" s="2850"/>
      <c r="O226" s="2850"/>
      <c r="P226" s="2850"/>
      <c r="Q226" s="2850"/>
      <c r="R226" s="2850"/>
      <c r="S226" s="2850"/>
      <c r="T226" s="2850"/>
      <c r="U226" s="2850"/>
      <c r="V226" s="2850"/>
      <c r="W226" s="2850"/>
      <c r="X226" s="2850"/>
      <c r="Y226" s="2850"/>
      <c r="Z226" s="2850"/>
      <c r="AA226" s="2850"/>
      <c r="AB226" s="2850"/>
      <c r="AC226" s="3526"/>
      <c r="AD226" s="3526"/>
      <c r="AE226" s="3526"/>
      <c r="AF226" s="3526"/>
    </row>
    <row r="227" spans="1:37">
      <c r="AE227" s="3526"/>
      <c r="AF227" s="3184"/>
    </row>
    <row r="228" spans="1:37">
      <c r="AE228" s="3526"/>
      <c r="AF228" s="3526"/>
    </row>
    <row r="229" spans="1:37">
      <c r="AC229" s="2846"/>
      <c r="AD229" s="2846"/>
      <c r="AE229" s="3526"/>
      <c r="AF229" s="3526"/>
      <c r="AK229" s="3361"/>
    </row>
    <row r="230" spans="1:37">
      <c r="AE230" s="3526"/>
      <c r="AF230" s="3526"/>
    </row>
    <row r="231" spans="1:37">
      <c r="AE231" s="3526"/>
      <c r="AF231" s="3526"/>
    </row>
    <row r="232" spans="1:37">
      <c r="AE232" s="3526"/>
      <c r="AF232" s="3526"/>
    </row>
    <row r="233" spans="1:37">
      <c r="AE233" s="3526"/>
      <c r="AF233" s="3526"/>
    </row>
    <row r="234" spans="1:37">
      <c r="D234" s="3373"/>
      <c r="E234" s="3373"/>
      <c r="AE234" s="3526"/>
      <c r="AF234" s="3526"/>
      <c r="AG234" s="3062"/>
      <c r="AH234" s="3062"/>
      <c r="AI234" s="3062"/>
    </row>
    <row r="235" spans="1:37">
      <c r="D235" s="3373"/>
      <c r="E235" s="3373"/>
      <c r="AE235" s="3526"/>
      <c r="AF235" s="3526"/>
      <c r="AG235" s="3062"/>
      <c r="AH235" s="3062"/>
      <c r="AI235" s="3062"/>
    </row>
    <row r="236" spans="1:37">
      <c r="AE236" s="3526"/>
      <c r="AF236" s="3526"/>
      <c r="AG236" s="3062"/>
      <c r="AH236" s="3062"/>
      <c r="AI236" s="3062"/>
    </row>
    <row r="237" spans="1:37">
      <c r="AE237" s="3185">
        <f>+AE221+AE234</f>
        <v>0</v>
      </c>
      <c r="AF237" s="3526"/>
      <c r="AG237" s="3062"/>
      <c r="AH237" s="3062"/>
      <c r="AI237" s="3062"/>
    </row>
    <row r="238" spans="1:37">
      <c r="AE238" s="3063"/>
      <c r="AF238" s="3063"/>
      <c r="AG238" s="3062"/>
      <c r="AH238" s="3062"/>
      <c r="AI238" s="3062"/>
    </row>
    <row r="239" spans="1:37">
      <c r="AF239" s="2846"/>
    </row>
    <row r="240" spans="1:37">
      <c r="AF240" s="2846"/>
    </row>
    <row r="241" spans="4:32">
      <c r="D241" s="2846"/>
      <c r="E241" s="2846"/>
      <c r="AC241" s="2846"/>
      <c r="AD241" s="2846"/>
      <c r="AE241" s="2846"/>
      <c r="AF241" s="2846"/>
    </row>
  </sheetData>
  <mergeCells count="29">
    <mergeCell ref="A1:AI1"/>
    <mergeCell ref="A2:AI2"/>
    <mergeCell ref="A3:AI3"/>
    <mergeCell ref="A5:D5"/>
    <mergeCell ref="A8:AF8"/>
    <mergeCell ref="A46:D46"/>
    <mergeCell ref="A10:A11"/>
    <mergeCell ref="B10:B11"/>
    <mergeCell ref="C10:C11"/>
    <mergeCell ref="D10:D11"/>
    <mergeCell ref="A225:D225"/>
    <mergeCell ref="G225:K225"/>
    <mergeCell ref="L225:P225"/>
    <mergeCell ref="A98:B98"/>
    <mergeCell ref="A170:B170"/>
    <mergeCell ref="A195:B195"/>
    <mergeCell ref="A220:B220"/>
    <mergeCell ref="A221:B221"/>
    <mergeCell ref="A222:B222"/>
    <mergeCell ref="AC10:AC11"/>
    <mergeCell ref="E10:T10"/>
    <mergeCell ref="U10:AB10"/>
    <mergeCell ref="X225:AI225"/>
    <mergeCell ref="Q225:W225"/>
    <mergeCell ref="T222:AI222"/>
    <mergeCell ref="AD10:AD11"/>
    <mergeCell ref="AE10:AE11"/>
    <mergeCell ref="AF10:AF11"/>
    <mergeCell ref="AI10:AI11"/>
  </mergeCells>
  <pageMargins left="0.23622047244094491" right="0.23622047244094491" top="0.55118110236220474" bottom="0.35433070866141736" header="0.31496062992125984" footer="0.31496062992125984"/>
  <pageSetup paperSize="9" scale="7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59</vt:i4>
      </vt:variant>
    </vt:vector>
  </HeadingPairs>
  <TitlesOfParts>
    <vt:vector size="142" baseType="lpstr">
      <vt:lpstr>Chuyển đổi công t8</vt:lpstr>
      <vt:lpstr>Mủ CN (TT)</vt:lpstr>
      <vt:lpstr>Serum</vt:lpstr>
      <vt:lpstr>Mủ dây</vt:lpstr>
      <vt:lpstr>Chấm công CN</vt:lpstr>
      <vt:lpstr>Phụ cấp cây non</vt:lpstr>
      <vt:lpstr>Thanh toán bốc mủ</vt:lpstr>
      <vt:lpstr>Chấm công đi làm thưởng</vt:lpstr>
      <vt:lpstr>Đội 1</vt:lpstr>
      <vt:lpstr>Đội 2</vt:lpstr>
      <vt:lpstr>Đội 3</vt:lpstr>
      <vt:lpstr>VCKD</vt:lpstr>
      <vt:lpstr>Tong luong NT</vt:lpstr>
      <vt:lpstr>Hổ trợ xăng CN</vt:lpstr>
      <vt:lpstr>BVNT</vt:lpstr>
      <vt:lpstr>Trạm cán</vt:lpstr>
      <vt:lpstr>Lương đội phó người Lào</vt:lpstr>
      <vt:lpstr>HTSL</vt:lpstr>
      <vt:lpstr>Thưởng SL</vt:lpstr>
      <vt:lpstr>Chấm công</vt:lpstr>
      <vt:lpstr>Báo cáoKL (2)</vt:lpstr>
      <vt:lpstr>LƯƠNG USD NGƯỜI VIỆT</vt:lpstr>
      <vt:lpstr>BẢNG KÊ LƯƠNG</vt:lpstr>
      <vt:lpstr>thu tiền bhxh Quyên</vt:lpstr>
      <vt:lpstr>PHAN TOAN</vt:lpstr>
      <vt:lpstr>KTCB</vt:lpstr>
      <vt:lpstr>PHAN TOAN (2)</vt:lpstr>
      <vt:lpstr>CVK</vt:lpstr>
      <vt:lpstr>Lương Đội 1</vt:lpstr>
      <vt:lpstr>Tong luong NT (2)</vt:lpstr>
      <vt:lpstr>Lương Đội</vt:lpstr>
      <vt:lpstr>BCKL</vt:lpstr>
      <vt:lpstr>Phu cấp người Việt </vt:lpstr>
      <vt:lpstr>Đội 1 (Truy lãnh)</vt:lpstr>
      <vt:lpstr>Đôi 1 tạm ứng</vt:lpstr>
      <vt:lpstr>Đội 2 (truy lãnh)</vt:lpstr>
      <vt:lpstr>Đội 2 tu</vt:lpstr>
      <vt:lpstr>Đội 3 truy lãnh</vt:lpstr>
      <vt:lpstr>Đội 3 tư</vt:lpstr>
      <vt:lpstr>DOI 3</vt:lpstr>
      <vt:lpstr>DOI 1</vt:lpstr>
      <vt:lpstr>DOI 2</vt:lpstr>
      <vt:lpstr>Vuon uom</vt:lpstr>
      <vt:lpstr>VCKD (2)</vt:lpstr>
      <vt:lpstr>lương con lào </vt:lpstr>
      <vt:lpstr>CC NT</vt:lpstr>
      <vt:lpstr>trồng mới</vt:lpstr>
      <vt:lpstr>NĐT</vt:lpstr>
      <vt:lpstr>PC xang xe</vt:lpstr>
      <vt:lpstr>chăm sóc TT</vt:lpstr>
      <vt:lpstr>Phụ cấp 300K</vt:lpstr>
      <vt:lpstr>học cạo</vt:lpstr>
      <vt:lpstr>KTCC</vt:lpstr>
      <vt:lpstr>PCTB</vt:lpstr>
      <vt:lpstr>lương con cb</vt:lpstr>
      <vt:lpstr>HẠNG KT</vt:lpstr>
      <vt:lpstr>Thuong 3 T </vt:lpstr>
      <vt:lpstr>Thuong 1T  </vt:lpstr>
      <vt:lpstr>Ung luong</vt:lpstr>
      <vt:lpstr>Tiền thưởng tết dương lịch</vt:lpstr>
      <vt:lpstr>TTTX</vt:lpstr>
      <vt:lpstr>Châm công tiền xăng</vt:lpstr>
      <vt:lpstr>HS bảo hiểm</vt:lpstr>
      <vt:lpstr>Sheet4</vt:lpstr>
      <vt:lpstr>Sheet3</vt:lpstr>
      <vt:lpstr>Truy lãnh</vt:lpstr>
      <vt:lpstr>Mủ CN (tam ung)</vt:lpstr>
      <vt:lpstr>Danh sách TNCN</vt:lpstr>
      <vt:lpstr>chấm công người việt</vt:lpstr>
      <vt:lpstr>Hỗ trợ xư qly</vt:lpstr>
      <vt:lpstr>Chấm Công Tái xế</vt:lpstr>
      <vt:lpstr>Mủ CN</vt:lpstr>
      <vt:lpstr>Mủ CN (TH)</vt:lpstr>
      <vt:lpstr>Đội 1 (2)</vt:lpstr>
      <vt:lpstr>PLcon</vt:lpstr>
      <vt:lpstr>Sheet1</vt:lpstr>
      <vt:lpstr>Sheet1 (2)</vt:lpstr>
      <vt:lpstr>Sheet6</vt:lpstr>
      <vt:lpstr>Sheet2</vt:lpstr>
      <vt:lpstr>Sheet7</vt:lpstr>
      <vt:lpstr>Sheet8</vt:lpstr>
      <vt:lpstr>Sheet5</vt:lpstr>
      <vt:lpstr>Sheet9</vt:lpstr>
      <vt:lpstr>'BẢNG KÊ LƯƠNG'!Print_Area</vt:lpstr>
      <vt:lpstr>'chăm sóc TT'!Print_Area</vt:lpstr>
      <vt:lpstr>'DOI 1'!Print_Area</vt:lpstr>
      <vt:lpstr>'DOI 2'!Print_Area</vt:lpstr>
      <vt:lpstr>'DOI 3'!Print_Area</vt:lpstr>
      <vt:lpstr>KTCB!Print_Area</vt:lpstr>
      <vt:lpstr>'LƯƠNG USD NGƯỜI VIỆT'!Print_Area</vt:lpstr>
      <vt:lpstr>NĐT!Print_Area</vt:lpstr>
      <vt:lpstr>'PC xang xe'!Print_Area</vt:lpstr>
      <vt:lpstr>PLcon!Print_Area</vt:lpstr>
      <vt:lpstr>'thu tiền bhxh Quyên'!Print_Area</vt:lpstr>
      <vt:lpstr>'trồng mới'!Print_Area</vt:lpstr>
      <vt:lpstr>'VCKD (2)'!Print_Area</vt:lpstr>
      <vt:lpstr>'Vuon uom'!Print_Area</vt:lpstr>
      <vt:lpstr>BVNT!Print_Titles</vt:lpstr>
      <vt:lpstr>'CC NT'!Print_Titles</vt:lpstr>
      <vt:lpstr>CVK!Print_Titles</vt:lpstr>
      <vt:lpstr>'chăm sóc TT'!Print_Titles</vt:lpstr>
      <vt:lpstr>'Chấm công CN'!Print_Titles</vt:lpstr>
      <vt:lpstr>'Chấm công đi làm thưởng'!Print_Titles</vt:lpstr>
      <vt:lpstr>'chấm công người việt'!Print_Titles</vt:lpstr>
      <vt:lpstr>'DOI 1'!Print_Titles</vt:lpstr>
      <vt:lpstr>'DOI 2'!Print_Titles</vt:lpstr>
      <vt:lpstr>'DOI 3'!Print_Titles</vt:lpstr>
      <vt:lpstr>'Đội 1'!Print_Titles</vt:lpstr>
      <vt:lpstr>'Đội 1 (2)'!Print_Titles</vt:lpstr>
      <vt:lpstr>'Đội 1 (Truy lãnh)'!Print_Titles</vt:lpstr>
      <vt:lpstr>'Đội 2 (truy lãnh)'!Print_Titles</vt:lpstr>
      <vt:lpstr>'Đội 3'!Print_Titles</vt:lpstr>
      <vt:lpstr>'Đội 3 truy lãnh'!Print_Titles</vt:lpstr>
      <vt:lpstr>'học cạo'!Print_Titles</vt:lpstr>
      <vt:lpstr>'Hổ trợ xăng CN'!Print_Titles</vt:lpstr>
      <vt:lpstr>KTCB!Print_Titles</vt:lpstr>
      <vt:lpstr>'LƯƠNG USD NGƯỜI VIỆT'!Print_Titles</vt:lpstr>
      <vt:lpstr>'Mủ CN'!Print_Titles</vt:lpstr>
      <vt:lpstr>'Mủ CN (tam ung)'!Print_Titles</vt:lpstr>
      <vt:lpstr>'Mủ CN (TT)'!Print_Titles</vt:lpstr>
      <vt:lpstr>'Mủ CN (TH)'!Print_Titles</vt:lpstr>
      <vt:lpstr>'Mủ dây'!Print_Titles</vt:lpstr>
      <vt:lpstr>NĐT!Print_Titles</vt:lpstr>
      <vt:lpstr>'PC xang xe'!Print_Titles</vt:lpstr>
      <vt:lpstr>'PHAN TOAN'!Print_Titles</vt:lpstr>
      <vt:lpstr>'PHAN TOAN (2)'!Print_Titles</vt:lpstr>
      <vt:lpstr>'Phụ cấp 300K'!Print_Titles</vt:lpstr>
      <vt:lpstr>'Phụ cấp cây non'!Print_Titles</vt:lpstr>
      <vt:lpstr>'Phu cấp người Việt '!Print_Titles</vt:lpstr>
      <vt:lpstr>Sheet1!Print_Titles</vt:lpstr>
      <vt:lpstr>'Sheet1 (2)'!Print_Titles</vt:lpstr>
      <vt:lpstr>Sheet2!Print_Titles</vt:lpstr>
      <vt:lpstr>Sheet9!Print_Titles</vt:lpstr>
      <vt:lpstr>'Tiền thưởng tết dương lịch'!Print_Titles</vt:lpstr>
      <vt:lpstr>'Tong luong NT'!Print_Titles</vt:lpstr>
      <vt:lpstr>'Tong luong NT (2)'!Print_Titles</vt:lpstr>
      <vt:lpstr>'Thanh toán bốc mủ'!Print_Titles</vt:lpstr>
      <vt:lpstr>'Thưởng SL'!Print_Titles</vt:lpstr>
      <vt:lpstr>'trồng mới'!Print_Titles</vt:lpstr>
      <vt:lpstr>VCKD!Print_Titles</vt:lpstr>
      <vt:lpstr>'VCKD (2)'!Print_Titles</vt:lpstr>
      <vt:lpstr>'Vuon uom'!Print_Titles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cp:lastPrinted>2025-05-03T03:54:03Z</cp:lastPrinted>
  <dcterms:created xsi:type="dcterms:W3CDTF">2016-08-12T03:42:23Z</dcterms:created>
  <dcterms:modified xsi:type="dcterms:W3CDTF">2026-01-30T01:39:52Z</dcterms:modified>
</cp:coreProperties>
</file>